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5.xml" ContentType="application/vnd.openxmlformats-officedocument.drawing+xml"/>
  <Override PartName="/xl/tables/table13.xml" ContentType="application/vnd.openxmlformats-officedocument.spreadsheetml.tab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2d\OneDrive\Documentos\UPF\2022-2023\2nd Term\Organization of TIC companies\Business Plan\"/>
    </mc:Choice>
  </mc:AlternateContent>
  <xr:revisionPtr revIDLastSave="0" documentId="13_ncr:1_{81AB0583-260D-496A-980F-3CAFC8C5BDE8}" xr6:coauthVersionLast="47" xr6:coauthVersionMax="47" xr10:uidLastSave="{00000000-0000-0000-0000-000000000000}"/>
  <bookViews>
    <workbookView xWindow="-28920" yWindow="-7335" windowWidth="29040" windowHeight="15720" tabRatio="654" xr2:uid="{E2E3D6A0-83C8-4696-8B5D-0697D27B1B77}"/>
  </bookViews>
  <sheets>
    <sheet name="Cashflow" sheetId="3" r:id="rId1"/>
    <sheet name="Sales" sheetId="1" r:id="rId2"/>
    <sheet name="Other incomes" sheetId="8" r:id="rId3"/>
    <sheet name="Loans" sheetId="4" r:id="rId4"/>
    <sheet name="Salaries" sheetId="2" r:id="rId5"/>
    <sheet name="Marketing" sheetId="7" r:id="rId6"/>
    <sheet name="Amortization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" i="3" l="1"/>
  <c r="E41" i="3"/>
  <c r="E42" i="3" s="1"/>
  <c r="E43" i="3" s="1"/>
  <c r="F41" i="3"/>
  <c r="F42" i="3" s="1"/>
  <c r="G41" i="3"/>
  <c r="AF19" i="3"/>
  <c r="G42" i="3" l="1"/>
  <c r="F43" i="3"/>
  <c r="G43" i="3" s="1"/>
  <c r="AL87" i="3"/>
  <c r="AM87" i="3"/>
  <c r="BG87" i="3"/>
  <c r="BJ87" i="3"/>
  <c r="G453" i="3"/>
  <c r="D439" i="3"/>
  <c r="D438" i="3"/>
  <c r="D435" i="3"/>
  <c r="D434" i="3"/>
  <c r="E457" i="3"/>
  <c r="D457" i="3"/>
  <c r="G456" i="3"/>
  <c r="G455" i="3"/>
  <c r="G454" i="3"/>
  <c r="F446" i="3"/>
  <c r="F447" i="3" s="1"/>
  <c r="E446" i="3"/>
  <c r="E447" i="3" s="1"/>
  <c r="E448" i="3" s="1"/>
  <c r="G445" i="3"/>
  <c r="G406" i="3"/>
  <c r="G405" i="3"/>
  <c r="G404" i="3"/>
  <c r="E407" i="3"/>
  <c r="D407" i="3"/>
  <c r="F396" i="3"/>
  <c r="E396" i="3"/>
  <c r="E397" i="3" s="1"/>
  <c r="E398" i="3" s="1"/>
  <c r="G395" i="3"/>
  <c r="E159" i="3"/>
  <c r="D159" i="3"/>
  <c r="E209" i="3"/>
  <c r="D209" i="3"/>
  <c r="E357" i="3"/>
  <c r="D357" i="3"/>
  <c r="G356" i="3"/>
  <c r="G355" i="3"/>
  <c r="G354" i="3"/>
  <c r="F346" i="3"/>
  <c r="E346" i="3"/>
  <c r="E347" i="3" s="1"/>
  <c r="E348" i="3" s="1"/>
  <c r="G345" i="3"/>
  <c r="G253" i="3"/>
  <c r="D239" i="3"/>
  <c r="D238" i="3"/>
  <c r="D235" i="3"/>
  <c r="D234" i="3"/>
  <c r="F246" i="3"/>
  <c r="F247" i="3" s="1"/>
  <c r="E246" i="3"/>
  <c r="E247" i="3" s="1"/>
  <c r="E248" i="3" s="1"/>
  <c r="G245" i="3"/>
  <c r="G303" i="3"/>
  <c r="F296" i="3"/>
  <c r="E296" i="3"/>
  <c r="E297" i="3" s="1"/>
  <c r="E298" i="3" s="1"/>
  <c r="G295" i="3"/>
  <c r="D289" i="3"/>
  <c r="D288" i="3"/>
  <c r="D285" i="3"/>
  <c r="D284" i="3"/>
  <c r="G203" i="3"/>
  <c r="F196" i="3"/>
  <c r="F197" i="3" s="1"/>
  <c r="E196" i="3"/>
  <c r="E197" i="3" s="1"/>
  <c r="E198" i="3" s="1"/>
  <c r="G195" i="3"/>
  <c r="G191" i="3"/>
  <c r="G190" i="3"/>
  <c r="G189" i="3"/>
  <c r="G187" i="3"/>
  <c r="D187" i="3"/>
  <c r="G186" i="3"/>
  <c r="G185" i="3"/>
  <c r="D185" i="3"/>
  <c r="D184" i="3"/>
  <c r="G183" i="3"/>
  <c r="D183" i="3"/>
  <c r="G182" i="3"/>
  <c r="D182" i="3"/>
  <c r="G181" i="3"/>
  <c r="D181" i="3"/>
  <c r="G173" i="3"/>
  <c r="G171" i="3"/>
  <c r="G170" i="3"/>
  <c r="G153" i="3"/>
  <c r="D137" i="3"/>
  <c r="D135" i="3"/>
  <c r="D134" i="3"/>
  <c r="D133" i="3"/>
  <c r="D132" i="3"/>
  <c r="D131" i="3"/>
  <c r="G141" i="3"/>
  <c r="G140" i="3"/>
  <c r="G139" i="3"/>
  <c r="G137" i="3"/>
  <c r="G136" i="3"/>
  <c r="G135" i="3"/>
  <c r="G133" i="3"/>
  <c r="G132" i="3"/>
  <c r="G131" i="3"/>
  <c r="G123" i="3"/>
  <c r="G121" i="3"/>
  <c r="G120" i="3"/>
  <c r="F146" i="3"/>
  <c r="E146" i="3"/>
  <c r="E147" i="3" s="1"/>
  <c r="E148" i="3" s="1"/>
  <c r="G145" i="3"/>
  <c r="F96" i="3"/>
  <c r="F97" i="3" s="1"/>
  <c r="E96" i="3"/>
  <c r="E97" i="3" s="1"/>
  <c r="E98" i="3" s="1"/>
  <c r="G95" i="3"/>
  <c r="AS22" i="3"/>
  <c r="AR87" i="3" s="1"/>
  <c r="AT22" i="3"/>
  <c r="AS87" i="3" s="1"/>
  <c r="AV22" i="3"/>
  <c r="AU87" i="3" s="1"/>
  <c r="AW22" i="3"/>
  <c r="AV87" i="3" s="1"/>
  <c r="AY22" i="3"/>
  <c r="AX87" i="3" s="1"/>
  <c r="AZ22" i="3"/>
  <c r="AY87" i="3" s="1"/>
  <c r="BB22" i="3"/>
  <c r="BA87" i="3" s="1"/>
  <c r="BC22" i="3"/>
  <c r="BB87" i="3" s="1"/>
  <c r="BE22" i="3"/>
  <c r="BD87" i="3" s="1"/>
  <c r="BF22" i="3"/>
  <c r="BE87" i="3" s="1"/>
  <c r="BI22" i="3"/>
  <c r="BH87" i="3" s="1"/>
  <c r="BL22" i="3"/>
  <c r="BK87" i="3" s="1"/>
  <c r="BN22" i="3"/>
  <c r="BM87" i="3" s="1"/>
  <c r="BO22" i="3"/>
  <c r="BN87" i="3" s="1"/>
  <c r="U22" i="3"/>
  <c r="T87" i="3" s="1"/>
  <c r="V22" i="3"/>
  <c r="U87" i="3" s="1"/>
  <c r="X22" i="3"/>
  <c r="W87" i="3" s="1"/>
  <c r="Y22" i="3"/>
  <c r="X87" i="3" s="1"/>
  <c r="AA22" i="3"/>
  <c r="Z87" i="3" s="1"/>
  <c r="AB22" i="3"/>
  <c r="AA87" i="3" s="1"/>
  <c r="AD22" i="3"/>
  <c r="AC87" i="3" s="1"/>
  <c r="AE22" i="3"/>
  <c r="AD87" i="3" s="1"/>
  <c r="AG22" i="3"/>
  <c r="AF87" i="3" s="1"/>
  <c r="AH22" i="3"/>
  <c r="AG87" i="3" s="1"/>
  <c r="AJ22" i="3"/>
  <c r="AI87" i="3" s="1"/>
  <c r="AK22" i="3"/>
  <c r="AJ87" i="3" s="1"/>
  <c r="AM22" i="3"/>
  <c r="AN22" i="3"/>
  <c r="AP22" i="3"/>
  <c r="AO87" i="3" s="1"/>
  <c r="AQ22" i="3"/>
  <c r="AP87" i="3" s="1"/>
  <c r="T22" i="3"/>
  <c r="S87" i="3" s="1"/>
  <c r="E47" i="3" l="1"/>
  <c r="D31" i="3"/>
  <c r="G396" i="3"/>
  <c r="G346" i="3"/>
  <c r="F397" i="3"/>
  <c r="F398" i="3" s="1"/>
  <c r="G296" i="3"/>
  <c r="G447" i="3"/>
  <c r="F448" i="3"/>
  <c r="G448" i="3" s="1"/>
  <c r="G446" i="3"/>
  <c r="G398" i="3"/>
  <c r="F347" i="3"/>
  <c r="G247" i="3"/>
  <c r="F248" i="3"/>
  <c r="G248" i="3" s="1"/>
  <c r="G246" i="3"/>
  <c r="F297" i="3"/>
  <c r="G146" i="3"/>
  <c r="F198" i="3"/>
  <c r="G198" i="3" s="1"/>
  <c r="G197" i="3"/>
  <c r="G196" i="3"/>
  <c r="F147" i="3"/>
  <c r="G97" i="3"/>
  <c r="F98" i="3"/>
  <c r="G98" i="3" s="1"/>
  <c r="G96" i="3"/>
  <c r="T6" i="3"/>
  <c r="T59" i="3" s="1"/>
  <c r="BP7" i="3"/>
  <c r="BP60" i="3" s="1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 s="1"/>
  <c r="T15" i="3"/>
  <c r="U15" i="3"/>
  <c r="V15" i="3"/>
  <c r="W15" i="3"/>
  <c r="X15" i="3"/>
  <c r="Y15" i="3"/>
  <c r="AG19" i="3"/>
  <c r="AH19" i="3"/>
  <c r="AI19" i="3"/>
  <c r="AJ19" i="3"/>
  <c r="AK19" i="3"/>
  <c r="AL19" i="3"/>
  <c r="AM19" i="3"/>
  <c r="AN19" i="3"/>
  <c r="AO19" i="3"/>
  <c r="AP19" i="3"/>
  <c r="AQ19" i="3"/>
  <c r="AS19" i="3"/>
  <c r="AT19" i="3"/>
  <c r="AU19" i="3"/>
  <c r="AV19" i="3"/>
  <c r="AW19" i="3"/>
  <c r="AX19" i="3"/>
  <c r="AY19" i="3"/>
  <c r="AZ19" i="3"/>
  <c r="BA19" i="3"/>
  <c r="BB19" i="3"/>
  <c r="BC19" i="3"/>
  <c r="BE19" i="3"/>
  <c r="BF19" i="3"/>
  <c r="BG19" i="3"/>
  <c r="BH19" i="3"/>
  <c r="BI19" i="3"/>
  <c r="BJ19" i="3"/>
  <c r="BK19" i="3"/>
  <c r="BL19" i="3"/>
  <c r="BM19" i="3"/>
  <c r="BN19" i="3"/>
  <c r="BO19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P37" i="3" s="1"/>
  <c r="BO82" i="3" s="1"/>
  <c r="BO37" i="3"/>
  <c r="T40" i="3"/>
  <c r="U40" i="3"/>
  <c r="V40" i="3"/>
  <c r="W40" i="3"/>
  <c r="X40" i="3"/>
  <c r="Y40" i="3"/>
  <c r="U89" i="3"/>
  <c r="V89" i="3"/>
  <c r="M21" i="1"/>
  <c r="O21" i="1"/>
  <c r="S24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BH26" i="4"/>
  <c r="BI26" i="4"/>
  <c r="BJ26" i="4"/>
  <c r="BK26" i="4"/>
  <c r="BL26" i="4"/>
  <c r="BM26" i="4"/>
  <c r="BN26" i="4"/>
  <c r="BO26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BH27" i="4"/>
  <c r="BI27" i="4"/>
  <c r="BJ27" i="4"/>
  <c r="BK27" i="4"/>
  <c r="BL27" i="4"/>
  <c r="BM27" i="4"/>
  <c r="BN27" i="4"/>
  <c r="BO27" i="4"/>
  <c r="BS16" i="3"/>
  <c r="T8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U72" i="3"/>
  <c r="V72" i="3"/>
  <c r="W72" i="3"/>
  <c r="X72" i="3"/>
  <c r="T69" i="3"/>
  <c r="T72" i="3"/>
  <c r="W43" i="2"/>
  <c r="X43" i="2"/>
  <c r="Y43" i="2"/>
  <c r="Z43" i="2"/>
  <c r="AA43" i="2"/>
  <c r="AB43" i="2" s="1"/>
  <c r="AC43" i="2" s="1"/>
  <c r="AD43" i="2" s="1"/>
  <c r="AE43" i="2" s="1"/>
  <c r="W44" i="2"/>
  <c r="X44" i="2"/>
  <c r="Y44" i="2" s="1"/>
  <c r="Z44" i="2" s="1"/>
  <c r="AA44" i="2" s="1"/>
  <c r="AB44" i="2" s="1"/>
  <c r="AC44" i="2" s="1"/>
  <c r="AD44" i="2" s="1"/>
  <c r="AE44" i="2" s="1"/>
  <c r="W45" i="2"/>
  <c r="X45" i="2"/>
  <c r="Y45" i="2" s="1"/>
  <c r="Z45" i="2" s="1"/>
  <c r="AA45" i="2" s="1"/>
  <c r="AB45" i="2" s="1"/>
  <c r="AC45" i="2" s="1"/>
  <c r="AD45" i="2" s="1"/>
  <c r="AE45" i="2" s="1"/>
  <c r="W46" i="2"/>
  <c r="X46" i="2"/>
  <c r="Y46" i="2" s="1"/>
  <c r="Z46" i="2" s="1"/>
  <c r="AA46" i="2" s="1"/>
  <c r="AB46" i="2" s="1"/>
  <c r="AC46" i="2" s="1"/>
  <c r="AD46" i="2" s="1"/>
  <c r="AE46" i="2" s="1"/>
  <c r="W47" i="2"/>
  <c r="X47" i="2" s="1"/>
  <c r="Y47" i="2" s="1"/>
  <c r="Z47" i="2" s="1"/>
  <c r="AA47" i="2" s="1"/>
  <c r="AB47" i="2" s="1"/>
  <c r="AC47" i="2" s="1"/>
  <c r="AD47" i="2" s="1"/>
  <c r="AE47" i="2" s="1"/>
  <c r="W48" i="2"/>
  <c r="X48" i="2"/>
  <c r="Y48" i="2" s="1"/>
  <c r="Z48" i="2" s="1"/>
  <c r="AA48" i="2" s="1"/>
  <c r="AB48" i="2" s="1"/>
  <c r="AC48" i="2" s="1"/>
  <c r="AD48" i="2" s="1"/>
  <c r="AE48" i="2" s="1"/>
  <c r="W49" i="2"/>
  <c r="X49" i="2"/>
  <c r="Y49" i="2" s="1"/>
  <c r="Z49" i="2" s="1"/>
  <c r="AA49" i="2" s="1"/>
  <c r="AB49" i="2" s="1"/>
  <c r="AC49" i="2" s="1"/>
  <c r="AD49" i="2" s="1"/>
  <c r="AE49" i="2" s="1"/>
  <c r="W50" i="2"/>
  <c r="X50" i="2"/>
  <c r="Y50" i="2" s="1"/>
  <c r="Z50" i="2" s="1"/>
  <c r="AA50" i="2" s="1"/>
  <c r="AB50" i="2" s="1"/>
  <c r="AC50" i="2" s="1"/>
  <c r="AD50" i="2" s="1"/>
  <c r="AE50" i="2" s="1"/>
  <c r="W51" i="2"/>
  <c r="X51" i="2"/>
  <c r="Y51" i="2"/>
  <c r="Z51" i="2"/>
  <c r="AA51" i="2" s="1"/>
  <c r="AB51" i="2" s="1"/>
  <c r="AC51" i="2" s="1"/>
  <c r="AD51" i="2" s="1"/>
  <c r="AE51" i="2" s="1"/>
  <c r="W52" i="2"/>
  <c r="X52" i="2"/>
  <c r="Y52" i="2"/>
  <c r="Z52" i="2"/>
  <c r="AA52" i="2" s="1"/>
  <c r="AB52" i="2" s="1"/>
  <c r="AC52" i="2" s="1"/>
  <c r="AD52" i="2" s="1"/>
  <c r="AE52" i="2" s="1"/>
  <c r="W53" i="2"/>
  <c r="X53" i="2" s="1"/>
  <c r="Y53" i="2" s="1"/>
  <c r="Z53" i="2" s="1"/>
  <c r="AA53" i="2" s="1"/>
  <c r="AB53" i="2" s="1"/>
  <c r="AC53" i="2" s="1"/>
  <c r="AD53" i="2" s="1"/>
  <c r="AE53" i="2" s="1"/>
  <c r="V43" i="2"/>
  <c r="V44" i="2"/>
  <c r="V45" i="2"/>
  <c r="V46" i="2"/>
  <c r="V47" i="2"/>
  <c r="V48" i="2"/>
  <c r="V49" i="2"/>
  <c r="V50" i="2"/>
  <c r="V51" i="2"/>
  <c r="V52" i="2"/>
  <c r="V53" i="2"/>
  <c r="V20" i="2"/>
  <c r="C13" i="2"/>
  <c r="C12" i="2"/>
  <c r="C11" i="2"/>
  <c r="AN28" i="2" s="1"/>
  <c r="C10" i="2"/>
  <c r="AU27" i="2" s="1"/>
  <c r="C9" i="2"/>
  <c r="BB26" i="2" s="1"/>
  <c r="C8" i="2"/>
  <c r="C7" i="2"/>
  <c r="AV24" i="2" s="1"/>
  <c r="C6" i="2"/>
  <c r="BC23" i="2" s="1"/>
  <c r="C5" i="2"/>
  <c r="C4" i="2"/>
  <c r="C3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BB28" i="2"/>
  <c r="BA28" i="2"/>
  <c r="AV28" i="2"/>
  <c r="AU28" i="2"/>
  <c r="AT28" i="2"/>
  <c r="AR28" i="2"/>
  <c r="AQ28" i="2"/>
  <c r="AL28" i="2"/>
  <c r="AK28" i="2"/>
  <c r="AJ28" i="2"/>
  <c r="AH28" i="2"/>
  <c r="AG28" i="2"/>
  <c r="AB28" i="2"/>
  <c r="AA28" i="2"/>
  <c r="Z28" i="2"/>
  <c r="X28" i="2"/>
  <c r="W28" i="2"/>
  <c r="R28" i="2"/>
  <c r="Q28" i="2"/>
  <c r="P28" i="2"/>
  <c r="N28" i="2"/>
  <c r="M28" i="2"/>
  <c r="BA27" i="2"/>
  <c r="AX27" i="2"/>
  <c r="AR27" i="2"/>
  <c r="AQ27" i="2"/>
  <c r="AN27" i="2"/>
  <c r="AG27" i="2"/>
  <c r="AD27" i="2"/>
  <c r="X27" i="2"/>
  <c r="W27" i="2"/>
  <c r="T27" i="2"/>
  <c r="M27" i="2"/>
  <c r="J27" i="2"/>
  <c r="AX26" i="2"/>
  <c r="AU26" i="2"/>
  <c r="AK26" i="2"/>
  <c r="AD26" i="2"/>
  <c r="AA26" i="2"/>
  <c r="Q26" i="2"/>
  <c r="J26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BC24" i="2"/>
  <c r="BB24" i="2"/>
  <c r="AZ24" i="2"/>
  <c r="AY24" i="2"/>
  <c r="AT24" i="2"/>
  <c r="AS24" i="2"/>
  <c r="AR24" i="2"/>
  <c r="AP24" i="2"/>
  <c r="AO24" i="2"/>
  <c r="AJ24" i="2"/>
  <c r="AI24" i="2"/>
  <c r="AH24" i="2"/>
  <c r="AF24" i="2"/>
  <c r="AE24" i="2"/>
  <c r="Z24" i="2"/>
  <c r="Y24" i="2"/>
  <c r="X24" i="2"/>
  <c r="V24" i="2"/>
  <c r="U24" i="2"/>
  <c r="P24" i="2"/>
  <c r="O24" i="2"/>
  <c r="N24" i="2"/>
  <c r="L24" i="2"/>
  <c r="K24" i="2"/>
  <c r="AY23" i="2"/>
  <c r="AV23" i="2"/>
  <c r="AL23" i="2"/>
  <c r="AE23" i="2"/>
  <c r="AB23" i="2"/>
  <c r="R23" i="2"/>
  <c r="K23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H29" i="2"/>
  <c r="H30" i="2"/>
  <c r="I4" i="7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AG4" i="7" s="1"/>
  <c r="AH4" i="7" s="1"/>
  <c r="AI4" i="7" s="1"/>
  <c r="AJ4" i="7" s="1"/>
  <c r="AK4" i="7" s="1"/>
  <c r="AL4" i="7" s="1"/>
  <c r="AM4" i="7" s="1"/>
  <c r="AN4" i="7" s="1"/>
  <c r="AO4" i="7" s="1"/>
  <c r="AP4" i="7" s="1"/>
  <c r="AQ4" i="7" s="1"/>
  <c r="AR4" i="7" s="1"/>
  <c r="AS4" i="7" s="1"/>
  <c r="AT4" i="7" s="1"/>
  <c r="AU4" i="7" s="1"/>
  <c r="AV4" i="7" s="1"/>
  <c r="AW4" i="7" s="1"/>
  <c r="AX4" i="7" s="1"/>
  <c r="AY4" i="7" s="1"/>
  <c r="D4" i="7"/>
  <c r="E4" i="7" s="1"/>
  <c r="F4" i="7" s="1"/>
  <c r="G4" i="7" s="1"/>
  <c r="D5" i="7"/>
  <c r="K5" i="1" s="1"/>
  <c r="E5" i="7"/>
  <c r="L5" i="1" s="1"/>
  <c r="F5" i="7"/>
  <c r="M5" i="1" s="1"/>
  <c r="G5" i="7"/>
  <c r="N5" i="1" s="1"/>
  <c r="H5" i="7"/>
  <c r="O5" i="1" s="1"/>
  <c r="C5" i="7"/>
  <c r="J5" i="1" s="1"/>
  <c r="I6" i="4"/>
  <c r="H6" i="4"/>
  <c r="K6" i="4"/>
  <c r="S18" i="4"/>
  <c r="S12" i="4"/>
  <c r="BO5" i="4"/>
  <c r="L10" i="5"/>
  <c r="K10" i="5"/>
  <c r="J10" i="5"/>
  <c r="I10" i="5"/>
  <c r="H10" i="5"/>
  <c r="G10" i="5"/>
  <c r="H11" i="5"/>
  <c r="I11" i="5"/>
  <c r="J11" i="5"/>
  <c r="K11" i="5"/>
  <c r="L11" i="5"/>
  <c r="C11" i="5"/>
  <c r="C4" i="5"/>
  <c r="C10" i="5" s="1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D14" i="8"/>
  <c r="E14" i="8"/>
  <c r="F14" i="8"/>
  <c r="F15" i="8" s="1"/>
  <c r="F16" i="8" s="1"/>
  <c r="W11" i="3" s="1"/>
  <c r="G14" i="8"/>
  <c r="G15" i="8" s="1"/>
  <c r="G16" i="8" s="1"/>
  <c r="X36" i="3" s="1"/>
  <c r="H14" i="8"/>
  <c r="I14" i="8"/>
  <c r="J14" i="8"/>
  <c r="C14" i="8"/>
  <c r="D8" i="8"/>
  <c r="D9" i="8" s="1"/>
  <c r="D10" i="8" s="1"/>
  <c r="U10" i="3" s="1"/>
  <c r="E8" i="8"/>
  <c r="E9" i="8" s="1"/>
  <c r="E10" i="8" s="1"/>
  <c r="V35" i="3" s="1"/>
  <c r="F8" i="8"/>
  <c r="F9" i="8" s="1"/>
  <c r="F10" i="8" s="1"/>
  <c r="W35" i="3" s="1"/>
  <c r="G8" i="8"/>
  <c r="G9" i="8" s="1"/>
  <c r="G10" i="8" s="1"/>
  <c r="X35" i="3" s="1"/>
  <c r="H8" i="8"/>
  <c r="H9" i="8" s="1"/>
  <c r="H10" i="8" s="1"/>
  <c r="H42" i="8" s="1"/>
  <c r="I8" i="8"/>
  <c r="I9" i="8" s="1"/>
  <c r="I10" i="8" s="1"/>
  <c r="Z10" i="3" s="1"/>
  <c r="J8" i="8"/>
  <c r="J9" i="8" s="1"/>
  <c r="J10" i="8" s="1"/>
  <c r="J42" i="8" s="1"/>
  <c r="C8" i="8"/>
  <c r="C9" i="8" s="1"/>
  <c r="C10" i="8" s="1"/>
  <c r="T10" i="3" s="1"/>
  <c r="D3" i="8"/>
  <c r="D4" i="8" s="1"/>
  <c r="D5" i="8" s="1"/>
  <c r="U9" i="3" s="1"/>
  <c r="E3" i="8"/>
  <c r="E4" i="8" s="1"/>
  <c r="E5" i="8" s="1"/>
  <c r="V34" i="3" s="1"/>
  <c r="F3" i="8"/>
  <c r="F4" i="8" s="1"/>
  <c r="F5" i="8" s="1"/>
  <c r="W9" i="3" s="1"/>
  <c r="G3" i="8"/>
  <c r="G4" i="8" s="1"/>
  <c r="G5" i="8" s="1"/>
  <c r="X34" i="3" s="1"/>
  <c r="H3" i="8"/>
  <c r="H4" i="8" s="1"/>
  <c r="H5" i="8" s="1"/>
  <c r="Y34" i="3" s="1"/>
  <c r="I3" i="8"/>
  <c r="I4" i="8" s="1"/>
  <c r="I5" i="8" s="1"/>
  <c r="Z9" i="3" s="1"/>
  <c r="J3" i="8"/>
  <c r="J4" i="8" s="1"/>
  <c r="J5" i="8" s="1"/>
  <c r="AA9" i="3" s="1"/>
  <c r="C3" i="8"/>
  <c r="C4" i="8" s="1"/>
  <c r="C5" i="8" s="1"/>
  <c r="T9" i="3" s="1"/>
  <c r="J18" i="1"/>
  <c r="J19" i="1" s="1"/>
  <c r="T14" i="3" s="1"/>
  <c r="K18" i="1"/>
  <c r="K19" i="1" s="1"/>
  <c r="U14" i="3" s="1"/>
  <c r="L18" i="1"/>
  <c r="L19" i="1" s="1"/>
  <c r="V14" i="3" s="1"/>
  <c r="M18" i="1"/>
  <c r="M19" i="1" s="1"/>
  <c r="W39" i="3" s="1"/>
  <c r="N18" i="1"/>
  <c r="N19" i="1" s="1"/>
  <c r="X39" i="3" s="1"/>
  <c r="O18" i="1"/>
  <c r="O19" i="1" s="1"/>
  <c r="Y14" i="3" s="1"/>
  <c r="P18" i="1"/>
  <c r="P19" i="1" s="1"/>
  <c r="Z14" i="3" s="1"/>
  <c r="Q18" i="1"/>
  <c r="Q19" i="1" s="1"/>
  <c r="AA39" i="3" s="1"/>
  <c r="L6" i="1"/>
  <c r="M6" i="1"/>
  <c r="N6" i="1"/>
  <c r="O6" i="1"/>
  <c r="P6" i="1"/>
  <c r="Q6" i="1"/>
  <c r="K6" i="1"/>
  <c r="J6" i="1"/>
  <c r="I5" i="4"/>
  <c r="I4" i="4"/>
  <c r="K5" i="4"/>
  <c r="K4" i="4"/>
  <c r="H5" i="4"/>
  <c r="J10" i="1"/>
  <c r="J21" i="1" s="1"/>
  <c r="H4" i="4"/>
  <c r="J11" i="1"/>
  <c r="K11" i="1"/>
  <c r="K10" i="1"/>
  <c r="K21" i="1" s="1"/>
  <c r="L11" i="1"/>
  <c r="L10" i="1"/>
  <c r="L21" i="1" s="1"/>
  <c r="M11" i="1"/>
  <c r="M10" i="1"/>
  <c r="N10" i="1"/>
  <c r="N11" i="1"/>
  <c r="O10" i="1"/>
  <c r="O11" i="1"/>
  <c r="P10" i="1"/>
  <c r="P11" i="1"/>
  <c r="Q10" i="1"/>
  <c r="Q11" i="1"/>
  <c r="E51" i="3" l="1"/>
  <c r="E53" i="3" s="1"/>
  <c r="E55" i="3" s="1"/>
  <c r="D56" i="3" s="1"/>
  <c r="D51" i="3"/>
  <c r="D53" i="3" s="1"/>
  <c r="D55" i="3" s="1"/>
  <c r="G397" i="3"/>
  <c r="H12" i="5"/>
  <c r="Y72" i="3" s="1"/>
  <c r="I12" i="5"/>
  <c r="Z72" i="3" s="1"/>
  <c r="T38" i="3"/>
  <c r="T13" i="3"/>
  <c r="T66" i="3" s="1"/>
  <c r="Y13" i="3"/>
  <c r="Y66" i="3" s="1"/>
  <c r="Y38" i="3"/>
  <c r="X83" i="3" s="1"/>
  <c r="W13" i="3"/>
  <c r="W66" i="3" s="1"/>
  <c r="W38" i="3"/>
  <c r="V83" i="3" s="1"/>
  <c r="V13" i="3"/>
  <c r="V66" i="3" s="1"/>
  <c r="V38" i="3"/>
  <c r="U83" i="3" s="1"/>
  <c r="U13" i="3"/>
  <c r="U66" i="3" s="1"/>
  <c r="U38" i="3"/>
  <c r="T83" i="3" s="1"/>
  <c r="D436" i="3"/>
  <c r="E452" i="3"/>
  <c r="D386" i="3"/>
  <c r="E402" i="3"/>
  <c r="G347" i="3"/>
  <c r="F348" i="3"/>
  <c r="G348" i="3" s="1"/>
  <c r="E252" i="3"/>
  <c r="D236" i="3"/>
  <c r="F298" i="3"/>
  <c r="G298" i="3" s="1"/>
  <c r="G297" i="3"/>
  <c r="D86" i="3"/>
  <c r="E102" i="3"/>
  <c r="D186" i="3"/>
  <c r="E202" i="3"/>
  <c r="G147" i="3"/>
  <c r="F148" i="3"/>
  <c r="G148" i="3" s="1"/>
  <c r="T35" i="3"/>
  <c r="Y10" i="3"/>
  <c r="V39" i="3"/>
  <c r="U84" i="3" s="1"/>
  <c r="W34" i="3"/>
  <c r="W10" i="3"/>
  <c r="W63" i="3" s="1"/>
  <c r="T39" i="3"/>
  <c r="S84" i="3" s="1"/>
  <c r="U34" i="3"/>
  <c r="X14" i="3"/>
  <c r="X67" i="3" s="1"/>
  <c r="V10" i="3"/>
  <c r="V63" i="3" s="1"/>
  <c r="T34" i="3"/>
  <c r="Y9" i="3"/>
  <c r="Y62" i="3" s="1"/>
  <c r="W36" i="3"/>
  <c r="V9" i="3"/>
  <c r="V62" i="3" s="1"/>
  <c r="U35" i="3"/>
  <c r="U39" i="3"/>
  <c r="T84" i="3" s="1"/>
  <c r="W14" i="3"/>
  <c r="W67" i="3" s="1"/>
  <c r="X11" i="3"/>
  <c r="X64" i="3" s="1"/>
  <c r="X10" i="3"/>
  <c r="X63" i="3" s="1"/>
  <c r="X9" i="3"/>
  <c r="X62" i="3" s="1"/>
  <c r="Z39" i="3"/>
  <c r="Y84" i="3" s="1"/>
  <c r="AA35" i="3"/>
  <c r="AA34" i="3"/>
  <c r="Y39" i="3"/>
  <c r="X84" i="3" s="1"/>
  <c r="Z35" i="3"/>
  <c r="Z34" i="3"/>
  <c r="AA14" i="3"/>
  <c r="AA67" i="3" s="1"/>
  <c r="Y35" i="3"/>
  <c r="AA10" i="3"/>
  <c r="X89" i="3"/>
  <c r="Y89" i="3"/>
  <c r="S89" i="3"/>
  <c r="S85" i="3"/>
  <c r="T85" i="3"/>
  <c r="D15" i="8"/>
  <c r="D16" i="8" s="1"/>
  <c r="E15" i="8"/>
  <c r="E16" i="8" s="1"/>
  <c r="C15" i="8"/>
  <c r="C16" i="8" s="1"/>
  <c r="J15" i="8"/>
  <c r="J16" i="8" s="1"/>
  <c r="I15" i="8"/>
  <c r="I16" i="8" s="1"/>
  <c r="H15" i="8"/>
  <c r="H16" i="8" s="1"/>
  <c r="S83" i="3"/>
  <c r="Z84" i="3"/>
  <c r="Q21" i="1"/>
  <c r="P21" i="1"/>
  <c r="W84" i="3"/>
  <c r="V84" i="3"/>
  <c r="N21" i="1"/>
  <c r="X85" i="3"/>
  <c r="U85" i="3"/>
  <c r="W85" i="3"/>
  <c r="V85" i="3"/>
  <c r="C43" i="8"/>
  <c r="C42" i="8"/>
  <c r="D43" i="8"/>
  <c r="J43" i="8"/>
  <c r="I42" i="8"/>
  <c r="I43" i="8"/>
  <c r="G41" i="8"/>
  <c r="H43" i="8"/>
  <c r="G42" i="8"/>
  <c r="F41" i="8"/>
  <c r="G43" i="8"/>
  <c r="F42" i="8"/>
  <c r="F43" i="8"/>
  <c r="E42" i="8"/>
  <c r="E43" i="8"/>
  <c r="D42" i="8"/>
  <c r="AA74" i="3"/>
  <c r="Y74" i="3"/>
  <c r="X74" i="3"/>
  <c r="AE74" i="3"/>
  <c r="AD74" i="3"/>
  <c r="V74" i="3"/>
  <c r="U74" i="3"/>
  <c r="AB74" i="3"/>
  <c r="BS59" i="3"/>
  <c r="BS6" i="3"/>
  <c r="AI72" i="3"/>
  <c r="BK72" i="3"/>
  <c r="AQ72" i="3"/>
  <c r="AG72" i="3"/>
  <c r="AA62" i="3"/>
  <c r="T63" i="3"/>
  <c r="Y67" i="3"/>
  <c r="BM72" i="3"/>
  <c r="BJ72" i="3"/>
  <c r="U63" i="3"/>
  <c r="BI72" i="3"/>
  <c r="BH72" i="3"/>
  <c r="BG72" i="3"/>
  <c r="AP72" i="3"/>
  <c r="U62" i="3"/>
  <c r="Z62" i="3"/>
  <c r="AO72" i="3"/>
  <c r="U67" i="3"/>
  <c r="BE72" i="3"/>
  <c r="AN72" i="3"/>
  <c r="Z67" i="3"/>
  <c r="AK72" i="3"/>
  <c r="AJ72" i="3"/>
  <c r="AM72" i="3"/>
  <c r="W62" i="3"/>
  <c r="BF72" i="3"/>
  <c r="AL72" i="3"/>
  <c r="V67" i="3"/>
  <c r="T62" i="3"/>
  <c r="BC72" i="3"/>
  <c r="W64" i="3"/>
  <c r="BB72" i="3"/>
  <c r="AH72" i="3"/>
  <c r="BA72" i="3"/>
  <c r="AY72" i="3"/>
  <c r="AE72" i="3"/>
  <c r="AD72" i="3"/>
  <c r="AW72" i="3"/>
  <c r="Y68" i="3"/>
  <c r="Z63" i="3"/>
  <c r="T68" i="3"/>
  <c r="AV72" i="3"/>
  <c r="X68" i="3"/>
  <c r="AX72" i="3"/>
  <c r="T67" i="3"/>
  <c r="BO72" i="3"/>
  <c r="AU72" i="3"/>
  <c r="W68" i="3"/>
  <c r="AZ72" i="3"/>
  <c r="BN72" i="3"/>
  <c r="AT72" i="3"/>
  <c r="V68" i="3"/>
  <c r="AS72" i="3"/>
  <c r="U68" i="3"/>
  <c r="BL72" i="3"/>
  <c r="C12" i="5"/>
  <c r="J12" i="5"/>
  <c r="K12" i="5"/>
  <c r="L12" i="5"/>
  <c r="C5" i="5"/>
  <c r="D10" i="5"/>
  <c r="F10" i="5"/>
  <c r="E10" i="5"/>
  <c r="AZ26" i="2"/>
  <c r="P23" i="2"/>
  <c r="AJ23" i="2"/>
  <c r="AJ34" i="2" s="1"/>
  <c r="I24" i="2"/>
  <c r="I35" i="2" s="1"/>
  <c r="AC24" i="2"/>
  <c r="AW24" i="2"/>
  <c r="O26" i="2"/>
  <c r="O35" i="2" s="1"/>
  <c r="AI26" i="2"/>
  <c r="AI35" i="2" s="1"/>
  <c r="BC26" i="2"/>
  <c r="BC35" i="2" s="1"/>
  <c r="AB27" i="2"/>
  <c r="AV27" i="2"/>
  <c r="U28" i="2"/>
  <c r="AO28" i="2"/>
  <c r="Q23" i="2"/>
  <c r="AK23" i="2"/>
  <c r="AK34" i="2" s="1"/>
  <c r="J24" i="2"/>
  <c r="J35" i="2" s="1"/>
  <c r="AD24" i="2"/>
  <c r="AX24" i="2"/>
  <c r="AX35" i="2" s="1"/>
  <c r="P26" i="2"/>
  <c r="AJ26" i="2"/>
  <c r="AJ35" i="2" s="1"/>
  <c r="I27" i="2"/>
  <c r="AC27" i="2"/>
  <c r="AW27" i="2"/>
  <c r="V28" i="2"/>
  <c r="AP28" i="2"/>
  <c r="S23" i="2"/>
  <c r="S34" i="2" s="1"/>
  <c r="AM23" i="2"/>
  <c r="AM34" i="2" s="1"/>
  <c r="R26" i="2"/>
  <c r="AL26" i="2"/>
  <c r="K27" i="2"/>
  <c r="AE27" i="2"/>
  <c r="AE36" i="2" s="1"/>
  <c r="AY27" i="2"/>
  <c r="AY36" i="2" s="1"/>
  <c r="T23" i="2"/>
  <c r="T34" i="2" s="1"/>
  <c r="AN23" i="2"/>
  <c r="M24" i="2"/>
  <c r="AG24" i="2"/>
  <c r="BA24" i="2"/>
  <c r="S26" i="2"/>
  <c r="AM26" i="2"/>
  <c r="L27" i="2"/>
  <c r="AF27" i="2"/>
  <c r="AZ27" i="2"/>
  <c r="Y28" i="2"/>
  <c r="AS28" i="2"/>
  <c r="AO23" i="2"/>
  <c r="V23" i="2"/>
  <c r="V34" i="2" s="1"/>
  <c r="BB27" i="2"/>
  <c r="AI27" i="2"/>
  <c r="U26" i="2"/>
  <c r="U35" i="2" s="1"/>
  <c r="W23" i="2"/>
  <c r="AP26" i="2"/>
  <c r="X23" i="2"/>
  <c r="X34" i="2" s="1"/>
  <c r="AR23" i="2"/>
  <c r="AR34" i="2" s="1"/>
  <c r="Q24" i="2"/>
  <c r="AK24" i="2"/>
  <c r="W26" i="2"/>
  <c r="AQ26" i="2"/>
  <c r="P27" i="2"/>
  <c r="AJ27" i="2"/>
  <c r="I28" i="2"/>
  <c r="AC28" i="2"/>
  <c r="AW28" i="2"/>
  <c r="U23" i="2"/>
  <c r="AN26" i="2"/>
  <c r="AN35" i="2" s="1"/>
  <c r="N27" i="2"/>
  <c r="H28" i="2"/>
  <c r="Y23" i="2"/>
  <c r="AS23" i="2"/>
  <c r="R24" i="2"/>
  <c r="AL24" i="2"/>
  <c r="X26" i="2"/>
  <c r="AR26" i="2"/>
  <c r="AR35" i="2" s="1"/>
  <c r="Q27" i="2"/>
  <c r="Q36" i="2" s="1"/>
  <c r="AK27" i="2"/>
  <c r="AK36" i="2" s="1"/>
  <c r="J28" i="2"/>
  <c r="J36" i="2" s="1"/>
  <c r="AD28" i="2"/>
  <c r="AD36" i="2" s="1"/>
  <c r="AX28" i="2"/>
  <c r="AX36" i="2" s="1"/>
  <c r="AP23" i="2"/>
  <c r="AP34" i="2" s="1"/>
  <c r="AO26" i="2"/>
  <c r="AH27" i="2"/>
  <c r="V26" i="2"/>
  <c r="H26" i="2"/>
  <c r="Z23" i="2"/>
  <c r="Z34" i="2" s="1"/>
  <c r="AT23" i="2"/>
  <c r="AT34" i="2" s="1"/>
  <c r="S24" i="2"/>
  <c r="AM24" i="2"/>
  <c r="AM35" i="2" s="1"/>
  <c r="Y26" i="2"/>
  <c r="Y35" i="2" s="1"/>
  <c r="AS26" i="2"/>
  <c r="AS35" i="2" s="1"/>
  <c r="R27" i="2"/>
  <c r="R36" i="2" s="1"/>
  <c r="AL27" i="2"/>
  <c r="AL36" i="2" s="1"/>
  <c r="K28" i="2"/>
  <c r="AE28" i="2"/>
  <c r="AY28" i="2"/>
  <c r="T26" i="2"/>
  <c r="AQ23" i="2"/>
  <c r="AQ34" i="2" s="1"/>
  <c r="O27" i="2"/>
  <c r="BC27" i="2"/>
  <c r="AA23" i="2"/>
  <c r="AU23" i="2"/>
  <c r="T24" i="2"/>
  <c r="T35" i="2" s="1"/>
  <c r="AN24" i="2"/>
  <c r="Z26" i="2"/>
  <c r="AT26" i="2"/>
  <c r="AT35" i="2" s="1"/>
  <c r="S27" i="2"/>
  <c r="AM27" i="2"/>
  <c r="L28" i="2"/>
  <c r="L36" i="2" s="1"/>
  <c r="AF28" i="2"/>
  <c r="AF36" i="2" s="1"/>
  <c r="AZ28" i="2"/>
  <c r="AZ36" i="2" s="1"/>
  <c r="I23" i="2"/>
  <c r="I34" i="2" s="1"/>
  <c r="AC23" i="2"/>
  <c r="AC34" i="2" s="1"/>
  <c r="AW23" i="2"/>
  <c r="AW34" i="2" s="1"/>
  <c r="AB26" i="2"/>
  <c r="AV26" i="2"/>
  <c r="AV35" i="2" s="1"/>
  <c r="U27" i="2"/>
  <c r="AO27" i="2"/>
  <c r="J23" i="2"/>
  <c r="J34" i="2" s="1"/>
  <c r="AD23" i="2"/>
  <c r="AD34" i="2" s="1"/>
  <c r="AX23" i="2"/>
  <c r="AX34" i="2" s="1"/>
  <c r="W24" i="2"/>
  <c r="W35" i="2" s="1"/>
  <c r="AQ24" i="2"/>
  <c r="I26" i="2"/>
  <c r="AC26" i="2"/>
  <c r="AW26" i="2"/>
  <c r="V27" i="2"/>
  <c r="AP27" i="2"/>
  <c r="AP36" i="2" s="1"/>
  <c r="O28" i="2"/>
  <c r="AI28" i="2"/>
  <c r="BC28" i="2"/>
  <c r="L23" i="2"/>
  <c r="L34" i="2" s="1"/>
  <c r="AZ23" i="2"/>
  <c r="AZ34" i="2" s="1"/>
  <c r="AE26" i="2"/>
  <c r="K26" i="2"/>
  <c r="M23" i="2"/>
  <c r="M34" i="2" s="1"/>
  <c r="AF26" i="2"/>
  <c r="AF35" i="2" s="1"/>
  <c r="Y27" i="2"/>
  <c r="Y36" i="2" s="1"/>
  <c r="AS27" i="2"/>
  <c r="N23" i="2"/>
  <c r="AH23" i="2"/>
  <c r="BB23" i="2"/>
  <c r="AA24" i="2"/>
  <c r="AU24" i="2"/>
  <c r="M26" i="2"/>
  <c r="AG26" i="2"/>
  <c r="BA26" i="2"/>
  <c r="Z27" i="2"/>
  <c r="Z36" i="2" s="1"/>
  <c r="AT27" i="2"/>
  <c r="AT36" i="2" s="1"/>
  <c r="S28" i="2"/>
  <c r="AM28" i="2"/>
  <c r="AF23" i="2"/>
  <c r="AF34" i="2" s="1"/>
  <c r="AY26" i="2"/>
  <c r="AG23" i="2"/>
  <c r="BA23" i="2"/>
  <c r="BA34" i="2" s="1"/>
  <c r="L26" i="2"/>
  <c r="O23" i="2"/>
  <c r="O34" i="2" s="1"/>
  <c r="AI23" i="2"/>
  <c r="AI34" i="2" s="1"/>
  <c r="AB24" i="2"/>
  <c r="N26" i="2"/>
  <c r="N35" i="2" s="1"/>
  <c r="AH26" i="2"/>
  <c r="AH35" i="2" s="1"/>
  <c r="AA27" i="2"/>
  <c r="T28" i="2"/>
  <c r="T36" i="2" s="1"/>
  <c r="AU35" i="2"/>
  <c r="AO35" i="2"/>
  <c r="H24" i="2"/>
  <c r="H21" i="2"/>
  <c r="H25" i="2"/>
  <c r="BB35" i="2"/>
  <c r="AN34" i="2"/>
  <c r="P34" i="2"/>
  <c r="AU36" i="2"/>
  <c r="X35" i="2"/>
  <c r="H27" i="2"/>
  <c r="AB34" i="2"/>
  <c r="AG36" i="2"/>
  <c r="R34" i="2"/>
  <c r="AY34" i="2"/>
  <c r="M36" i="2"/>
  <c r="BA36" i="2"/>
  <c r="L35" i="2"/>
  <c r="AZ35" i="2"/>
  <c r="AN36" i="2"/>
  <c r="AL34" i="2"/>
  <c r="AR36" i="2"/>
  <c r="H23" i="2"/>
  <c r="BC34" i="2"/>
  <c r="AV34" i="2"/>
  <c r="U34" i="2"/>
  <c r="X36" i="2"/>
  <c r="H22" i="2"/>
  <c r="Q12" i="1"/>
  <c r="Q24" i="1" s="1"/>
  <c r="L12" i="1"/>
  <c r="L24" i="1" s="1"/>
  <c r="P12" i="1"/>
  <c r="P24" i="1" s="1"/>
  <c r="N12" i="1"/>
  <c r="N24" i="1" s="1"/>
  <c r="O12" i="1"/>
  <c r="O24" i="1" s="1"/>
  <c r="J12" i="1"/>
  <c r="J24" i="1" s="1"/>
  <c r="M12" i="1"/>
  <c r="M24" i="1" s="1"/>
  <c r="K12" i="1"/>
  <c r="K24" i="1" s="1"/>
  <c r="Z89" i="3" l="1"/>
  <c r="AF44" i="3"/>
  <c r="AF72" i="3"/>
  <c r="AA13" i="3"/>
  <c r="AA66" i="3" s="1"/>
  <c r="AA38" i="3"/>
  <c r="Z83" i="3" s="1"/>
  <c r="X13" i="3"/>
  <c r="X66" i="3" s="1"/>
  <c r="X38" i="3"/>
  <c r="W83" i="3" s="1"/>
  <c r="Z13" i="3"/>
  <c r="Z66" i="3" s="1"/>
  <c r="Z38" i="3"/>
  <c r="Y83" i="3" s="1"/>
  <c r="D336" i="3"/>
  <c r="E352" i="3"/>
  <c r="D286" i="3"/>
  <c r="E302" i="3"/>
  <c r="E152" i="3"/>
  <c r="D136" i="3"/>
  <c r="U8" i="3"/>
  <c r="U33" i="3"/>
  <c r="X33" i="3"/>
  <c r="X8" i="3"/>
  <c r="Z8" i="3"/>
  <c r="Z33" i="3"/>
  <c r="T8" i="3"/>
  <c r="T33" i="3"/>
  <c r="AA8" i="3"/>
  <c r="AA61" i="3" s="1"/>
  <c r="AA33" i="3"/>
  <c r="AA11" i="3"/>
  <c r="AA64" i="3" s="1"/>
  <c r="AA36" i="3"/>
  <c r="Y36" i="3"/>
  <c r="Y11" i="3"/>
  <c r="Y64" i="3" s="1"/>
  <c r="V8" i="3"/>
  <c r="V33" i="3"/>
  <c r="C41" i="8"/>
  <c r="T11" i="3"/>
  <c r="T64" i="3" s="1"/>
  <c r="T36" i="3"/>
  <c r="E41" i="8"/>
  <c r="V11" i="3"/>
  <c r="V64" i="3" s="1"/>
  <c r="V36" i="3"/>
  <c r="W8" i="3"/>
  <c r="W33" i="3"/>
  <c r="I41" i="8"/>
  <c r="Z11" i="3"/>
  <c r="Z64" i="3" s="1"/>
  <c r="Z36" i="3"/>
  <c r="Y33" i="3"/>
  <c r="Y8" i="3"/>
  <c r="D41" i="8"/>
  <c r="U11" i="3"/>
  <c r="U64" i="3" s="1"/>
  <c r="U36" i="3"/>
  <c r="W89" i="3"/>
  <c r="H41" i="8"/>
  <c r="J41" i="8"/>
  <c r="J13" i="1"/>
  <c r="J14" i="1" s="1"/>
  <c r="Y63" i="3"/>
  <c r="AB72" i="3"/>
  <c r="AA72" i="3"/>
  <c r="AC72" i="3"/>
  <c r="AA63" i="3"/>
  <c r="AW35" i="2"/>
  <c r="AS36" i="2"/>
  <c r="M35" i="2"/>
  <c r="F11" i="5"/>
  <c r="F12" i="5" s="1"/>
  <c r="D11" i="5"/>
  <c r="D12" i="5" s="1"/>
  <c r="E11" i="5"/>
  <c r="E12" i="5" s="1"/>
  <c r="G11" i="5"/>
  <c r="G12" i="5" s="1"/>
  <c r="BC36" i="2"/>
  <c r="AM36" i="2"/>
  <c r="AM37" i="2" s="1"/>
  <c r="S35" i="2"/>
  <c r="AG35" i="2"/>
  <c r="AW36" i="2"/>
  <c r="AL35" i="2"/>
  <c r="AL37" i="2" s="1"/>
  <c r="K36" i="2"/>
  <c r="H35" i="2"/>
  <c r="S36" i="2"/>
  <c r="S37" i="2" s="1"/>
  <c r="AW37" i="2"/>
  <c r="AX37" i="2"/>
  <c r="H36" i="2"/>
  <c r="AT37" i="2"/>
  <c r="H34" i="2"/>
  <c r="AR37" i="2"/>
  <c r="T37" i="2"/>
  <c r="L37" i="2"/>
  <c r="AC35" i="2"/>
  <c r="AB35" i="2"/>
  <c r="BA35" i="2"/>
  <c r="BA37" i="2" s="1"/>
  <c r="X37" i="2"/>
  <c r="AI36" i="2"/>
  <c r="AI37" i="2" s="1"/>
  <c r="AU34" i="2"/>
  <c r="AU37" i="2" s="1"/>
  <c r="AA34" i="2"/>
  <c r="K35" i="2"/>
  <c r="W34" i="2"/>
  <c r="BB34" i="2"/>
  <c r="R35" i="2"/>
  <c r="R37" i="2" s="1"/>
  <c r="AO34" i="2"/>
  <c r="AH34" i="2"/>
  <c r="Z35" i="2"/>
  <c r="Z37" i="2" s="1"/>
  <c r="BC37" i="2"/>
  <c r="BP65" i="3" s="1"/>
  <c r="N34" i="2"/>
  <c r="AE34" i="2"/>
  <c r="AZ37" i="2"/>
  <c r="K34" i="2"/>
  <c r="AF37" i="2"/>
  <c r="M37" i="2"/>
  <c r="AN37" i="2"/>
  <c r="J37" i="2"/>
  <c r="AQ35" i="2"/>
  <c r="AA35" i="2"/>
  <c r="AK35" i="2"/>
  <c r="AK37" i="2" s="1"/>
  <c r="AJ36" i="2"/>
  <c r="AJ37" i="2" s="1"/>
  <c r="Q34" i="2"/>
  <c r="AG34" i="2"/>
  <c r="AG37" i="2" s="1"/>
  <c r="AH36" i="2"/>
  <c r="Q35" i="2"/>
  <c r="U36" i="2"/>
  <c r="U37" i="2" s="1"/>
  <c r="AY35" i="2"/>
  <c r="AY37" i="2" s="1"/>
  <c r="AE35" i="2"/>
  <c r="I36" i="2"/>
  <c r="I37" i="2" s="1"/>
  <c r="O36" i="2"/>
  <c r="O37" i="2" s="1"/>
  <c r="N36" i="2"/>
  <c r="AV36" i="2"/>
  <c r="AV37" i="2" s="1"/>
  <c r="AB36" i="2"/>
  <c r="BB36" i="2"/>
  <c r="AC36" i="2"/>
  <c r="AS34" i="2"/>
  <c r="AS37" i="2" s="1"/>
  <c r="P35" i="2"/>
  <c r="Y34" i="2"/>
  <c r="Y37" i="2" s="1"/>
  <c r="W36" i="2"/>
  <c r="AA36" i="2"/>
  <c r="AD35" i="2"/>
  <c r="AD37" i="2" s="1"/>
  <c r="V36" i="2"/>
  <c r="V35" i="2"/>
  <c r="AQ36" i="2"/>
  <c r="AP35" i="2"/>
  <c r="AP37" i="2" s="1"/>
  <c r="AO36" i="2"/>
  <c r="P36" i="2"/>
  <c r="BD44" i="3" l="1"/>
  <c r="BD19" i="3"/>
  <c r="BD72" i="3" s="1"/>
  <c r="AR44" i="3"/>
  <c r="AR19" i="3"/>
  <c r="AR72" i="3" s="1"/>
  <c r="E456" i="3"/>
  <c r="E458" i="3" s="1"/>
  <c r="E460" i="3" s="1"/>
  <c r="D456" i="3"/>
  <c r="D458" i="3" s="1"/>
  <c r="D460" i="3" s="1"/>
  <c r="E406" i="3"/>
  <c r="E408" i="3" s="1"/>
  <c r="E410" i="3" s="1"/>
  <c r="D406" i="3"/>
  <c r="D408" i="3" s="1"/>
  <c r="D410" i="3" s="1"/>
  <c r="E356" i="3"/>
  <c r="E358" i="3" s="1"/>
  <c r="E360" i="3" s="1"/>
  <c r="D356" i="3"/>
  <c r="D358" i="3" s="1"/>
  <c r="D360" i="3" s="1"/>
  <c r="E256" i="3"/>
  <c r="E258" i="3" s="1"/>
  <c r="E260" i="3" s="1"/>
  <c r="D306" i="3"/>
  <c r="D308" i="3" s="1"/>
  <c r="D310" i="3" s="1"/>
  <c r="E306" i="3"/>
  <c r="E308" i="3" s="1"/>
  <c r="E310" i="3" s="1"/>
  <c r="D256" i="3"/>
  <c r="D258" i="3" s="1"/>
  <c r="D260" i="3" s="1"/>
  <c r="E106" i="3"/>
  <c r="E108" i="3" s="1"/>
  <c r="E110" i="3" s="1"/>
  <c r="E156" i="3"/>
  <c r="E158" i="3" s="1"/>
  <c r="E160" i="3" s="1"/>
  <c r="D156" i="3"/>
  <c r="D158" i="3" s="1"/>
  <c r="D160" i="3" s="1"/>
  <c r="D206" i="3"/>
  <c r="D208" i="3" s="1"/>
  <c r="D210" i="3" s="1"/>
  <c r="E206" i="3"/>
  <c r="E208" i="3" s="1"/>
  <c r="E210" i="3" s="1"/>
  <c r="D106" i="3"/>
  <c r="D108" i="3" s="1"/>
  <c r="D110" i="3" s="1"/>
  <c r="U17" i="3" a="1"/>
  <c r="U17" i="3" s="1"/>
  <c r="U42" i="3" a="1"/>
  <c r="U42" i="3" s="1"/>
  <c r="U43" i="3" s="1"/>
  <c r="U45" i="3" s="1"/>
  <c r="W42" i="3" a="1"/>
  <c r="W42" i="3" s="1"/>
  <c r="W43" i="3" s="1"/>
  <c r="W45" i="3" s="1"/>
  <c r="W17" i="3" a="1"/>
  <c r="W17" i="3" s="1"/>
  <c r="AA17" i="3" a="1"/>
  <c r="AA17" i="3" s="1"/>
  <c r="AA70" i="3" s="1"/>
  <c r="AA42" i="3" a="1"/>
  <c r="AA42" i="3" s="1"/>
  <c r="V42" i="3" a="1"/>
  <c r="V42" i="3" s="1"/>
  <c r="V43" i="3" s="1"/>
  <c r="V45" i="3" s="1"/>
  <c r="V17" i="3" a="1"/>
  <c r="V17" i="3" s="1"/>
  <c r="V70" i="3" s="1"/>
  <c r="Z42" i="3" a="1"/>
  <c r="Z42" i="3" s="1"/>
  <c r="Y86" i="3" s="1"/>
  <c r="Z17" i="3" a="1"/>
  <c r="Z17" i="3" s="1"/>
  <c r="Z70" i="3" s="1"/>
  <c r="X42" i="3" a="1"/>
  <c r="X42" i="3" s="1"/>
  <c r="X43" i="3" s="1"/>
  <c r="X45" i="3" s="1"/>
  <c r="X17" i="3" a="1"/>
  <c r="X17" i="3" s="1"/>
  <c r="X70" i="3" s="1"/>
  <c r="Y17" i="3" a="1"/>
  <c r="Y17" i="3" s="1"/>
  <c r="Y42" i="3" a="1"/>
  <c r="Y42" i="3" s="1"/>
  <c r="Y43" i="3" s="1"/>
  <c r="Y45" i="3" s="1"/>
  <c r="T17" i="3" a="1"/>
  <c r="T17" i="3" s="1"/>
  <c r="T70" i="3" s="1"/>
  <c r="T42" i="3" a="1"/>
  <c r="T42" i="3" s="1"/>
  <c r="T43" i="3" s="1"/>
  <c r="T61" i="3"/>
  <c r="U61" i="3"/>
  <c r="K13" i="1"/>
  <c r="K14" i="1" s="1"/>
  <c r="BI82" i="3"/>
  <c r="BJ65" i="3"/>
  <c r="AD82" i="3"/>
  <c r="AE65" i="3"/>
  <c r="AR82" i="3"/>
  <c r="AS65" i="3"/>
  <c r="AW82" i="3"/>
  <c r="AX65" i="3"/>
  <c r="BE82" i="3"/>
  <c r="BF65" i="3"/>
  <c r="BF82" i="3"/>
  <c r="BG65" i="3"/>
  <c r="AX82" i="3"/>
  <c r="AY65" i="3"/>
  <c r="Z82" i="3"/>
  <c r="AA65" i="3"/>
  <c r="AK82" i="3"/>
  <c r="AL65" i="3"/>
  <c r="AC82" i="3"/>
  <c r="AD65" i="3"/>
  <c r="AU82" i="3"/>
  <c r="AV65" i="3"/>
  <c r="AJ82" i="3"/>
  <c r="AK65" i="3"/>
  <c r="BL82" i="3"/>
  <c r="BM65" i="3"/>
  <c r="AY82" i="3"/>
  <c r="AZ65" i="3"/>
  <c r="X82" i="3"/>
  <c r="Y65" i="3"/>
  <c r="AQ82" i="3"/>
  <c r="AR65" i="3"/>
  <c r="W82" i="3"/>
  <c r="X65" i="3"/>
  <c r="BJ82" i="3"/>
  <c r="BK65" i="3"/>
  <c r="AT82" i="3"/>
  <c r="AU65" i="3"/>
  <c r="BD82" i="3"/>
  <c r="BE65" i="3"/>
  <c r="BH82" i="3"/>
  <c r="BI65" i="3"/>
  <c r="AO82" i="3"/>
  <c r="AP65" i="3"/>
  <c r="AV82" i="3"/>
  <c r="AW65" i="3"/>
  <c r="AI82" i="3"/>
  <c r="AJ65" i="3"/>
  <c r="U82" i="3"/>
  <c r="V65" i="3"/>
  <c r="X61" i="3"/>
  <c r="BG82" i="3"/>
  <c r="BH65" i="3"/>
  <c r="BC82" i="3"/>
  <c r="BD65" i="3"/>
  <c r="AF82" i="3"/>
  <c r="AG65" i="3"/>
  <c r="BA82" i="3"/>
  <c r="BB65" i="3"/>
  <c r="W61" i="3"/>
  <c r="Y61" i="3"/>
  <c r="V61" i="3"/>
  <c r="AE82" i="3"/>
  <c r="AF65" i="3"/>
  <c r="Z61" i="3"/>
  <c r="BK82" i="3"/>
  <c r="BL65" i="3"/>
  <c r="U65" i="3"/>
  <c r="BN82" i="3"/>
  <c r="BO65" i="3"/>
  <c r="H37" i="2"/>
  <c r="H38" i="2" s="1"/>
  <c r="AH37" i="2"/>
  <c r="AA37" i="2"/>
  <c r="K37" i="2"/>
  <c r="Q37" i="2"/>
  <c r="V37" i="2"/>
  <c r="AB37" i="2"/>
  <c r="P37" i="2"/>
  <c r="AQ37" i="2"/>
  <c r="BB37" i="2"/>
  <c r="AC37" i="2"/>
  <c r="AO37" i="2"/>
  <c r="N37" i="2"/>
  <c r="AE37" i="2"/>
  <c r="W37" i="2"/>
  <c r="I38" i="2"/>
  <c r="J38" i="2" s="1"/>
  <c r="Z21" i="3" l="1"/>
  <c r="T45" i="3"/>
  <c r="W21" i="3" s="1"/>
  <c r="D411" i="3"/>
  <c r="D361" i="3"/>
  <c r="D461" i="3"/>
  <c r="D311" i="3"/>
  <c r="D211" i="3"/>
  <c r="D161" i="3"/>
  <c r="D111" i="3"/>
  <c r="D261" i="3"/>
  <c r="T25" i="3"/>
  <c r="U25" i="3" s="1"/>
  <c r="V25" i="3" s="1"/>
  <c r="S86" i="3"/>
  <c r="U86" i="3"/>
  <c r="T86" i="3"/>
  <c r="X86" i="3"/>
  <c r="V86" i="3"/>
  <c r="Z86" i="3"/>
  <c r="W70" i="3"/>
  <c r="U70" i="3"/>
  <c r="W86" i="3"/>
  <c r="Y70" i="3"/>
  <c r="T82" i="3"/>
  <c r="I3" i="7"/>
  <c r="J3" i="7"/>
  <c r="L13" i="1"/>
  <c r="M13" i="1" s="1"/>
  <c r="BS12" i="3"/>
  <c r="AH82" i="3"/>
  <c r="AI65" i="3"/>
  <c r="AZ82" i="3"/>
  <c r="BA65" i="3"/>
  <c r="AP82" i="3"/>
  <c r="AQ65" i="3"/>
  <c r="S82" i="3"/>
  <c r="T65" i="3"/>
  <c r="Y82" i="3"/>
  <c r="Z65" i="3"/>
  <c r="AM82" i="3"/>
  <c r="AN65" i="3"/>
  <c r="AS82" i="3"/>
  <c r="AT65" i="3"/>
  <c r="BM82" i="3"/>
  <c r="BN65" i="3"/>
  <c r="AB82" i="3"/>
  <c r="AC65" i="3"/>
  <c r="BB82" i="3"/>
  <c r="BC65" i="3"/>
  <c r="AA82" i="3"/>
  <c r="AB65" i="3"/>
  <c r="W65" i="3"/>
  <c r="AN82" i="3"/>
  <c r="AO65" i="3"/>
  <c r="AG82" i="3"/>
  <c r="AH65" i="3"/>
  <c r="AL82" i="3"/>
  <c r="AM65" i="3"/>
  <c r="K38" i="2"/>
  <c r="L38" i="2" s="1"/>
  <c r="M38" i="2" s="1"/>
  <c r="N38" i="2" s="1"/>
  <c r="O38" i="2" s="1"/>
  <c r="P38" i="2" s="1"/>
  <c r="Q38" i="2" s="1"/>
  <c r="R38" i="2" s="1"/>
  <c r="S38" i="2" s="1"/>
  <c r="T38" i="2" s="1"/>
  <c r="U38" i="2" s="1"/>
  <c r="V38" i="2" s="1"/>
  <c r="W38" i="2" s="1"/>
  <c r="X38" i="2" s="1"/>
  <c r="Y38" i="2" s="1"/>
  <c r="Z38" i="2" s="1"/>
  <c r="AA38" i="2" s="1"/>
  <c r="AB38" i="2" s="1"/>
  <c r="AC38" i="2" s="1"/>
  <c r="AD38" i="2" s="1"/>
  <c r="AE38" i="2" s="1"/>
  <c r="AF38" i="2" s="1"/>
  <c r="AG38" i="2" s="1"/>
  <c r="AH38" i="2" s="1"/>
  <c r="AI38" i="2" s="1"/>
  <c r="AJ38" i="2" s="1"/>
  <c r="AK38" i="2" s="1"/>
  <c r="AL38" i="2" s="1"/>
  <c r="AM38" i="2" s="1"/>
  <c r="AN38" i="2" s="1"/>
  <c r="AO38" i="2" s="1"/>
  <c r="AP38" i="2" s="1"/>
  <c r="AQ38" i="2" s="1"/>
  <c r="AR38" i="2" s="1"/>
  <c r="AS38" i="2" s="1"/>
  <c r="AT38" i="2" s="1"/>
  <c r="AU38" i="2" s="1"/>
  <c r="AV38" i="2" s="1"/>
  <c r="AW38" i="2" s="1"/>
  <c r="AX38" i="2" s="1"/>
  <c r="AY38" i="2" s="1"/>
  <c r="AZ38" i="2" s="1"/>
  <c r="BA38" i="2" s="1"/>
  <c r="BB38" i="2" s="1"/>
  <c r="BC38" i="2" s="1"/>
  <c r="C3" i="7"/>
  <c r="D3" i="7"/>
  <c r="E3" i="7"/>
  <c r="F3" i="7"/>
  <c r="G3" i="7"/>
  <c r="H3" i="7"/>
  <c r="V82" i="3" l="1"/>
  <c r="L14" i="1"/>
  <c r="M14" i="1" s="1"/>
  <c r="J6" i="7"/>
  <c r="N13" i="1"/>
  <c r="AA15" i="3" l="1"/>
  <c r="AA40" i="3"/>
  <c r="AA43" i="3" s="1"/>
  <c r="AA45" i="3" s="1"/>
  <c r="J5" i="7"/>
  <c r="Q5" i="1" s="1"/>
  <c r="N14" i="1"/>
  <c r="O13" i="1"/>
  <c r="AA68" i="3" l="1"/>
  <c r="R4" i="1"/>
  <c r="O14" i="1"/>
  <c r="P13" i="1"/>
  <c r="Z85" i="3" l="1"/>
  <c r="P14" i="1"/>
  <c r="Q13" i="1"/>
  <c r="Q14" i="1" l="1"/>
  <c r="I6" i="7" l="1"/>
  <c r="Z15" i="3" l="1"/>
  <c r="Z40" i="3"/>
  <c r="I5" i="7"/>
  <c r="P5" i="1" s="1"/>
  <c r="Z43" i="3" l="1"/>
  <c r="Z45" i="3" s="1"/>
  <c r="Z68" i="3"/>
  <c r="Y85" i="3"/>
  <c r="Q4" i="1"/>
  <c r="R7" i="1" l="1"/>
  <c r="R18" i="1" l="1"/>
  <c r="K14" i="8"/>
  <c r="K15" i="8" s="1"/>
  <c r="K16" i="8" s="1"/>
  <c r="K8" i="8"/>
  <c r="K9" i="8" s="1"/>
  <c r="K10" i="8" s="1"/>
  <c r="R6" i="1"/>
  <c r="R8" i="1"/>
  <c r="R10" i="1" s="1"/>
  <c r="K3" i="7"/>
  <c r="K6" i="7" s="1"/>
  <c r="AB10" i="3" l="1"/>
  <c r="AB35" i="3"/>
  <c r="AB11" i="3"/>
  <c r="AB36" i="3"/>
  <c r="AB15" i="3"/>
  <c r="AB40" i="3"/>
  <c r="R19" i="1"/>
  <c r="K41" i="8"/>
  <c r="K42" i="8"/>
  <c r="R9" i="1"/>
  <c r="K5" i="7"/>
  <c r="R5" i="1" s="1"/>
  <c r="K3" i="8"/>
  <c r="K4" i="8" s="1"/>
  <c r="AB14" i="3" l="1"/>
  <c r="AB39" i="3"/>
  <c r="R21" i="1"/>
  <c r="AB13" i="3" s="1"/>
  <c r="AB63" i="3"/>
  <c r="K5" i="8"/>
  <c r="AB64" i="3"/>
  <c r="AA85" i="3"/>
  <c r="AB68" i="3"/>
  <c r="S4" i="1"/>
  <c r="R11" i="1"/>
  <c r="R12" i="1" s="1"/>
  <c r="R24" i="1" s="1"/>
  <c r="AB38" i="3" l="1"/>
  <c r="AB9" i="3"/>
  <c r="AB34" i="3"/>
  <c r="AB8" i="3"/>
  <c r="AB33" i="3"/>
  <c r="AA84" i="3"/>
  <c r="AB67" i="3"/>
  <c r="K43" i="8"/>
  <c r="S7" i="1"/>
  <c r="L14" i="8" s="1"/>
  <c r="L15" i="8" s="1"/>
  <c r="L16" i="8" s="1"/>
  <c r="R13" i="1"/>
  <c r="R14" i="1"/>
  <c r="AB17" i="3" l="1" a="1"/>
  <c r="AB17" i="3" s="1"/>
  <c r="AB42" i="3" a="1"/>
  <c r="AB42" i="3" s="1"/>
  <c r="AC11" i="3"/>
  <c r="AC36" i="3"/>
  <c r="AA83" i="3"/>
  <c r="AB66" i="3"/>
  <c r="AB61" i="3"/>
  <c r="L41" i="8"/>
  <c r="S8" i="1"/>
  <c r="S9" i="1" s="1"/>
  <c r="S6" i="1"/>
  <c r="S18" i="1"/>
  <c r="S19" i="1" s="1"/>
  <c r="L3" i="7"/>
  <c r="L6" i="7" s="1"/>
  <c r="L8" i="8"/>
  <c r="L9" i="8" s="1"/>
  <c r="L10" i="8" s="1"/>
  <c r="S21" i="1" l="1"/>
  <c r="AC13" i="3" s="1"/>
  <c r="AB43" i="3"/>
  <c r="AC14" i="3"/>
  <c r="AC39" i="3"/>
  <c r="AC10" i="3"/>
  <c r="AC35" i="3"/>
  <c r="AC15" i="3"/>
  <c r="AC40" i="3"/>
  <c r="AC64" i="3"/>
  <c r="L42" i="8"/>
  <c r="S10" i="1"/>
  <c r="L3" i="8"/>
  <c r="L4" i="8" s="1"/>
  <c r="L5" i="7"/>
  <c r="S5" i="1" s="1"/>
  <c r="T4" i="1" s="1"/>
  <c r="S11" i="1"/>
  <c r="AC38" i="3" l="1"/>
  <c r="AB45" i="3"/>
  <c r="AC21" i="3" s="1"/>
  <c r="AC68" i="3"/>
  <c r="AB84" i="3"/>
  <c r="AC67" i="3"/>
  <c r="AB85" i="3"/>
  <c r="AA86" i="3"/>
  <c r="AC63" i="3"/>
  <c r="L5" i="8"/>
  <c r="S12" i="1"/>
  <c r="S24" i="1" s="1"/>
  <c r="T7" i="1"/>
  <c r="T6" i="1" l="1"/>
  <c r="AC8" i="3"/>
  <c r="AC33" i="3"/>
  <c r="AC9" i="3"/>
  <c r="AC34" i="3"/>
  <c r="AB83" i="3"/>
  <c r="S13" i="1"/>
  <c r="AC66" i="3"/>
  <c r="S14" i="1"/>
  <c r="L43" i="8"/>
  <c r="T18" i="1"/>
  <c r="T19" i="1" s="1"/>
  <c r="M3" i="7"/>
  <c r="M6" i="7" s="1"/>
  <c r="M14" i="8"/>
  <c r="M15" i="8" s="1"/>
  <c r="M16" i="8" s="1"/>
  <c r="T8" i="1"/>
  <c r="M3" i="8" s="1"/>
  <c r="M4" i="8" s="1"/>
  <c r="M8" i="8"/>
  <c r="M9" i="8" s="1"/>
  <c r="M10" i="8" s="1"/>
  <c r="AC17" i="3" l="1" a="1"/>
  <c r="AC17" i="3" s="1"/>
  <c r="AC42" i="3" a="1"/>
  <c r="AC42" i="3" s="1"/>
  <c r="AD36" i="3"/>
  <c r="AD11" i="3"/>
  <c r="AD15" i="3"/>
  <c r="AD40" i="3"/>
  <c r="AD14" i="3"/>
  <c r="AD39" i="3"/>
  <c r="AD10" i="3"/>
  <c r="AD35" i="3"/>
  <c r="AC61" i="3"/>
  <c r="M42" i="8"/>
  <c r="M41" i="8"/>
  <c r="M5" i="8"/>
  <c r="M5" i="7"/>
  <c r="T5" i="1" s="1"/>
  <c r="T10" i="1"/>
  <c r="T9" i="1"/>
  <c r="U4" i="1" l="1"/>
  <c r="U7" i="1" s="1"/>
  <c r="U18" i="1" s="1"/>
  <c r="U19" i="1" s="1"/>
  <c r="AC43" i="3"/>
  <c r="AD9" i="3"/>
  <c r="AD34" i="3"/>
  <c r="AC85" i="3"/>
  <c r="AC84" i="3"/>
  <c r="AB86" i="3"/>
  <c r="AD64" i="3"/>
  <c r="AD68" i="3"/>
  <c r="AD67" i="3"/>
  <c r="T21" i="1"/>
  <c r="AD13" i="3" s="1"/>
  <c r="AD63" i="3"/>
  <c r="M43" i="8"/>
  <c r="T11" i="1"/>
  <c r="T12" i="1" s="1"/>
  <c r="T24" i="1" s="1"/>
  <c r="AD38" i="3" l="1"/>
  <c r="AC45" i="3"/>
  <c r="AD8" i="3"/>
  <c r="AD33" i="3"/>
  <c r="AE14" i="3"/>
  <c r="AE39" i="3"/>
  <c r="T13" i="1"/>
  <c r="T14" i="1"/>
  <c r="N3" i="7"/>
  <c r="N6" i="7" s="1"/>
  <c r="U6" i="1"/>
  <c r="U8" i="1"/>
  <c r="N3" i="8" s="1"/>
  <c r="N4" i="8" s="1"/>
  <c r="N8" i="8"/>
  <c r="N9" i="8" s="1"/>
  <c r="N10" i="8" s="1"/>
  <c r="N14" i="8"/>
  <c r="N15" i="8" s="1"/>
  <c r="N16" i="8" s="1"/>
  <c r="AE15" i="3" l="1"/>
  <c r="AE40" i="3"/>
  <c r="AE11" i="3"/>
  <c r="AE36" i="3"/>
  <c r="AD17" i="3" a="1"/>
  <c r="AD17" i="3" s="1"/>
  <c r="AD42" i="3" a="1"/>
  <c r="AD42" i="3" s="1"/>
  <c r="AE35" i="3"/>
  <c r="AE10" i="3"/>
  <c r="AE67" i="3"/>
  <c r="AD66" i="3"/>
  <c r="AC83" i="3"/>
  <c r="AD84" i="3"/>
  <c r="N42" i="8"/>
  <c r="N41" i="8"/>
  <c r="N5" i="8"/>
  <c r="AD61" i="3"/>
  <c r="N5" i="7"/>
  <c r="U5" i="1" s="1"/>
  <c r="V4" i="1" s="1"/>
  <c r="U10" i="1"/>
  <c r="U9" i="1"/>
  <c r="AD43" i="3" l="1"/>
  <c r="AE9" i="3"/>
  <c r="AE34" i="3"/>
  <c r="AE68" i="3"/>
  <c r="AE63" i="3"/>
  <c r="V7" i="1"/>
  <c r="V18" i="1" s="1"/>
  <c r="V19" i="1" s="1"/>
  <c r="AD85" i="3"/>
  <c r="AC86" i="3"/>
  <c r="U21" i="1"/>
  <c r="AE13" i="3" s="1"/>
  <c r="AE64" i="3"/>
  <c r="N43" i="8"/>
  <c r="U11" i="1"/>
  <c r="U12" i="1" s="1"/>
  <c r="U24" i="1" s="1"/>
  <c r="AE38" i="3" l="1"/>
  <c r="AD45" i="3"/>
  <c r="AF14" i="3"/>
  <c r="AF39" i="3"/>
  <c r="AE8" i="3"/>
  <c r="AE33" i="3"/>
  <c r="O3" i="7"/>
  <c r="O6" i="7" s="1"/>
  <c r="V8" i="1"/>
  <c r="O3" i="8" s="1"/>
  <c r="O4" i="8" s="1"/>
  <c r="O8" i="8"/>
  <c r="O9" i="8" s="1"/>
  <c r="O10" i="8" s="1"/>
  <c r="V6" i="1"/>
  <c r="O14" i="8"/>
  <c r="O15" i="8" s="1"/>
  <c r="O16" i="8" s="1"/>
  <c r="U13" i="1"/>
  <c r="U14" i="1"/>
  <c r="AF10" i="3" l="1"/>
  <c r="AF63" i="3" s="1"/>
  <c r="AF35" i="3"/>
  <c r="AE17" i="3" a="1"/>
  <c r="AE17" i="3" s="1"/>
  <c r="AE42" i="3" a="1"/>
  <c r="AE42" i="3" s="1"/>
  <c r="AF11" i="3"/>
  <c r="AF36" i="3"/>
  <c r="AF15" i="3"/>
  <c r="AF40" i="3"/>
  <c r="AE66" i="3"/>
  <c r="AE84" i="3"/>
  <c r="O5" i="7"/>
  <c r="V5" i="1" s="1"/>
  <c r="W4" i="1" s="1"/>
  <c r="W7" i="1" s="1"/>
  <c r="V10" i="1"/>
  <c r="V9" i="1"/>
  <c r="O41" i="8"/>
  <c r="O42" i="8"/>
  <c r="AF67" i="3"/>
  <c r="AD83" i="3"/>
  <c r="O5" i="8"/>
  <c r="AE61" i="3"/>
  <c r="V21" i="1" l="1"/>
  <c r="AF13" i="3" s="1"/>
  <c r="AE43" i="3"/>
  <c r="AE45" i="3" s="1"/>
  <c r="AF21" i="3" s="1"/>
  <c r="AF34" i="3"/>
  <c r="AF9" i="3"/>
  <c r="AF68" i="3"/>
  <c r="AE85" i="3"/>
  <c r="V11" i="1"/>
  <c r="V12" i="1" s="1"/>
  <c r="V24" i="1" s="1"/>
  <c r="AF64" i="3"/>
  <c r="AD86" i="3"/>
  <c r="O43" i="8"/>
  <c r="W18" i="1"/>
  <c r="W19" i="1" s="1"/>
  <c r="P3" i="7"/>
  <c r="P6" i="7" s="1"/>
  <c r="P8" i="8"/>
  <c r="P9" i="8" s="1"/>
  <c r="P10" i="8" s="1"/>
  <c r="P14" i="8"/>
  <c r="P15" i="8" s="1"/>
  <c r="P16" i="8" s="1"/>
  <c r="W6" i="1"/>
  <c r="W8" i="1"/>
  <c r="AF38" i="3" l="1"/>
  <c r="AG11" i="3"/>
  <c r="AG36" i="3"/>
  <c r="AG10" i="3"/>
  <c r="AG35" i="3"/>
  <c r="AF8" i="3"/>
  <c r="AF33" i="3"/>
  <c r="AG15" i="3"/>
  <c r="AG40" i="3"/>
  <c r="AG14" i="3"/>
  <c r="AG39" i="3"/>
  <c r="V13" i="1"/>
  <c r="V14" i="1"/>
  <c r="P41" i="8"/>
  <c r="P42" i="8"/>
  <c r="P3" i="8"/>
  <c r="P4" i="8" s="1"/>
  <c r="W9" i="1"/>
  <c r="W10" i="1"/>
  <c r="P5" i="7"/>
  <c r="W5" i="1" s="1"/>
  <c r="W21" i="1" l="1"/>
  <c r="AG13" i="3" s="1"/>
  <c r="AF17" i="3" a="1"/>
  <c r="AF17" i="3" s="1"/>
  <c r="AF42" i="3" a="1"/>
  <c r="AF42" i="3" s="1"/>
  <c r="AE83" i="3"/>
  <c r="AF84" i="3"/>
  <c r="AG63" i="3"/>
  <c r="AF61" i="3"/>
  <c r="AF66" i="3"/>
  <c r="AG67" i="3"/>
  <c r="P5" i="8"/>
  <c r="AF85" i="3"/>
  <c r="AG68" i="3"/>
  <c r="AG64" i="3"/>
  <c r="X4" i="1"/>
  <c r="X7" i="1" s="1"/>
  <c r="W11" i="1"/>
  <c r="W12" i="1" s="1"/>
  <c r="W24" i="1" s="1"/>
  <c r="AG38" i="3" l="1"/>
  <c r="AF43" i="3"/>
  <c r="AF45" i="3" s="1"/>
  <c r="AG9" i="3"/>
  <c r="AG34" i="3"/>
  <c r="AG33" i="3"/>
  <c r="AG8" i="3"/>
  <c r="AE86" i="3"/>
  <c r="P43" i="8"/>
  <c r="Q8" i="8"/>
  <c r="Q9" i="8" s="1"/>
  <c r="Q10" i="8" s="1"/>
  <c r="Q14" i="8"/>
  <c r="Q15" i="8" s="1"/>
  <c r="Q16" i="8" s="1"/>
  <c r="X18" i="1"/>
  <c r="X19" i="1" s="1"/>
  <c r="X6" i="1"/>
  <c r="Q3" i="7"/>
  <c r="Q6" i="7" s="1"/>
  <c r="X8" i="1"/>
  <c r="W13" i="1"/>
  <c r="W14" i="1"/>
  <c r="AH11" i="3" l="1"/>
  <c r="AH36" i="3"/>
  <c r="AH14" i="3"/>
  <c r="AH39" i="3"/>
  <c r="AH10" i="3"/>
  <c r="AH35" i="3"/>
  <c r="AG17" i="3" a="1"/>
  <c r="AG17" i="3" s="1"/>
  <c r="AG42" i="3" a="1"/>
  <c r="AG42" i="3" s="1"/>
  <c r="AG43" i="3" s="1"/>
  <c r="AG45" i="3" s="1"/>
  <c r="AH40" i="3"/>
  <c r="AH15" i="3"/>
  <c r="AG66" i="3"/>
  <c r="AG61" i="3"/>
  <c r="AF83" i="3"/>
  <c r="Q41" i="8"/>
  <c r="Q42" i="8"/>
  <c r="Q5" i="7"/>
  <c r="X5" i="1" s="1"/>
  <c r="Q3" i="8"/>
  <c r="Q4" i="8" s="1"/>
  <c r="X10" i="1"/>
  <c r="X9" i="1"/>
  <c r="X21" i="1" l="1"/>
  <c r="AH13" i="3" s="1"/>
  <c r="AH67" i="3"/>
  <c r="AG84" i="3"/>
  <c r="AF86" i="3"/>
  <c r="AH63" i="3"/>
  <c r="Q5" i="8"/>
  <c r="AH64" i="3"/>
  <c r="AG85" i="3"/>
  <c r="AH68" i="3"/>
  <c r="X11" i="1"/>
  <c r="X12" i="1" s="1"/>
  <c r="X24" i="1" s="1"/>
  <c r="Y4" i="1"/>
  <c r="Y7" i="1" s="1"/>
  <c r="AH38" i="3" l="1"/>
  <c r="AH9" i="3"/>
  <c r="AH34" i="3"/>
  <c r="AH8" i="3"/>
  <c r="AH33" i="3"/>
  <c r="Q43" i="8"/>
  <c r="R14" i="8"/>
  <c r="R15" i="8" s="1"/>
  <c r="R16" i="8" s="1"/>
  <c r="R8" i="8"/>
  <c r="R9" i="8" s="1"/>
  <c r="R10" i="8" s="1"/>
  <c r="Y18" i="1"/>
  <c r="Y19" i="1" s="1"/>
  <c r="R3" i="7"/>
  <c r="R6" i="7" s="1"/>
  <c r="Y8" i="1"/>
  <c r="Y6" i="1"/>
  <c r="X14" i="1"/>
  <c r="X13" i="1"/>
  <c r="AI10" i="3" l="1"/>
  <c r="AI35" i="3"/>
  <c r="AI11" i="3"/>
  <c r="AI36" i="3"/>
  <c r="AH17" i="3" a="1"/>
  <c r="AH17" i="3" s="1"/>
  <c r="AH42" i="3" a="1"/>
  <c r="AH42" i="3" s="1"/>
  <c r="AH43" i="3" s="1"/>
  <c r="AH45" i="3" s="1"/>
  <c r="AI39" i="3"/>
  <c r="AI14" i="3"/>
  <c r="AI15" i="3"/>
  <c r="AI40" i="3"/>
  <c r="AG83" i="3"/>
  <c r="AH61" i="3"/>
  <c r="AH66" i="3"/>
  <c r="R41" i="8"/>
  <c r="R42" i="8"/>
  <c r="Y9" i="1"/>
  <c r="Y10" i="1"/>
  <c r="R5" i="7"/>
  <c r="Y5" i="1" s="1"/>
  <c r="R3" i="8"/>
  <c r="R4" i="8" s="1"/>
  <c r="Y21" i="1" l="1"/>
  <c r="AI13" i="3" s="1"/>
  <c r="AI21" i="3"/>
  <c r="AH84" i="3"/>
  <c r="AG86" i="3"/>
  <c r="AI67" i="3"/>
  <c r="AI63" i="3"/>
  <c r="R5" i="8"/>
  <c r="AI64" i="3"/>
  <c r="AH85" i="3"/>
  <c r="AI68" i="3"/>
  <c r="Z4" i="1"/>
  <c r="Z7" i="1" s="1"/>
  <c r="Y11" i="1"/>
  <c r="Y12" i="1" s="1"/>
  <c r="Y24" i="1" s="1"/>
  <c r="AI38" i="3" l="1"/>
  <c r="AI9" i="3"/>
  <c r="AI34" i="3"/>
  <c r="AI8" i="3"/>
  <c r="AI33" i="3"/>
  <c r="R43" i="8"/>
  <c r="S3" i="7"/>
  <c r="S6" i="7" s="1"/>
  <c r="S8" i="8"/>
  <c r="S9" i="8" s="1"/>
  <c r="S10" i="8" s="1"/>
  <c r="Z8" i="1"/>
  <c r="Z6" i="1"/>
  <c r="S14" i="8"/>
  <c r="S15" i="8" s="1"/>
  <c r="S16" i="8" s="1"/>
  <c r="Z18" i="1"/>
  <c r="Z19" i="1" s="1"/>
  <c r="Y14" i="1"/>
  <c r="Y13" i="1"/>
  <c r="AJ15" i="3" l="1"/>
  <c r="AJ40" i="3"/>
  <c r="AJ14" i="3"/>
  <c r="AJ39" i="3"/>
  <c r="AJ10" i="3"/>
  <c r="AJ35" i="3"/>
  <c r="AJ11" i="3"/>
  <c r="AJ36" i="3"/>
  <c r="AI17" i="3" a="1"/>
  <c r="AI17" i="3" s="1"/>
  <c r="AI42" i="3" a="1"/>
  <c r="AI42" i="3" s="1"/>
  <c r="AI43" i="3" s="1"/>
  <c r="AI45" i="3" s="1"/>
  <c r="AI66" i="3"/>
  <c r="AI61" i="3"/>
  <c r="AH83" i="3"/>
  <c r="S41" i="8"/>
  <c r="S42" i="8"/>
  <c r="S3" i="8"/>
  <c r="S4" i="8" s="1"/>
  <c r="Z10" i="1"/>
  <c r="Z9" i="1"/>
  <c r="S5" i="7"/>
  <c r="Z5" i="1" s="1"/>
  <c r="Z21" i="1" l="1"/>
  <c r="AJ13" i="3" s="1"/>
  <c r="AI84" i="3"/>
  <c r="AJ67" i="3"/>
  <c r="AH86" i="3"/>
  <c r="AJ63" i="3"/>
  <c r="S5" i="8"/>
  <c r="AJ64" i="3"/>
  <c r="AI85" i="3"/>
  <c r="AJ68" i="3"/>
  <c r="AA4" i="1"/>
  <c r="AA7" i="1" s="1"/>
  <c r="Z11" i="1"/>
  <c r="Z12" i="1" s="1"/>
  <c r="Z24" i="1" s="1"/>
  <c r="AJ38" i="3" l="1"/>
  <c r="AJ9" i="3"/>
  <c r="AJ34" i="3"/>
  <c r="AJ8" i="3"/>
  <c r="AJ33" i="3"/>
  <c r="S43" i="8"/>
  <c r="AA18" i="1"/>
  <c r="AA19" i="1" s="1"/>
  <c r="T14" i="8"/>
  <c r="T15" i="8" s="1"/>
  <c r="T16" i="8" s="1"/>
  <c r="T3" i="7"/>
  <c r="T6" i="7" s="1"/>
  <c r="T8" i="8"/>
  <c r="T9" i="8" s="1"/>
  <c r="T10" i="8" s="1"/>
  <c r="AA8" i="1"/>
  <c r="AA6" i="1"/>
  <c r="Z13" i="1"/>
  <c r="Z14" i="1"/>
  <c r="AJ17" i="3" l="1" a="1"/>
  <c r="AJ17" i="3" s="1"/>
  <c r="AJ42" i="3" a="1"/>
  <c r="AJ42" i="3" s="1"/>
  <c r="AJ43" i="3" s="1"/>
  <c r="AJ45" i="3" s="1"/>
  <c r="AK15" i="3"/>
  <c r="AK40" i="3"/>
  <c r="AK14" i="3"/>
  <c r="AK39" i="3"/>
  <c r="AK10" i="3"/>
  <c r="AK35" i="3"/>
  <c r="AK11" i="3"/>
  <c r="AK36" i="3"/>
  <c r="AI83" i="3"/>
  <c r="AJ61" i="3"/>
  <c r="AJ66" i="3"/>
  <c r="T41" i="8"/>
  <c r="T42" i="8"/>
  <c r="T5" i="7"/>
  <c r="AA5" i="1" s="1"/>
  <c r="T3" i="8"/>
  <c r="T4" i="8" s="1"/>
  <c r="AA9" i="1"/>
  <c r="AA10" i="1"/>
  <c r="AA21" i="1" l="1"/>
  <c r="AK13" i="3" s="1"/>
  <c r="AJ84" i="3"/>
  <c r="AK63" i="3"/>
  <c r="AK67" i="3"/>
  <c r="AI86" i="3"/>
  <c r="T5" i="8"/>
  <c r="AJ85" i="3"/>
  <c r="AK68" i="3"/>
  <c r="AK64" i="3"/>
  <c r="AA11" i="1"/>
  <c r="AA12" i="1" s="1"/>
  <c r="AA24" i="1" s="1"/>
  <c r="AB4" i="1"/>
  <c r="AB7" i="1" s="1"/>
  <c r="AK38" i="3" l="1"/>
  <c r="AK9" i="3"/>
  <c r="AK34" i="3"/>
  <c r="AK8" i="3"/>
  <c r="AK33" i="3"/>
  <c r="T43" i="8"/>
  <c r="AB18" i="1"/>
  <c r="AB19" i="1" s="1"/>
  <c r="AB8" i="1"/>
  <c r="U14" i="8"/>
  <c r="U15" i="8" s="1"/>
  <c r="U16" i="8" s="1"/>
  <c r="AB6" i="1"/>
  <c r="U8" i="8"/>
  <c r="U9" i="8" s="1"/>
  <c r="U10" i="8" s="1"/>
  <c r="U3" i="7"/>
  <c r="U6" i="7" s="1"/>
  <c r="AA14" i="1"/>
  <c r="AA13" i="1"/>
  <c r="AL15" i="3" l="1"/>
  <c r="AL40" i="3"/>
  <c r="AL14" i="3"/>
  <c r="AL39" i="3"/>
  <c r="AK17" i="3" a="1"/>
  <c r="AK17" i="3" s="1"/>
  <c r="AK42" i="3" a="1"/>
  <c r="AK42" i="3" s="1"/>
  <c r="AK43" i="3" s="1"/>
  <c r="AK45" i="3" s="1"/>
  <c r="AL36" i="3"/>
  <c r="AL11" i="3"/>
  <c r="AL10" i="3"/>
  <c r="AL35" i="3"/>
  <c r="AJ83" i="3"/>
  <c r="AK61" i="3"/>
  <c r="AK66" i="3"/>
  <c r="U41" i="8"/>
  <c r="U42" i="8"/>
  <c r="U3" i="8"/>
  <c r="U4" i="8" s="1"/>
  <c r="AB9" i="1"/>
  <c r="AB10" i="1"/>
  <c r="U5" i="7"/>
  <c r="AB5" i="1" s="1"/>
  <c r="AB21" i="1" l="1"/>
  <c r="AL13" i="3" s="1"/>
  <c r="AL21" i="3"/>
  <c r="AK84" i="3"/>
  <c r="AL63" i="3"/>
  <c r="AL67" i="3"/>
  <c r="AJ86" i="3"/>
  <c r="U5" i="8"/>
  <c r="AK85" i="3"/>
  <c r="AL68" i="3"/>
  <c r="AL64" i="3"/>
  <c r="AB11" i="1"/>
  <c r="AB12" i="1" s="1"/>
  <c r="AB24" i="1" s="1"/>
  <c r="AC4" i="1"/>
  <c r="AC7" i="1" s="1"/>
  <c r="AL38" i="3" l="1"/>
  <c r="AL8" i="3"/>
  <c r="AL33" i="3"/>
  <c r="AL9" i="3"/>
  <c r="AL34" i="3"/>
  <c r="U43" i="8"/>
  <c r="AC8" i="1"/>
  <c r="V8" i="8"/>
  <c r="V9" i="8" s="1"/>
  <c r="V10" i="8" s="1"/>
  <c r="AC6" i="1"/>
  <c r="V3" i="7"/>
  <c r="V6" i="7" s="1"/>
  <c r="V14" i="8"/>
  <c r="V15" i="8" s="1"/>
  <c r="V16" i="8" s="1"/>
  <c r="AC18" i="1"/>
  <c r="AC19" i="1" s="1"/>
  <c r="AB13" i="1"/>
  <c r="AB14" i="1"/>
  <c r="AM35" i="3" l="1"/>
  <c r="AM10" i="3"/>
  <c r="AM15" i="3"/>
  <c r="AM40" i="3"/>
  <c r="AL17" i="3" a="1"/>
  <c r="AL17" i="3" s="1"/>
  <c r="AL42" i="3" a="1"/>
  <c r="AL42" i="3" s="1"/>
  <c r="AL43" i="3" s="1"/>
  <c r="AL45" i="3" s="1"/>
  <c r="AM14" i="3"/>
  <c r="AM39" i="3"/>
  <c r="AM11" i="3"/>
  <c r="AM36" i="3"/>
  <c r="AK83" i="3"/>
  <c r="AL61" i="3"/>
  <c r="AL66" i="3"/>
  <c r="V41" i="8"/>
  <c r="V42" i="8"/>
  <c r="V3" i="8"/>
  <c r="V4" i="8" s="1"/>
  <c r="AC10" i="1"/>
  <c r="AC9" i="1"/>
  <c r="V5" i="7"/>
  <c r="AC5" i="1" s="1"/>
  <c r="AC21" i="1" l="1"/>
  <c r="AM13" i="3" s="1"/>
  <c r="AM67" i="3"/>
  <c r="AL84" i="3"/>
  <c r="AK86" i="3"/>
  <c r="AM63" i="3"/>
  <c r="V5" i="8"/>
  <c r="AL85" i="3"/>
  <c r="AM68" i="3"/>
  <c r="AM64" i="3"/>
  <c r="AD4" i="1"/>
  <c r="AD7" i="1" s="1"/>
  <c r="AC11" i="1"/>
  <c r="AC12" i="1" s="1"/>
  <c r="AC24" i="1" s="1"/>
  <c r="AM38" i="3" l="1"/>
  <c r="AM8" i="3"/>
  <c r="AM33" i="3"/>
  <c r="AM9" i="3"/>
  <c r="AM34" i="3"/>
  <c r="V43" i="8"/>
  <c r="W8" i="8"/>
  <c r="W9" i="8" s="1"/>
  <c r="W10" i="8" s="1"/>
  <c r="AD8" i="1"/>
  <c r="W14" i="8"/>
  <c r="W15" i="8" s="1"/>
  <c r="W16" i="8" s="1"/>
  <c r="W3" i="7"/>
  <c r="W6" i="7" s="1"/>
  <c r="AD6" i="1"/>
  <c r="AD18" i="1"/>
  <c r="AD19" i="1" s="1"/>
  <c r="AC13" i="1"/>
  <c r="AC14" i="1"/>
  <c r="AN11" i="3" l="1"/>
  <c r="AN36" i="3"/>
  <c r="AN10" i="3"/>
  <c r="AN35" i="3"/>
  <c r="AM17" i="3" a="1"/>
  <c r="AM17" i="3" s="1"/>
  <c r="AM42" i="3" a="1"/>
  <c r="AM42" i="3" s="1"/>
  <c r="AM43" i="3" s="1"/>
  <c r="AM45" i="3" s="1"/>
  <c r="AN14" i="3"/>
  <c r="AN39" i="3"/>
  <c r="AN15" i="3"/>
  <c r="AN40" i="3"/>
  <c r="AL83" i="3"/>
  <c r="AM61" i="3"/>
  <c r="AM66" i="3"/>
  <c r="W41" i="8"/>
  <c r="W42" i="8"/>
  <c r="W3" i="8"/>
  <c r="W4" i="8" s="1"/>
  <c r="AD9" i="1"/>
  <c r="AD10" i="1"/>
  <c r="W5" i="7"/>
  <c r="AD5" i="1" s="1"/>
  <c r="AD21" i="1" l="1"/>
  <c r="AN13" i="3" s="1"/>
  <c r="AM84" i="3"/>
  <c r="AL86" i="3"/>
  <c r="AN67" i="3"/>
  <c r="AN63" i="3"/>
  <c r="W5" i="8"/>
  <c r="AM85" i="3"/>
  <c r="AN68" i="3"/>
  <c r="AN64" i="3"/>
  <c r="AD11" i="1"/>
  <c r="AD12" i="1" s="1"/>
  <c r="AD24" i="1" s="1"/>
  <c r="AE4" i="1"/>
  <c r="AE7" i="1" s="1"/>
  <c r="AN38" i="3" l="1"/>
  <c r="AN8" i="3"/>
  <c r="AN33" i="3"/>
  <c r="AN34" i="3"/>
  <c r="AN9" i="3"/>
  <c r="W43" i="8"/>
  <c r="X3" i="7"/>
  <c r="X6" i="7" s="1"/>
  <c r="AE8" i="1"/>
  <c r="AE6" i="1"/>
  <c r="X8" i="8"/>
  <c r="X9" i="8" s="1"/>
  <c r="X10" i="8" s="1"/>
  <c r="AE18" i="1"/>
  <c r="AE19" i="1" s="1"/>
  <c r="X14" i="8"/>
  <c r="X15" i="8" s="1"/>
  <c r="X16" i="8" s="1"/>
  <c r="AD13" i="1"/>
  <c r="AD14" i="1"/>
  <c r="AO10" i="3" l="1"/>
  <c r="AO35" i="3"/>
  <c r="AO15" i="3"/>
  <c r="AO40" i="3"/>
  <c r="AO14" i="3"/>
  <c r="AO39" i="3"/>
  <c r="AO11" i="3"/>
  <c r="AO36" i="3"/>
  <c r="AN17" i="3" a="1"/>
  <c r="AN17" i="3" s="1"/>
  <c r="AN42" i="3" a="1"/>
  <c r="AN42" i="3" s="1"/>
  <c r="AN43" i="3" s="1"/>
  <c r="AN45" i="3" s="1"/>
  <c r="AM83" i="3"/>
  <c r="AN61" i="3"/>
  <c r="AN66" i="3"/>
  <c r="X41" i="8"/>
  <c r="X42" i="8"/>
  <c r="X3" i="8"/>
  <c r="X4" i="8" s="1"/>
  <c r="AE10" i="1"/>
  <c r="AE9" i="1"/>
  <c r="X5" i="7"/>
  <c r="AE5" i="1" s="1"/>
  <c r="AE21" i="1" l="1"/>
  <c r="AO13" i="3" s="1"/>
  <c r="AO21" i="3"/>
  <c r="AN84" i="3"/>
  <c r="AM86" i="3"/>
  <c r="AO67" i="3"/>
  <c r="AO63" i="3"/>
  <c r="X5" i="8"/>
  <c r="AO64" i="3"/>
  <c r="AN85" i="3"/>
  <c r="AO68" i="3"/>
  <c r="AF4" i="1"/>
  <c r="AF7" i="1" s="1"/>
  <c r="AE11" i="1"/>
  <c r="AE12" i="1" s="1"/>
  <c r="AE24" i="1" s="1"/>
  <c r="AO38" i="3" l="1"/>
  <c r="AO9" i="3"/>
  <c r="AO34" i="3"/>
  <c r="AO33" i="3"/>
  <c r="AO8" i="3"/>
  <c r="X43" i="8"/>
  <c r="AF8" i="1"/>
  <c r="AF6" i="1"/>
  <c r="Y8" i="8"/>
  <c r="Y9" i="8" s="1"/>
  <c r="Y10" i="8" s="1"/>
  <c r="AF18" i="1"/>
  <c r="AF19" i="1" s="1"/>
  <c r="Y3" i="7"/>
  <c r="Y6" i="7" s="1"/>
  <c r="Y14" i="8"/>
  <c r="Y15" i="8" s="1"/>
  <c r="Y16" i="8" s="1"/>
  <c r="AE14" i="1"/>
  <c r="AE13" i="1"/>
  <c r="AP40" i="3" l="1"/>
  <c r="AP15" i="3"/>
  <c r="AP10" i="3"/>
  <c r="AP35" i="3"/>
  <c r="AP14" i="3"/>
  <c r="AP39" i="3"/>
  <c r="AP11" i="3"/>
  <c r="AP36" i="3"/>
  <c r="AO17" i="3" a="1"/>
  <c r="AO17" i="3" s="1"/>
  <c r="AO42" i="3" a="1"/>
  <c r="AO42" i="3" s="1"/>
  <c r="AO43" i="3" s="1"/>
  <c r="AO45" i="3" s="1"/>
  <c r="AN83" i="3"/>
  <c r="AO61" i="3"/>
  <c r="AO66" i="3"/>
  <c r="Y41" i="8"/>
  <c r="Y42" i="8"/>
  <c r="Y5" i="7"/>
  <c r="AF5" i="1" s="1"/>
  <c r="Y3" i="8"/>
  <c r="Y4" i="8" s="1"/>
  <c r="AF10" i="1"/>
  <c r="AF9" i="1"/>
  <c r="AF21" i="1" l="1"/>
  <c r="AP13" i="3" s="1"/>
  <c r="AO84" i="3"/>
  <c r="AN86" i="3"/>
  <c r="AP67" i="3"/>
  <c r="AP63" i="3"/>
  <c r="Y5" i="8"/>
  <c r="AP64" i="3"/>
  <c r="AO85" i="3"/>
  <c r="AP68" i="3"/>
  <c r="AF11" i="1"/>
  <c r="AF12" i="1" s="1"/>
  <c r="AF24" i="1" s="1"/>
  <c r="AG4" i="1"/>
  <c r="AG7" i="1" s="1"/>
  <c r="AP38" i="3" l="1"/>
  <c r="AP9" i="3"/>
  <c r="AP34" i="3"/>
  <c r="AP8" i="3"/>
  <c r="AP33" i="3"/>
  <c r="Y43" i="8"/>
  <c r="Z3" i="7"/>
  <c r="Z6" i="7" s="1"/>
  <c r="AG8" i="1"/>
  <c r="Z3" i="8" s="1"/>
  <c r="Z4" i="8" s="1"/>
  <c r="AG18" i="1"/>
  <c r="AG19" i="1" s="1"/>
  <c r="Z14" i="8"/>
  <c r="Z15" i="8" s="1"/>
  <c r="Z16" i="8" s="1"/>
  <c r="AG6" i="1"/>
  <c r="Z8" i="8"/>
  <c r="Z9" i="8" s="1"/>
  <c r="Z10" i="8" s="1"/>
  <c r="AF14" i="1"/>
  <c r="AF13" i="1"/>
  <c r="AQ39" i="3" l="1"/>
  <c r="AQ14" i="3"/>
  <c r="AQ11" i="3"/>
  <c r="AQ36" i="3"/>
  <c r="AQ15" i="3"/>
  <c r="AQ40" i="3"/>
  <c r="AQ10" i="3"/>
  <c r="AQ35" i="3"/>
  <c r="AP17" i="3" a="1"/>
  <c r="AP17" i="3" s="1"/>
  <c r="AP42" i="3" a="1"/>
  <c r="AP42" i="3" s="1"/>
  <c r="AP43" i="3" s="1"/>
  <c r="AP45" i="3" s="1"/>
  <c r="AO83" i="3"/>
  <c r="AP61" i="3"/>
  <c r="AP66" i="3"/>
  <c r="Z41" i="8"/>
  <c r="Z42" i="8"/>
  <c r="Z5" i="8"/>
  <c r="AG9" i="1"/>
  <c r="AG10" i="1"/>
  <c r="Z5" i="7"/>
  <c r="AG5" i="1" s="1"/>
  <c r="AG21" i="1" l="1"/>
  <c r="AQ13" i="3" s="1"/>
  <c r="AQ9" i="3"/>
  <c r="AQ34" i="3"/>
  <c r="AP84" i="3"/>
  <c r="AO86" i="3"/>
  <c r="AQ67" i="3"/>
  <c r="AQ63" i="3"/>
  <c r="Z43" i="8"/>
  <c r="AQ64" i="3"/>
  <c r="AP85" i="3"/>
  <c r="AQ68" i="3"/>
  <c r="AH4" i="1"/>
  <c r="AH7" i="1" s="1"/>
  <c r="AG11" i="1"/>
  <c r="AG12" i="1" s="1"/>
  <c r="AG24" i="1" s="1"/>
  <c r="AQ38" i="3" l="1"/>
  <c r="AQ8" i="3"/>
  <c r="AQ33" i="3"/>
  <c r="AA3" i="7"/>
  <c r="AA6" i="7" s="1"/>
  <c r="AA14" i="8"/>
  <c r="AA15" i="8" s="1"/>
  <c r="AA16" i="8" s="1"/>
  <c r="AH6" i="1"/>
  <c r="AA8" i="8"/>
  <c r="AA9" i="8" s="1"/>
  <c r="AA10" i="8" s="1"/>
  <c r="AH8" i="1"/>
  <c r="AA3" i="8" s="1"/>
  <c r="AA4" i="8" s="1"/>
  <c r="AH18" i="1"/>
  <c r="AH19" i="1" s="1"/>
  <c r="AG13" i="1"/>
  <c r="AG14" i="1"/>
  <c r="AR10" i="3" l="1"/>
  <c r="AR35" i="3"/>
  <c r="AR14" i="3"/>
  <c r="AR39" i="3"/>
  <c r="AR15" i="3"/>
  <c r="AR40" i="3"/>
  <c r="AR11" i="3"/>
  <c r="AR36" i="3"/>
  <c r="AQ17" i="3" a="1"/>
  <c r="AQ17" i="3" s="1"/>
  <c r="AQ42" i="3" a="1"/>
  <c r="AQ42" i="3" s="1"/>
  <c r="AQ43" i="3" s="1"/>
  <c r="AQ45" i="3" s="1"/>
  <c r="AR21" i="3" s="1"/>
  <c r="AQ66" i="3"/>
  <c r="AQ61" i="3"/>
  <c r="AP83" i="3"/>
  <c r="AA41" i="8"/>
  <c r="AA42" i="8"/>
  <c r="AA5" i="8"/>
  <c r="AH9" i="1"/>
  <c r="AH10" i="1"/>
  <c r="AA5" i="7"/>
  <c r="AH5" i="1" s="1"/>
  <c r="AH21" i="1" l="1"/>
  <c r="AR13" i="3" s="1"/>
  <c r="AR9" i="3"/>
  <c r="AR34" i="3"/>
  <c r="AQ84" i="3"/>
  <c r="AP86" i="3"/>
  <c r="AR67" i="3"/>
  <c r="AR63" i="3"/>
  <c r="AA43" i="8"/>
  <c r="AQ85" i="3"/>
  <c r="AR68" i="3"/>
  <c r="AR64" i="3"/>
  <c r="AI4" i="1"/>
  <c r="AI7" i="1" s="1"/>
  <c r="AH11" i="1"/>
  <c r="AH12" i="1" s="1"/>
  <c r="AH24" i="1" s="1"/>
  <c r="AR38" i="3" l="1"/>
  <c r="AR8" i="3"/>
  <c r="AR33" i="3"/>
  <c r="AB3" i="7"/>
  <c r="AB6" i="7" s="1"/>
  <c r="AB8" i="8"/>
  <c r="AB9" i="8" s="1"/>
  <c r="AB10" i="8" s="1"/>
  <c r="AB14" i="8"/>
  <c r="AB15" i="8" s="1"/>
  <c r="AB16" i="8" s="1"/>
  <c r="AI6" i="1"/>
  <c r="AI18" i="1"/>
  <c r="AI19" i="1" s="1"/>
  <c r="AI8" i="1"/>
  <c r="AH13" i="1"/>
  <c r="AH14" i="1"/>
  <c r="AS15" i="3" l="1"/>
  <c r="AS40" i="3"/>
  <c r="AR17" i="3" a="1"/>
  <c r="AR17" i="3" s="1"/>
  <c r="AR42" i="3" a="1"/>
  <c r="AR42" i="3" s="1"/>
  <c r="AR43" i="3" s="1"/>
  <c r="AR45" i="3" s="1"/>
  <c r="AS14" i="3"/>
  <c r="AS39" i="3"/>
  <c r="AS10" i="3"/>
  <c r="AS35" i="3"/>
  <c r="AS11" i="3"/>
  <c r="AS36" i="3"/>
  <c r="AQ83" i="3"/>
  <c r="AR61" i="3"/>
  <c r="AR66" i="3"/>
  <c r="AB41" i="8"/>
  <c r="AB42" i="8"/>
  <c r="AB3" i="8"/>
  <c r="AB4" i="8" s="1"/>
  <c r="AI10" i="1"/>
  <c r="AI9" i="1"/>
  <c r="AB5" i="7"/>
  <c r="AI5" i="1" s="1"/>
  <c r="AI21" i="1" l="1"/>
  <c r="AS13" i="3" s="1"/>
  <c r="AS67" i="3"/>
  <c r="AR84" i="3"/>
  <c r="AQ86" i="3"/>
  <c r="AS63" i="3"/>
  <c r="AB5" i="8"/>
  <c r="AR85" i="3"/>
  <c r="AS68" i="3"/>
  <c r="AS64" i="3"/>
  <c r="AJ4" i="1"/>
  <c r="AJ7" i="1" s="1"/>
  <c r="AI11" i="1"/>
  <c r="AI12" i="1" s="1"/>
  <c r="AI24" i="1" s="1"/>
  <c r="AS38" i="3" l="1"/>
  <c r="AS9" i="3"/>
  <c r="AS34" i="3"/>
  <c r="AS8" i="3"/>
  <c r="AS33" i="3"/>
  <c r="AB43" i="8"/>
  <c r="AJ8" i="1"/>
  <c r="AC8" i="8"/>
  <c r="AC9" i="8" s="1"/>
  <c r="AC10" i="8" s="1"/>
  <c r="AC14" i="8"/>
  <c r="AC15" i="8" s="1"/>
  <c r="AC16" i="8" s="1"/>
  <c r="AJ18" i="1"/>
  <c r="AJ19" i="1" s="1"/>
  <c r="AC3" i="7"/>
  <c r="AC6" i="7" s="1"/>
  <c r="AJ6" i="1"/>
  <c r="AI13" i="1"/>
  <c r="AI14" i="1"/>
  <c r="AT15" i="3" l="1"/>
  <c r="AT40" i="3"/>
  <c r="AT10" i="3"/>
  <c r="AT35" i="3"/>
  <c r="AT36" i="3"/>
  <c r="AT11" i="3"/>
  <c r="AT14" i="3"/>
  <c r="AT39" i="3"/>
  <c r="AS17" i="3" a="1"/>
  <c r="AS17" i="3" s="1"/>
  <c r="AS42" i="3" a="1"/>
  <c r="AS42" i="3" s="1"/>
  <c r="AS43" i="3" s="1"/>
  <c r="AS45" i="3" s="1"/>
  <c r="AR83" i="3"/>
  <c r="AS61" i="3"/>
  <c r="AS66" i="3"/>
  <c r="AC41" i="8"/>
  <c r="AC42" i="8"/>
  <c r="AC5" i="7"/>
  <c r="AJ5" i="1" s="1"/>
  <c r="AC3" i="8"/>
  <c r="AC4" i="8" s="1"/>
  <c r="AJ9" i="1"/>
  <c r="AJ10" i="1"/>
  <c r="AJ21" i="1" l="1"/>
  <c r="AT13" i="3" s="1"/>
  <c r="AS84" i="3"/>
  <c r="AR86" i="3"/>
  <c r="AT67" i="3"/>
  <c r="AT63" i="3"/>
  <c r="AC5" i="8"/>
  <c r="AS85" i="3"/>
  <c r="AT68" i="3"/>
  <c r="AT64" i="3"/>
  <c r="AJ11" i="1"/>
  <c r="AJ12" i="1" s="1"/>
  <c r="AJ24" i="1" s="1"/>
  <c r="AK4" i="1"/>
  <c r="AK7" i="1" s="1"/>
  <c r="AT38" i="3" l="1"/>
  <c r="AT8" i="3"/>
  <c r="AT33" i="3"/>
  <c r="AT9" i="3"/>
  <c r="AT34" i="3"/>
  <c r="AC43" i="8"/>
  <c r="AD3" i="7"/>
  <c r="AD6" i="7" s="1"/>
  <c r="AD14" i="8"/>
  <c r="AD15" i="8" s="1"/>
  <c r="AD16" i="8" s="1"/>
  <c r="AK18" i="1"/>
  <c r="AK19" i="1" s="1"/>
  <c r="AD8" i="8"/>
  <c r="AD9" i="8" s="1"/>
  <c r="AD10" i="8" s="1"/>
  <c r="AK6" i="1"/>
  <c r="AK8" i="1"/>
  <c r="AD3" i="8" s="1"/>
  <c r="AD4" i="8" s="1"/>
  <c r="AJ14" i="1"/>
  <c r="AJ13" i="1"/>
  <c r="AT17" i="3" l="1" a="1"/>
  <c r="AT17" i="3" s="1"/>
  <c r="AT42" i="3" a="1"/>
  <c r="AT42" i="3" s="1"/>
  <c r="AT43" i="3" s="1"/>
  <c r="AT45" i="3" s="1"/>
  <c r="AU15" i="3"/>
  <c r="AU40" i="3"/>
  <c r="AU35" i="3"/>
  <c r="AU10" i="3"/>
  <c r="AU14" i="3"/>
  <c r="AU39" i="3"/>
  <c r="AU11" i="3"/>
  <c r="AU36" i="3"/>
  <c r="AT66" i="3"/>
  <c r="AT61" i="3"/>
  <c r="AS83" i="3"/>
  <c r="AD41" i="8"/>
  <c r="AD42" i="8"/>
  <c r="AD5" i="8"/>
  <c r="AD5" i="7"/>
  <c r="AK5" i="1" s="1"/>
  <c r="AK10" i="1"/>
  <c r="AK9" i="1"/>
  <c r="AK21" i="1" l="1"/>
  <c r="AU13" i="3" s="1"/>
  <c r="AU21" i="3"/>
  <c r="AU9" i="3"/>
  <c r="AU34" i="3"/>
  <c r="AT84" i="3"/>
  <c r="AS86" i="3"/>
  <c r="AU67" i="3"/>
  <c r="AU63" i="3"/>
  <c r="AD43" i="8"/>
  <c r="AT85" i="3"/>
  <c r="AU68" i="3"/>
  <c r="AU64" i="3"/>
  <c r="AL4" i="1"/>
  <c r="AL7" i="1" s="1"/>
  <c r="AK11" i="1"/>
  <c r="AK12" i="1" s="1"/>
  <c r="AK24" i="1" s="1"/>
  <c r="AU38" i="3" l="1"/>
  <c r="AU8" i="3"/>
  <c r="AU33" i="3"/>
  <c r="AE8" i="8"/>
  <c r="AE9" i="8" s="1"/>
  <c r="AE10" i="8" s="1"/>
  <c r="AL6" i="1"/>
  <c r="AE3" i="7"/>
  <c r="AE6" i="7" s="1"/>
  <c r="AL8" i="1"/>
  <c r="AE14" i="8"/>
  <c r="AE15" i="8" s="1"/>
  <c r="AE16" i="8" s="1"/>
  <c r="AL18" i="1"/>
  <c r="AL19" i="1" s="1"/>
  <c r="AK13" i="1"/>
  <c r="AK14" i="1"/>
  <c r="AV14" i="3" l="1"/>
  <c r="AV39" i="3"/>
  <c r="AV15" i="3"/>
  <c r="AV40" i="3"/>
  <c r="AV11" i="3"/>
  <c r="AV36" i="3"/>
  <c r="AV10" i="3"/>
  <c r="AV35" i="3"/>
  <c r="AU17" i="3" a="1"/>
  <c r="AU17" i="3" s="1"/>
  <c r="AU42" i="3" a="1"/>
  <c r="AU42" i="3" s="1"/>
  <c r="AU43" i="3" s="1"/>
  <c r="AU45" i="3" s="1"/>
  <c r="AT83" i="3"/>
  <c r="AU61" i="3"/>
  <c r="AU66" i="3"/>
  <c r="AE41" i="8"/>
  <c r="AE42" i="8"/>
  <c r="AE3" i="8"/>
  <c r="AE4" i="8" s="1"/>
  <c r="AL9" i="1"/>
  <c r="AL10" i="1"/>
  <c r="AE5" i="7"/>
  <c r="AL5" i="1" s="1"/>
  <c r="AL21" i="1" l="1"/>
  <c r="AV13" i="3" s="1"/>
  <c r="AV67" i="3"/>
  <c r="AU84" i="3"/>
  <c r="AT86" i="3"/>
  <c r="AV63" i="3"/>
  <c r="AE5" i="8"/>
  <c r="AU85" i="3"/>
  <c r="AV68" i="3"/>
  <c r="AV64" i="3"/>
  <c r="AL11" i="1"/>
  <c r="AL12" i="1" s="1"/>
  <c r="AL24" i="1" s="1"/>
  <c r="AM4" i="1"/>
  <c r="AM7" i="1" s="1"/>
  <c r="AV38" i="3" l="1"/>
  <c r="AV8" i="3"/>
  <c r="AV33" i="3"/>
  <c r="AV34" i="3"/>
  <c r="AV9" i="3"/>
  <c r="AE43" i="8"/>
  <c r="AM6" i="1"/>
  <c r="AM8" i="1"/>
  <c r="AF3" i="7"/>
  <c r="AF6" i="7" s="1"/>
  <c r="AM18" i="1"/>
  <c r="AM19" i="1" s="1"/>
  <c r="AF14" i="8"/>
  <c r="AF15" i="8" s="1"/>
  <c r="AF16" i="8" s="1"/>
  <c r="AF8" i="8"/>
  <c r="AF9" i="8" s="1"/>
  <c r="AF10" i="8" s="1"/>
  <c r="AL14" i="1"/>
  <c r="AL13" i="1"/>
  <c r="AV17" i="3" l="1" a="1"/>
  <c r="AV17" i="3" s="1"/>
  <c r="AV42" i="3" a="1"/>
  <c r="AV42" i="3" s="1"/>
  <c r="AV43" i="3" s="1"/>
  <c r="AV45" i="3" s="1"/>
  <c r="AW15" i="3"/>
  <c r="AW40" i="3"/>
  <c r="AW10" i="3"/>
  <c r="AW35" i="3"/>
  <c r="AW11" i="3"/>
  <c r="AW36" i="3"/>
  <c r="AW14" i="3"/>
  <c r="AW39" i="3"/>
  <c r="AU83" i="3"/>
  <c r="AV61" i="3"/>
  <c r="AV66" i="3"/>
  <c r="AF41" i="8"/>
  <c r="AF42" i="8"/>
  <c r="AF3" i="8"/>
  <c r="AF4" i="8" s="1"/>
  <c r="AM10" i="1"/>
  <c r="AM9" i="1"/>
  <c r="AF5" i="7"/>
  <c r="AM5" i="1" s="1"/>
  <c r="AM21" i="1" l="1"/>
  <c r="AW13" i="3" s="1"/>
  <c r="AV84" i="3"/>
  <c r="AW63" i="3"/>
  <c r="AW67" i="3"/>
  <c r="AU86" i="3"/>
  <c r="AF5" i="8"/>
  <c r="AV85" i="3"/>
  <c r="AW68" i="3"/>
  <c r="AW64" i="3"/>
  <c r="AN4" i="1"/>
  <c r="AN7" i="1" s="1"/>
  <c r="AM11" i="1"/>
  <c r="AM12" i="1" s="1"/>
  <c r="AM24" i="1" s="1"/>
  <c r="AW38" i="3" l="1"/>
  <c r="AW9" i="3"/>
  <c r="AW34" i="3"/>
  <c r="AW33" i="3"/>
  <c r="AW8" i="3"/>
  <c r="AF43" i="8"/>
  <c r="AN18" i="1"/>
  <c r="AN19" i="1" s="1"/>
  <c r="AG8" i="8"/>
  <c r="AG9" i="8" s="1"/>
  <c r="AG10" i="8" s="1"/>
  <c r="AN8" i="1"/>
  <c r="AG3" i="8" s="1"/>
  <c r="AG4" i="8" s="1"/>
  <c r="AG3" i="7"/>
  <c r="AG6" i="7" s="1"/>
  <c r="AG14" i="8"/>
  <c r="AG15" i="8" s="1"/>
  <c r="AG16" i="8" s="1"/>
  <c r="AN6" i="1"/>
  <c r="AM14" i="1"/>
  <c r="AM13" i="1"/>
  <c r="AX40" i="3" l="1"/>
  <c r="AX15" i="3"/>
  <c r="AX10" i="3"/>
  <c r="AX35" i="3"/>
  <c r="AX11" i="3"/>
  <c r="AX36" i="3"/>
  <c r="AX14" i="3"/>
  <c r="AX39" i="3"/>
  <c r="AW17" i="3" a="1"/>
  <c r="AW17" i="3" s="1"/>
  <c r="AW42" i="3" a="1"/>
  <c r="AW42" i="3" s="1"/>
  <c r="AW43" i="3" s="1"/>
  <c r="AW45" i="3" s="1"/>
  <c r="AX21" i="3" s="1"/>
  <c r="AV83" i="3"/>
  <c r="AW61" i="3"/>
  <c r="AW66" i="3"/>
  <c r="AG41" i="8"/>
  <c r="AG42" i="8"/>
  <c r="AG5" i="8"/>
  <c r="AG5" i="7"/>
  <c r="AN5" i="1" s="1"/>
  <c r="AN10" i="1"/>
  <c r="AN9" i="1"/>
  <c r="AN21" i="1" l="1"/>
  <c r="AX13" i="3" s="1"/>
  <c r="AX9" i="3"/>
  <c r="AX34" i="3"/>
  <c r="AX67" i="3"/>
  <c r="AW84" i="3"/>
  <c r="AV86" i="3"/>
  <c r="AX63" i="3"/>
  <c r="AG43" i="8"/>
  <c r="AX64" i="3"/>
  <c r="AW85" i="3"/>
  <c r="AX68" i="3"/>
  <c r="AN11" i="1"/>
  <c r="AN12" i="1" s="1"/>
  <c r="AN24" i="1" s="1"/>
  <c r="AO4" i="1"/>
  <c r="AO7" i="1" s="1"/>
  <c r="AX38" i="3" l="1"/>
  <c r="AX8" i="3"/>
  <c r="AX33" i="3"/>
  <c r="AH8" i="8"/>
  <c r="AH9" i="8" s="1"/>
  <c r="AH10" i="8" s="1"/>
  <c r="AO18" i="1"/>
  <c r="AO19" i="1" s="1"/>
  <c r="AH3" i="7"/>
  <c r="AH6" i="7" s="1"/>
  <c r="AO6" i="1"/>
  <c r="AO8" i="1"/>
  <c r="AH3" i="8" s="1"/>
  <c r="AH4" i="8" s="1"/>
  <c r="AH14" i="8"/>
  <c r="AH15" i="8" s="1"/>
  <c r="AH16" i="8" s="1"/>
  <c r="AN13" i="1"/>
  <c r="AN14" i="1"/>
  <c r="AY15" i="3" l="1"/>
  <c r="AY40" i="3"/>
  <c r="AY10" i="3"/>
  <c r="AY35" i="3"/>
  <c r="AX17" i="3" a="1"/>
  <c r="AX17" i="3" s="1"/>
  <c r="AX42" i="3" a="1"/>
  <c r="AX42" i="3" s="1"/>
  <c r="AX43" i="3" s="1"/>
  <c r="AX45" i="3" s="1"/>
  <c r="AY39" i="3"/>
  <c r="AY14" i="3"/>
  <c r="AY11" i="3"/>
  <c r="AY36" i="3"/>
  <c r="AX66" i="3"/>
  <c r="AX61" i="3"/>
  <c r="AW83" i="3"/>
  <c r="AH41" i="8"/>
  <c r="AH42" i="8"/>
  <c r="AH5" i="8"/>
  <c r="AH5" i="7"/>
  <c r="AO5" i="1" s="1"/>
  <c r="AO10" i="1"/>
  <c r="AO9" i="1"/>
  <c r="AO21" i="1" l="1"/>
  <c r="AY13" i="3" s="1"/>
  <c r="AY9" i="3"/>
  <c r="AY34" i="3"/>
  <c r="AX84" i="3"/>
  <c r="AW86" i="3"/>
  <c r="AY67" i="3"/>
  <c r="AY63" i="3"/>
  <c r="AH43" i="8"/>
  <c r="AY64" i="3"/>
  <c r="AX85" i="3"/>
  <c r="AY68" i="3"/>
  <c r="AO11" i="1"/>
  <c r="AO12" i="1" s="1"/>
  <c r="AO24" i="1" s="1"/>
  <c r="AP4" i="1"/>
  <c r="AP7" i="1" s="1"/>
  <c r="AY38" i="3" l="1"/>
  <c r="AY8" i="3"/>
  <c r="AY33" i="3"/>
  <c r="AP6" i="1"/>
  <c r="AI3" i="7"/>
  <c r="AI6" i="7" s="1"/>
  <c r="AI8" i="8"/>
  <c r="AI9" i="8" s="1"/>
  <c r="AI10" i="8" s="1"/>
  <c r="AP8" i="1"/>
  <c r="AI14" i="8"/>
  <c r="AI15" i="8" s="1"/>
  <c r="AI16" i="8" s="1"/>
  <c r="AP18" i="1"/>
  <c r="AP19" i="1" s="1"/>
  <c r="AO13" i="1"/>
  <c r="AO14" i="1"/>
  <c r="AZ11" i="3" l="1"/>
  <c r="AZ36" i="3"/>
  <c r="AZ15" i="3"/>
  <c r="AZ40" i="3"/>
  <c r="AY17" i="3" a="1"/>
  <c r="AY17" i="3" s="1"/>
  <c r="AY42" i="3" a="1"/>
  <c r="AY42" i="3" s="1"/>
  <c r="AY43" i="3" s="1"/>
  <c r="AY45" i="3" s="1"/>
  <c r="AZ10" i="3"/>
  <c r="AZ35" i="3"/>
  <c r="AZ14" i="3"/>
  <c r="AZ39" i="3"/>
  <c r="AY66" i="3"/>
  <c r="AY61" i="3"/>
  <c r="AX83" i="3"/>
  <c r="AI41" i="8"/>
  <c r="AI42" i="8"/>
  <c r="AP10" i="1"/>
  <c r="AP9" i="1"/>
  <c r="AI5" i="7"/>
  <c r="AP5" i="1" s="1"/>
  <c r="AI3" i="8"/>
  <c r="AI4" i="8" s="1"/>
  <c r="AP21" i="1" l="1"/>
  <c r="AZ13" i="3" s="1"/>
  <c r="AY84" i="3"/>
  <c r="AX86" i="3"/>
  <c r="AZ67" i="3"/>
  <c r="AZ63" i="3"/>
  <c r="AI5" i="8"/>
  <c r="AY85" i="3"/>
  <c r="AZ68" i="3"/>
  <c r="AZ64" i="3"/>
  <c r="AQ4" i="1"/>
  <c r="AQ7" i="1" s="1"/>
  <c r="AP11" i="1"/>
  <c r="AP12" i="1" s="1"/>
  <c r="AP24" i="1" s="1"/>
  <c r="AZ38" i="3" l="1"/>
  <c r="AZ8" i="3"/>
  <c r="AZ33" i="3"/>
  <c r="AZ9" i="3"/>
  <c r="AZ34" i="3"/>
  <c r="AI43" i="8"/>
  <c r="AQ8" i="1"/>
  <c r="AJ3" i="7"/>
  <c r="AJ6" i="7" s="1"/>
  <c r="AQ6" i="1"/>
  <c r="AJ8" i="8"/>
  <c r="AJ9" i="8" s="1"/>
  <c r="AJ10" i="8" s="1"/>
  <c r="AJ14" i="8"/>
  <c r="AJ15" i="8" s="1"/>
  <c r="AJ16" i="8" s="1"/>
  <c r="AQ18" i="1"/>
  <c r="AQ19" i="1" s="1"/>
  <c r="AP13" i="1"/>
  <c r="AP14" i="1"/>
  <c r="BA15" i="3" l="1"/>
  <c r="BA40" i="3"/>
  <c r="BA10" i="3"/>
  <c r="BA35" i="3"/>
  <c r="BA11" i="3"/>
  <c r="BA36" i="3"/>
  <c r="AZ17" i="3" a="1"/>
  <c r="AZ17" i="3" s="1"/>
  <c r="AZ42" i="3" a="1"/>
  <c r="AZ42" i="3" s="1"/>
  <c r="AZ43" i="3" s="1"/>
  <c r="AZ45" i="3" s="1"/>
  <c r="BA21" i="3" s="1"/>
  <c r="BA14" i="3"/>
  <c r="BA39" i="3"/>
  <c r="AY83" i="3"/>
  <c r="AZ61" i="3"/>
  <c r="AZ66" i="3"/>
  <c r="AJ41" i="8"/>
  <c r="AJ42" i="8"/>
  <c r="AJ5" i="7"/>
  <c r="AQ5" i="1" s="1"/>
  <c r="AJ3" i="8"/>
  <c r="AJ4" i="8" s="1"/>
  <c r="AQ9" i="1"/>
  <c r="AQ10" i="1"/>
  <c r="AQ21" i="1" l="1"/>
  <c r="BA13" i="3" s="1"/>
  <c r="AZ84" i="3"/>
  <c r="BA67" i="3"/>
  <c r="AY86" i="3"/>
  <c r="BA63" i="3"/>
  <c r="AJ5" i="8"/>
  <c r="AZ85" i="3"/>
  <c r="BA68" i="3"/>
  <c r="BA64" i="3"/>
  <c r="AR4" i="1"/>
  <c r="AR7" i="1" s="1"/>
  <c r="AQ11" i="1"/>
  <c r="AQ12" i="1" s="1"/>
  <c r="AQ24" i="1" s="1"/>
  <c r="BA38" i="3" l="1"/>
  <c r="BA9" i="3"/>
  <c r="BA34" i="3"/>
  <c r="BA8" i="3"/>
  <c r="BA33" i="3"/>
  <c r="AJ43" i="8"/>
  <c r="AR18" i="1"/>
  <c r="AR19" i="1" s="1"/>
  <c r="AK3" i="7"/>
  <c r="AK6" i="7" s="1"/>
  <c r="AK8" i="8"/>
  <c r="AK9" i="8" s="1"/>
  <c r="AK10" i="8" s="1"/>
  <c r="AK14" i="8"/>
  <c r="AK15" i="8" s="1"/>
  <c r="AK16" i="8" s="1"/>
  <c r="AR8" i="1"/>
  <c r="AR6" i="1"/>
  <c r="AQ14" i="1"/>
  <c r="AQ13" i="1"/>
  <c r="BB10" i="3" l="1"/>
  <c r="BB35" i="3"/>
  <c r="BB14" i="3"/>
  <c r="BB39" i="3"/>
  <c r="BA17" i="3" a="1"/>
  <c r="BA17" i="3" s="1"/>
  <c r="BA42" i="3" a="1"/>
  <c r="BA42" i="3" s="1"/>
  <c r="BA43" i="3" s="1"/>
  <c r="BA45" i="3" s="1"/>
  <c r="BB15" i="3"/>
  <c r="BB40" i="3"/>
  <c r="BB36" i="3"/>
  <c r="BB11" i="3"/>
  <c r="BA66" i="3"/>
  <c r="BA61" i="3"/>
  <c r="AZ83" i="3"/>
  <c r="AK41" i="8"/>
  <c r="AK42" i="8"/>
  <c r="AR10" i="1"/>
  <c r="AR9" i="1"/>
  <c r="AK3" i="8"/>
  <c r="AK4" i="8" s="1"/>
  <c r="AK5" i="7"/>
  <c r="AR5" i="1" s="1"/>
  <c r="AR21" i="1" l="1"/>
  <c r="BB13" i="3" s="1"/>
  <c r="BA84" i="3"/>
  <c r="BB67" i="3"/>
  <c r="AZ86" i="3"/>
  <c r="BB63" i="3"/>
  <c r="AK5" i="8"/>
  <c r="BA85" i="3"/>
  <c r="BB68" i="3"/>
  <c r="BB64" i="3"/>
  <c r="AS4" i="1"/>
  <c r="AS7" i="1" s="1"/>
  <c r="AR11" i="1"/>
  <c r="AR12" i="1" s="1"/>
  <c r="AR24" i="1" s="1"/>
  <c r="BB38" i="3" l="1"/>
  <c r="BB8" i="3"/>
  <c r="BB33" i="3"/>
  <c r="BB9" i="3"/>
  <c r="BB34" i="3"/>
  <c r="AK43" i="8"/>
  <c r="AS18" i="1"/>
  <c r="AS19" i="1" s="1"/>
  <c r="AS8" i="1"/>
  <c r="AL3" i="8" s="1"/>
  <c r="AL4" i="8" s="1"/>
  <c r="AL3" i="7"/>
  <c r="AL6" i="7" s="1"/>
  <c r="AL14" i="8"/>
  <c r="AL15" i="8" s="1"/>
  <c r="AL16" i="8" s="1"/>
  <c r="AS6" i="1"/>
  <c r="AL8" i="8"/>
  <c r="AL9" i="8" s="1"/>
  <c r="AL10" i="8" s="1"/>
  <c r="AR13" i="1"/>
  <c r="AR14" i="1"/>
  <c r="BC14" i="3" l="1"/>
  <c r="BC39" i="3"/>
  <c r="BB17" i="3" a="1"/>
  <c r="BB17" i="3" s="1"/>
  <c r="BB42" i="3" a="1"/>
  <c r="BB42" i="3" s="1"/>
  <c r="BB43" i="3" s="1"/>
  <c r="BB45" i="3" s="1"/>
  <c r="BC11" i="3"/>
  <c r="BC36" i="3"/>
  <c r="BC35" i="3"/>
  <c r="BC10" i="3"/>
  <c r="BC15" i="3"/>
  <c r="BC40" i="3"/>
  <c r="BA83" i="3"/>
  <c r="BB61" i="3"/>
  <c r="BB66" i="3"/>
  <c r="AL41" i="8"/>
  <c r="AL42" i="8"/>
  <c r="AL5" i="8"/>
  <c r="AL5" i="7"/>
  <c r="AS5" i="1" s="1"/>
  <c r="AS10" i="1"/>
  <c r="AS9" i="1"/>
  <c r="AS21" i="1" l="1"/>
  <c r="BC13" i="3" s="1"/>
  <c r="BC9" i="3"/>
  <c r="BC34" i="3"/>
  <c r="BB84" i="3"/>
  <c r="BC67" i="3"/>
  <c r="BA86" i="3"/>
  <c r="BC63" i="3"/>
  <c r="AL43" i="8"/>
  <c r="BC64" i="3"/>
  <c r="BB85" i="3"/>
  <c r="BC68" i="3"/>
  <c r="AS11" i="1"/>
  <c r="AS12" i="1" s="1"/>
  <c r="AS24" i="1" s="1"/>
  <c r="AT4" i="1"/>
  <c r="AT7" i="1" s="1"/>
  <c r="BC38" i="3" l="1"/>
  <c r="BC8" i="3"/>
  <c r="BC33" i="3"/>
  <c r="AM8" i="8"/>
  <c r="AM9" i="8" s="1"/>
  <c r="AM10" i="8" s="1"/>
  <c r="AT6" i="1"/>
  <c r="AT18" i="1"/>
  <c r="AT19" i="1" s="1"/>
  <c r="AT8" i="1"/>
  <c r="AM14" i="8"/>
  <c r="AM15" i="8" s="1"/>
  <c r="AM16" i="8" s="1"/>
  <c r="AM3" i="7"/>
  <c r="AM6" i="7" s="1"/>
  <c r="AS14" i="1"/>
  <c r="AS13" i="1"/>
  <c r="BD11" i="3" l="1"/>
  <c r="BD36" i="3"/>
  <c r="BD15" i="3"/>
  <c r="BD40" i="3"/>
  <c r="BC17" i="3" a="1"/>
  <c r="BC17" i="3" s="1"/>
  <c r="BC42" i="3" a="1"/>
  <c r="BC42" i="3" s="1"/>
  <c r="BC43" i="3" s="1"/>
  <c r="BC45" i="3" s="1"/>
  <c r="BD21" i="3" s="1"/>
  <c r="BD14" i="3"/>
  <c r="BD39" i="3"/>
  <c r="BD10" i="3"/>
  <c r="BD35" i="3"/>
  <c r="BC66" i="3"/>
  <c r="BC61" i="3"/>
  <c r="BB83" i="3"/>
  <c r="AM41" i="8"/>
  <c r="AM42" i="8"/>
  <c r="AM5" i="7"/>
  <c r="AT5" i="1" s="1"/>
  <c r="AM3" i="8"/>
  <c r="AM4" i="8" s="1"/>
  <c r="AT10" i="1"/>
  <c r="AT9" i="1"/>
  <c r="AT21" i="1" l="1"/>
  <c r="BD13" i="3" s="1"/>
  <c r="BC84" i="3"/>
  <c r="BD63" i="3"/>
  <c r="BD67" i="3"/>
  <c r="BB86" i="3"/>
  <c r="AM5" i="8"/>
  <c r="BD64" i="3"/>
  <c r="BC85" i="3"/>
  <c r="BD68" i="3"/>
  <c r="AT11" i="1"/>
  <c r="AT12" i="1" s="1"/>
  <c r="AT24" i="1" s="1"/>
  <c r="AU4" i="1"/>
  <c r="AU7" i="1" s="1"/>
  <c r="BD38" i="3" l="1"/>
  <c r="BD34" i="3"/>
  <c r="BD9" i="3"/>
  <c r="BD8" i="3"/>
  <c r="BD33" i="3"/>
  <c r="AM43" i="8"/>
  <c r="AN3" i="7"/>
  <c r="AN6" i="7" s="1"/>
  <c r="AU18" i="1"/>
  <c r="AU19" i="1" s="1"/>
  <c r="AU6" i="1"/>
  <c r="AN14" i="8"/>
  <c r="AN15" i="8" s="1"/>
  <c r="AN16" i="8" s="1"/>
  <c r="AU8" i="1"/>
  <c r="AN8" i="8"/>
  <c r="AN9" i="8" s="1"/>
  <c r="AN10" i="8" s="1"/>
  <c r="AT13" i="1"/>
  <c r="AT14" i="1"/>
  <c r="BE10" i="3" l="1"/>
  <c r="BE35" i="3"/>
  <c r="BE15" i="3"/>
  <c r="BE40" i="3"/>
  <c r="BE11" i="3"/>
  <c r="BE36" i="3"/>
  <c r="BE14" i="3"/>
  <c r="BE39" i="3"/>
  <c r="BD17" i="3" a="1"/>
  <c r="BD17" i="3" s="1"/>
  <c r="BD42" i="3" a="1"/>
  <c r="BD42" i="3" s="1"/>
  <c r="BD43" i="3" s="1"/>
  <c r="BD45" i="3" s="1"/>
  <c r="BC83" i="3"/>
  <c r="BD61" i="3"/>
  <c r="BD66" i="3"/>
  <c r="AN41" i="8"/>
  <c r="AN42" i="8"/>
  <c r="AN3" i="8"/>
  <c r="AN4" i="8" s="1"/>
  <c r="AU9" i="1"/>
  <c r="AU10" i="1"/>
  <c r="AN5" i="7"/>
  <c r="AU5" i="1" s="1"/>
  <c r="AU21" i="1" l="1"/>
  <c r="BE13" i="3" s="1"/>
  <c r="BD84" i="3"/>
  <c r="BE67" i="3"/>
  <c r="BC86" i="3"/>
  <c r="BE63" i="3"/>
  <c r="AN5" i="8"/>
  <c r="BE64" i="3"/>
  <c r="BD85" i="3"/>
  <c r="BE68" i="3"/>
  <c r="AV4" i="1"/>
  <c r="AV7" i="1" s="1"/>
  <c r="AU11" i="1"/>
  <c r="AU12" i="1" s="1"/>
  <c r="AU24" i="1" s="1"/>
  <c r="BE38" i="3" l="1"/>
  <c r="BE9" i="3"/>
  <c r="BE34" i="3"/>
  <c r="BE33" i="3"/>
  <c r="BE8" i="3"/>
  <c r="AN43" i="8"/>
  <c r="AO8" i="8"/>
  <c r="AO9" i="8" s="1"/>
  <c r="AO10" i="8" s="1"/>
  <c r="AV8" i="1"/>
  <c r="AO3" i="7"/>
  <c r="AO6" i="7" s="1"/>
  <c r="AV18" i="1"/>
  <c r="AV19" i="1" s="1"/>
  <c r="AV6" i="1"/>
  <c r="AO14" i="8"/>
  <c r="AO15" i="8" s="1"/>
  <c r="AO16" i="8" s="1"/>
  <c r="AU13" i="1"/>
  <c r="AU14" i="1"/>
  <c r="BF14" i="3" l="1"/>
  <c r="BF39" i="3"/>
  <c r="BF10" i="3"/>
  <c r="BF35" i="3"/>
  <c r="BE17" i="3" a="1"/>
  <c r="BE17" i="3" s="1"/>
  <c r="BE42" i="3" a="1"/>
  <c r="BE42" i="3" s="1"/>
  <c r="BE43" i="3" s="1"/>
  <c r="BE45" i="3" s="1"/>
  <c r="BF40" i="3"/>
  <c r="BF15" i="3"/>
  <c r="BF11" i="3"/>
  <c r="BF36" i="3"/>
  <c r="BD83" i="3"/>
  <c r="BE61" i="3"/>
  <c r="BE66" i="3"/>
  <c r="AO41" i="8"/>
  <c r="AO42" i="8"/>
  <c r="AO5" i="7"/>
  <c r="AV5" i="1" s="1"/>
  <c r="AO3" i="8"/>
  <c r="AO4" i="8" s="1"/>
  <c r="AV10" i="1"/>
  <c r="AV9" i="1"/>
  <c r="AV21" i="1" l="1"/>
  <c r="BF13" i="3" s="1"/>
  <c r="BE84" i="3"/>
  <c r="BF63" i="3"/>
  <c r="BF67" i="3"/>
  <c r="BD86" i="3"/>
  <c r="AO5" i="8"/>
  <c r="BF64" i="3"/>
  <c r="BE85" i="3"/>
  <c r="BF68" i="3"/>
  <c r="AW4" i="1"/>
  <c r="AW7" i="1" s="1"/>
  <c r="AV11" i="1"/>
  <c r="AV12" i="1" s="1"/>
  <c r="AV24" i="1" s="1"/>
  <c r="BF38" i="3" l="1"/>
  <c r="BF9" i="3"/>
  <c r="BF34" i="3"/>
  <c r="BF8" i="3"/>
  <c r="BF33" i="3"/>
  <c r="AO43" i="8"/>
  <c r="AP8" i="8"/>
  <c r="AP9" i="8" s="1"/>
  <c r="AP10" i="8" s="1"/>
  <c r="AW18" i="1"/>
  <c r="AW19" i="1" s="1"/>
  <c r="AP14" i="8"/>
  <c r="AP15" i="8" s="1"/>
  <c r="AP16" i="8" s="1"/>
  <c r="AW8" i="1"/>
  <c r="AW6" i="1"/>
  <c r="AP3" i="7"/>
  <c r="AP6" i="7" s="1"/>
  <c r="AV13" i="1"/>
  <c r="AV14" i="1"/>
  <c r="BG11" i="3" l="1"/>
  <c r="BG36" i="3"/>
  <c r="BG39" i="3"/>
  <c r="BG14" i="3"/>
  <c r="BG10" i="3"/>
  <c r="BG35" i="3"/>
  <c r="BF17" i="3" a="1"/>
  <c r="BF17" i="3" s="1"/>
  <c r="BF42" i="3" a="1"/>
  <c r="BF42" i="3" s="1"/>
  <c r="BF43" i="3" s="1"/>
  <c r="BF45" i="3" s="1"/>
  <c r="BG15" i="3"/>
  <c r="BG40" i="3"/>
  <c r="BE83" i="3"/>
  <c r="BF61" i="3"/>
  <c r="BF66" i="3"/>
  <c r="AP41" i="8"/>
  <c r="AP42" i="8"/>
  <c r="AP3" i="8"/>
  <c r="AP4" i="8" s="1"/>
  <c r="AW10" i="1"/>
  <c r="AW9" i="1"/>
  <c r="AP5" i="7"/>
  <c r="AW5" i="1" s="1"/>
  <c r="AW21" i="1" l="1"/>
  <c r="BG13" i="3" s="1"/>
  <c r="BG21" i="3"/>
  <c r="BF84" i="3"/>
  <c r="BG67" i="3"/>
  <c r="BE86" i="3"/>
  <c r="BG63" i="3"/>
  <c r="AP5" i="8"/>
  <c r="BG64" i="3"/>
  <c r="BF85" i="3"/>
  <c r="BG68" i="3"/>
  <c r="AX4" i="1"/>
  <c r="AX7" i="1" s="1"/>
  <c r="AW11" i="1"/>
  <c r="AW12" i="1" s="1"/>
  <c r="BG38" i="3" l="1"/>
  <c r="AW24" i="1"/>
  <c r="BG9" i="3"/>
  <c r="BG34" i="3"/>
  <c r="BG8" i="3"/>
  <c r="BG33" i="3"/>
  <c r="AP43" i="8"/>
  <c r="AQ3" i="7"/>
  <c r="AQ6" i="7" s="1"/>
  <c r="AX18" i="1"/>
  <c r="AX19" i="1" s="1"/>
  <c r="AQ8" i="8"/>
  <c r="AQ9" i="8" s="1"/>
  <c r="AQ10" i="8" s="1"/>
  <c r="AQ14" i="8"/>
  <c r="AQ15" i="8" s="1"/>
  <c r="AQ16" i="8" s="1"/>
  <c r="AX8" i="1"/>
  <c r="AX6" i="1"/>
  <c r="AW13" i="1"/>
  <c r="AW14" i="1"/>
  <c r="BH10" i="3" l="1"/>
  <c r="BH35" i="3"/>
  <c r="BH14" i="3"/>
  <c r="BH39" i="3"/>
  <c r="BH15" i="3"/>
  <c r="BH40" i="3"/>
  <c r="BG17" i="3" a="1"/>
  <c r="BG17" i="3" s="1"/>
  <c r="BG42" i="3" a="1"/>
  <c r="BG42" i="3" s="1"/>
  <c r="BG43" i="3" s="1"/>
  <c r="BG45" i="3" s="1"/>
  <c r="BH11" i="3"/>
  <c r="BH36" i="3"/>
  <c r="BF83" i="3"/>
  <c r="BG61" i="3"/>
  <c r="BG66" i="3"/>
  <c r="AQ41" i="8"/>
  <c r="AQ42" i="8"/>
  <c r="AQ3" i="8"/>
  <c r="AQ4" i="8" s="1"/>
  <c r="AX10" i="1"/>
  <c r="AX9" i="1"/>
  <c r="AQ5" i="7"/>
  <c r="AX5" i="1" s="1"/>
  <c r="AX21" i="1" l="1"/>
  <c r="BH13" i="3" s="1"/>
  <c r="BG84" i="3"/>
  <c r="BH63" i="3"/>
  <c r="BF86" i="3"/>
  <c r="BH67" i="3"/>
  <c r="AQ5" i="8"/>
  <c r="BH64" i="3"/>
  <c r="BG85" i="3"/>
  <c r="BH68" i="3"/>
  <c r="AY4" i="1"/>
  <c r="AY7" i="1" s="1"/>
  <c r="AX11" i="1"/>
  <c r="AX12" i="1" s="1"/>
  <c r="BH38" i="3" l="1"/>
  <c r="AX24" i="1"/>
  <c r="BH9" i="3"/>
  <c r="BH34" i="3"/>
  <c r="BH8" i="3"/>
  <c r="BH33" i="3"/>
  <c r="AQ43" i="8"/>
  <c r="AY8" i="1"/>
  <c r="AR3" i="8" s="1"/>
  <c r="AR4" i="8" s="1"/>
  <c r="AR3" i="7"/>
  <c r="AR6" i="7" s="1"/>
  <c r="AY18" i="1"/>
  <c r="AY19" i="1" s="1"/>
  <c r="AR8" i="8"/>
  <c r="AR9" i="8" s="1"/>
  <c r="AR10" i="8" s="1"/>
  <c r="AR14" i="8"/>
  <c r="AR15" i="8" s="1"/>
  <c r="AR16" i="8" s="1"/>
  <c r="AY6" i="1"/>
  <c r="AX14" i="1"/>
  <c r="AX13" i="1"/>
  <c r="BI14" i="3" l="1"/>
  <c r="BI39" i="3"/>
  <c r="BI15" i="3"/>
  <c r="BI40" i="3"/>
  <c r="BI10" i="3"/>
  <c r="BI35" i="3"/>
  <c r="BH17" i="3" a="1"/>
  <c r="BH17" i="3" s="1"/>
  <c r="BH42" i="3" a="1"/>
  <c r="BH42" i="3" s="1"/>
  <c r="BH43" i="3" s="1"/>
  <c r="BH45" i="3" s="1"/>
  <c r="BI11" i="3"/>
  <c r="BI36" i="3"/>
  <c r="BG83" i="3"/>
  <c r="BH61" i="3"/>
  <c r="BH66" i="3"/>
  <c r="AR41" i="8"/>
  <c r="AR42" i="8"/>
  <c r="AR5" i="8"/>
  <c r="AY9" i="1"/>
  <c r="AY10" i="1"/>
  <c r="AR5" i="7"/>
  <c r="AY5" i="1" s="1"/>
  <c r="AY21" i="1" l="1"/>
  <c r="BI13" i="3" s="1"/>
  <c r="BI9" i="3"/>
  <c r="BI34" i="3"/>
  <c r="BH84" i="3"/>
  <c r="BI67" i="3"/>
  <c r="BG86" i="3"/>
  <c r="BI63" i="3"/>
  <c r="AR43" i="8"/>
  <c r="BH85" i="3"/>
  <c r="BI68" i="3"/>
  <c r="BI64" i="3"/>
  <c r="AY11" i="1"/>
  <c r="AY12" i="1" s="1"/>
  <c r="AZ4" i="1"/>
  <c r="AZ7" i="1" s="1"/>
  <c r="BI38" i="3" l="1"/>
  <c r="AY24" i="1"/>
  <c r="BI8" i="3"/>
  <c r="BI33" i="3"/>
  <c r="AS8" i="8"/>
  <c r="AS9" i="8" s="1"/>
  <c r="AS10" i="8" s="1"/>
  <c r="AZ6" i="1"/>
  <c r="AZ8" i="1"/>
  <c r="AS3" i="8" s="1"/>
  <c r="AS4" i="8" s="1"/>
  <c r="AS3" i="7"/>
  <c r="AS6" i="7" s="1"/>
  <c r="AS14" i="8"/>
  <c r="AS15" i="8" s="1"/>
  <c r="AS16" i="8" s="1"/>
  <c r="AZ18" i="1"/>
  <c r="AZ19" i="1" s="1"/>
  <c r="AY13" i="1"/>
  <c r="AY14" i="1"/>
  <c r="BJ14" i="3" l="1"/>
  <c r="BJ39" i="3"/>
  <c r="BJ15" i="3"/>
  <c r="BJ40" i="3"/>
  <c r="BJ36" i="3"/>
  <c r="BJ11" i="3"/>
  <c r="BJ10" i="3"/>
  <c r="BJ35" i="3"/>
  <c r="BI17" i="3" a="1"/>
  <c r="BI17" i="3" s="1"/>
  <c r="BI42" i="3" a="1"/>
  <c r="BI42" i="3" s="1"/>
  <c r="BI43" i="3" s="1"/>
  <c r="BI45" i="3" s="1"/>
  <c r="BJ21" i="3" s="1"/>
  <c r="BI66" i="3"/>
  <c r="BI61" i="3"/>
  <c r="BH83" i="3"/>
  <c r="AS41" i="8"/>
  <c r="AS42" i="8"/>
  <c r="AS5" i="8"/>
  <c r="AS5" i="7"/>
  <c r="AZ5" i="1" s="1"/>
  <c r="AZ9" i="1"/>
  <c r="AZ10" i="1"/>
  <c r="AZ21" i="1" l="1"/>
  <c r="BJ13" i="3" s="1"/>
  <c r="BJ9" i="3"/>
  <c r="BJ34" i="3"/>
  <c r="BI84" i="3"/>
  <c r="BJ63" i="3"/>
  <c r="BJ67" i="3"/>
  <c r="BH86" i="3"/>
  <c r="AS43" i="8"/>
  <c r="BJ64" i="3"/>
  <c r="BI85" i="3"/>
  <c r="BJ68" i="3"/>
  <c r="BA4" i="1"/>
  <c r="BA7" i="1" s="1"/>
  <c r="AZ11" i="1"/>
  <c r="AZ12" i="1" s="1"/>
  <c r="BJ38" i="3" l="1"/>
  <c r="AZ24" i="1"/>
  <c r="BJ8" i="3"/>
  <c r="BJ33" i="3"/>
  <c r="BA6" i="1"/>
  <c r="AT3" i="7"/>
  <c r="AT6" i="7" s="1"/>
  <c r="BA8" i="1"/>
  <c r="AT3" i="8" s="1"/>
  <c r="AT4" i="8" s="1"/>
  <c r="BA18" i="1"/>
  <c r="BA19" i="1" s="1"/>
  <c r="AT14" i="8"/>
  <c r="AT15" i="8" s="1"/>
  <c r="AT16" i="8" s="1"/>
  <c r="AT8" i="8"/>
  <c r="AT9" i="8" s="1"/>
  <c r="AT10" i="8" s="1"/>
  <c r="AZ14" i="1"/>
  <c r="AZ13" i="1"/>
  <c r="BK14" i="3" l="1"/>
  <c r="BK39" i="3"/>
  <c r="BK15" i="3"/>
  <c r="BK40" i="3"/>
  <c r="BK11" i="3"/>
  <c r="BK36" i="3"/>
  <c r="BJ17" i="3" a="1"/>
  <c r="BJ17" i="3" s="1"/>
  <c r="BJ42" i="3" a="1"/>
  <c r="BJ42" i="3" s="1"/>
  <c r="BJ43" i="3" s="1"/>
  <c r="BJ45" i="3" s="1"/>
  <c r="BK35" i="3"/>
  <c r="BK10" i="3"/>
  <c r="BI83" i="3"/>
  <c r="BJ61" i="3"/>
  <c r="BJ66" i="3"/>
  <c r="AT41" i="8"/>
  <c r="AT42" i="8"/>
  <c r="AT5" i="8"/>
  <c r="BA9" i="1"/>
  <c r="BA10" i="1"/>
  <c r="AT5" i="7"/>
  <c r="BA5" i="1" s="1"/>
  <c r="BA21" i="1" l="1"/>
  <c r="BK13" i="3" s="1"/>
  <c r="BK9" i="3"/>
  <c r="BK34" i="3"/>
  <c r="BJ84" i="3"/>
  <c r="BK63" i="3"/>
  <c r="BI86" i="3"/>
  <c r="BK67" i="3"/>
  <c r="AT43" i="8"/>
  <c r="BJ85" i="3"/>
  <c r="BK68" i="3"/>
  <c r="BK64" i="3"/>
  <c r="BA11" i="1"/>
  <c r="BA12" i="1" s="1"/>
  <c r="BB4" i="1"/>
  <c r="BB7" i="1" s="1"/>
  <c r="BK38" i="3" l="1"/>
  <c r="BA24" i="1"/>
  <c r="BK8" i="3"/>
  <c r="BK33" i="3"/>
  <c r="AU3" i="7"/>
  <c r="AU6" i="7" s="1"/>
  <c r="BB18" i="1"/>
  <c r="BB19" i="1" s="1"/>
  <c r="BB8" i="1"/>
  <c r="AU14" i="8"/>
  <c r="AU15" i="8" s="1"/>
  <c r="AU16" i="8" s="1"/>
  <c r="BB6" i="1"/>
  <c r="AU8" i="8"/>
  <c r="AU9" i="8" s="1"/>
  <c r="AU10" i="8" s="1"/>
  <c r="BA13" i="1"/>
  <c r="BA14" i="1"/>
  <c r="BL11" i="3" l="1"/>
  <c r="BL36" i="3"/>
  <c r="BK17" i="3" a="1"/>
  <c r="BK17" i="3" s="1"/>
  <c r="BK42" i="3" a="1"/>
  <c r="BK42" i="3" s="1"/>
  <c r="BK43" i="3" s="1"/>
  <c r="BK45" i="3" s="1"/>
  <c r="BL15" i="3"/>
  <c r="BL40" i="3"/>
  <c r="BL10" i="3"/>
  <c r="BL35" i="3"/>
  <c r="BL14" i="3"/>
  <c r="BL39" i="3"/>
  <c r="BJ83" i="3"/>
  <c r="BK61" i="3"/>
  <c r="BK66" i="3"/>
  <c r="AU41" i="8"/>
  <c r="AU42" i="8"/>
  <c r="AU3" i="8"/>
  <c r="AU4" i="8" s="1"/>
  <c r="BB9" i="1"/>
  <c r="BB10" i="1"/>
  <c r="AU5" i="7"/>
  <c r="BB5" i="1" s="1"/>
  <c r="BB21" i="1" l="1"/>
  <c r="BL13" i="3" s="1"/>
  <c r="BK84" i="3"/>
  <c r="BJ86" i="3"/>
  <c r="BL67" i="3"/>
  <c r="BL63" i="3"/>
  <c r="AU5" i="8"/>
  <c r="BL64" i="3"/>
  <c r="BK85" i="3"/>
  <c r="BL68" i="3"/>
  <c r="BB11" i="1"/>
  <c r="BB12" i="1" s="1"/>
  <c r="BC4" i="1"/>
  <c r="BC7" i="1" s="1"/>
  <c r="BL38" i="3" l="1"/>
  <c r="BB24" i="1"/>
  <c r="BL8" i="3"/>
  <c r="BL33" i="3"/>
  <c r="BL34" i="3"/>
  <c r="BL9" i="3"/>
  <c r="AU43" i="8"/>
  <c r="BC18" i="1"/>
  <c r="BC19" i="1" s="1"/>
  <c r="BC6" i="1"/>
  <c r="AV8" i="8"/>
  <c r="AV9" i="8" s="1"/>
  <c r="AV10" i="8" s="1"/>
  <c r="AV3" i="7"/>
  <c r="AV6" i="7" s="1"/>
  <c r="BC8" i="1"/>
  <c r="AV14" i="8"/>
  <c r="AV15" i="8" s="1"/>
  <c r="AV16" i="8" s="1"/>
  <c r="BB14" i="1"/>
  <c r="BB13" i="1"/>
  <c r="BM14" i="3" l="1"/>
  <c r="BM39" i="3"/>
  <c r="BL17" i="3" a="1"/>
  <c r="BL17" i="3" s="1"/>
  <c r="BL42" i="3" a="1"/>
  <c r="BL42" i="3" s="1"/>
  <c r="BL43" i="3" s="1"/>
  <c r="BL45" i="3" s="1"/>
  <c r="BM21" i="3" s="1"/>
  <c r="BM15" i="3"/>
  <c r="BM40" i="3"/>
  <c r="BM11" i="3"/>
  <c r="BM36" i="3"/>
  <c r="BM10" i="3"/>
  <c r="BM35" i="3"/>
  <c r="BL66" i="3"/>
  <c r="BK83" i="3"/>
  <c r="BL61" i="3"/>
  <c r="AV41" i="8"/>
  <c r="AV42" i="8"/>
  <c r="AV5" i="7"/>
  <c r="BC5" i="1" s="1"/>
  <c r="AV3" i="8"/>
  <c r="AV4" i="8" s="1"/>
  <c r="BC10" i="1"/>
  <c r="BC9" i="1"/>
  <c r="BC21" i="1" l="1"/>
  <c r="BM13" i="3" s="1"/>
  <c r="BL84" i="3"/>
  <c r="BM67" i="3"/>
  <c r="BK86" i="3"/>
  <c r="BM63" i="3"/>
  <c r="AV5" i="8"/>
  <c r="BM64" i="3"/>
  <c r="BL85" i="3"/>
  <c r="BM68" i="3"/>
  <c r="BC11" i="1"/>
  <c r="BC12" i="1" s="1"/>
  <c r="BD4" i="1"/>
  <c r="BD7" i="1" s="1"/>
  <c r="BM38" i="3" l="1"/>
  <c r="BC24" i="1"/>
  <c r="BM9" i="3"/>
  <c r="BM34" i="3"/>
  <c r="BM33" i="3"/>
  <c r="BM8" i="3"/>
  <c r="AV43" i="8"/>
  <c r="AW8" i="8"/>
  <c r="AW9" i="8" s="1"/>
  <c r="AW10" i="8" s="1"/>
  <c r="AW14" i="8"/>
  <c r="AW15" i="8" s="1"/>
  <c r="AW16" i="8" s="1"/>
  <c r="BD8" i="1"/>
  <c r="AW3" i="7"/>
  <c r="AW6" i="7" s="1"/>
  <c r="BD6" i="1"/>
  <c r="BD18" i="1"/>
  <c r="BD19" i="1" s="1"/>
  <c r="BC13" i="1"/>
  <c r="BC14" i="1"/>
  <c r="BN40" i="3" l="1"/>
  <c r="BN15" i="3"/>
  <c r="BN10" i="3"/>
  <c r="BN35" i="3"/>
  <c r="BN11" i="3"/>
  <c r="BN36" i="3"/>
  <c r="BM17" i="3" a="1"/>
  <c r="BM17" i="3" s="1"/>
  <c r="BM42" i="3" a="1"/>
  <c r="BM42" i="3" s="1"/>
  <c r="BM43" i="3" s="1"/>
  <c r="BM45" i="3" s="1"/>
  <c r="BN14" i="3"/>
  <c r="BN39" i="3"/>
  <c r="BL83" i="3"/>
  <c r="BM61" i="3"/>
  <c r="BM66" i="3"/>
  <c r="AW41" i="8"/>
  <c r="AW42" i="8"/>
  <c r="AW5" i="7"/>
  <c r="BD5" i="1" s="1"/>
  <c r="BD9" i="1"/>
  <c r="BD10" i="1"/>
  <c r="AW3" i="8"/>
  <c r="AW4" i="8" s="1"/>
  <c r="BD21" i="1" l="1"/>
  <c r="BN13" i="3" s="1"/>
  <c r="BM84" i="3"/>
  <c r="BL86" i="3"/>
  <c r="BN67" i="3"/>
  <c r="BN63" i="3"/>
  <c r="AW5" i="8"/>
  <c r="BN64" i="3"/>
  <c r="BM85" i="3"/>
  <c r="BN68" i="3"/>
  <c r="BD11" i="1"/>
  <c r="BD12" i="1" s="1"/>
  <c r="BE4" i="1"/>
  <c r="BE7" i="1" s="1"/>
  <c r="BN38" i="3" l="1"/>
  <c r="BD14" i="1"/>
  <c r="BD24" i="1"/>
  <c r="BN8" i="3"/>
  <c r="BN33" i="3"/>
  <c r="BN9" i="3"/>
  <c r="BN34" i="3"/>
  <c r="AW43" i="8"/>
  <c r="BE18" i="1"/>
  <c r="BE19" i="1" s="1"/>
  <c r="BE8" i="1"/>
  <c r="AX3" i="8" s="1"/>
  <c r="AX4" i="8" s="1"/>
  <c r="BE6" i="1"/>
  <c r="AX8" i="8"/>
  <c r="AX9" i="8" s="1"/>
  <c r="AX10" i="8" s="1"/>
  <c r="AX3" i="7"/>
  <c r="AX6" i="7" s="1"/>
  <c r="AX14" i="8"/>
  <c r="AX15" i="8" s="1"/>
  <c r="AX16" i="8" s="1"/>
  <c r="BD13" i="1"/>
  <c r="BO39" i="3" l="1"/>
  <c r="BO14" i="3"/>
  <c r="BN17" i="3" a="1"/>
  <c r="BN17" i="3" s="1"/>
  <c r="BN42" i="3" a="1"/>
  <c r="BN42" i="3" s="1"/>
  <c r="BN43" i="3" s="1"/>
  <c r="BN45" i="3" s="1"/>
  <c r="BO11" i="3"/>
  <c r="BO36" i="3"/>
  <c r="BO15" i="3"/>
  <c r="BO40" i="3"/>
  <c r="BO10" i="3"/>
  <c r="BO35" i="3"/>
  <c r="BM83" i="3"/>
  <c r="BN61" i="3"/>
  <c r="BN66" i="3"/>
  <c r="AX41" i="8"/>
  <c r="AX42" i="8"/>
  <c r="AX5" i="8"/>
  <c r="AX5" i="7"/>
  <c r="BE5" i="1" s="1"/>
  <c r="BE10" i="1"/>
  <c r="BE9" i="1"/>
  <c r="BE21" i="1" l="1"/>
  <c r="BO13" i="3" s="1"/>
  <c r="BO9" i="3"/>
  <c r="BO34" i="3"/>
  <c r="BO67" i="3"/>
  <c r="BM86" i="3"/>
  <c r="BO63" i="3"/>
  <c r="AX43" i="8"/>
  <c r="BO64" i="3"/>
  <c r="BN85" i="3"/>
  <c r="BO68" i="3"/>
  <c r="BE11" i="1"/>
  <c r="BE12" i="1" s="1"/>
  <c r="BF4" i="1"/>
  <c r="D25" i="3" s="1"/>
  <c r="BO38" i="3" l="1"/>
  <c r="BE14" i="1"/>
  <c r="BE24" i="1"/>
  <c r="D430" i="3"/>
  <c r="D380" i="3"/>
  <c r="D330" i="3"/>
  <c r="D230" i="3"/>
  <c r="D280" i="3"/>
  <c r="D180" i="3"/>
  <c r="D80" i="3"/>
  <c r="D130" i="3"/>
  <c r="BO8" i="3"/>
  <c r="BO33" i="3"/>
  <c r="BN84" i="3"/>
  <c r="BF7" i="1"/>
  <c r="BF18" i="1" s="1"/>
  <c r="BF19" i="1" s="1"/>
  <c r="BE13" i="1"/>
  <c r="BO17" i="3" l="1" a="1"/>
  <c r="BO17" i="3" s="1"/>
  <c r="BO42" i="3" a="1"/>
  <c r="BO42" i="3" s="1"/>
  <c r="BO43" i="3" s="1"/>
  <c r="BO45" i="3" s="1"/>
  <c r="BP21" i="3" s="1"/>
  <c r="BP14" i="3"/>
  <c r="BP39" i="3"/>
  <c r="BN83" i="3"/>
  <c r="BO66" i="3"/>
  <c r="BO61" i="3"/>
  <c r="BF6" i="1"/>
  <c r="BF8" i="1"/>
  <c r="AY3" i="8" s="1"/>
  <c r="AY4" i="8" s="1"/>
  <c r="AY14" i="8"/>
  <c r="AY15" i="8" s="1"/>
  <c r="AY16" i="8" s="1"/>
  <c r="AY3" i="7"/>
  <c r="AY6" i="7" s="1"/>
  <c r="AY8" i="8"/>
  <c r="AY9" i="8" s="1"/>
  <c r="AY10" i="8" s="1"/>
  <c r="BO84" i="3" l="1"/>
  <c r="BP15" i="3"/>
  <c r="BP40" i="3"/>
  <c r="BP11" i="3"/>
  <c r="BP36" i="3"/>
  <c r="BP10" i="3"/>
  <c r="BP35" i="3"/>
  <c r="BS37" i="3" s="1"/>
  <c r="BV40" i="3" s="1"/>
  <c r="BS41" i="3"/>
  <c r="BV44" i="3" s="1"/>
  <c r="BP67" i="3"/>
  <c r="BS67" i="3" s="1"/>
  <c r="BS14" i="3"/>
  <c r="AY41" i="8"/>
  <c r="AY42" i="8"/>
  <c r="BN86" i="3"/>
  <c r="AY5" i="7"/>
  <c r="BF5" i="1" s="1"/>
  <c r="AY5" i="8"/>
  <c r="BF9" i="1"/>
  <c r="BF10" i="1"/>
  <c r="BP9" i="3" l="1"/>
  <c r="BP34" i="3"/>
  <c r="BS36" i="3"/>
  <c r="BV37" i="3" s="1"/>
  <c r="BP64" i="3"/>
  <c r="BS11" i="3"/>
  <c r="BP63" i="3"/>
  <c r="BS10" i="3"/>
  <c r="AY43" i="8"/>
  <c r="BF11" i="1"/>
  <c r="BF12" i="1" s="1"/>
  <c r="BF21" i="1"/>
  <c r="BP13" i="3" s="1"/>
  <c r="BS15" i="3"/>
  <c r="BP68" i="3"/>
  <c r="BP38" i="3" l="1"/>
  <c r="BF24" i="1"/>
  <c r="BS65" i="3"/>
  <c r="BP8" i="3"/>
  <c r="BP33" i="3"/>
  <c r="BS35" i="3" s="1"/>
  <c r="BV36" i="3" s="1"/>
  <c r="BS34" i="3"/>
  <c r="BV35" i="3" s="1"/>
  <c r="BS39" i="3"/>
  <c r="BV42" i="3" s="1"/>
  <c r="BS9" i="3"/>
  <c r="BS69" i="3"/>
  <c r="BO85" i="3"/>
  <c r="BF13" i="1"/>
  <c r="BF14" i="1"/>
  <c r="BO83" i="3" l="1"/>
  <c r="BS40" i="3"/>
  <c r="BV43" i="3" s="1"/>
  <c r="BS38" i="3"/>
  <c r="BV41" i="3" s="1"/>
  <c r="BP17" i="3" a="1"/>
  <c r="BP17" i="3" s="1"/>
  <c r="BP42" i="3" a="1"/>
  <c r="BP42" i="3" s="1"/>
  <c r="BS33" i="3"/>
  <c r="BV34" i="3" s="1"/>
  <c r="BP66" i="3"/>
  <c r="BS13" i="3"/>
  <c r="BP61" i="3"/>
  <c r="BS63" i="3" s="1"/>
  <c r="BS8" i="3"/>
  <c r="BP43" i="3" l="1"/>
  <c r="BS66" i="3"/>
  <c r="BS68" i="3"/>
  <c r="BP45" i="3" l="1"/>
  <c r="BS44" i="3"/>
  <c r="BV46" i="3" s="1"/>
  <c r="BS42" i="3"/>
  <c r="BV45" i="3" s="1"/>
  <c r="BO86" i="3"/>
  <c r="BS19" i="3"/>
  <c r="BS17" i="3" l="1"/>
  <c r="T74" i="3"/>
  <c r="T5" i="4" l="1"/>
  <c r="U5" i="4"/>
  <c r="T76" i="3"/>
  <c r="U76" i="3" s="1"/>
  <c r="V76" i="3" s="1"/>
  <c r="T6" i="4" l="1"/>
  <c r="T8" i="4" l="1"/>
  <c r="T9" i="4" s="1"/>
  <c r="T7" i="3" s="1"/>
  <c r="T13" i="4" l="1"/>
  <c r="T12" i="4" s="1"/>
  <c r="T11" i="4" l="1"/>
  <c r="T19" i="4"/>
  <c r="T18" i="4" s="1"/>
  <c r="T17" i="4" l="1"/>
  <c r="T14" i="4"/>
  <c r="T15" i="4"/>
  <c r="T25" i="4"/>
  <c r="T24" i="4" s="1"/>
  <c r="T21" i="4" l="1"/>
  <c r="T31" i="4" s="1"/>
  <c r="T18" i="3" s="1"/>
  <c r="T20" i="4"/>
  <c r="T30" i="4" s="1"/>
  <c r="T20" i="3" s="1"/>
  <c r="T46" i="3" s="1"/>
  <c r="T47" i="3" l="1"/>
  <c r="T24" i="3"/>
  <c r="T49" i="3" l="1"/>
  <c r="T50" i="3" s="1"/>
  <c r="T26" i="3"/>
  <c r="T71" i="3"/>
  <c r="T73" i="3"/>
  <c r="S88" i="3" l="1"/>
  <c r="AG74" i="3" l="1"/>
  <c r="AH74" i="3" l="1"/>
  <c r="AJ74" i="3" l="1"/>
  <c r="AK74" i="3" l="1"/>
  <c r="AM74" i="3" l="1"/>
  <c r="AN74" i="3" l="1"/>
  <c r="AP74" i="3" l="1"/>
  <c r="AQ74" i="3" l="1"/>
  <c r="AS74" i="3" l="1"/>
  <c r="AT74" i="3" l="1"/>
  <c r="AV74" i="3" l="1"/>
  <c r="AW74" i="3" l="1"/>
  <c r="AY74" i="3" l="1"/>
  <c r="AZ74" i="3" l="1"/>
  <c r="BB74" i="3" l="1"/>
  <c r="BC74" i="3" l="1"/>
  <c r="BS61" i="3" l="1"/>
  <c r="BE74" i="3" l="1"/>
  <c r="BF74" i="3" l="1"/>
  <c r="BI74" i="3" l="1"/>
  <c r="BL74" i="3" l="1"/>
  <c r="BN74" i="3" l="1"/>
  <c r="BO74" i="3" l="1"/>
  <c r="AB62" i="3" l="1"/>
  <c r="AC62" i="3" l="1"/>
  <c r="AB70" i="3"/>
  <c r="AA89" i="3"/>
  <c r="AD62" i="3" l="1"/>
  <c r="AC70" i="3"/>
  <c r="AB89" i="3"/>
  <c r="AD70" i="3" l="1"/>
  <c r="AC89" i="3"/>
  <c r="AE62" i="3"/>
  <c r="AE70" i="3" l="1"/>
  <c r="AD89" i="3"/>
  <c r="AF62" i="3"/>
  <c r="AG62" i="3" l="1"/>
  <c r="AF70" i="3" l="1"/>
  <c r="AE89" i="3"/>
  <c r="AF89" i="3" l="1"/>
  <c r="AH62" i="3"/>
  <c r="AG70" i="3"/>
  <c r="AH70" i="3" l="1"/>
  <c r="AG89" i="3"/>
  <c r="AI62" i="3"/>
  <c r="AI70" i="3" l="1"/>
  <c r="AH89" i="3"/>
  <c r="AJ62" i="3"/>
  <c r="AK62" i="3" l="1"/>
  <c r="AJ70" i="3"/>
  <c r="AI89" i="3"/>
  <c r="AK70" i="3" l="1"/>
  <c r="AJ89" i="3"/>
  <c r="AL62" i="3"/>
  <c r="AM62" i="3" l="1"/>
  <c r="AL70" i="3"/>
  <c r="AK89" i="3"/>
  <c r="AN62" i="3" l="1"/>
  <c r="AM70" i="3"/>
  <c r="AL89" i="3"/>
  <c r="AO62" i="3" l="1"/>
  <c r="AN70" i="3"/>
  <c r="AM89" i="3"/>
  <c r="AP62" i="3" l="1"/>
  <c r="AO70" i="3"/>
  <c r="AN89" i="3"/>
  <c r="AP70" i="3" l="1"/>
  <c r="AO89" i="3"/>
  <c r="AQ62" i="3"/>
  <c r="AQ70" i="3" l="1"/>
  <c r="AP89" i="3"/>
  <c r="AR62" i="3"/>
  <c r="AR70" i="3" l="1"/>
  <c r="AS62" i="3"/>
  <c r="AQ89" i="3"/>
  <c r="AS70" i="3" l="1"/>
  <c r="AT62" i="3"/>
  <c r="AR89" i="3"/>
  <c r="AU62" i="3" l="1"/>
  <c r="AT70" i="3"/>
  <c r="AS89" i="3"/>
  <c r="AU70" i="3" l="1"/>
  <c r="AT89" i="3"/>
  <c r="AV62" i="3"/>
  <c r="AW62" i="3" l="1"/>
  <c r="AV70" i="3"/>
  <c r="AU89" i="3"/>
  <c r="AX62" i="3" l="1"/>
  <c r="AV89" i="3"/>
  <c r="AW70" i="3"/>
  <c r="AY62" i="3" l="1"/>
  <c r="AX70" i="3"/>
  <c r="AW89" i="3"/>
  <c r="AZ62" i="3" l="1"/>
  <c r="AY70" i="3"/>
  <c r="AX89" i="3"/>
  <c r="AZ70" i="3" l="1"/>
  <c r="BA62" i="3"/>
  <c r="AY89" i="3"/>
  <c r="AZ89" i="3" l="1"/>
  <c r="BA70" i="3"/>
  <c r="BB62" i="3"/>
  <c r="BB70" i="3" l="1"/>
  <c r="BC62" i="3"/>
  <c r="BA89" i="3"/>
  <c r="BC70" i="3" l="1"/>
  <c r="BB89" i="3"/>
  <c r="BD62" i="3"/>
  <c r="BD70" i="3" l="1"/>
  <c r="BC89" i="3"/>
  <c r="BE62" i="3"/>
  <c r="BD89" i="3" l="1"/>
  <c r="BF62" i="3"/>
  <c r="BE70" i="3"/>
  <c r="BE89" i="3" l="1"/>
  <c r="BG62" i="3"/>
  <c r="BF70" i="3"/>
  <c r="BF89" i="3" l="1"/>
  <c r="BH62" i="3"/>
  <c r="BG70" i="3"/>
  <c r="BH70" i="3" l="1"/>
  <c r="BG89" i="3"/>
  <c r="BI62" i="3"/>
  <c r="BH89" i="3" l="1"/>
  <c r="BJ62" i="3"/>
  <c r="BI70" i="3"/>
  <c r="BK62" i="3" l="1"/>
  <c r="BJ70" i="3"/>
  <c r="BI89" i="3"/>
  <c r="BK70" i="3" l="1"/>
  <c r="BL62" i="3"/>
  <c r="BJ89" i="3"/>
  <c r="BL70" i="3" l="1"/>
  <c r="BK89" i="3"/>
  <c r="BM62" i="3"/>
  <c r="BM70" i="3" l="1"/>
  <c r="BL89" i="3"/>
  <c r="BN62" i="3"/>
  <c r="BM89" i="3" l="1"/>
  <c r="BO62" i="3"/>
  <c r="BN70" i="3"/>
  <c r="BN89" i="3" l="1"/>
  <c r="BO70" i="3"/>
  <c r="BP62" i="3" l="1"/>
  <c r="BS64" i="3" s="1"/>
  <c r="BP70" i="3" l="1"/>
  <c r="BS72" i="3" s="1"/>
  <c r="BO89" i="3"/>
  <c r="BS70" i="3" l="1"/>
  <c r="T60" i="3" l="1"/>
  <c r="T77" i="3" l="1"/>
  <c r="T75" i="3"/>
  <c r="BS62" i="3"/>
  <c r="W25" i="3"/>
  <c r="V5" i="4" s="1"/>
  <c r="U6" i="4" l="1"/>
  <c r="X25" i="3"/>
  <c r="Y25" i="3" l="1"/>
  <c r="W5" i="4"/>
  <c r="U8" i="4"/>
  <c r="U9" i="4" s="1"/>
  <c r="U7" i="3" l="1"/>
  <c r="U13" i="4"/>
  <c r="V6" i="4"/>
  <c r="X5" i="4"/>
  <c r="Z25" i="3"/>
  <c r="U19" i="4" l="1"/>
  <c r="U18" i="4" s="1"/>
  <c r="AA25" i="3"/>
  <c r="Y5" i="4"/>
  <c r="X6" i="4" s="1"/>
  <c r="W6" i="4"/>
  <c r="U60" i="3"/>
  <c r="V8" i="4"/>
  <c r="V9" i="4" s="1"/>
  <c r="U12" i="4"/>
  <c r="U17" i="4" l="1"/>
  <c r="W8" i="4"/>
  <c r="W9" i="4" s="1"/>
  <c r="AB25" i="3"/>
  <c r="Z5" i="4"/>
  <c r="X8" i="4"/>
  <c r="X9" i="4" s="1"/>
  <c r="U11" i="4"/>
  <c r="V7" i="3"/>
  <c r="U25" i="4"/>
  <c r="U24" i="4" s="1"/>
  <c r="AA5" i="4" l="1"/>
  <c r="Z6" i="4" s="1"/>
  <c r="AC25" i="3"/>
  <c r="W7" i="3"/>
  <c r="W60" i="3" s="1"/>
  <c r="Y6" i="4"/>
  <c r="U15" i="4"/>
  <c r="U14" i="4"/>
  <c r="V13" i="4"/>
  <c r="V60" i="3"/>
  <c r="X7" i="3"/>
  <c r="X60" i="3" s="1"/>
  <c r="U21" i="4"/>
  <c r="U20" i="4"/>
  <c r="U30" i="4" l="1"/>
  <c r="U20" i="3" s="1"/>
  <c r="U73" i="3" s="1"/>
  <c r="U31" i="4"/>
  <c r="U18" i="3" s="1"/>
  <c r="U71" i="3" s="1"/>
  <c r="Z8" i="4"/>
  <c r="Z9" i="4" s="1"/>
  <c r="AB5" i="4"/>
  <c r="AD25" i="3"/>
  <c r="V12" i="4"/>
  <c r="V19" i="4"/>
  <c r="U46" i="3" l="1"/>
  <c r="T88" i="3" s="1"/>
  <c r="U24" i="3"/>
  <c r="U26" i="3" s="1"/>
  <c r="Z7" i="3"/>
  <c r="Z60" i="3" s="1"/>
  <c r="AC5" i="4"/>
  <c r="AB6" i="4" s="1"/>
  <c r="AE25" i="3"/>
  <c r="AA6" i="4"/>
  <c r="V11" i="4"/>
  <c r="U75" i="3"/>
  <c r="U77" i="3"/>
  <c r="V25" i="4"/>
  <c r="V24" i="4" s="1"/>
  <c r="V18" i="4"/>
  <c r="U47" i="3" l="1"/>
  <c r="AA8" i="4"/>
  <c r="AA9" i="4" s="1"/>
  <c r="AD5" i="4"/>
  <c r="AF25" i="3"/>
  <c r="W13" i="4"/>
  <c r="V15" i="4"/>
  <c r="V14" i="4"/>
  <c r="AB8" i="4"/>
  <c r="AB9" i="4" s="1"/>
  <c r="V17" i="4"/>
  <c r="U49" i="3" l="1"/>
  <c r="U50" i="3" s="1"/>
  <c r="AG25" i="3"/>
  <c r="AE5" i="4"/>
  <c r="V20" i="4"/>
  <c r="V30" i="4" s="1"/>
  <c r="V20" i="3" s="1"/>
  <c r="V73" i="3" s="1"/>
  <c r="V21" i="4"/>
  <c r="V31" i="4" s="1"/>
  <c r="V18" i="3" s="1"/>
  <c r="W19" i="4"/>
  <c r="W18" i="4" s="1"/>
  <c r="W12" i="4"/>
  <c r="AA7" i="3"/>
  <c r="AA60" i="3" s="1"/>
  <c r="AB7" i="3"/>
  <c r="AB60" i="3" s="1"/>
  <c r="AC6" i="4"/>
  <c r="AC8" i="4" l="1"/>
  <c r="AC9" i="4" s="1"/>
  <c r="W25" i="4"/>
  <c r="W24" i="4" s="1"/>
  <c r="V71" i="3"/>
  <c r="V24" i="3"/>
  <c r="V46" i="3"/>
  <c r="AD6" i="4"/>
  <c r="W17" i="4"/>
  <c r="W11" i="4"/>
  <c r="AF5" i="4"/>
  <c r="AH25" i="3"/>
  <c r="V77" i="3" l="1"/>
  <c r="V75" i="3"/>
  <c r="V26" i="3"/>
  <c r="AD8" i="4"/>
  <c r="AD9" i="4" s="1"/>
  <c r="W21" i="4"/>
  <c r="W20" i="4"/>
  <c r="W14" i="4"/>
  <c r="W15" i="4"/>
  <c r="X13" i="4"/>
  <c r="AC7" i="3"/>
  <c r="AC60" i="3" s="1"/>
  <c r="AI25" i="3"/>
  <c r="AG5" i="4"/>
  <c r="AE6" i="4"/>
  <c r="V47" i="3"/>
  <c r="U88" i="3"/>
  <c r="W22" i="3" l="1"/>
  <c r="V49" i="3"/>
  <c r="V50" i="3" s="1"/>
  <c r="W31" i="4"/>
  <c r="W18" i="3" s="1"/>
  <c r="W71" i="3" s="1"/>
  <c r="AD7" i="3"/>
  <c r="AD60" i="3" s="1"/>
  <c r="X12" i="4"/>
  <c r="W30" i="4"/>
  <c r="W20" i="3" s="1"/>
  <c r="AE8" i="4"/>
  <c r="AE9" i="4" s="1"/>
  <c r="AF6" i="4"/>
  <c r="AJ25" i="3"/>
  <c r="AH5" i="4"/>
  <c r="X19" i="4"/>
  <c r="X18" i="4" s="1"/>
  <c r="V87" i="3" l="1"/>
  <c r="W74" i="3"/>
  <c r="W76" i="3" s="1"/>
  <c r="X76" i="3" s="1"/>
  <c r="Y76" i="3" s="1"/>
  <c r="X17" i="4"/>
  <c r="AF8" i="4"/>
  <c r="AF9" i="4" s="1"/>
  <c r="X11" i="4"/>
  <c r="AK25" i="3"/>
  <c r="AI5" i="4"/>
  <c r="W73" i="3"/>
  <c r="W75" i="3" s="1"/>
  <c r="W46" i="3"/>
  <c r="X25" i="4"/>
  <c r="X24" i="4" s="1"/>
  <c r="AE7" i="3"/>
  <c r="AE60" i="3" s="1"/>
  <c r="AG6" i="4"/>
  <c r="W24" i="3"/>
  <c r="X15" i="4" l="1"/>
  <c r="X14" i="4"/>
  <c r="AF7" i="3"/>
  <c r="AF60" i="3" s="1"/>
  <c r="W26" i="3"/>
  <c r="W77" i="3"/>
  <c r="AH6" i="4"/>
  <c r="AG8" i="4"/>
  <c r="AG9" i="4" s="1"/>
  <c r="W47" i="3"/>
  <c r="V88" i="3"/>
  <c r="AJ5" i="4"/>
  <c r="AL25" i="3"/>
  <c r="X20" i="4"/>
  <c r="X21" i="4"/>
  <c r="X30" i="4" l="1"/>
  <c r="X20" i="3" s="1"/>
  <c r="X46" i="3" s="1"/>
  <c r="X31" i="4"/>
  <c r="X18" i="3" s="1"/>
  <c r="W49" i="3"/>
  <c r="W50" i="3" s="1"/>
  <c r="AH8" i="4"/>
  <c r="AH9" i="4" s="1"/>
  <c r="AG7" i="3"/>
  <c r="AG60" i="3" s="1"/>
  <c r="AI6" i="4"/>
  <c r="AM25" i="3"/>
  <c r="AK5" i="4"/>
  <c r="X24" i="3" l="1"/>
  <c r="X26" i="3" s="1"/>
  <c r="X73" i="3"/>
  <c r="X71" i="3"/>
  <c r="AI8" i="4"/>
  <c r="AI9" i="4" s="1"/>
  <c r="AH7" i="3"/>
  <c r="AH60" i="3" s="1"/>
  <c r="AL5" i="4"/>
  <c r="AN25" i="3"/>
  <c r="X47" i="3"/>
  <c r="W88" i="3"/>
  <c r="AJ6" i="4"/>
  <c r="X77" i="3" l="1"/>
  <c r="X75" i="3"/>
  <c r="X49" i="3"/>
  <c r="X50" i="3" s="1"/>
  <c r="AK6" i="4"/>
  <c r="AM5" i="4"/>
  <c r="AO25" i="3"/>
  <c r="AJ8" i="4"/>
  <c r="AJ9" i="4" s="1"/>
  <c r="AI7" i="3"/>
  <c r="AI60" i="3" s="1"/>
  <c r="AN5" i="4" l="1"/>
  <c r="AM6" i="4" s="1"/>
  <c r="AP25" i="3"/>
  <c r="AK8" i="4"/>
  <c r="AK9" i="4" s="1"/>
  <c r="AJ7" i="3"/>
  <c r="AJ60" i="3" s="1"/>
  <c r="AL6" i="4"/>
  <c r="AK7" i="3" l="1"/>
  <c r="AK60" i="3" s="1"/>
  <c r="AM8" i="4"/>
  <c r="AM9" i="4" s="1"/>
  <c r="AO5" i="4"/>
  <c r="AQ25" i="3"/>
  <c r="AL8" i="4"/>
  <c r="AL9" i="4" s="1"/>
  <c r="AN6" i="4" l="1"/>
  <c r="AM7" i="3"/>
  <c r="AM60" i="3" s="1"/>
  <c r="AR25" i="3"/>
  <c r="AP5" i="4"/>
  <c r="AL7" i="3"/>
  <c r="AL60" i="3" s="1"/>
  <c r="AS25" i="3" l="1"/>
  <c r="AQ5" i="4"/>
  <c r="AN8" i="4"/>
  <c r="AN9" i="4" s="1"/>
  <c r="AO6" i="4"/>
  <c r="AN7" i="3" l="1"/>
  <c r="AN60" i="3" s="1"/>
  <c r="AO8" i="4"/>
  <c r="AO9" i="4" s="1"/>
  <c r="AP6" i="4"/>
  <c r="AR5" i="4"/>
  <c r="AT25" i="3"/>
  <c r="AU25" i="3" l="1"/>
  <c r="AS5" i="4"/>
  <c r="AR6" i="4" s="1"/>
  <c r="AP8" i="4"/>
  <c r="AP9" i="4" s="1"/>
  <c r="AO7" i="3"/>
  <c r="AO60" i="3" s="1"/>
  <c r="AQ6" i="4"/>
  <c r="AP7" i="3" l="1"/>
  <c r="AP60" i="3" s="1"/>
  <c r="AR8" i="4"/>
  <c r="AR9" i="4" s="1"/>
  <c r="AT5" i="4"/>
  <c r="AV25" i="3"/>
  <c r="AR7" i="3" l="1"/>
  <c r="AR60" i="3" s="1"/>
  <c r="AU5" i="4"/>
  <c r="AW25" i="3"/>
  <c r="AS6" i="4"/>
  <c r="AV5" i="4" l="1"/>
  <c r="AX25" i="3"/>
  <c r="AS8" i="4"/>
  <c r="AS9" i="4" s="1"/>
  <c r="AT6" i="4"/>
  <c r="AS7" i="3" l="1"/>
  <c r="AS60" i="3" s="1"/>
  <c r="AT8" i="4"/>
  <c r="AT9" i="4" s="1"/>
  <c r="AW5" i="4"/>
  <c r="AY25" i="3"/>
  <c r="AU6" i="4"/>
  <c r="AU8" i="4" l="1"/>
  <c r="AU9" i="4" s="1"/>
  <c r="AZ25" i="3"/>
  <c r="AX5" i="4"/>
  <c r="AT7" i="3"/>
  <c r="AT60" i="3" s="1"/>
  <c r="AV6" i="4"/>
  <c r="AV8" i="4" l="1"/>
  <c r="AV9" i="4" s="1"/>
  <c r="AU7" i="3"/>
  <c r="AU60" i="3" s="1"/>
  <c r="AW6" i="4"/>
  <c r="BA25" i="3"/>
  <c r="AY5" i="4"/>
  <c r="AV7" i="3" l="1"/>
  <c r="AV60" i="3" s="1"/>
  <c r="AW8" i="4"/>
  <c r="AW9" i="4" s="1"/>
  <c r="AX6" i="4"/>
  <c r="AZ5" i="4"/>
  <c r="BB25" i="3"/>
  <c r="BA5" i="4" l="1"/>
  <c r="BC25" i="3"/>
  <c r="AX8" i="4"/>
  <c r="AX9" i="4" s="1"/>
  <c r="AW7" i="3"/>
  <c r="AW60" i="3" s="1"/>
  <c r="AY6" i="4"/>
  <c r="AY8" i="4" l="1"/>
  <c r="AY9" i="4" s="1"/>
  <c r="AX7" i="3"/>
  <c r="AX60" i="3" s="1"/>
  <c r="BB5" i="4"/>
  <c r="BD25" i="3"/>
  <c r="AZ6" i="4"/>
  <c r="BC5" i="4" l="1"/>
  <c r="BE25" i="3"/>
  <c r="BA6" i="4"/>
  <c r="AZ8" i="4"/>
  <c r="AZ9" i="4" s="1"/>
  <c r="AY7" i="3"/>
  <c r="AY60" i="3" s="1"/>
  <c r="BD5" i="4" l="1"/>
  <c r="BF25" i="3"/>
  <c r="BB6" i="4"/>
  <c r="AZ7" i="3"/>
  <c r="AZ60" i="3" s="1"/>
  <c r="BA8" i="4"/>
  <c r="BA9" i="4" s="1"/>
  <c r="BA7" i="3" l="1"/>
  <c r="BA60" i="3" s="1"/>
  <c r="BG25" i="3"/>
  <c r="BE5" i="4"/>
  <c r="BB8" i="4"/>
  <c r="BB9" i="4" s="1"/>
  <c r="BC6" i="4"/>
  <c r="BB7" i="3" l="1"/>
  <c r="BB60" i="3" s="1"/>
  <c r="BD6" i="4"/>
  <c r="BH25" i="3"/>
  <c r="BF5" i="4"/>
  <c r="BI25" i="3" l="1"/>
  <c r="BG5" i="4"/>
  <c r="BF6" i="4" s="1"/>
  <c r="BE6" i="4"/>
  <c r="BD8" i="4"/>
  <c r="BD9" i="4" s="1"/>
  <c r="BD7" i="3" l="1"/>
  <c r="BD60" i="3" s="1"/>
  <c r="BE8" i="4"/>
  <c r="BE9" i="4" s="1"/>
  <c r="BF8" i="4"/>
  <c r="BF9" i="4" s="1"/>
  <c r="BH5" i="4"/>
  <c r="BJ25" i="3"/>
  <c r="BK25" i="3" l="1"/>
  <c r="BI5" i="4"/>
  <c r="BE7" i="3"/>
  <c r="BE60" i="3" s="1"/>
  <c r="BF7" i="3"/>
  <c r="BF60" i="3" s="1"/>
  <c r="BG6" i="4"/>
  <c r="BG8" i="4" l="1"/>
  <c r="BG9" i="4" s="1"/>
  <c r="BJ5" i="4"/>
  <c r="BI6" i="4" s="1"/>
  <c r="BL25" i="3"/>
  <c r="BH6" i="4"/>
  <c r="BI8" i="4" l="1"/>
  <c r="BI9" i="4" s="1"/>
  <c r="BG7" i="3"/>
  <c r="BG60" i="3" s="1"/>
  <c r="BH8" i="4"/>
  <c r="BH9" i="4" s="1"/>
  <c r="BM25" i="3"/>
  <c r="BK5" i="4"/>
  <c r="BL5" i="4" l="1"/>
  <c r="BN25" i="3"/>
  <c r="BJ6" i="4"/>
  <c r="BI7" i="3"/>
  <c r="BI60" i="3" s="1"/>
  <c r="BH7" i="3"/>
  <c r="BH60" i="3" s="1"/>
  <c r="BO25" i="3" l="1"/>
  <c r="BM5" i="4"/>
  <c r="BJ8" i="4"/>
  <c r="BJ9" i="4" s="1"/>
  <c r="BK6" i="4"/>
  <c r="BL6" i="4" l="1"/>
  <c r="BJ7" i="3"/>
  <c r="BJ60" i="3" s="1"/>
  <c r="BK8" i="4"/>
  <c r="BK9" i="4" s="1"/>
  <c r="BP25" i="3"/>
  <c r="BN5" i="4"/>
  <c r="BO6" i="4" s="1"/>
  <c r="S4" i="4"/>
  <c r="BO8" i="4" l="1"/>
  <c r="BO9" i="4" s="1"/>
  <c r="BL8" i="4"/>
  <c r="BL9" i="4" s="1"/>
  <c r="BM6" i="4"/>
  <c r="BN6" i="4"/>
  <c r="BK7" i="3"/>
  <c r="BK60" i="3" s="1"/>
  <c r="BL7" i="3" l="1"/>
  <c r="BL60" i="3" s="1"/>
  <c r="BN8" i="4"/>
  <c r="BN9" i="4" s="1"/>
  <c r="BM8" i="4"/>
  <c r="BM9" i="4" s="1"/>
  <c r="BO7" i="3"/>
  <c r="BO7" i="4" s="1"/>
  <c r="BC8" i="4" l="1"/>
  <c r="BC9" i="4" s="1"/>
  <c r="BC7" i="3" s="1"/>
  <c r="BC60" i="3" s="1"/>
  <c r="AQ8" i="4"/>
  <c r="AQ9" i="4" s="1"/>
  <c r="AQ7" i="3" s="1"/>
  <c r="AQ60" i="3" s="1"/>
  <c r="BO60" i="3"/>
  <c r="BN7" i="3"/>
  <c r="BN60" i="3" s="1"/>
  <c r="BM7" i="3"/>
  <c r="BM60" i="3" s="1"/>
  <c r="BK74" i="3" l="1"/>
  <c r="BH74" i="3"/>
  <c r="BN7" i="4" l="1"/>
  <c r="BM7" i="4" s="1"/>
  <c r="BL7" i="4" s="1"/>
  <c r="BK7" i="4" s="1"/>
  <c r="BJ7" i="4" s="1"/>
  <c r="BI7" i="4" s="1"/>
  <c r="BH7" i="4" s="1"/>
  <c r="BG7" i="4" s="1"/>
  <c r="BF7" i="4" s="1"/>
  <c r="BE7" i="4" s="1"/>
  <c r="BD7" i="4" s="1"/>
  <c r="BC7" i="4" s="1"/>
  <c r="BB7" i="4" s="1"/>
  <c r="BA7" i="4" s="1"/>
  <c r="AZ7" i="4" s="1"/>
  <c r="AY7" i="4" s="1"/>
  <c r="AX7" i="4" s="1"/>
  <c r="AW7" i="4" s="1"/>
  <c r="AV7" i="4" s="1"/>
  <c r="AU7" i="4" s="1"/>
  <c r="AT7" i="4" s="1"/>
  <c r="AS7" i="4" s="1"/>
  <c r="AR7" i="4" s="1"/>
  <c r="AQ7" i="4" s="1"/>
  <c r="AP7" i="4" s="1"/>
  <c r="AO7" i="4" s="1"/>
  <c r="AN7" i="4" s="1"/>
  <c r="AM7" i="4" s="1"/>
  <c r="AL7" i="4" s="1"/>
  <c r="AK7" i="4" s="1"/>
  <c r="AJ7" i="4" s="1"/>
  <c r="AI7" i="4" s="1"/>
  <c r="AH7" i="4" s="1"/>
  <c r="AG7" i="4" s="1"/>
  <c r="AF7" i="4" s="1"/>
  <c r="AE7" i="4" s="1"/>
  <c r="AD7" i="4" s="1"/>
  <c r="AC7" i="4" s="1"/>
  <c r="AB7" i="4" s="1"/>
  <c r="AA7" i="4" s="1"/>
  <c r="Z7" i="4" s="1"/>
  <c r="Y7" i="4" l="1"/>
  <c r="X7" i="4" s="1"/>
  <c r="W7" i="4" s="1"/>
  <c r="V7" i="4" s="1"/>
  <c r="U7" i="4" s="1"/>
  <c r="T7" i="4" s="1"/>
  <c r="Y8" i="4"/>
  <c r="Y9" i="4" s="1"/>
  <c r="Y7" i="3" l="1"/>
  <c r="Y13" i="4"/>
  <c r="Y12" i="4" l="1"/>
  <c r="Y19" i="4"/>
  <c r="Y18" i="4" s="1"/>
  <c r="Y60" i="3"/>
  <c r="BS7" i="3"/>
  <c r="Y17" i="4" l="1"/>
  <c r="BS60" i="3"/>
  <c r="Y25" i="4"/>
  <c r="Y24" i="4" s="1"/>
  <c r="Y11" i="4"/>
  <c r="Z13" i="4" l="1"/>
  <c r="Z19" i="4" s="1"/>
  <c r="Z25" i="4" l="1"/>
  <c r="Z24" i="4" s="1"/>
  <c r="Z12" i="4"/>
  <c r="Z18" i="4"/>
  <c r="Z11" i="4" l="1"/>
  <c r="Z17" i="4"/>
  <c r="AA13" i="4" l="1"/>
  <c r="AA12" i="4" l="1"/>
  <c r="AA19" i="4"/>
  <c r="AA25" i="4" l="1"/>
  <c r="AA24" i="4" s="1"/>
  <c r="AA18" i="4"/>
  <c r="AA11" i="4"/>
  <c r="AB13" i="4" l="1"/>
  <c r="AB12" i="4" s="1"/>
  <c r="AA17" i="4"/>
  <c r="AB19" i="4" l="1"/>
  <c r="AB11" i="4"/>
  <c r="AC13" i="4" l="1"/>
  <c r="AB18" i="4"/>
  <c r="AB25" i="4"/>
  <c r="AB24" i="4" s="1"/>
  <c r="AB17" i="4" l="1"/>
  <c r="AC12" i="4"/>
  <c r="AC11" i="4" l="1"/>
  <c r="AC19" i="4"/>
  <c r="AC25" i="4" l="1"/>
  <c r="AC24" i="4" s="1"/>
  <c r="AC18" i="4"/>
  <c r="AD13" i="4"/>
  <c r="AD12" i="4" l="1"/>
  <c r="AD11" i="4" s="1"/>
  <c r="AC17" i="4"/>
  <c r="AD19" i="4" l="1"/>
  <c r="AE13" i="4"/>
  <c r="AE12" i="4" l="1"/>
  <c r="AE11" i="4" s="1"/>
  <c r="AD25" i="4"/>
  <c r="AD24" i="4" s="1"/>
  <c r="AD18" i="4"/>
  <c r="AD17" i="4" s="1"/>
  <c r="AE19" i="4" l="1"/>
  <c r="AF13" i="4"/>
  <c r="AF12" i="4" l="1"/>
  <c r="AF11" i="4" s="1"/>
  <c r="AE25" i="4"/>
  <c r="AE24" i="4" s="1"/>
  <c r="AE18" i="4"/>
  <c r="AE17" i="4" s="1"/>
  <c r="AF19" i="4" l="1"/>
  <c r="AG13" i="4"/>
  <c r="AG12" i="4" l="1"/>
  <c r="AG11" i="4" s="1"/>
  <c r="AF25" i="4"/>
  <c r="AF24" i="4" s="1"/>
  <c r="AF18" i="4"/>
  <c r="AF17" i="4" s="1"/>
  <c r="AG19" i="4" l="1"/>
  <c r="AH13" i="4"/>
  <c r="AH12" i="4" l="1"/>
  <c r="AH11" i="4" s="1"/>
  <c r="AG25" i="4"/>
  <c r="AG24" i="4" s="1"/>
  <c r="AG18" i="4"/>
  <c r="AG17" i="4" s="1"/>
  <c r="AH19" i="4" l="1"/>
  <c r="AI13" i="4"/>
  <c r="AI12" i="4" l="1"/>
  <c r="AI11" i="4" s="1"/>
  <c r="AH25" i="4"/>
  <c r="AH24" i="4" s="1"/>
  <c r="AH18" i="4"/>
  <c r="AH17" i="4" s="1"/>
  <c r="AI19" i="4" l="1"/>
  <c r="AJ13" i="4"/>
  <c r="AJ12" i="4" l="1"/>
  <c r="AJ11" i="4" s="1"/>
  <c r="AI25" i="4"/>
  <c r="AI24" i="4" s="1"/>
  <c r="AI18" i="4"/>
  <c r="AI17" i="4" s="1"/>
  <c r="AJ19" i="4" l="1"/>
  <c r="AK13" i="4"/>
  <c r="AK12" i="4" l="1"/>
  <c r="AK11" i="4" s="1"/>
  <c r="AJ25" i="4"/>
  <c r="AJ24" i="4" s="1"/>
  <c r="AJ18" i="4"/>
  <c r="AJ17" i="4" s="1"/>
  <c r="AK19" i="4" l="1"/>
  <c r="AL13" i="4"/>
  <c r="AL12" i="4" l="1"/>
  <c r="AL11" i="4" s="1"/>
  <c r="AK25" i="4"/>
  <c r="AK24" i="4" s="1"/>
  <c r="AK18" i="4"/>
  <c r="AK17" i="4" s="1"/>
  <c r="AL19" i="4" l="1"/>
  <c r="AM13" i="4"/>
  <c r="AM12" i="4" l="1"/>
  <c r="AM11" i="4" s="1"/>
  <c r="AL25" i="4"/>
  <c r="AL24" i="4" s="1"/>
  <c r="AL18" i="4"/>
  <c r="AL17" i="4" s="1"/>
  <c r="AM19" i="4" l="1"/>
  <c r="AN13" i="4"/>
  <c r="AN12" i="4" l="1"/>
  <c r="AN11" i="4" s="1"/>
  <c r="AM25" i="4"/>
  <c r="AM24" i="4" s="1"/>
  <c r="AM18" i="4"/>
  <c r="AM17" i="4" s="1"/>
  <c r="AN19" i="4" l="1"/>
  <c r="AO13" i="4"/>
  <c r="AO12" i="4" l="1"/>
  <c r="AO11" i="4" s="1"/>
  <c r="AN25" i="4"/>
  <c r="AN24" i="4" s="1"/>
  <c r="AN18" i="4"/>
  <c r="AN17" i="4" s="1"/>
  <c r="AO19" i="4" l="1"/>
  <c r="AP13" i="4"/>
  <c r="AP12" i="4" l="1"/>
  <c r="AP11" i="4" s="1"/>
  <c r="AO25" i="4"/>
  <c r="AO24" i="4" s="1"/>
  <c r="AO18" i="4"/>
  <c r="AO17" i="4" s="1"/>
  <c r="AP19" i="4" l="1"/>
  <c r="AQ13" i="4"/>
  <c r="AQ12" i="4" l="1"/>
  <c r="AQ11" i="4" s="1"/>
  <c r="AP25" i="4"/>
  <c r="AP24" i="4" s="1"/>
  <c r="AP18" i="4"/>
  <c r="AP17" i="4" s="1"/>
  <c r="AQ19" i="4" l="1"/>
  <c r="AR13" i="4"/>
  <c r="AR12" i="4" l="1"/>
  <c r="AR11" i="4" s="1"/>
  <c r="AQ25" i="4"/>
  <c r="AQ24" i="4" s="1"/>
  <c r="AQ18" i="4"/>
  <c r="AQ17" i="4" s="1"/>
  <c r="AR19" i="4" l="1"/>
  <c r="AS13" i="4"/>
  <c r="AS12" i="4" l="1"/>
  <c r="AS11" i="4" s="1"/>
  <c r="AR25" i="4"/>
  <c r="AR24" i="4" s="1"/>
  <c r="AR18" i="4"/>
  <c r="AR17" i="4" s="1"/>
  <c r="AS19" i="4" l="1"/>
  <c r="AT13" i="4"/>
  <c r="AT12" i="4" l="1"/>
  <c r="AT11" i="4" s="1"/>
  <c r="AS25" i="4"/>
  <c r="AS24" i="4" s="1"/>
  <c r="AS18" i="4"/>
  <c r="AS17" i="4" s="1"/>
  <c r="AT19" i="4" l="1"/>
  <c r="AU13" i="4"/>
  <c r="AU12" i="4" l="1"/>
  <c r="AU11" i="4" s="1"/>
  <c r="AT25" i="4"/>
  <c r="AT24" i="4" s="1"/>
  <c r="AT18" i="4"/>
  <c r="AT17" i="4" s="1"/>
  <c r="AU19" i="4" l="1"/>
  <c r="AV13" i="4"/>
  <c r="AV12" i="4" l="1"/>
  <c r="AV11" i="4" s="1"/>
  <c r="AU25" i="4"/>
  <c r="AU24" i="4" s="1"/>
  <c r="AU18" i="4"/>
  <c r="AU17" i="4" s="1"/>
  <c r="AV19" i="4" l="1"/>
  <c r="AW13" i="4"/>
  <c r="AW12" i="4" l="1"/>
  <c r="AW11" i="4" s="1"/>
  <c r="AV25" i="4"/>
  <c r="AV24" i="4" s="1"/>
  <c r="AV18" i="4"/>
  <c r="AV17" i="4" s="1"/>
  <c r="AW19" i="4" l="1"/>
  <c r="AX13" i="4"/>
  <c r="AX12" i="4" l="1"/>
  <c r="AX11" i="4" s="1"/>
  <c r="AW25" i="4"/>
  <c r="AW24" i="4" s="1"/>
  <c r="AW18" i="4"/>
  <c r="AW17" i="4" s="1"/>
  <c r="AX19" i="4" l="1"/>
  <c r="AY13" i="4"/>
  <c r="AY12" i="4" l="1"/>
  <c r="AY11" i="4" s="1"/>
  <c r="AX25" i="4"/>
  <c r="AX24" i="4" s="1"/>
  <c r="AX18" i="4"/>
  <c r="AX17" i="4" s="1"/>
  <c r="AY19" i="4" l="1"/>
  <c r="AZ13" i="4"/>
  <c r="AZ12" i="4" l="1"/>
  <c r="AZ11" i="4" s="1"/>
  <c r="AY25" i="4"/>
  <c r="AY24" i="4" s="1"/>
  <c r="AY18" i="4"/>
  <c r="AY17" i="4" s="1"/>
  <c r="AZ19" i="4" l="1"/>
  <c r="BA13" i="4"/>
  <c r="BA12" i="4" l="1"/>
  <c r="BA11" i="4" s="1"/>
  <c r="AZ25" i="4"/>
  <c r="AZ24" i="4" s="1"/>
  <c r="AZ18" i="4"/>
  <c r="AZ17" i="4" s="1"/>
  <c r="BA19" i="4" l="1"/>
  <c r="BB13" i="4"/>
  <c r="BA25" i="4" l="1"/>
  <c r="BA24" i="4" s="1"/>
  <c r="BA18" i="4"/>
  <c r="BA17" i="4" s="1"/>
  <c r="BB12" i="4"/>
  <c r="BB11" i="4" s="1"/>
  <c r="BC13" i="4" l="1"/>
  <c r="BB19" i="4"/>
  <c r="BB25" i="4" l="1"/>
  <c r="BB24" i="4" s="1"/>
  <c r="BB18" i="4"/>
  <c r="BB17" i="4" s="1"/>
  <c r="BC12" i="4"/>
  <c r="BC11" i="4" s="1"/>
  <c r="BD13" i="4" l="1"/>
  <c r="BC19" i="4"/>
  <c r="BC25" i="4" l="1"/>
  <c r="BC24" i="4" s="1"/>
  <c r="BC18" i="4"/>
  <c r="BC17" i="4" s="1"/>
  <c r="BD12" i="4"/>
  <c r="BD11" i="4" s="1"/>
  <c r="BE13" i="4" l="1"/>
  <c r="BE12" i="4" s="1"/>
  <c r="BE11" i="4" s="1"/>
  <c r="BD19" i="4"/>
  <c r="BD25" i="4" l="1"/>
  <c r="BD24" i="4" s="1"/>
  <c r="BD18" i="4"/>
  <c r="BD17" i="4" s="1"/>
  <c r="BF13" i="4"/>
  <c r="BF12" i="4" l="1"/>
  <c r="BF11" i="4" s="1"/>
  <c r="BE19" i="4"/>
  <c r="BE18" i="4" l="1"/>
  <c r="BE17" i="4" s="1"/>
  <c r="BE25" i="4"/>
  <c r="BE24" i="4" s="1"/>
  <c r="BG13" i="4"/>
  <c r="BG12" i="4" l="1"/>
  <c r="BG11" i="4" s="1"/>
  <c r="BF19" i="4"/>
  <c r="BF25" i="4" l="1"/>
  <c r="BF24" i="4" s="1"/>
  <c r="BF18" i="4"/>
  <c r="BF17" i="4" s="1"/>
  <c r="BH13" i="4"/>
  <c r="BG19" i="4" l="1"/>
  <c r="BH12" i="4"/>
  <c r="BH11" i="4" s="1"/>
  <c r="BI13" i="4" l="1"/>
  <c r="BG25" i="4"/>
  <c r="BG24" i="4" s="1"/>
  <c r="BG18" i="4"/>
  <c r="BG17" i="4" s="1"/>
  <c r="BH19" i="4" l="1"/>
  <c r="BI12" i="4"/>
  <c r="BI11" i="4" s="1"/>
  <c r="BJ13" i="4" l="1"/>
  <c r="BH25" i="4"/>
  <c r="BH24" i="4" s="1"/>
  <c r="BH18" i="4"/>
  <c r="BH17" i="4" s="1"/>
  <c r="BI19" i="4" l="1"/>
  <c r="BJ12" i="4"/>
  <c r="BJ11" i="4" s="1"/>
  <c r="BK13" i="4" l="1"/>
  <c r="BK12" i="4" s="1"/>
  <c r="BK11" i="4" s="1"/>
  <c r="BI25" i="4"/>
  <c r="BI24" i="4" s="1"/>
  <c r="BI18" i="4"/>
  <c r="BI17" i="4" s="1"/>
  <c r="BJ19" i="4" l="1"/>
  <c r="BL13" i="4"/>
  <c r="BL12" i="4" l="1"/>
  <c r="BL11" i="4" s="1"/>
  <c r="BJ25" i="4"/>
  <c r="BJ24" i="4" s="1"/>
  <c r="BJ18" i="4"/>
  <c r="BJ17" i="4" s="1"/>
  <c r="BK19" i="4" l="1"/>
  <c r="BM13" i="4"/>
  <c r="BM12" i="4" l="1"/>
  <c r="BM11" i="4" s="1"/>
  <c r="BK18" i="4"/>
  <c r="BK17" i="4" s="1"/>
  <c r="BK25" i="4"/>
  <c r="BK24" i="4" s="1"/>
  <c r="BL19" i="4" l="1"/>
  <c r="BN13" i="4"/>
  <c r="BN12" i="4" l="1"/>
  <c r="BN11" i="4" s="1"/>
  <c r="BL25" i="4"/>
  <c r="BL24" i="4" s="1"/>
  <c r="BL18" i="4"/>
  <c r="BL17" i="4" s="1"/>
  <c r="BM19" i="4" l="1"/>
  <c r="BO13" i="4"/>
  <c r="BO12" i="4" l="1"/>
  <c r="BM25" i="4"/>
  <c r="BM24" i="4" s="1"/>
  <c r="BM18" i="4"/>
  <c r="BM17" i="4" s="1"/>
  <c r="BN19" i="4" l="1"/>
  <c r="BO11" i="4"/>
  <c r="J4" i="4"/>
  <c r="L4" i="4" s="1"/>
  <c r="M4" i="4" l="1"/>
  <c r="N4" i="4" s="1"/>
  <c r="O4" i="4"/>
  <c r="C4" i="4"/>
  <c r="BN25" i="4"/>
  <c r="BN24" i="4" s="1"/>
  <c r="BN18" i="4"/>
  <c r="BN17" i="4" s="1"/>
  <c r="P4" i="4" l="1"/>
  <c r="BO15" i="4" s="1"/>
  <c r="BO19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BO25" i="4" l="1"/>
  <c r="BO24" i="4" s="1"/>
  <c r="J6" i="4"/>
  <c r="L6" i="4" s="1"/>
  <c r="BO18" i="4"/>
  <c r="BO17" i="4" l="1"/>
  <c r="C5" i="4" s="1"/>
  <c r="J5" i="4"/>
  <c r="L5" i="4" s="1"/>
  <c r="O6" i="4"/>
  <c r="M6" i="4"/>
  <c r="N6" i="4" s="1"/>
  <c r="P6" i="4" l="1"/>
  <c r="M5" i="4"/>
  <c r="N5" i="4" s="1"/>
  <c r="O5" i="4"/>
  <c r="P5" i="4" l="1"/>
  <c r="BO21" i="4"/>
  <c r="BO31" i="4" s="1"/>
  <c r="BO18" i="3" s="1"/>
  <c r="Y21" i="4"/>
  <c r="Y31" i="4" s="1"/>
  <c r="Y18" i="3" s="1"/>
  <c r="Z21" i="4"/>
  <c r="Z31" i="4" s="1"/>
  <c r="Z18" i="3" s="1"/>
  <c r="Z71" i="3" s="1"/>
  <c r="AA21" i="4"/>
  <c r="AA31" i="4" s="1"/>
  <c r="AA18" i="3" s="1"/>
  <c r="AA71" i="3" s="1"/>
  <c r="AB21" i="4"/>
  <c r="AB31" i="4" s="1"/>
  <c r="AB18" i="3" s="1"/>
  <c r="AB71" i="3" s="1"/>
  <c r="AC21" i="4"/>
  <c r="AC31" i="4" s="1"/>
  <c r="AC18" i="3" s="1"/>
  <c r="AC71" i="3" s="1"/>
  <c r="AD21" i="4"/>
  <c r="AD31" i="4" s="1"/>
  <c r="AD18" i="3" s="1"/>
  <c r="AD71" i="3" s="1"/>
  <c r="AE21" i="4"/>
  <c r="AE31" i="4" s="1"/>
  <c r="AE18" i="3" s="1"/>
  <c r="AE71" i="3" s="1"/>
  <c r="AF21" i="4"/>
  <c r="AF31" i="4" s="1"/>
  <c r="AF18" i="3" s="1"/>
  <c r="AF71" i="3" s="1"/>
  <c r="AG21" i="4"/>
  <c r="AG31" i="4" s="1"/>
  <c r="AG18" i="3" s="1"/>
  <c r="AG71" i="3" s="1"/>
  <c r="AH21" i="4"/>
  <c r="AH31" i="4" s="1"/>
  <c r="AH18" i="3" s="1"/>
  <c r="AH71" i="3" s="1"/>
  <c r="AI21" i="4"/>
  <c r="AI31" i="4" s="1"/>
  <c r="AI18" i="3" s="1"/>
  <c r="AI71" i="3" s="1"/>
  <c r="AJ21" i="4"/>
  <c r="AJ31" i="4" s="1"/>
  <c r="AJ18" i="3" s="1"/>
  <c r="AJ71" i="3" s="1"/>
  <c r="AK21" i="4"/>
  <c r="AK31" i="4" s="1"/>
  <c r="AK18" i="3" s="1"/>
  <c r="AK71" i="3" s="1"/>
  <c r="AL21" i="4"/>
  <c r="AL31" i="4" s="1"/>
  <c r="AL18" i="3" s="1"/>
  <c r="AL71" i="3" s="1"/>
  <c r="AM21" i="4"/>
  <c r="AM31" i="4" s="1"/>
  <c r="AM18" i="3" s="1"/>
  <c r="AM71" i="3" s="1"/>
  <c r="AN21" i="4"/>
  <c r="AN31" i="4" s="1"/>
  <c r="AN18" i="3" s="1"/>
  <c r="AN71" i="3" s="1"/>
  <c r="AO21" i="4"/>
  <c r="AO31" i="4" s="1"/>
  <c r="AO18" i="3" s="1"/>
  <c r="AO71" i="3" s="1"/>
  <c r="AP21" i="4"/>
  <c r="AP31" i="4" s="1"/>
  <c r="AP18" i="3" s="1"/>
  <c r="AP71" i="3" s="1"/>
  <c r="AQ21" i="4"/>
  <c r="AQ31" i="4" s="1"/>
  <c r="AQ18" i="3" s="1"/>
  <c r="AQ71" i="3" s="1"/>
  <c r="AR21" i="4"/>
  <c r="AR31" i="4" s="1"/>
  <c r="AR18" i="3" s="1"/>
  <c r="AR71" i="3" s="1"/>
  <c r="AS21" i="4"/>
  <c r="AS31" i="4" s="1"/>
  <c r="AS18" i="3" s="1"/>
  <c r="AS71" i="3" s="1"/>
  <c r="AT21" i="4"/>
  <c r="AT31" i="4" s="1"/>
  <c r="AT18" i="3" s="1"/>
  <c r="AT71" i="3" s="1"/>
  <c r="AU21" i="4"/>
  <c r="AU31" i="4" s="1"/>
  <c r="AU18" i="3" s="1"/>
  <c r="AU71" i="3" s="1"/>
  <c r="AV21" i="4"/>
  <c r="AV31" i="4" s="1"/>
  <c r="AV18" i="3" s="1"/>
  <c r="AV71" i="3" s="1"/>
  <c r="AW21" i="4"/>
  <c r="AW31" i="4" s="1"/>
  <c r="AW18" i="3" s="1"/>
  <c r="AW71" i="3" s="1"/>
  <c r="AX21" i="4"/>
  <c r="AX31" i="4" s="1"/>
  <c r="AX18" i="3" s="1"/>
  <c r="AX71" i="3" s="1"/>
  <c r="AY21" i="4"/>
  <c r="AY31" i="4" s="1"/>
  <c r="AY18" i="3" s="1"/>
  <c r="AY71" i="3" s="1"/>
  <c r="AZ21" i="4"/>
  <c r="AZ31" i="4" s="1"/>
  <c r="AZ18" i="3" s="1"/>
  <c r="AZ71" i="3" s="1"/>
  <c r="BA21" i="4"/>
  <c r="BA31" i="4" s="1"/>
  <c r="BA18" i="3" s="1"/>
  <c r="BA71" i="3" s="1"/>
  <c r="BB21" i="4"/>
  <c r="BB31" i="4" s="1"/>
  <c r="BB18" i="3" s="1"/>
  <c r="BB71" i="3" s="1"/>
  <c r="BC21" i="4"/>
  <c r="BC31" i="4" s="1"/>
  <c r="BC18" i="3" s="1"/>
  <c r="BC71" i="3" s="1"/>
  <c r="BD21" i="4"/>
  <c r="BD31" i="4" s="1"/>
  <c r="BD18" i="3" s="1"/>
  <c r="BD71" i="3" s="1"/>
  <c r="BE21" i="4"/>
  <c r="BE31" i="4" s="1"/>
  <c r="BE18" i="3" s="1"/>
  <c r="BE71" i="3" s="1"/>
  <c r="BF21" i="4"/>
  <c r="BF31" i="4" s="1"/>
  <c r="BF18" i="3" s="1"/>
  <c r="BF71" i="3" s="1"/>
  <c r="BG21" i="4"/>
  <c r="BG31" i="4" s="1"/>
  <c r="BG18" i="3" s="1"/>
  <c r="BG71" i="3" s="1"/>
  <c r="BH21" i="4"/>
  <c r="BH31" i="4" s="1"/>
  <c r="BH18" i="3" s="1"/>
  <c r="BH71" i="3" s="1"/>
  <c r="BI21" i="4"/>
  <c r="BI31" i="4" s="1"/>
  <c r="BI18" i="3" s="1"/>
  <c r="BI71" i="3" s="1"/>
  <c r="BJ21" i="4"/>
  <c r="BJ31" i="4" s="1"/>
  <c r="BJ18" i="3" s="1"/>
  <c r="BJ71" i="3" s="1"/>
  <c r="BK21" i="4"/>
  <c r="BK31" i="4" s="1"/>
  <c r="BK18" i="3" s="1"/>
  <c r="BK71" i="3" s="1"/>
  <c r="BL21" i="4"/>
  <c r="BL31" i="4" s="1"/>
  <c r="BL18" i="3" s="1"/>
  <c r="BL71" i="3" s="1"/>
  <c r="BM21" i="4"/>
  <c r="BM31" i="4" s="1"/>
  <c r="BM18" i="3" s="1"/>
  <c r="BM71" i="3" s="1"/>
  <c r="BN21" i="4"/>
  <c r="BN31" i="4" s="1"/>
  <c r="BN18" i="3" s="1"/>
  <c r="BN71" i="3" s="1"/>
  <c r="BO20" i="4"/>
  <c r="BO30" i="4" s="1"/>
  <c r="BO20" i="3" s="1"/>
  <c r="Y20" i="4"/>
  <c r="Y30" i="4" s="1"/>
  <c r="Y20" i="3" s="1"/>
  <c r="Z20" i="4"/>
  <c r="Z30" i="4" s="1"/>
  <c r="Z20" i="3" s="1"/>
  <c r="AA20" i="4"/>
  <c r="AA30" i="4" s="1"/>
  <c r="AA20" i="3" s="1"/>
  <c r="AB20" i="4"/>
  <c r="AB30" i="4" s="1"/>
  <c r="AB20" i="3" s="1"/>
  <c r="AC20" i="4"/>
  <c r="AC30" i="4" s="1"/>
  <c r="AC20" i="3" s="1"/>
  <c r="AD20" i="4"/>
  <c r="AD30" i="4" s="1"/>
  <c r="AD20" i="3" s="1"/>
  <c r="AE20" i="4"/>
  <c r="AE30" i="4" s="1"/>
  <c r="AE20" i="3" s="1"/>
  <c r="AF20" i="4"/>
  <c r="AF30" i="4" s="1"/>
  <c r="AF20" i="3" s="1"/>
  <c r="AG20" i="4"/>
  <c r="AG30" i="4" s="1"/>
  <c r="AG20" i="3" s="1"/>
  <c r="AH20" i="4"/>
  <c r="AH30" i="4" s="1"/>
  <c r="AH20" i="3" s="1"/>
  <c r="AI20" i="4"/>
  <c r="AI30" i="4" s="1"/>
  <c r="AI20" i="3" s="1"/>
  <c r="AJ20" i="4"/>
  <c r="AJ30" i="4" s="1"/>
  <c r="AJ20" i="3" s="1"/>
  <c r="AK20" i="4"/>
  <c r="AK30" i="4" s="1"/>
  <c r="AK20" i="3" s="1"/>
  <c r="AL20" i="4"/>
  <c r="AL30" i="4" s="1"/>
  <c r="AL20" i="3" s="1"/>
  <c r="AM20" i="4"/>
  <c r="AM30" i="4" s="1"/>
  <c r="AM20" i="3" s="1"/>
  <c r="AN20" i="4"/>
  <c r="AN30" i="4" s="1"/>
  <c r="AN20" i="3" s="1"/>
  <c r="AO20" i="4"/>
  <c r="AO30" i="4" s="1"/>
  <c r="AO20" i="3" s="1"/>
  <c r="AP20" i="4"/>
  <c r="AP30" i="4" s="1"/>
  <c r="AP20" i="3" s="1"/>
  <c r="AQ20" i="4"/>
  <c r="AQ30" i="4" s="1"/>
  <c r="AQ20" i="3" s="1"/>
  <c r="AR20" i="4"/>
  <c r="AR30" i="4" s="1"/>
  <c r="AR20" i="3" s="1"/>
  <c r="AS20" i="4"/>
  <c r="AS30" i="4" s="1"/>
  <c r="AS20" i="3" s="1"/>
  <c r="AT20" i="4"/>
  <c r="AT30" i="4" s="1"/>
  <c r="AT20" i="3" s="1"/>
  <c r="AU20" i="4"/>
  <c r="AU30" i="4" s="1"/>
  <c r="AU20" i="3" s="1"/>
  <c r="AV20" i="4"/>
  <c r="AV30" i="4" s="1"/>
  <c r="AV20" i="3" s="1"/>
  <c r="AW20" i="4"/>
  <c r="AW30" i="4" s="1"/>
  <c r="AW20" i="3" s="1"/>
  <c r="AX20" i="4"/>
  <c r="AX30" i="4" s="1"/>
  <c r="AX20" i="3" s="1"/>
  <c r="AY20" i="4"/>
  <c r="AY30" i="4" s="1"/>
  <c r="AY20" i="3" s="1"/>
  <c r="AZ20" i="4"/>
  <c r="AZ30" i="4" s="1"/>
  <c r="AZ20" i="3" s="1"/>
  <c r="BA20" i="4"/>
  <c r="BA30" i="4" s="1"/>
  <c r="BA20" i="3" s="1"/>
  <c r="BB20" i="4"/>
  <c r="BB30" i="4" s="1"/>
  <c r="BB20" i="3" s="1"/>
  <c r="BC20" i="4"/>
  <c r="BC30" i="4" s="1"/>
  <c r="BC20" i="3" s="1"/>
  <c r="BD20" i="4"/>
  <c r="BD30" i="4" s="1"/>
  <c r="BD20" i="3" s="1"/>
  <c r="BE20" i="4"/>
  <c r="BE30" i="4" s="1"/>
  <c r="BE20" i="3" s="1"/>
  <c r="BF20" i="4"/>
  <c r="BF30" i="4" s="1"/>
  <c r="BF20" i="3" s="1"/>
  <c r="BG20" i="4"/>
  <c r="BG30" i="4" s="1"/>
  <c r="BG20" i="3" s="1"/>
  <c r="BH20" i="4"/>
  <c r="BH30" i="4" s="1"/>
  <c r="BH20" i="3" s="1"/>
  <c r="BI20" i="4"/>
  <c r="BI30" i="4" s="1"/>
  <c r="BI20" i="3" s="1"/>
  <c r="BJ20" i="4"/>
  <c r="BJ30" i="4" s="1"/>
  <c r="BJ20" i="3" s="1"/>
  <c r="BK20" i="4"/>
  <c r="BK30" i="4" s="1"/>
  <c r="BK20" i="3" s="1"/>
  <c r="BL20" i="4"/>
  <c r="BL30" i="4" s="1"/>
  <c r="BL20" i="3" s="1"/>
  <c r="BM20" i="4"/>
  <c r="BM30" i="4" s="1"/>
  <c r="BM20" i="3" s="1"/>
  <c r="BN20" i="4"/>
  <c r="BN30" i="4" s="1"/>
  <c r="BN20" i="3" s="1"/>
  <c r="AR46" i="3" l="1"/>
  <c r="AR73" i="3"/>
  <c r="BG46" i="3"/>
  <c r="BG73" i="3"/>
  <c r="AY73" i="3"/>
  <c r="AY46" i="3"/>
  <c r="AQ73" i="3"/>
  <c r="AQ77" i="3" s="1"/>
  <c r="AQ46" i="3"/>
  <c r="AI73" i="3"/>
  <c r="AI46" i="3"/>
  <c r="AA46" i="3"/>
  <c r="AA73" i="3"/>
  <c r="AX73" i="3"/>
  <c r="AX46" i="3"/>
  <c r="AP46" i="3"/>
  <c r="AP73" i="3"/>
  <c r="AP77" i="3" s="1"/>
  <c r="AH46" i="3"/>
  <c r="AH73" i="3"/>
  <c r="Z73" i="3"/>
  <c r="Z46" i="3"/>
  <c r="BH73" i="3"/>
  <c r="BH46" i="3"/>
  <c r="AJ73" i="3"/>
  <c r="AJ77" i="3" s="1"/>
  <c r="AJ46" i="3"/>
  <c r="BN46" i="3"/>
  <c r="BN73" i="3"/>
  <c r="BE73" i="3"/>
  <c r="BE46" i="3"/>
  <c r="AW73" i="3"/>
  <c r="AW46" i="3"/>
  <c r="AO73" i="3"/>
  <c r="AO46" i="3"/>
  <c r="AG46" i="3"/>
  <c r="AG73" i="3"/>
  <c r="Y73" i="3"/>
  <c r="Y46" i="3"/>
  <c r="BH77" i="3"/>
  <c r="BM73" i="3"/>
  <c r="BM46" i="3"/>
  <c r="BD73" i="3"/>
  <c r="BD46" i="3"/>
  <c r="AV73" i="3"/>
  <c r="AV46" i="3"/>
  <c r="AN73" i="3"/>
  <c r="AN46" i="3"/>
  <c r="AF46" i="3"/>
  <c r="AF73" i="3"/>
  <c r="BP20" i="3"/>
  <c r="BS20" i="3" s="1"/>
  <c r="BO73" i="3"/>
  <c r="BO46" i="3"/>
  <c r="AY77" i="3"/>
  <c r="AA77" i="3"/>
  <c r="AZ46" i="3"/>
  <c r="AZ73" i="3"/>
  <c r="AZ77" i="3" s="1"/>
  <c r="AB73" i="3"/>
  <c r="AB77" i="3" s="1"/>
  <c r="AB46" i="3"/>
  <c r="BF73" i="3"/>
  <c r="BF77" i="3" s="1"/>
  <c r="BF46" i="3"/>
  <c r="BK73" i="3"/>
  <c r="BK77" i="3" s="1"/>
  <c r="BK46" i="3"/>
  <c r="BC73" i="3"/>
  <c r="BC77" i="3" s="1"/>
  <c r="BC46" i="3"/>
  <c r="AU46" i="3"/>
  <c r="AU73" i="3"/>
  <c r="AM46" i="3"/>
  <c r="AM73" i="3"/>
  <c r="AM77" i="3" s="1"/>
  <c r="AE46" i="3"/>
  <c r="AE73" i="3"/>
  <c r="AE77" i="3" s="1"/>
  <c r="BN77" i="3"/>
  <c r="AH77" i="3"/>
  <c r="BL46" i="3"/>
  <c r="BL73" i="3"/>
  <c r="BL77" i="3" s="1"/>
  <c r="BJ46" i="3"/>
  <c r="BJ73" i="3"/>
  <c r="BB46" i="3"/>
  <c r="BB73" i="3"/>
  <c r="BB77" i="3" s="1"/>
  <c r="AT46" i="3"/>
  <c r="AT73" i="3"/>
  <c r="AT77" i="3" s="1"/>
  <c r="AL46" i="3"/>
  <c r="AL73" i="3"/>
  <c r="AD46" i="3"/>
  <c r="AD73" i="3"/>
  <c r="AD77" i="3" s="1"/>
  <c r="BE77" i="3"/>
  <c r="AW77" i="3"/>
  <c r="AG77" i="3"/>
  <c r="Y71" i="3"/>
  <c r="Y24" i="3"/>
  <c r="BI73" i="3"/>
  <c r="BI77" i="3" s="1"/>
  <c r="BI46" i="3"/>
  <c r="BA46" i="3"/>
  <c r="BA73" i="3"/>
  <c r="AS73" i="3"/>
  <c r="AS77" i="3" s="1"/>
  <c r="AS46" i="3"/>
  <c r="AK46" i="3"/>
  <c r="AK73" i="3"/>
  <c r="AK77" i="3" s="1"/>
  <c r="AC73" i="3"/>
  <c r="AC46" i="3"/>
  <c r="AV77" i="3"/>
  <c r="AN77" i="3"/>
  <c r="BO71" i="3"/>
  <c r="BO77" i="3" s="1"/>
  <c r="BP18" i="3"/>
  <c r="BP71" i="3" s="1"/>
  <c r="BS18" i="3" l="1"/>
  <c r="AK88" i="3"/>
  <c r="AL47" i="3"/>
  <c r="BS71" i="3"/>
  <c r="Y77" i="3"/>
  <c r="Y75" i="3"/>
  <c r="AL88" i="3"/>
  <c r="AM47" i="3"/>
  <c r="AM49" i="3" s="1"/>
  <c r="BN88" i="3"/>
  <c r="BO47" i="3"/>
  <c r="BO49" i="3" s="1"/>
  <c r="AN88" i="3"/>
  <c r="AO47" i="3"/>
  <c r="AO49" i="3" s="1"/>
  <c r="AI88" i="3"/>
  <c r="AJ47" i="3"/>
  <c r="AJ49" i="3" s="1"/>
  <c r="AY47" i="3"/>
  <c r="AY49" i="3" s="1"/>
  <c r="AX88" i="3"/>
  <c r="BL47" i="3"/>
  <c r="BL49" i="3" s="1"/>
  <c r="BK88" i="3"/>
  <c r="BC88" i="3"/>
  <c r="BD47" i="3"/>
  <c r="Z47" i="3"/>
  <c r="Y88" i="3"/>
  <c r="AS88" i="3"/>
  <c r="AT47" i="3"/>
  <c r="AT49" i="3" s="1"/>
  <c r="AT88" i="3"/>
  <c r="AU47" i="3"/>
  <c r="BP73" i="3"/>
  <c r="BP46" i="3"/>
  <c r="BS46" i="3" s="1"/>
  <c r="AV88" i="3"/>
  <c r="AW47" i="3"/>
  <c r="AW49" i="3" s="1"/>
  <c r="BG88" i="3"/>
  <c r="BH47" i="3"/>
  <c r="BH49" i="3" s="1"/>
  <c r="AH47" i="3"/>
  <c r="AH49" i="3" s="1"/>
  <c r="AG88" i="3"/>
  <c r="AF88" i="3"/>
  <c r="AG47" i="3"/>
  <c r="AG49" i="3" s="1"/>
  <c r="AA88" i="3"/>
  <c r="AB47" i="3"/>
  <c r="AB49" i="3" s="1"/>
  <c r="BA47" i="3"/>
  <c r="BA49" i="3" s="1"/>
  <c r="AZ88" i="3"/>
  <c r="AB88" i="3"/>
  <c r="AC47" i="3"/>
  <c r="AC49" i="3" s="1"/>
  <c r="BI47" i="3"/>
  <c r="BI49" i="3" s="1"/>
  <c r="BH88" i="3"/>
  <c r="BA88" i="3"/>
  <c r="BB47" i="3"/>
  <c r="BB49" i="3" s="1"/>
  <c r="BB88" i="3"/>
  <c r="BC47" i="3"/>
  <c r="BC49" i="3" s="1"/>
  <c r="BM47" i="3"/>
  <c r="BM49" i="3" s="1"/>
  <c r="BL88" i="3"/>
  <c r="X88" i="3"/>
  <c r="Y47" i="3"/>
  <c r="AA47" i="3"/>
  <c r="AA49" i="3" s="1"/>
  <c r="Z88" i="3"/>
  <c r="BG47" i="3"/>
  <c r="BF88" i="3"/>
  <c r="BM88" i="3"/>
  <c r="BN47" i="3"/>
  <c r="BN49" i="3" s="1"/>
  <c r="AY88" i="3"/>
  <c r="AZ47" i="3"/>
  <c r="AZ49" i="3" s="1"/>
  <c r="AE88" i="3"/>
  <c r="AF47" i="3"/>
  <c r="BS73" i="3"/>
  <c r="BD88" i="3"/>
  <c r="BE47" i="3"/>
  <c r="BE49" i="3" s="1"/>
  <c r="AO88" i="3"/>
  <c r="AP47" i="3"/>
  <c r="AP49" i="3" s="1"/>
  <c r="AH88" i="3"/>
  <c r="AI47" i="3"/>
  <c r="BE88" i="3"/>
  <c r="BF47" i="3"/>
  <c r="BF49" i="3" s="1"/>
  <c r="AC88" i="3"/>
  <c r="AD47" i="3"/>
  <c r="AD49" i="3" s="1"/>
  <c r="BI88" i="3"/>
  <c r="BJ47" i="3"/>
  <c r="BJ88" i="3"/>
  <c r="BK47" i="3"/>
  <c r="BK49" i="3" s="1"/>
  <c r="AM88" i="3"/>
  <c r="AN47" i="3"/>
  <c r="AN49" i="3" s="1"/>
  <c r="AX47" i="3"/>
  <c r="AW88" i="3"/>
  <c r="AR88" i="3"/>
  <c r="AS47" i="3"/>
  <c r="AS49" i="3" s="1"/>
  <c r="AV47" i="3"/>
  <c r="AV49" i="3" s="1"/>
  <c r="AU88" i="3"/>
  <c r="AJ88" i="3"/>
  <c r="AK47" i="3"/>
  <c r="AK49" i="3" s="1"/>
  <c r="Y26" i="3"/>
  <c r="AE47" i="3"/>
  <c r="AE49" i="3" s="1"/>
  <c r="AD88" i="3"/>
  <c r="AQ47" i="3"/>
  <c r="AQ49" i="3" s="1"/>
  <c r="AP88" i="3"/>
  <c r="AQ88" i="3"/>
  <c r="AR47" i="3"/>
  <c r="BG49" i="3" l="1"/>
  <c r="BJ22" i="3"/>
  <c r="AI22" i="3"/>
  <c r="AR48" i="3"/>
  <c r="AR22" i="3" s="1"/>
  <c r="AF49" i="3"/>
  <c r="AI49" i="3"/>
  <c r="AL22" i="3"/>
  <c r="AU22" i="3"/>
  <c r="BD48" i="3"/>
  <c r="BD22" i="3" s="1"/>
  <c r="AF48" i="3"/>
  <c r="Y49" i="3"/>
  <c r="Y50" i="3" s="1"/>
  <c r="Z22" i="3"/>
  <c r="Z49" i="3"/>
  <c r="AC22" i="3"/>
  <c r="AX49" i="3"/>
  <c r="BA22" i="3"/>
  <c r="BJ49" i="3"/>
  <c r="BM22" i="3"/>
  <c r="BP47" i="3"/>
  <c r="BO88" i="3"/>
  <c r="BG22" i="3"/>
  <c r="BP48" i="3"/>
  <c r="BP22" i="3" s="1"/>
  <c r="BV47" i="3"/>
  <c r="AO22" i="3"/>
  <c r="AL49" i="3"/>
  <c r="AU49" i="3"/>
  <c r="AX22" i="3"/>
  <c r="Z50" i="3" l="1"/>
  <c r="AA50" i="3" s="1"/>
  <c r="AB50" i="3" s="1"/>
  <c r="AC50" i="3" s="1"/>
  <c r="AD50" i="3" s="1"/>
  <c r="AE50" i="3" s="1"/>
  <c r="AF50" i="3" s="1"/>
  <c r="AG50" i="3" s="1"/>
  <c r="AH50" i="3" s="1"/>
  <c r="AI50" i="3" s="1"/>
  <c r="AJ50" i="3" s="1"/>
  <c r="AK50" i="3" s="1"/>
  <c r="AL50" i="3" s="1"/>
  <c r="AM50" i="3" s="1"/>
  <c r="AN50" i="3" s="1"/>
  <c r="AO50" i="3" s="1"/>
  <c r="AP50" i="3" s="1"/>
  <c r="AQ50" i="3" s="1"/>
  <c r="BO87" i="3"/>
  <c r="BP74" i="3"/>
  <c r="BP77" i="3" s="1"/>
  <c r="AX74" i="3"/>
  <c r="AX77" i="3" s="1"/>
  <c r="AW87" i="3"/>
  <c r="AL74" i="3"/>
  <c r="AL77" i="3" s="1"/>
  <c r="AK87" i="3"/>
  <c r="BG74" i="3"/>
  <c r="BG77" i="3" s="1"/>
  <c r="BF87" i="3"/>
  <c r="Z74" i="3"/>
  <c r="Y87" i="3"/>
  <c r="Z24" i="3"/>
  <c r="AC74" i="3"/>
  <c r="AC77" i="3" s="1"/>
  <c r="AB87" i="3"/>
  <c r="AQ87" i="3"/>
  <c r="AR74" i="3"/>
  <c r="AR49" i="3"/>
  <c r="AR50" i="3" s="1"/>
  <c r="AS50" i="3" s="1"/>
  <c r="AT50" i="3" s="1"/>
  <c r="AU50" i="3" s="1"/>
  <c r="AV50" i="3" s="1"/>
  <c r="AW50" i="3" s="1"/>
  <c r="AX50" i="3" s="1"/>
  <c r="AY50" i="3" s="1"/>
  <c r="AZ50" i="3" s="1"/>
  <c r="BA50" i="3" s="1"/>
  <c r="BB50" i="3" s="1"/>
  <c r="BC50" i="3" s="1"/>
  <c r="BD50" i="3" s="1"/>
  <c r="BE50" i="3" s="1"/>
  <c r="BF50" i="3" s="1"/>
  <c r="BG50" i="3" s="1"/>
  <c r="BH50" i="3" s="1"/>
  <c r="BI50" i="3" s="1"/>
  <c r="BJ50" i="3" s="1"/>
  <c r="BK50" i="3" s="1"/>
  <c r="BL50" i="3" s="1"/>
  <c r="BM50" i="3" s="1"/>
  <c r="BN50" i="3" s="1"/>
  <c r="BO50" i="3" s="1"/>
  <c r="BP50" i="3" s="1"/>
  <c r="AI74" i="3"/>
  <c r="AI77" i="3" s="1"/>
  <c r="AH87" i="3"/>
  <c r="BM74" i="3"/>
  <c r="BM77" i="3" s="1"/>
  <c r="BL87" i="3"/>
  <c r="BA74" i="3"/>
  <c r="BA77" i="3" s="1"/>
  <c r="AZ87" i="3"/>
  <c r="BJ74" i="3"/>
  <c r="BJ77" i="3" s="1"/>
  <c r="BI87" i="3"/>
  <c r="BP49" i="3"/>
  <c r="AN87" i="3"/>
  <c r="AO74" i="3"/>
  <c r="AO77" i="3" s="1"/>
  <c r="AF22" i="3"/>
  <c r="BS48" i="3"/>
  <c r="BC87" i="3"/>
  <c r="BD74" i="3"/>
  <c r="BD77" i="3" s="1"/>
  <c r="BD49" i="3"/>
  <c r="AT87" i="3"/>
  <c r="AU74" i="3"/>
  <c r="AU77" i="3" s="1"/>
  <c r="Z26" i="3" l="1"/>
  <c r="AA24" i="3"/>
  <c r="AF74" i="3"/>
  <c r="AF77" i="3" s="1"/>
  <c r="AE87" i="3"/>
  <c r="BS22" i="3"/>
  <c r="AR77" i="3"/>
  <c r="BV48" i="3"/>
  <c r="BS49" i="3"/>
  <c r="Z77" i="3"/>
  <c r="Z76" i="3"/>
  <c r="AA76" i="3" s="1"/>
  <c r="AB76" i="3" s="1"/>
  <c r="AC76" i="3" s="1"/>
  <c r="AD76" i="3" s="1"/>
  <c r="AE76" i="3" s="1"/>
  <c r="AF76" i="3" s="1"/>
  <c r="AG76" i="3" s="1"/>
  <c r="AH76" i="3" s="1"/>
  <c r="AI76" i="3" s="1"/>
  <c r="AJ76" i="3" s="1"/>
  <c r="AK76" i="3" s="1"/>
  <c r="AL76" i="3" s="1"/>
  <c r="AM76" i="3" s="1"/>
  <c r="AN76" i="3" s="1"/>
  <c r="AO76" i="3" s="1"/>
  <c r="AP76" i="3" s="1"/>
  <c r="AQ76" i="3" s="1"/>
  <c r="AR76" i="3" s="1"/>
  <c r="AS76" i="3" s="1"/>
  <c r="AT76" i="3" s="1"/>
  <c r="AU76" i="3" s="1"/>
  <c r="AV76" i="3" s="1"/>
  <c r="AW76" i="3" s="1"/>
  <c r="AX76" i="3" s="1"/>
  <c r="AY76" i="3" s="1"/>
  <c r="AZ76" i="3" s="1"/>
  <c r="BA76" i="3" s="1"/>
  <c r="BB76" i="3" s="1"/>
  <c r="BC76" i="3" s="1"/>
  <c r="BD76" i="3" s="1"/>
  <c r="BE76" i="3" s="1"/>
  <c r="BF76" i="3" s="1"/>
  <c r="BG76" i="3" s="1"/>
  <c r="BH76" i="3" s="1"/>
  <c r="BI76" i="3" s="1"/>
  <c r="BJ76" i="3" s="1"/>
  <c r="BK76" i="3" s="1"/>
  <c r="BL76" i="3" s="1"/>
  <c r="BM76" i="3" s="1"/>
  <c r="BN76" i="3" s="1"/>
  <c r="BO76" i="3" s="1"/>
  <c r="BP76" i="3" s="1"/>
  <c r="BS74" i="3"/>
  <c r="BS75" i="3" s="1"/>
  <c r="Z75" i="3"/>
  <c r="AA75" i="3" s="1"/>
  <c r="AB75" i="3" s="1"/>
  <c r="AC75" i="3" s="1"/>
  <c r="AD75" i="3" s="1"/>
  <c r="AE75" i="3" s="1"/>
  <c r="AF75" i="3" s="1"/>
  <c r="AG75" i="3" s="1"/>
  <c r="AH75" i="3" s="1"/>
  <c r="AI75" i="3" s="1"/>
  <c r="AJ75" i="3" s="1"/>
  <c r="AK75" i="3" s="1"/>
  <c r="AL75" i="3" s="1"/>
  <c r="AM75" i="3" s="1"/>
  <c r="AN75" i="3" s="1"/>
  <c r="AO75" i="3" s="1"/>
  <c r="AP75" i="3" s="1"/>
  <c r="AQ75" i="3" s="1"/>
  <c r="AR75" i="3" s="1"/>
  <c r="AS75" i="3" s="1"/>
  <c r="AT75" i="3" s="1"/>
  <c r="AU75" i="3" s="1"/>
  <c r="AV75" i="3" s="1"/>
  <c r="AW75" i="3" s="1"/>
  <c r="AX75" i="3" s="1"/>
  <c r="AY75" i="3" s="1"/>
  <c r="AZ75" i="3" s="1"/>
  <c r="BA75" i="3" s="1"/>
  <c r="BB75" i="3" s="1"/>
  <c r="BC75" i="3" s="1"/>
  <c r="BD75" i="3" s="1"/>
  <c r="BE75" i="3" s="1"/>
  <c r="BF75" i="3" s="1"/>
  <c r="BG75" i="3" s="1"/>
  <c r="BH75" i="3" s="1"/>
  <c r="BI75" i="3" s="1"/>
  <c r="BJ75" i="3" s="1"/>
  <c r="BK75" i="3" s="1"/>
  <c r="BL75" i="3" s="1"/>
  <c r="BM75" i="3" s="1"/>
  <c r="BN75" i="3" s="1"/>
  <c r="BO75" i="3" s="1"/>
  <c r="BP75" i="3" s="1"/>
  <c r="AA26" i="3" l="1"/>
  <c r="AB24" i="3"/>
  <c r="AB26" i="3" l="1"/>
  <c r="AC24" i="3"/>
  <c r="AC26" i="3" l="1"/>
  <c r="AD24" i="3"/>
  <c r="AD26" i="3" l="1"/>
  <c r="AE24" i="3"/>
  <c r="AE26" i="3" l="1"/>
  <c r="AF24" i="3"/>
  <c r="AF26" i="3" l="1"/>
  <c r="AG24" i="3"/>
  <c r="AH24" i="3" l="1"/>
  <c r="AG26" i="3"/>
  <c r="AH26" i="3" l="1"/>
  <c r="AI24" i="3"/>
  <c r="AI26" i="3" l="1"/>
  <c r="AJ24" i="3"/>
  <c r="AK24" i="3" l="1"/>
  <c r="AJ26" i="3"/>
  <c r="AK26" i="3" l="1"/>
  <c r="AL24" i="3"/>
  <c r="AL26" i="3" l="1"/>
  <c r="AM24" i="3"/>
  <c r="AM26" i="3" l="1"/>
  <c r="AN24" i="3"/>
  <c r="AN26" i="3" l="1"/>
  <c r="AO24" i="3"/>
  <c r="AO26" i="3" l="1"/>
  <c r="AP24" i="3"/>
  <c r="AP26" i="3" l="1"/>
  <c r="AQ24" i="3"/>
  <c r="AQ26" i="3" l="1"/>
  <c r="AR23" i="3"/>
  <c r="AR24" i="3"/>
  <c r="AR26" i="3" l="1"/>
  <c r="AS24" i="3"/>
  <c r="AS26" i="3" l="1"/>
  <c r="AT24" i="3"/>
  <c r="AT26" i="3" l="1"/>
  <c r="AU24" i="3"/>
  <c r="AU26" i="3" l="1"/>
  <c r="AV24" i="3"/>
  <c r="AV26" i="3" l="1"/>
  <c r="AW24" i="3"/>
  <c r="AW26" i="3" l="1"/>
  <c r="AX24" i="3"/>
  <c r="AX26" i="3" l="1"/>
  <c r="AY24" i="3"/>
  <c r="AY26" i="3" l="1"/>
  <c r="AZ24" i="3"/>
  <c r="BA24" i="3" l="1"/>
  <c r="AZ26" i="3"/>
  <c r="BA26" i="3" l="1"/>
  <c r="BB24" i="3"/>
  <c r="BB26" i="3" l="1"/>
  <c r="BC24" i="3"/>
  <c r="BD23" i="3" l="1"/>
  <c r="BC26" i="3"/>
  <c r="BD24" i="3"/>
  <c r="BD26" i="3" l="1"/>
  <c r="BE24" i="3"/>
  <c r="BE26" i="3" l="1"/>
  <c r="BF24" i="3"/>
  <c r="BF26" i="3" l="1"/>
  <c r="BG24" i="3"/>
  <c r="BG26" i="3" l="1"/>
  <c r="BH24" i="3"/>
  <c r="BH26" i="3" l="1"/>
  <c r="BI24" i="3"/>
  <c r="BI26" i="3" l="1"/>
  <c r="BJ24" i="3"/>
  <c r="BJ26" i="3" l="1"/>
  <c r="BK24" i="3"/>
  <c r="BK26" i="3" l="1"/>
  <c r="BL24" i="3"/>
  <c r="BL26" i="3" l="1"/>
  <c r="BM24" i="3"/>
  <c r="BM26" i="3" l="1"/>
  <c r="BN24" i="3"/>
  <c r="BN26" i="3" l="1"/>
  <c r="BO24" i="3"/>
  <c r="BP23" i="3" l="1"/>
  <c r="D21" i="3" s="1"/>
  <c r="D22" i="3" s="1"/>
  <c r="BO26" i="3"/>
  <c r="BP24" i="3"/>
  <c r="BP26" i="3" s="1"/>
  <c r="D126" i="3" l="1"/>
  <c r="D127" i="3" s="1"/>
  <c r="D76" i="3"/>
  <c r="D77" i="3" s="1"/>
  <c r="D276" i="3"/>
  <c r="D277" i="3" s="1"/>
  <c r="D176" i="3"/>
  <c r="D177" i="3" s="1"/>
  <c r="D426" i="3"/>
  <c r="D427" i="3" s="1"/>
  <c r="D376" i="3"/>
  <c r="D377" i="3" s="1"/>
  <c r="BS23" i="3"/>
  <c r="BS24" i="3" s="1"/>
  <c r="D326" i="3"/>
  <c r="D327" i="3" s="1"/>
  <c r="D226" i="3"/>
  <c r="D2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<sst xmlns="http://schemas.openxmlformats.org/spreadsheetml/2006/main" count="1887" uniqueCount="396">
  <si>
    <t>Sales</t>
  </si>
  <si>
    <t>Month</t>
  </si>
  <si>
    <t xml:space="preserve">Month 1 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</si>
  <si>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</si>
  <si>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</si>
  <si>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</si>
  <si>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</si>
  <si>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</si>
  <si>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</si>
  <si>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</si>
  <si>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</si>
  <si>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</si>
  <si>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</si>
  <si>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</si>
  <si>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</si>
  <si>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</si>
  <si>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</si>
  <si>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</si>
  <si>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</si>
  <si>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</si>
  <si>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</si>
  <si>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</si>
  <si>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</si>
  <si>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</si>
  <si>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</si>
  <si>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</si>
  <si>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PRO Users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</si>
  <si>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</si>
  <si>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</si>
  <si>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</si>
  <si>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</si>
  <si>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</si>
  <si>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</si>
  <si>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</si>
  <si>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</si>
  <si>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</si>
  <si>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</si>
  <si>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</si>
  <si>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</si>
  <si>
    <t>Salaries</t>
  </si>
  <si>
    <t>Electronic Engineers</t>
  </si>
  <si>
    <t>Marketing</t>
  </si>
  <si>
    <t>Users</t>
  </si>
  <si>
    <t>MARKET</t>
  </si>
  <si>
    <t>People</t>
  </si>
  <si>
    <t>Possible users</t>
  </si>
  <si>
    <t>Junior Software Engineers</t>
  </si>
  <si>
    <t>Senior Sofware Engineers</t>
  </si>
  <si>
    <t>Junior Programmers</t>
  </si>
  <si>
    <t>Month 1</t>
  </si>
  <si>
    <t>DATA FROM: Jobted</t>
  </si>
  <si>
    <t>(4-9 years experience)</t>
  </si>
  <si>
    <t>(&lt;3 years experience)</t>
  </si>
  <si>
    <t>(10-15 years experience)</t>
  </si>
  <si>
    <t>Number of:</t>
  </si>
  <si>
    <t>Monthly</t>
  </si>
  <si>
    <t>Yearly</t>
  </si>
  <si>
    <t>Salary of:</t>
  </si>
  <si>
    <t>Marketing Technicians</t>
  </si>
  <si>
    <t>Social Media Managers</t>
  </si>
  <si>
    <t>Project Managers</t>
  </si>
  <si>
    <t>Administratives</t>
  </si>
  <si>
    <t>Administrative Assistants</t>
  </si>
  <si>
    <t>Accountants</t>
  </si>
  <si>
    <t>Marketing Managers</t>
  </si>
  <si>
    <t>Department cost:</t>
  </si>
  <si>
    <t>Business Development</t>
  </si>
  <si>
    <t>Technological</t>
  </si>
  <si>
    <t>Administration and Ops</t>
  </si>
  <si>
    <t>TOTAL</t>
  </si>
  <si>
    <t>People with pets</t>
  </si>
  <si>
    <t>Spain</t>
  </si>
  <si>
    <t>Portugal</t>
  </si>
  <si>
    <t>Percentage</t>
  </si>
  <si>
    <t>Desuscription rate</t>
  </si>
  <si>
    <t>Total customers in the market</t>
  </si>
  <si>
    <t>Active+Young people</t>
  </si>
  <si>
    <t>User increment</t>
  </si>
  <si>
    <t>GPS Tracker percentage</t>
  </si>
  <si>
    <t>GPS Tracker Units</t>
  </si>
  <si>
    <t>GPS Tracker price</t>
  </si>
  <si>
    <t>Suscription price</t>
  </si>
  <si>
    <t>Suscriptions</t>
  </si>
  <si>
    <t xml:space="preserve">GPS Tracker </t>
  </si>
  <si>
    <t xml:space="preserve">Sales </t>
  </si>
  <si>
    <t>CUMULATIVE</t>
  </si>
  <si>
    <t>STAGE 0</t>
  </si>
  <si>
    <t>STAGE 1</t>
  </si>
  <si>
    <t>STAGE</t>
  </si>
  <si>
    <t>STAGE 2</t>
  </si>
  <si>
    <t>STAGE 3</t>
  </si>
  <si>
    <t>YEAR 1</t>
  </si>
  <si>
    <t>YEAR 2</t>
  </si>
  <si>
    <t>YEAR 3</t>
  </si>
  <si>
    <t>YEAR 4</t>
  </si>
  <si>
    <t>Month 37</t>
  </si>
  <si>
    <t>Month 38</t>
  </si>
  <si>
    <t>Month 39</t>
  </si>
  <si>
    <t>Month 40</t>
  </si>
  <si>
    <t>Month 41</t>
  </si>
  <si>
    <t>Month 42</t>
  </si>
  <si>
    <t>Month 43</t>
  </si>
  <si>
    <t>Month 44</t>
  </si>
  <si>
    <t>Month 45</t>
  </si>
  <si>
    <t>Month 46</t>
  </si>
  <si>
    <t>Month 47</t>
  </si>
  <si>
    <t>Month 48</t>
  </si>
  <si>
    <t>PRO User conversion</t>
  </si>
  <si>
    <t>Loans</t>
  </si>
  <si>
    <t>Ads (Free version)</t>
  </si>
  <si>
    <t>KIWOKO Promotion</t>
  </si>
  <si>
    <t>Vet Promotion</t>
  </si>
  <si>
    <t>IN</t>
  </si>
  <si>
    <t>Taxes</t>
  </si>
  <si>
    <t>Interests</t>
  </si>
  <si>
    <t>Servers</t>
  </si>
  <si>
    <t xml:space="preserve">Production </t>
  </si>
  <si>
    <t>OUT</t>
  </si>
  <si>
    <t>"Jóvenes Emprendedores"</t>
  </si>
  <si>
    <t>Time (years)</t>
  </si>
  <si>
    <t>Min</t>
  </si>
  <si>
    <t>Max</t>
  </si>
  <si>
    <t>Opening commission</t>
  </si>
  <si>
    <t>Euribor</t>
  </si>
  <si>
    <t>Euribor (January 2023)</t>
  </si>
  <si>
    <t>Interest</t>
  </si>
  <si>
    <t>Amount</t>
  </si>
  <si>
    <t>Years</t>
  </si>
  <si>
    <t>Units</t>
  </si>
  <si>
    <t>Monthly Interest</t>
  </si>
  <si>
    <t>"Emprendedores digitales"</t>
  </si>
  <si>
    <t>Monthly Amount</t>
  </si>
  <si>
    <t>Monthly Without Interest</t>
  </si>
  <si>
    <t>Capacity per User (GB)</t>
  </si>
  <si>
    <t>Increment of users</t>
  </si>
  <si>
    <t>Cumulative (Yearly)</t>
  </si>
  <si>
    <t>Number of servers</t>
  </si>
  <si>
    <t>Cost of Servers</t>
  </si>
  <si>
    <t>Cost per server (1000GB)</t>
  </si>
  <si>
    <t>GPS Tracker cost</t>
  </si>
  <si>
    <t>GPS Tracker Cost per Unit</t>
  </si>
  <si>
    <t>Instagram</t>
  </si>
  <si>
    <t>Facebook</t>
  </si>
  <si>
    <t>&lt;40 years</t>
  </si>
  <si>
    <t xml:space="preserve">&gt;30 years </t>
  </si>
  <si>
    <t>Target users</t>
  </si>
  <si>
    <t>Number of users</t>
  </si>
  <si>
    <t>Cost per engagement</t>
  </si>
  <si>
    <t>Percentage of age</t>
  </si>
  <si>
    <t xml:space="preserve">Percentage of the target </t>
  </si>
  <si>
    <t>Monthly cost</t>
  </si>
  <si>
    <t>Number of engagements per month</t>
  </si>
  <si>
    <t>Number of FREE users</t>
  </si>
  <si>
    <t>Number of users that open the app</t>
  </si>
  <si>
    <t>Cost per 1000 impression (CPM)</t>
  </si>
  <si>
    <t>Ads earnings</t>
  </si>
  <si>
    <t>Impressions per user</t>
  </si>
  <si>
    <t>Total Impressions monthly</t>
  </si>
  <si>
    <t>ADS</t>
  </si>
  <si>
    <t>Products bought per 1000 users</t>
  </si>
  <si>
    <t>Vet visits per 10000 users</t>
  </si>
  <si>
    <t>Vet visit average cost</t>
  </si>
  <si>
    <t>KIWOKO average cost product</t>
  </si>
  <si>
    <t>Comissions earnings</t>
  </si>
  <si>
    <t>Number of Users</t>
  </si>
  <si>
    <t>Total vet visits monthly</t>
  </si>
  <si>
    <t>Total products bought monthly</t>
  </si>
  <si>
    <t>Comission from vets</t>
  </si>
  <si>
    <t>Comission from KIWOKO</t>
  </si>
  <si>
    <t>Cost</t>
  </si>
  <si>
    <t>Amortization per year</t>
  </si>
  <si>
    <t>Year bought</t>
  </si>
  <si>
    <t>Co-working office</t>
  </si>
  <si>
    <t>Funding</t>
  </si>
  <si>
    <t>Loan payments</t>
  </si>
  <si>
    <t>Crowdfunding</t>
  </si>
  <si>
    <t>Professional Investors</t>
  </si>
  <si>
    <t>LOAN BOOL 1</t>
  </si>
  <si>
    <t>LOAN BOOL 2</t>
  </si>
  <si>
    <t>LOAN BOOL 3</t>
  </si>
  <si>
    <t>LOAN BOOL 4</t>
  </si>
  <si>
    <t>LOAN BOOL 5</t>
  </si>
  <si>
    <t>LOAN BOOL 6</t>
  </si>
  <si>
    <t>LOAN BOOL 7</t>
  </si>
  <si>
    <t>LOAN BOOL 8</t>
  </si>
  <si>
    <t>LOAN BOOL 9</t>
  </si>
  <si>
    <t>LOAN BOOL 10</t>
  </si>
  <si>
    <t>LOAN BOOL 11</t>
  </si>
  <si>
    <t>LOAN BOOL 12</t>
  </si>
  <si>
    <t>LOAN BOOL 13</t>
  </si>
  <si>
    <t>LOAN BOOL 14</t>
  </si>
  <si>
    <t>LOAN BOOL 15</t>
  </si>
  <si>
    <t>LOAN BOOL 16</t>
  </si>
  <si>
    <t>LOAN BOOL 17</t>
  </si>
  <si>
    <t>LOAN BOOL 18</t>
  </si>
  <si>
    <t>LOAN BOOL 19</t>
  </si>
  <si>
    <t>LOAN BOOL 20</t>
  </si>
  <si>
    <t>LOAN BOOL 21</t>
  </si>
  <si>
    <t>LOAN BOOL 22</t>
  </si>
  <si>
    <t>LOAN BOOL 23</t>
  </si>
  <si>
    <t>LOAN BOOL 24</t>
  </si>
  <si>
    <t>LOAN BOOL 25</t>
  </si>
  <si>
    <t>LOAN BOOL 26</t>
  </si>
  <si>
    <t>LOAN BOOL 27</t>
  </si>
  <si>
    <t>LOAN BOOL 28</t>
  </si>
  <si>
    <t>LOAN BOOL 29</t>
  </si>
  <si>
    <t>LOAN BOOL 30</t>
  </si>
  <si>
    <t>LOAN BOOL 31</t>
  </si>
  <si>
    <t>LOAN BOOL 32</t>
  </si>
  <si>
    <t>LOAN BOOL 33</t>
  </si>
  <si>
    <t>LOAN BOOL 34</t>
  </si>
  <si>
    <t>LOAN BOOL 35</t>
  </si>
  <si>
    <t>LOAN BOOL 36</t>
  </si>
  <si>
    <t>LOAN BOOL 37</t>
  </si>
  <si>
    <t>LOAN BOOL 38</t>
  </si>
  <si>
    <t>LOAN BOOL 39</t>
  </si>
  <si>
    <t>LOAN BOOL 40</t>
  </si>
  <si>
    <t>LOAN BOOL 41</t>
  </si>
  <si>
    <t>LOAN BOOL 42</t>
  </si>
  <si>
    <t>LOAN BOOL 43</t>
  </si>
  <si>
    <t>LOAN BOOL 44</t>
  </si>
  <si>
    <t>LOAN BOOL 45</t>
  </si>
  <si>
    <t>LOAN BOOL 46</t>
  </si>
  <si>
    <t>LOAN BOOL 47</t>
  </si>
  <si>
    <t>LOAN BOOL 48</t>
  </si>
  <si>
    <t>LOAN AMOUNT</t>
  </si>
  <si>
    <t>LOAN REQUIRED</t>
  </si>
  <si>
    <t>CASE</t>
  </si>
  <si>
    <t>OFFSET</t>
  </si>
  <si>
    <t>ANY LOAN?</t>
  </si>
  <si>
    <t>Initial Capital</t>
  </si>
  <si>
    <t>Loan</t>
  </si>
  <si>
    <t>Total Interest</t>
  </si>
  <si>
    <t>APROX LOAN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</si>
  <si>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</si>
  <si>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</si>
  <si>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</si>
  <si>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</si>
  <si>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</si>
  <si>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</si>
  <si>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</si>
  <si>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</si>
  <si>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</si>
  <si>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</si>
  <si>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</si>
  <si>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</si>
  <si>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</si>
  <si>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</si>
  <si>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</si>
  <si>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</si>
  <si>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</si>
  <si>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</si>
  <si>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</si>
  <si>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</si>
  <si>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</si>
  <si>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</si>
  <si>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</si>
  <si>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</si>
  <si>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</si>
  <si>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</si>
  <si>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</si>
  <si>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</si>
  <si>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</si>
  <si>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</si>
  <si>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</si>
  <si>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</si>
  <si>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</si>
  <si>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</si>
  <si>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</si>
  <si>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</si>
  <si>
    <t>MONTH 37</t>
  </si>
  <si>
    <t>MONTH 38</t>
  </si>
  <si>
    <t>MONTH 39</t>
  </si>
  <si>
    <t>MONTH 40</t>
  </si>
  <si>
    <t>MONTH 41</t>
  </si>
  <si>
    <t>MONTH 42</t>
  </si>
  <si>
    <t>MONTH 43</t>
  </si>
  <si>
    <t>MONTH 44</t>
  </si>
  <si>
    <t>MONTH 45</t>
  </si>
  <si>
    <t>MONTH 46</t>
  </si>
  <si>
    <t>MONTH 47</t>
  </si>
  <si>
    <t>MONTH 48</t>
  </si>
  <si>
    <t>RESTANTE</t>
  </si>
  <si>
    <t>REMAINING LOAN</t>
  </si>
  <si>
    <t>Monthly pay</t>
  </si>
  <si>
    <t>IN USE</t>
  </si>
  <si>
    <t>TOTAL INTEREST</t>
  </si>
  <si>
    <t>TOTAL PAY</t>
  </si>
  <si>
    <t>SUBTOTALS</t>
  </si>
  <si>
    <t>BALANCE w/o LOANS</t>
  </si>
  <si>
    <t>TOTAL BALANCE</t>
  </si>
  <si>
    <t>Bank loan</t>
  </si>
  <si>
    <t>Dividends</t>
  </si>
  <si>
    <t xml:space="preserve">Dividends </t>
  </si>
  <si>
    <t>MIN per dividends</t>
  </si>
  <si>
    <t>Month 49</t>
  </si>
  <si>
    <t>INVESTORS DIVIDENDS</t>
  </si>
  <si>
    <t xml:space="preserve">Ratio </t>
  </si>
  <si>
    <t xml:space="preserve">Month </t>
  </si>
  <si>
    <t>Total</t>
  </si>
  <si>
    <t>INCOME STATEMENT</t>
  </si>
  <si>
    <t>SALES</t>
  </si>
  <si>
    <t>INITIAL INVERSION</t>
  </si>
  <si>
    <t xml:space="preserve">DIVIDENDS </t>
  </si>
  <si>
    <t>APP</t>
  </si>
  <si>
    <t>GPS TRACKER</t>
  </si>
  <si>
    <t>COGS</t>
  </si>
  <si>
    <t>LOANS</t>
  </si>
  <si>
    <t>OTHER INCOMES</t>
  </si>
  <si>
    <t>Total sales</t>
  </si>
  <si>
    <t>Number of potential users in the campaign</t>
  </si>
  <si>
    <t>Percentage of success ads</t>
  </si>
  <si>
    <t>Increment of the target</t>
  </si>
  <si>
    <t>Increment target marketing</t>
  </si>
  <si>
    <t>INITIAL CAMPAIGN BONUS TARGET</t>
  </si>
  <si>
    <t>YEARLY CAMPAING BONUS TARGET</t>
  </si>
  <si>
    <t>1 YEAR ANNIVERSARY</t>
  </si>
  <si>
    <t>DeltaM (Marketing)</t>
  </si>
  <si>
    <t>DeltaM (Users increased)</t>
  </si>
  <si>
    <t>Years to pay</t>
  </si>
  <si>
    <t>DeltaB (Random users)</t>
  </si>
  <si>
    <t>Average random subscriptions</t>
  </si>
  <si>
    <t>Min percentage of random susbcriptions</t>
  </si>
  <si>
    <t>Max percentage of random susbcriptions</t>
  </si>
  <si>
    <t>Amount of employees modifier</t>
  </si>
  <si>
    <t>Tax of salary increasement</t>
  </si>
  <si>
    <t>Month index</t>
  </si>
  <si>
    <t>Year index</t>
  </si>
  <si>
    <t>Year 0</t>
  </si>
  <si>
    <t>Year 1</t>
  </si>
  <si>
    <t>Year 2</t>
  </si>
  <si>
    <t>Employee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</si>
  <si>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</si>
  <si>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</si>
  <si>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</si>
  <si>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</si>
  <si>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</si>
  <si>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</si>
  <si>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</si>
  <si>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</si>
  <si>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Monthly cashflow</t>
  </si>
  <si>
    <t>Acumulated Cashflow</t>
  </si>
  <si>
    <t>CASHFLOW with dividends</t>
  </si>
  <si>
    <t>EBITDA</t>
  </si>
  <si>
    <t>Depreciation and Amortization</t>
  </si>
  <si>
    <t>EBIT</t>
  </si>
  <si>
    <t>EBT</t>
  </si>
  <si>
    <t>Gross Margin</t>
  </si>
  <si>
    <t>Accumulated Income</t>
  </si>
  <si>
    <t>Monthly Cashflow</t>
  </si>
  <si>
    <t xml:space="preserve">Total </t>
  </si>
  <si>
    <t>Comission Earnings (VET Promotion)</t>
  </si>
  <si>
    <t>Ads Earnings</t>
  </si>
  <si>
    <t>Comission Earnings (KIWOKO Promotion)</t>
  </si>
  <si>
    <t>Distributors share</t>
  </si>
  <si>
    <t>App Store Comission</t>
  </si>
  <si>
    <t>Play Store Comission</t>
  </si>
  <si>
    <t>Distributors comission</t>
  </si>
  <si>
    <t>Distributors Comissions</t>
  </si>
  <si>
    <t>Distributors Comission</t>
  </si>
  <si>
    <t>Expenses</t>
  </si>
  <si>
    <t>Production</t>
  </si>
  <si>
    <t>Office</t>
  </si>
  <si>
    <t>Distributors</t>
  </si>
  <si>
    <t>Net Income</t>
  </si>
  <si>
    <t>SCENARIOS</t>
  </si>
  <si>
    <t>MARKETING</t>
  </si>
  <si>
    <t>TARGET MARKET</t>
  </si>
  <si>
    <t>Social Network:</t>
  </si>
  <si>
    <t>LEGEND</t>
  </si>
  <si>
    <t>Parameters (can be changed)</t>
  </si>
  <si>
    <t>Results (Static formulas)</t>
  </si>
  <si>
    <t>Taxes w/o loans interests</t>
  </si>
  <si>
    <t>BALANCE w/o Loans</t>
  </si>
  <si>
    <t>CURRENT PARAMETERS (COPY&amp;PASTE SCENARIOS OR MODIFY PARAMETERS)</t>
  </si>
  <si>
    <t>NORMAL CASE SCENARIO (COPY&amp;PASTE PARAMETERS)</t>
  </si>
  <si>
    <t>BEST CASE SCENARIO (COPY&amp;PASTE PARAMETERS)</t>
  </si>
  <si>
    <t>WORST CASE SCENARIO (COPY&amp;PASTE PARAMETERS)</t>
  </si>
  <si>
    <t>MIN PRICE CASE SCENARIO (COPY&amp;PASTE PARAMETERS)</t>
  </si>
  <si>
    <t>MAX PRICE CASE SCENARIO (COPY&amp;PASTE PARAMETERS)</t>
  </si>
  <si>
    <t>MORE MARKETING CASE SCENARIO (COPY&amp;PASTE PARAMETERS)</t>
  </si>
  <si>
    <t>LESS MARKETING CASE SCENARIO (COPY&amp;PASTE PARAMETERS)</t>
  </si>
  <si>
    <t>FINAL DECISION CASE SCENARIO (COPY&amp;PASTE PARAMETERS)</t>
  </si>
  <si>
    <t>Office (Coworking)</t>
  </si>
  <si>
    <t>Income</t>
  </si>
  <si>
    <t>Ads (Free Version)</t>
  </si>
  <si>
    <t>Year</t>
  </si>
  <si>
    <t>Amortization of Computers from year 1</t>
  </si>
  <si>
    <t>Amortization of Computers from year 2</t>
  </si>
  <si>
    <t>Computers from year 1</t>
  </si>
  <si>
    <t>Computers 2 from year 2</t>
  </si>
  <si>
    <t>In order to interact with the case scenarios, you should copy the</t>
  </si>
  <si>
    <t>whole group of tables, which goes from the row prior to initial</t>
  </si>
  <si>
    <t>inversion and cogs table to the total cell row, and paste it in the</t>
  </si>
  <si>
    <t xml:space="preserve">exact same location of the CURREN PARAMETERS space (from row </t>
  </si>
  <si>
    <t>12 to 56.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</si>
</sst>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0.0%"/>
    <numFmt numFmtId="165" formatCode="0.000%"/>
    <numFmt numFmtId="166" formatCode="0.0000"/>
    <numFmt numFmtId="167" formatCode="#,##0.00\ &quot;€&quot;"/>
    <numFmt numFmtId="168" formatCode="_-* #,##0.000\ &quot;€&quot;_-;\-* #,##0.000\ &quot;€&quot;_-;_-* &quot;-&quot;??\ &quot;€&quot;_-;_-@_-"/>
  </numFmts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u/>
      <sz val="11"/>
      <color rgb="FF9C57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48"/>
      <color theme="5" tint="-0.249977111117893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BE5D6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theme="9"/>
      </top>
      <bottom/>
      <diagonal/>
    </border>
    <border>
      <left style="medium">
        <color indexed="64"/>
      </left>
      <right/>
      <top style="thin">
        <color theme="9"/>
      </top>
      <bottom style="medium">
        <color indexed="64"/>
      </bottom>
      <diagonal/>
    </border>
    <border>
      <left style="thin">
        <color theme="9"/>
      </left>
      <right/>
      <top style="thin">
        <color theme="9"/>
      </top>
      <bottom style="medium">
        <color indexed="64"/>
      </bottom>
      <diagonal/>
    </border>
    <border>
      <left style="thin">
        <color theme="9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9"/>
      </top>
      <bottom/>
      <diagonal/>
    </border>
    <border>
      <left style="medium">
        <color indexed="64"/>
      </left>
      <right style="medium">
        <color indexed="64"/>
      </right>
      <top style="thin">
        <color theme="9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20" applyNumberFormat="0" applyAlignment="0" applyProtection="0"/>
  </cellStyleXfs>
  <cellXfs count="3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44" fontId="0" fillId="0" borderId="0" xfId="1" applyFont="1"/>
    <xf numFmtId="0" fontId="3" fillId="2" borderId="16" xfId="0" applyFont="1" applyFill="1" applyBorder="1"/>
    <xf numFmtId="0" fontId="3" fillId="2" borderId="15" xfId="0" applyFont="1" applyFill="1" applyBorder="1"/>
    <xf numFmtId="0" fontId="3" fillId="2" borderId="17" xfId="0" applyFont="1" applyFill="1" applyBorder="1"/>
    <xf numFmtId="0" fontId="5" fillId="3" borderId="0" xfId="0" applyFont="1" applyFill="1"/>
    <xf numFmtId="0" fontId="0" fillId="0" borderId="18" xfId="0" applyBorder="1"/>
    <xf numFmtId="164" fontId="0" fillId="0" borderId="0" xfId="2" applyNumberFormat="1" applyFont="1"/>
    <xf numFmtId="10" fontId="0" fillId="0" borderId="0" xfId="2" applyNumberFormat="1" applyFont="1"/>
    <xf numFmtId="165" fontId="0" fillId="0" borderId="0" xfId="0" applyNumberFormat="1"/>
    <xf numFmtId="8" fontId="0" fillId="0" borderId="0" xfId="0" applyNumberFormat="1"/>
    <xf numFmtId="44" fontId="0" fillId="0" borderId="0" xfId="0" applyNumberFormat="1"/>
    <xf numFmtId="0" fontId="4" fillId="0" borderId="1" xfId="0" applyFont="1" applyBorder="1"/>
    <xf numFmtId="0" fontId="4" fillId="0" borderId="13" xfId="0" applyFont="1" applyBorder="1"/>
    <xf numFmtId="0" fontId="4" fillId="0" borderId="14" xfId="0" applyFont="1" applyBorder="1"/>
    <xf numFmtId="8" fontId="0" fillId="0" borderId="3" xfId="0" applyNumberFormat="1" applyBorder="1"/>
    <xf numFmtId="8" fontId="0" fillId="0" borderId="4" xfId="0" applyNumberFormat="1" applyBorder="1"/>
    <xf numFmtId="8" fontId="0" fillId="0" borderId="6" xfId="0" applyNumberFormat="1" applyBorder="1"/>
    <xf numFmtId="8" fontId="0" fillId="0" borderId="8" xfId="0" applyNumberFormat="1" applyBorder="1"/>
    <xf numFmtId="8" fontId="0" fillId="0" borderId="9" xfId="0" applyNumberFormat="1" applyBorder="1"/>
    <xf numFmtId="8" fontId="4" fillId="0" borderId="13" xfId="0" applyNumberFormat="1" applyFont="1" applyBorder="1"/>
    <xf numFmtId="0" fontId="6" fillId="0" borderId="8" xfId="0" applyFont="1" applyBorder="1"/>
    <xf numFmtId="8" fontId="6" fillId="0" borderId="8" xfId="0" applyNumberFormat="1" applyFont="1" applyBorder="1"/>
    <xf numFmtId="0" fontId="11" fillId="6" borderId="0" xfId="5" applyFont="1" applyAlignment="1">
      <alignment vertical="center"/>
    </xf>
    <xf numFmtId="8" fontId="4" fillId="0" borderId="8" xfId="0" applyNumberFormat="1" applyFont="1" applyBorder="1"/>
    <xf numFmtId="8" fontId="0" fillId="0" borderId="13" xfId="0" applyNumberFormat="1" applyBorder="1"/>
    <xf numFmtId="0" fontId="0" fillId="9" borderId="7" xfId="0" applyFill="1" applyBorder="1"/>
    <xf numFmtId="1" fontId="0" fillId="0" borderId="0" xfId="0" applyNumberFormat="1"/>
    <xf numFmtId="166" fontId="0" fillId="0" borderId="0" xfId="0" applyNumberFormat="1"/>
    <xf numFmtId="44" fontId="0" fillId="0" borderId="3" xfId="0" applyNumberFormat="1" applyBorder="1"/>
    <xf numFmtId="44" fontId="0" fillId="0" borderId="8" xfId="0" applyNumberFormat="1" applyBorder="1"/>
    <xf numFmtId="0" fontId="3" fillId="2" borderId="15" xfId="0" applyFont="1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10" borderId="24" xfId="0" applyFill="1" applyBorder="1" applyAlignment="1">
      <alignment horizontal="center"/>
    </xf>
    <xf numFmtId="44" fontId="0" fillId="10" borderId="21" xfId="1" applyFont="1" applyFill="1" applyBorder="1"/>
    <xf numFmtId="44" fontId="0" fillId="11" borderId="21" xfId="1" applyFont="1" applyFill="1" applyBorder="1"/>
    <xf numFmtId="44" fontId="0" fillId="10" borderId="22" xfId="1" applyFont="1" applyFill="1" applyBorder="1"/>
    <xf numFmtId="0" fontId="0" fillId="0" borderId="30" xfId="0" applyBorder="1"/>
    <xf numFmtId="0" fontId="8" fillId="5" borderId="10" xfId="4" applyBorder="1" applyAlignment="1">
      <alignment vertical="center"/>
    </xf>
    <xf numFmtId="0" fontId="8" fillId="5" borderId="11" xfId="4" applyBorder="1" applyAlignment="1">
      <alignment vertical="center"/>
    </xf>
    <xf numFmtId="0" fontId="8" fillId="5" borderId="12" xfId="4" applyBorder="1" applyAlignment="1">
      <alignment vertical="center"/>
    </xf>
    <xf numFmtId="8" fontId="12" fillId="0" borderId="13" xfId="0" applyNumberFormat="1" applyFont="1" applyBorder="1"/>
    <xf numFmtId="8" fontId="12" fillId="0" borderId="14" xfId="0" applyNumberFormat="1" applyFont="1" applyBorder="1"/>
    <xf numFmtId="8" fontId="0" fillId="0" borderId="31" xfId="0" applyNumberFormat="1" applyBorder="1"/>
    <xf numFmtId="8" fontId="0" fillId="0" borderId="32" xfId="0" applyNumberFormat="1" applyBorder="1"/>
    <xf numFmtId="8" fontId="0" fillId="0" borderId="11" xfId="0" applyNumberFormat="1" applyBorder="1"/>
    <xf numFmtId="0" fontId="12" fillId="0" borderId="1" xfId="0" applyFont="1" applyBorder="1"/>
    <xf numFmtId="8" fontId="12" fillId="0" borderId="1" xfId="0" applyNumberFormat="1" applyFont="1" applyBorder="1"/>
    <xf numFmtId="0" fontId="12" fillId="0" borderId="1" xfId="0" applyFont="1" applyBorder="1" applyAlignment="1">
      <alignment horizontal="center"/>
    </xf>
    <xf numFmtId="0" fontId="3" fillId="12" borderId="25" xfId="0" applyFont="1" applyFill="1" applyBorder="1"/>
    <xf numFmtId="0" fontId="0" fillId="0" borderId="26" xfId="0" applyBorder="1"/>
    <xf numFmtId="0" fontId="0" fillId="0" borderId="27" xfId="0" applyBorder="1"/>
    <xf numFmtId="0" fontId="3" fillId="12" borderId="10" xfId="0" applyFont="1" applyFill="1" applyBorder="1"/>
    <xf numFmtId="0" fontId="0" fillId="0" borderId="10" xfId="0" applyBorder="1"/>
    <xf numFmtId="0" fontId="0" fillId="0" borderId="31" xfId="0" applyBorder="1"/>
    <xf numFmtId="0" fontId="12" fillId="0" borderId="32" xfId="0" applyFont="1" applyBorder="1"/>
    <xf numFmtId="0" fontId="0" fillId="0" borderId="1" xfId="0" applyBorder="1"/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4" fillId="0" borderId="29" xfId="0" applyFont="1" applyBorder="1"/>
    <xf numFmtId="0" fontId="8" fillId="5" borderId="11" xfId="4" applyBorder="1" applyAlignment="1">
      <alignment horizontal="center" vertical="center"/>
    </xf>
    <xf numFmtId="167" fontId="0" fillId="0" borderId="0" xfId="0" applyNumberFormat="1"/>
    <xf numFmtId="167" fontId="13" fillId="0" borderId="0" xfId="0" applyNumberFormat="1" applyFont="1"/>
    <xf numFmtId="0" fontId="12" fillId="0" borderId="12" xfId="0" applyFont="1" applyBorder="1"/>
    <xf numFmtId="0" fontId="0" fillId="0" borderId="35" xfId="0" applyBorder="1"/>
    <xf numFmtId="0" fontId="4" fillId="8" borderId="5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8" fontId="0" fillId="9" borderId="36" xfId="0" applyNumberFormat="1" applyFill="1" applyBorder="1"/>
    <xf numFmtId="8" fontId="0" fillId="9" borderId="37" xfId="0" applyNumberFormat="1" applyFill="1" applyBorder="1"/>
    <xf numFmtId="0" fontId="4" fillId="8" borderId="38" xfId="0" applyFont="1" applyFill="1" applyBorder="1" applyAlignment="1">
      <alignment horizontal="center"/>
    </xf>
    <xf numFmtId="0" fontId="4" fillId="8" borderId="39" xfId="0" applyFont="1" applyFill="1" applyBorder="1" applyAlignment="1">
      <alignment horizontal="center"/>
    </xf>
    <xf numFmtId="0" fontId="4" fillId="8" borderId="40" xfId="0" applyFont="1" applyFill="1" applyBorder="1" applyAlignment="1">
      <alignment horizontal="center"/>
    </xf>
    <xf numFmtId="0" fontId="4" fillId="8" borderId="41" xfId="0" applyFont="1" applyFill="1" applyBorder="1" applyAlignment="1">
      <alignment horizontal="center"/>
    </xf>
    <xf numFmtId="0" fontId="11" fillId="6" borderId="7" xfId="5" applyFont="1" applyBorder="1" applyAlignment="1">
      <alignment vertical="center"/>
    </xf>
    <xf numFmtId="0" fontId="11" fillId="6" borderId="8" xfId="5" applyFont="1" applyBorder="1" applyAlignment="1">
      <alignment vertical="center"/>
    </xf>
    <xf numFmtId="0" fontId="0" fillId="0" borderId="11" xfId="0" applyBorder="1"/>
    <xf numFmtId="0" fontId="4" fillId="0" borderId="12" xfId="0" applyFont="1" applyBorder="1"/>
    <xf numFmtId="8" fontId="0" fillId="0" borderId="2" xfId="0" applyNumberFormat="1" applyBorder="1"/>
    <xf numFmtId="8" fontId="0" fillId="0" borderId="5" xfId="0" applyNumberFormat="1" applyBorder="1"/>
    <xf numFmtId="8" fontId="0" fillId="0" borderId="7" xfId="0" applyNumberFormat="1" applyBorder="1"/>
    <xf numFmtId="8" fontId="0" fillId="0" borderId="19" xfId="0" applyNumberFormat="1" applyBorder="1"/>
    <xf numFmtId="8" fontId="0" fillId="0" borderId="14" xfId="0" applyNumberFormat="1" applyBorder="1"/>
    <xf numFmtId="8" fontId="4" fillId="0" borderId="7" xfId="0" applyNumberFormat="1" applyFont="1" applyBorder="1"/>
    <xf numFmtId="8" fontId="4" fillId="0" borderId="9" xfId="0" applyNumberFormat="1" applyFont="1" applyBorder="1"/>
    <xf numFmtId="8" fontId="0" fillId="0" borderId="10" xfId="0" applyNumberFormat="1" applyBorder="1"/>
    <xf numFmtId="8" fontId="0" fillId="0" borderId="12" xfId="0" applyNumberFormat="1" applyBorder="1"/>
    <xf numFmtId="8" fontId="0" fillId="0" borderId="1" xfId="0" applyNumberFormat="1" applyBorder="1"/>
    <xf numFmtId="8" fontId="4" fillId="0" borderId="12" xfId="0" applyNumberFormat="1" applyFont="1" applyBorder="1"/>
    <xf numFmtId="0" fontId="0" fillId="0" borderId="42" xfId="0" applyBorder="1"/>
    <xf numFmtId="0" fontId="0" fillId="9" borderId="19" xfId="0" applyFill="1" applyBorder="1"/>
    <xf numFmtId="0" fontId="0" fillId="9" borderId="1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8" fontId="4" fillId="14" borderId="14" xfId="0" applyNumberFormat="1" applyFont="1" applyFill="1" applyBorder="1"/>
    <xf numFmtId="0" fontId="14" fillId="15" borderId="19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4" fillId="15" borderId="19" xfId="0" applyFont="1" applyFill="1" applyBorder="1"/>
    <xf numFmtId="0" fontId="14" fillId="15" borderId="13" xfId="0" applyFont="1" applyFill="1" applyBorder="1"/>
    <xf numFmtId="0" fontId="14" fillId="15" borderId="4" xfId="0" applyFont="1" applyFill="1" applyBorder="1"/>
    <xf numFmtId="4" fontId="14" fillId="15" borderId="14" xfId="0" applyNumberFormat="1" applyFont="1" applyFill="1" applyBorder="1"/>
    <xf numFmtId="0" fontId="12" fillId="8" borderId="19" xfId="0" applyFont="1" applyFill="1" applyBorder="1" applyAlignment="1">
      <alignment horizontal="center"/>
    </xf>
    <xf numFmtId="0" fontId="12" fillId="8" borderId="14" xfId="0" applyFont="1" applyFill="1" applyBorder="1" applyAlignment="1">
      <alignment horizontal="center"/>
    </xf>
    <xf numFmtId="0" fontId="14" fillId="15" borderId="14" xfId="0" applyFont="1" applyFill="1" applyBorder="1"/>
    <xf numFmtId="0" fontId="15" fillId="9" borderId="6" xfId="0" applyFont="1" applyFill="1" applyBorder="1"/>
    <xf numFmtId="0" fontId="15" fillId="9" borderId="9" xfId="0" applyFont="1" applyFill="1" applyBorder="1"/>
    <xf numFmtId="164" fontId="15" fillId="9" borderId="6" xfId="2" applyNumberFormat="1" applyFont="1" applyFill="1" applyBorder="1"/>
    <xf numFmtId="44" fontId="15" fillId="9" borderId="6" xfId="1" applyFont="1" applyFill="1" applyBorder="1"/>
    <xf numFmtId="10" fontId="15" fillId="9" borderId="6" xfId="2" applyNumberFormat="1" applyFont="1" applyFill="1" applyBorder="1"/>
    <xf numFmtId="44" fontId="15" fillId="9" borderId="9" xfId="1" applyFont="1" applyFill="1" applyBorder="1"/>
    <xf numFmtId="0" fontId="15" fillId="9" borderId="4" xfId="0" applyFont="1" applyFill="1" applyBorder="1"/>
    <xf numFmtId="165" fontId="15" fillId="9" borderId="4" xfId="2" applyNumberFormat="1" applyFont="1" applyFill="1" applyBorder="1"/>
    <xf numFmtId="10" fontId="15" fillId="9" borderId="9" xfId="2" applyNumberFormat="1" applyFont="1" applyFill="1" applyBorder="1"/>
    <xf numFmtId="164" fontId="15" fillId="9" borderId="19" xfId="2" applyNumberFormat="1" applyFont="1" applyFill="1" applyBorder="1"/>
    <xf numFmtId="164" fontId="15" fillId="9" borderId="7" xfId="2" applyNumberFormat="1" applyFont="1" applyFill="1" applyBorder="1"/>
    <xf numFmtId="0" fontId="4" fillId="9" borderId="1" xfId="0" applyFont="1" applyFill="1" applyBorder="1"/>
    <xf numFmtId="164" fontId="15" fillId="9" borderId="34" xfId="2" applyNumberFormat="1" applyFont="1" applyFill="1" applyBorder="1"/>
    <xf numFmtId="0" fontId="4" fillId="9" borderId="13" xfId="0" applyFont="1" applyFill="1" applyBorder="1"/>
    <xf numFmtId="0" fontId="4" fillId="9" borderId="40" xfId="0" applyFont="1" applyFill="1" applyBorder="1"/>
    <xf numFmtId="0" fontId="4" fillId="9" borderId="38" xfId="0" applyFont="1" applyFill="1" applyBorder="1"/>
    <xf numFmtId="44" fontId="4" fillId="14" borderId="19" xfId="1" applyFont="1" applyFill="1" applyBorder="1" applyAlignment="1">
      <alignment horizontal="center" vertical="center"/>
    </xf>
    <xf numFmtId="44" fontId="4" fillId="14" borderId="14" xfId="1" applyFont="1" applyFill="1" applyBorder="1" applyAlignment="1">
      <alignment horizontal="center" vertical="center"/>
    </xf>
    <xf numFmtId="44" fontId="4" fillId="14" borderId="14" xfId="1" applyFont="1" applyFill="1" applyBorder="1"/>
    <xf numFmtId="44" fontId="4" fillId="14" borderId="1" xfId="1" applyFont="1" applyFill="1" applyBorder="1"/>
    <xf numFmtId="44" fontId="15" fillId="9" borderId="3" xfId="1" applyFont="1" applyFill="1" applyBorder="1"/>
    <xf numFmtId="44" fontId="15" fillId="9" borderId="33" xfId="1" applyFont="1" applyFill="1" applyBorder="1"/>
    <xf numFmtId="9" fontId="4" fillId="14" borderId="14" xfId="2" applyFont="1" applyFill="1" applyBorder="1"/>
    <xf numFmtId="10" fontId="15" fillId="9" borderId="10" xfId="2" applyNumberFormat="1" applyFont="1" applyFill="1" applyBorder="1"/>
    <xf numFmtId="10" fontId="15" fillId="9" borderId="11" xfId="2" applyNumberFormat="1" applyFont="1" applyFill="1" applyBorder="1"/>
    <xf numFmtId="10" fontId="15" fillId="9" borderId="12" xfId="2" applyNumberFormat="1" applyFont="1" applyFill="1" applyBorder="1"/>
    <xf numFmtId="3" fontId="15" fillId="9" borderId="19" xfId="0" applyNumberFormat="1" applyFont="1" applyFill="1" applyBorder="1"/>
    <xf numFmtId="3" fontId="4" fillId="14" borderId="1" xfId="0" applyNumberFormat="1" applyFont="1" applyFill="1" applyBorder="1"/>
    <xf numFmtId="3" fontId="4" fillId="14" borderId="12" xfId="0" applyNumberFormat="1" applyFont="1" applyFill="1" applyBorder="1"/>
    <xf numFmtId="3" fontId="15" fillId="9" borderId="14" xfId="0" applyNumberFormat="1" applyFont="1" applyFill="1" applyBorder="1"/>
    <xf numFmtId="3" fontId="4" fillId="14" borderId="14" xfId="0" applyNumberFormat="1" applyFont="1" applyFill="1" applyBorder="1"/>
    <xf numFmtId="3" fontId="4" fillId="14" borderId="9" xfId="0" applyNumberFormat="1" applyFont="1" applyFill="1" applyBorder="1"/>
    <xf numFmtId="1" fontId="4" fillId="14" borderId="14" xfId="0" applyNumberFormat="1" applyFont="1" applyFill="1" applyBorder="1"/>
    <xf numFmtId="1" fontId="4" fillId="14" borderId="1" xfId="0" applyNumberFormat="1" applyFont="1" applyFill="1" applyBorder="1"/>
    <xf numFmtId="3" fontId="10" fillId="7" borderId="14" xfId="6" applyNumberFormat="1" applyBorder="1"/>
    <xf numFmtId="0" fontId="11" fillId="6" borderId="4" xfId="5" applyFont="1" applyBorder="1" applyAlignment="1">
      <alignment vertical="center"/>
    </xf>
    <xf numFmtId="0" fontId="11" fillId="6" borderId="9" xfId="5" applyFont="1" applyBorder="1" applyAlignment="1">
      <alignment vertical="center"/>
    </xf>
    <xf numFmtId="0" fontId="0" fillId="0" borderId="43" xfId="0" applyBorder="1"/>
    <xf numFmtId="164" fontId="15" fillId="9" borderId="0" xfId="2" applyNumberFormat="1" applyFont="1" applyFill="1" applyBorder="1"/>
    <xf numFmtId="0" fontId="16" fillId="0" borderId="0" xfId="0" applyFont="1" applyAlignment="1">
      <alignment horizontal="center" vertical="center"/>
    </xf>
    <xf numFmtId="0" fontId="15" fillId="9" borderId="0" xfId="0" applyFont="1" applyFill="1"/>
    <xf numFmtId="0" fontId="8" fillId="5" borderId="4" xfId="4" applyBorder="1"/>
    <xf numFmtId="0" fontId="8" fillId="5" borderId="6" xfId="4" applyBorder="1"/>
    <xf numFmtId="44" fontId="8" fillId="5" borderId="9" xfId="4" applyNumberFormat="1" applyBorder="1"/>
    <xf numFmtId="0" fontId="7" fillId="4" borderId="6" xfId="3" applyBorder="1"/>
    <xf numFmtId="164" fontId="7" fillId="4" borderId="6" xfId="3" applyNumberFormat="1" applyBorder="1"/>
    <xf numFmtId="44" fontId="7" fillId="4" borderId="6" xfId="3" applyNumberFormat="1" applyBorder="1"/>
    <xf numFmtId="10" fontId="7" fillId="4" borderId="9" xfId="3" applyNumberFormat="1" applyBorder="1"/>
    <xf numFmtId="165" fontId="15" fillId="9" borderId="6" xfId="2" applyNumberFormat="1" applyFont="1" applyFill="1" applyBorder="1"/>
    <xf numFmtId="165" fontId="7" fillId="4" borderId="6" xfId="3" applyNumberFormat="1" applyBorder="1"/>
    <xf numFmtId="10" fontId="7" fillId="4" borderId="6" xfId="3" applyNumberFormat="1" applyBorder="1"/>
    <xf numFmtId="10" fontId="8" fillId="5" borderId="6" xfId="4" applyNumberFormat="1" applyBorder="1"/>
    <xf numFmtId="10" fontId="7" fillId="4" borderId="10" xfId="3" applyNumberFormat="1" applyBorder="1"/>
    <xf numFmtId="44" fontId="8" fillId="5" borderId="6" xfId="4" applyNumberFormat="1" applyBorder="1"/>
    <xf numFmtId="165" fontId="8" fillId="5" borderId="6" xfId="4" applyNumberFormat="1" applyBorder="1"/>
    <xf numFmtId="0" fontId="7" fillId="4" borderId="4" xfId="3" applyBorder="1"/>
    <xf numFmtId="44" fontId="7" fillId="4" borderId="9" xfId="3" applyNumberFormat="1" applyBorder="1"/>
    <xf numFmtId="164" fontId="8" fillId="5" borderId="6" xfId="4" applyNumberFormat="1" applyBorder="1"/>
    <xf numFmtId="10" fontId="8" fillId="5" borderId="9" xfId="4" applyNumberFormat="1" applyBorder="1"/>
    <xf numFmtId="10" fontId="8" fillId="5" borderId="10" xfId="4" applyNumberFormat="1" applyBorder="1"/>
    <xf numFmtId="10" fontId="7" fillId="4" borderId="11" xfId="3" applyNumberFormat="1" applyBorder="1"/>
    <xf numFmtId="10" fontId="7" fillId="4" borderId="12" xfId="3" applyNumberFormat="1" applyBorder="1"/>
    <xf numFmtId="164" fontId="7" fillId="4" borderId="0" xfId="3" applyNumberFormat="1" applyBorder="1"/>
    <xf numFmtId="164" fontId="7" fillId="4" borderId="34" xfId="3" applyNumberFormat="1" applyBorder="1"/>
    <xf numFmtId="168" fontId="7" fillId="4" borderId="33" xfId="3" applyNumberFormat="1" applyBorder="1"/>
    <xf numFmtId="168" fontId="8" fillId="5" borderId="33" xfId="4" applyNumberFormat="1" applyBorder="1"/>
    <xf numFmtId="168" fontId="8" fillId="5" borderId="3" xfId="4" applyNumberFormat="1" applyBorder="1"/>
    <xf numFmtId="168" fontId="7" fillId="4" borderId="3" xfId="3" applyNumberFormat="1" applyBorder="1"/>
    <xf numFmtId="164" fontId="8" fillId="5" borderId="0" xfId="4" applyNumberFormat="1" applyBorder="1"/>
    <xf numFmtId="164" fontId="8" fillId="5" borderId="34" xfId="4" applyNumberFormat="1" applyBorder="1"/>
    <xf numFmtId="10" fontId="8" fillId="5" borderId="11" xfId="4" applyNumberFormat="1" applyBorder="1"/>
    <xf numFmtId="10" fontId="8" fillId="5" borderId="12" xfId="4" applyNumberFormat="1" applyBorder="1"/>
    <xf numFmtId="0" fontId="0" fillId="8" borderId="47" xfId="0" applyFill="1" applyBorder="1"/>
    <xf numFmtId="0" fontId="0" fillId="8" borderId="48" xfId="0" applyFill="1" applyBorder="1"/>
    <xf numFmtId="0" fontId="0" fillId="8" borderId="35" xfId="0" applyFill="1" applyBorder="1"/>
    <xf numFmtId="8" fontId="0" fillId="9" borderId="44" xfId="0" applyNumberFormat="1" applyFill="1" applyBorder="1"/>
    <xf numFmtId="8" fontId="0" fillId="9" borderId="45" xfId="0" applyNumberFormat="1" applyFill="1" applyBorder="1"/>
    <xf numFmtId="8" fontId="0" fillId="9" borderId="46" xfId="0" applyNumberFormat="1" applyFill="1" applyBorder="1"/>
    <xf numFmtId="0" fontId="0" fillId="11" borderId="23" xfId="0" applyFill="1" applyBorder="1"/>
    <xf numFmtId="0" fontId="4" fillId="8" borderId="47" xfId="0" applyFont="1" applyFill="1" applyBorder="1"/>
    <xf numFmtId="0" fontId="4" fillId="8" borderId="35" xfId="0" applyFont="1" applyFill="1" applyBorder="1"/>
    <xf numFmtId="0" fontId="0" fillId="9" borderId="44" xfId="0" applyFill="1" applyBorder="1"/>
    <xf numFmtId="0" fontId="0" fillId="9" borderId="46" xfId="0" applyFill="1" applyBorder="1"/>
    <xf numFmtId="44" fontId="0" fillId="0" borderId="12" xfId="0" applyNumberFormat="1" applyBorder="1"/>
    <xf numFmtId="167" fontId="13" fillId="0" borderId="11" xfId="0" applyNumberFormat="1" applyFont="1" applyBorder="1"/>
    <xf numFmtId="8" fontId="4" fillId="0" borderId="1" xfId="0" applyNumberFormat="1" applyFont="1" applyBorder="1"/>
    <xf numFmtId="8" fontId="6" fillId="0" borderId="12" xfId="0" applyNumberFormat="1" applyFont="1" applyBorder="1"/>
    <xf numFmtId="0" fontId="0" fillId="21" borderId="0" xfId="0" applyFill="1"/>
    <xf numFmtId="0" fontId="0" fillId="8" borderId="0" xfId="0" applyFill="1"/>
    <xf numFmtId="0" fontId="0" fillId="8" borderId="49" xfId="0" applyFill="1" applyBorder="1"/>
    <xf numFmtId="0" fontId="0" fillId="8" borderId="50" xfId="0" applyFill="1" applyBorder="1"/>
    <xf numFmtId="0" fontId="0" fillId="9" borderId="36" xfId="0" applyFill="1" applyBorder="1" applyAlignment="1">
      <alignment wrapText="1"/>
    </xf>
    <xf numFmtId="0" fontId="0" fillId="8" borderId="36" xfId="0" applyFill="1" applyBorder="1" applyAlignment="1">
      <alignment wrapText="1"/>
    </xf>
    <xf numFmtId="0" fontId="0" fillId="0" borderId="0" xfId="0" applyAlignment="1">
      <alignment wrapText="1"/>
    </xf>
    <xf numFmtId="0" fontId="4" fillId="0" borderId="51" xfId="0" applyFont="1" applyBorder="1"/>
    <xf numFmtId="0" fontId="4" fillId="0" borderId="0" xfId="0" applyFont="1"/>
    <xf numFmtId="0" fontId="0" fillId="8" borderId="36" xfId="0" applyFill="1" applyBorder="1" applyAlignment="1">
      <alignment horizontal="center"/>
    </xf>
    <xf numFmtId="0" fontId="0" fillId="8" borderId="36" xfId="0" applyFill="1" applyBorder="1"/>
    <xf numFmtId="0" fontId="0" fillId="8" borderId="36" xfId="0" applyFill="1" applyBorder="1" applyAlignment="1">
      <alignment horizont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1" fillId="6" borderId="3" xfId="5" applyFont="1" applyBorder="1" applyAlignment="1">
      <alignment horizontal="center" vertical="center"/>
    </xf>
    <xf numFmtId="0" fontId="11" fillId="6" borderId="8" xfId="5" applyFont="1" applyBorder="1" applyAlignment="1">
      <alignment horizontal="center" vertical="center"/>
    </xf>
    <xf numFmtId="0" fontId="11" fillId="6" borderId="2" xfId="5" applyFont="1" applyBorder="1" applyAlignment="1">
      <alignment horizontal="center" vertical="center"/>
    </xf>
    <xf numFmtId="0" fontId="11" fillId="6" borderId="7" xfId="5" applyFont="1" applyBorder="1" applyAlignment="1">
      <alignment horizontal="center" vertical="center"/>
    </xf>
    <xf numFmtId="0" fontId="7" fillId="4" borderId="10" xfId="3" applyBorder="1" applyAlignment="1">
      <alignment horizontal="center" vertical="center"/>
    </xf>
    <xf numFmtId="0" fontId="7" fillId="4" borderId="11" xfId="3" applyBorder="1" applyAlignment="1">
      <alignment horizontal="center" vertical="center"/>
    </xf>
    <xf numFmtId="0" fontId="7" fillId="4" borderId="12" xfId="3" applyBorder="1" applyAlignment="1">
      <alignment horizontal="center" vertical="center"/>
    </xf>
    <xf numFmtId="0" fontId="11" fillId="6" borderId="0" xfId="5" applyFont="1" applyAlignment="1">
      <alignment horizontal="center" vertical="center"/>
    </xf>
    <xf numFmtId="0" fontId="8" fillId="5" borderId="10" xfId="4" applyBorder="1" applyAlignment="1">
      <alignment horizontal="center" vertical="center"/>
    </xf>
    <xf numFmtId="0" fontId="8" fillId="5" borderId="11" xfId="4" applyBorder="1" applyAlignment="1">
      <alignment horizontal="center" vertical="center"/>
    </xf>
    <xf numFmtId="0" fontId="8" fillId="5" borderId="12" xfId="4" applyBorder="1" applyAlignment="1">
      <alignment horizontal="center" vertical="center"/>
    </xf>
    <xf numFmtId="0" fontId="11" fillId="6" borderId="10" xfId="5" applyFont="1" applyBorder="1" applyAlignment="1">
      <alignment horizontal="center" vertical="center"/>
    </xf>
    <xf numFmtId="0" fontId="11" fillId="6" borderId="12" xfId="5" applyFont="1" applyBorder="1" applyAlignment="1">
      <alignment horizontal="center" vertical="center"/>
    </xf>
    <xf numFmtId="0" fontId="11" fillId="6" borderId="11" xfId="5" applyFont="1" applyBorder="1" applyAlignment="1">
      <alignment horizontal="center" vertical="center"/>
    </xf>
    <xf numFmtId="0" fontId="11" fillId="6" borderId="4" xfId="5" applyFont="1" applyBorder="1" applyAlignment="1">
      <alignment horizontal="center" vertical="center"/>
    </xf>
    <xf numFmtId="0" fontId="11" fillId="6" borderId="9" xfId="5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17" fillId="13" borderId="2" xfId="0" applyFont="1" applyFill="1" applyBorder="1" applyAlignment="1">
      <alignment horizontal="center" vertical="center"/>
    </xf>
    <xf numFmtId="0" fontId="17" fillId="13" borderId="3" xfId="0" applyFont="1" applyFill="1" applyBorder="1" applyAlignment="1">
      <alignment horizontal="center" vertical="center"/>
    </xf>
    <xf numFmtId="0" fontId="17" fillId="13" borderId="4" xfId="0" applyFont="1" applyFill="1" applyBorder="1" applyAlignment="1">
      <alignment horizontal="center" vertical="center"/>
    </xf>
    <xf numFmtId="0" fontId="17" fillId="13" borderId="7" xfId="0" applyFont="1" applyFill="1" applyBorder="1" applyAlignment="1">
      <alignment horizontal="center" vertical="center"/>
    </xf>
    <xf numFmtId="0" fontId="17" fillId="13" borderId="8" xfId="0" applyFont="1" applyFill="1" applyBorder="1" applyAlignment="1">
      <alignment horizontal="center" vertical="center"/>
    </xf>
    <xf numFmtId="0" fontId="17" fillId="13" borderId="9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/>
    </xf>
    <xf numFmtId="0" fontId="18" fillId="15" borderId="5" xfId="0" applyFont="1" applyFill="1" applyBorder="1" applyAlignment="1">
      <alignment horizontal="center"/>
    </xf>
    <xf numFmtId="0" fontId="18" fillId="15" borderId="0" xfId="0" applyFont="1" applyFill="1" applyAlignment="1">
      <alignment horizontal="center"/>
    </xf>
    <xf numFmtId="0" fontId="18" fillId="15" borderId="6" xfId="0" applyFont="1" applyFill="1" applyBorder="1" applyAlignment="1">
      <alignment horizontal="center"/>
    </xf>
    <xf numFmtId="0" fontId="18" fillId="15" borderId="7" xfId="0" applyFont="1" applyFill="1" applyBorder="1" applyAlignment="1">
      <alignment horizontal="center"/>
    </xf>
    <xf numFmtId="0" fontId="18" fillId="15" borderId="8" xfId="0" applyFont="1" applyFill="1" applyBorder="1" applyAlignment="1">
      <alignment horizontal="center"/>
    </xf>
    <xf numFmtId="0" fontId="18" fillId="15" borderId="9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7" fillId="16" borderId="2" xfId="0" applyFont="1" applyFill="1" applyBorder="1" applyAlignment="1">
      <alignment horizontal="center" vertical="center"/>
    </xf>
    <xf numFmtId="0" fontId="17" fillId="16" borderId="3" xfId="0" applyFont="1" applyFill="1" applyBorder="1" applyAlignment="1">
      <alignment horizontal="center" vertical="center"/>
    </xf>
    <xf numFmtId="0" fontId="17" fillId="16" borderId="4" xfId="0" applyFont="1" applyFill="1" applyBorder="1" applyAlignment="1">
      <alignment horizontal="center" vertical="center"/>
    </xf>
    <xf numFmtId="0" fontId="17" fillId="16" borderId="7" xfId="0" applyFont="1" applyFill="1" applyBorder="1" applyAlignment="1">
      <alignment horizontal="center" vertical="center"/>
    </xf>
    <xf numFmtId="0" fontId="17" fillId="16" borderId="8" xfId="0" applyFont="1" applyFill="1" applyBorder="1" applyAlignment="1">
      <alignment horizontal="center" vertical="center"/>
    </xf>
    <xf numFmtId="0" fontId="17" fillId="16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7" fillId="14" borderId="2" xfId="0" applyFont="1" applyFill="1" applyBorder="1" applyAlignment="1">
      <alignment horizontal="center" vertical="center"/>
    </xf>
    <xf numFmtId="0" fontId="17" fillId="14" borderId="3" xfId="0" applyFont="1" applyFill="1" applyBorder="1" applyAlignment="1">
      <alignment horizontal="center" vertical="center"/>
    </xf>
    <xf numFmtId="0" fontId="17" fillId="14" borderId="4" xfId="0" applyFont="1" applyFill="1" applyBorder="1" applyAlignment="1">
      <alignment horizontal="center" vertical="center"/>
    </xf>
    <xf numFmtId="0" fontId="17" fillId="14" borderId="7" xfId="0" applyFont="1" applyFill="1" applyBorder="1" applyAlignment="1">
      <alignment horizontal="center" vertical="center"/>
    </xf>
    <xf numFmtId="0" fontId="17" fillId="14" borderId="8" xfId="0" applyFont="1" applyFill="1" applyBorder="1" applyAlignment="1">
      <alignment horizontal="center" vertical="center"/>
    </xf>
    <xf numFmtId="0" fontId="17" fillId="14" borderId="9" xfId="0" applyFont="1" applyFill="1" applyBorder="1" applyAlignment="1">
      <alignment horizontal="center" vertical="center"/>
    </xf>
    <xf numFmtId="0" fontId="17" fillId="19" borderId="2" xfId="0" applyFont="1" applyFill="1" applyBorder="1" applyAlignment="1">
      <alignment horizontal="center" vertical="center"/>
    </xf>
    <xf numFmtId="0" fontId="17" fillId="19" borderId="3" xfId="0" applyFont="1" applyFill="1" applyBorder="1" applyAlignment="1">
      <alignment horizontal="center" vertical="center"/>
    </xf>
    <xf numFmtId="0" fontId="17" fillId="19" borderId="4" xfId="0" applyFont="1" applyFill="1" applyBorder="1" applyAlignment="1">
      <alignment horizontal="center" vertical="center"/>
    </xf>
    <xf numFmtId="0" fontId="17" fillId="19" borderId="7" xfId="0" applyFont="1" applyFill="1" applyBorder="1" applyAlignment="1">
      <alignment horizontal="center" vertical="center"/>
    </xf>
    <xf numFmtId="0" fontId="17" fillId="19" borderId="8" xfId="0" applyFont="1" applyFill="1" applyBorder="1" applyAlignment="1">
      <alignment horizontal="center" vertical="center"/>
    </xf>
    <xf numFmtId="0" fontId="17" fillId="19" borderId="9" xfId="0" applyFont="1" applyFill="1" applyBorder="1" applyAlignment="1">
      <alignment horizontal="center" vertical="center"/>
    </xf>
    <xf numFmtId="0" fontId="17" fillId="18" borderId="2" xfId="0" applyFont="1" applyFill="1" applyBorder="1" applyAlignment="1">
      <alignment horizontal="center" vertical="center"/>
    </xf>
    <xf numFmtId="0" fontId="17" fillId="18" borderId="3" xfId="0" applyFont="1" applyFill="1" applyBorder="1" applyAlignment="1">
      <alignment horizontal="center" vertical="center"/>
    </xf>
    <xf numFmtId="0" fontId="17" fillId="18" borderId="4" xfId="0" applyFont="1" applyFill="1" applyBorder="1" applyAlignment="1">
      <alignment horizontal="center" vertical="center"/>
    </xf>
    <xf numFmtId="0" fontId="17" fillId="18" borderId="7" xfId="0" applyFont="1" applyFill="1" applyBorder="1" applyAlignment="1">
      <alignment horizontal="center" vertical="center"/>
    </xf>
    <xf numFmtId="0" fontId="17" fillId="18" borderId="8" xfId="0" applyFont="1" applyFill="1" applyBorder="1" applyAlignment="1">
      <alignment horizontal="center" vertical="center"/>
    </xf>
    <xf numFmtId="0" fontId="17" fillId="18" borderId="9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/>
    </xf>
    <xf numFmtId="0" fontId="4" fillId="15" borderId="14" xfId="0" applyFont="1" applyFill="1" applyBorder="1" applyAlignment="1">
      <alignment horizontal="center"/>
    </xf>
    <xf numFmtId="0" fontId="17" fillId="17" borderId="2" xfId="0" applyFont="1" applyFill="1" applyBorder="1" applyAlignment="1">
      <alignment horizontal="center" vertical="center"/>
    </xf>
    <xf numFmtId="0" fontId="17" fillId="17" borderId="3" xfId="0" applyFont="1" applyFill="1" applyBorder="1" applyAlignment="1">
      <alignment horizontal="center" vertical="center"/>
    </xf>
    <xf numFmtId="0" fontId="17" fillId="17" borderId="4" xfId="0" applyFont="1" applyFill="1" applyBorder="1" applyAlignment="1">
      <alignment horizontal="center" vertical="center"/>
    </xf>
    <xf numFmtId="0" fontId="17" fillId="17" borderId="7" xfId="0" applyFont="1" applyFill="1" applyBorder="1" applyAlignment="1">
      <alignment horizontal="center" vertical="center"/>
    </xf>
    <xf numFmtId="0" fontId="17" fillId="17" borderId="8" xfId="0" applyFont="1" applyFill="1" applyBorder="1" applyAlignment="1">
      <alignment horizontal="center" vertical="center"/>
    </xf>
    <xf numFmtId="0" fontId="17" fillId="17" borderId="9" xfId="0" applyFont="1" applyFill="1" applyBorder="1" applyAlignment="1">
      <alignment horizontal="center" vertical="center"/>
    </xf>
    <xf numFmtId="0" fontId="17" fillId="20" borderId="2" xfId="0" applyFont="1" applyFill="1" applyBorder="1" applyAlignment="1">
      <alignment horizontal="center" vertical="center"/>
    </xf>
    <xf numFmtId="0" fontId="17" fillId="20" borderId="3" xfId="0" applyFont="1" applyFill="1" applyBorder="1" applyAlignment="1">
      <alignment horizontal="center" vertical="center"/>
    </xf>
    <xf numFmtId="0" fontId="17" fillId="20" borderId="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4" fillId="15" borderId="36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7">
    <cellStyle name="Bueno" xfId="3" builtinId="26"/>
    <cellStyle name="Incorrecto" xfId="4" builtinId="27"/>
    <cellStyle name="Moneda" xfId="1" builtinId="4"/>
    <cellStyle name="Neutral" xfId="5" builtinId="28"/>
    <cellStyle name="Normal" xfId="0" builtinId="0"/>
    <cellStyle name="Porcentaje" xfId="2" builtinId="5"/>
    <cellStyle name="Salida" xfId="6" builtinId="21"/>
  </cellStyles>
  <dxfs count="389">
    <dxf>
      <numFmt numFmtId="0" formatCode="General"/>
    </dxf>
    <dxf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fill>
        <patternFill patternType="solid">
          <fgColor theme="5" tint="0.59999389629810485"/>
          <bgColor theme="5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59999389629810485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border outline="0">
        <bottom style="thick">
          <color theme="0"/>
        </bottom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</dxf>
    <dxf>
      <numFmt numFmtId="34" formatCode="_-* #,##0.00\ &quot;€&quot;_-;\-* #,##0.00\ &quot;€&quot;_-;_-* &quot;-&quot;??\ &quot;€&quot;_-;_-@_-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65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numFmt numFmtId="0" formatCode="General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  <border diagonalUp="0" diagonalDown="0">
        <left/>
        <right style="medium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  <border diagonalUp="0" diagonalDown="0">
        <left style="medium">
          <color indexed="64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  <border diagonalUp="0" diagonalDown="0">
        <left/>
        <right style="medium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  <border diagonalUp="0" diagonalDown="0">
        <left style="medium">
          <color indexed="64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  <border diagonalUp="0" diagonalDown="0">
        <left/>
        <right style="medium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  <border diagonalUp="0" diagonalDown="0">
        <left style="medium">
          <color indexed="64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  <border diagonalUp="0" diagonalDown="0">
        <left/>
        <right style="medium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  <border diagonalUp="0" diagonalDown="0">
        <left style="medium">
          <color indexed="64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/>
        <right/>
        <top/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numFmt numFmtId="12" formatCode="#,##0.00\ &quot;€&quot;;[Red]\-#,##0.00\ &quot;€&quot;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/>
        <right/>
        <top/>
        <bottom style="medium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BE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Cashflow</a:t>
            </a:r>
            <a:r>
              <a:rPr lang="es-ES" baseline="0"/>
              <a:t> with dividends monthly income</a:t>
            </a:r>
          </a:p>
        </c:rich>
      </c:tx>
      <c:layout>
        <c:manualLayout>
          <c:xMode val="edge"/>
          <c:yMode val="edge"/>
          <c:x val="0.2233471128608924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Cashflow!$T$5:$BP$5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Cashflow!$T$26:$BP$26</c:f>
              <c:numCache>
                <c:formatCode>"€"#,##0.00_);[Red]\("€"#,##0.00\)</c:formatCode>
                <c:ptCount val="49"/>
                <c:pt idx="0">
                  <c:v>294907</c:v>
                </c:pt>
                <c:pt idx="1">
                  <c:v>-38001</c:v>
                </c:pt>
                <c:pt idx="2">
                  <c:v>-38001</c:v>
                </c:pt>
                <c:pt idx="3">
                  <c:v>-41108</c:v>
                </c:pt>
                <c:pt idx="4">
                  <c:v>-41108</c:v>
                </c:pt>
                <c:pt idx="5">
                  <c:v>365080.99744947779</c:v>
                </c:pt>
                <c:pt idx="6">
                  <c:v>-154471.80878999096</c:v>
                </c:pt>
                <c:pt idx="7">
                  <c:v>-155345.35264320968</c:v>
                </c:pt>
                <c:pt idx="8">
                  <c:v>-115707.33569642845</c:v>
                </c:pt>
                <c:pt idx="9">
                  <c:v>-16087.496127772218</c:v>
                </c:pt>
                <c:pt idx="10">
                  <c:v>-12440.031380990971</c:v>
                </c:pt>
                <c:pt idx="11">
                  <c:v>-26632.681934209711</c:v>
                </c:pt>
                <c:pt idx="12">
                  <c:v>-5486.5397374284712</c:v>
                </c:pt>
                <c:pt idx="13">
                  <c:v>8605.5704593527789</c:v>
                </c:pt>
                <c:pt idx="14">
                  <c:v>17728.000656134027</c:v>
                </c:pt>
                <c:pt idx="15">
                  <c:v>-27125.690647084713</c:v>
                </c:pt>
                <c:pt idx="16">
                  <c:v>34725.972599696528</c:v>
                </c:pt>
                <c:pt idx="17">
                  <c:v>21812.806546477761</c:v>
                </c:pt>
                <c:pt idx="18">
                  <c:v>-17036.872856740949</c:v>
                </c:pt>
                <c:pt idx="19">
                  <c:v>67422.405240040302</c:v>
                </c:pt>
                <c:pt idx="20">
                  <c:v>46265.513458071509</c:v>
                </c:pt>
                <c:pt idx="21">
                  <c:v>4335.5076336027996</c:v>
                </c:pt>
                <c:pt idx="22">
                  <c:v>108456.08858038404</c:v>
                </c:pt>
                <c:pt idx="23">
                  <c:v>98946.844327165221</c:v>
                </c:pt>
                <c:pt idx="24">
                  <c:v>-212162.07002391538</c:v>
                </c:pt>
                <c:pt idx="25">
                  <c:v>145931.61882072774</c:v>
                </c:pt>
                <c:pt idx="26">
                  <c:v>159884.11416750902</c:v>
                </c:pt>
                <c:pt idx="27">
                  <c:v>31479.829814290279</c:v>
                </c:pt>
                <c:pt idx="28">
                  <c:v>189247.66566107154</c:v>
                </c:pt>
                <c:pt idx="29">
                  <c:v>179881.67840785265</c:v>
                </c:pt>
                <c:pt idx="30">
                  <c:v>50689.432804634096</c:v>
                </c:pt>
                <c:pt idx="31">
                  <c:v>235954.58410141524</c:v>
                </c:pt>
                <c:pt idx="32">
                  <c:v>221918.64031944657</c:v>
                </c:pt>
                <c:pt idx="33">
                  <c:v>77646.749594977824</c:v>
                </c:pt>
                <c:pt idx="34">
                  <c:v>290364.74994175904</c:v>
                </c:pt>
                <c:pt idx="35">
                  <c:v>283224.38228854025</c:v>
                </c:pt>
                <c:pt idx="36">
                  <c:v>-1425936.6201209379</c:v>
                </c:pt>
                <c:pt idx="37">
                  <c:v>341182.22048210283</c:v>
                </c:pt>
                <c:pt idx="38">
                  <c:v>359410.42867888417</c:v>
                </c:pt>
                <c:pt idx="39">
                  <c:v>116545.68457566528</c:v>
                </c:pt>
                <c:pt idx="40">
                  <c:v>384008.68327244651</c:v>
                </c:pt>
                <c:pt idx="41">
                  <c:v>369510.69686922757</c:v>
                </c:pt>
                <c:pt idx="42">
                  <c:v>119507.93676600885</c:v>
                </c:pt>
                <c:pt idx="43">
                  <c:v>416534.02866279054</c:v>
                </c:pt>
                <c:pt idx="44">
                  <c:v>400846.76688082144</c:v>
                </c:pt>
                <c:pt idx="45">
                  <c:v>141039.98175635282</c:v>
                </c:pt>
                <c:pt idx="46">
                  <c:v>455939.80280313408</c:v>
                </c:pt>
                <c:pt idx="47">
                  <c:v>443307.15144991549</c:v>
                </c:pt>
                <c:pt idx="48">
                  <c:v>-3047328.0437754029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B-470D-8B83-C4CE4AE04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53412367"/>
        <c:axId val="353416943"/>
      </c:barChart>
      <c:catAx>
        <c:axId val="35341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3416943"/>
        <c:crosses val="autoZero"/>
        <c:auto val="1"/>
        <c:lblAlgn val="ctr"/>
        <c:lblOffset val="100"/>
        <c:noMultiLvlLbl val="0"/>
      </c:catAx>
      <c:valAx>
        <c:axId val="35341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341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Acumulated</a:t>
            </a:r>
            <a:r>
              <a:rPr lang="es-ES" baseline="0"/>
              <a:t> Cashflow with dividends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Cashflow!$T$5:$BP$5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Cashflow!$T$24:$BP$24</c:f>
              <c:numCache>
                <c:formatCode>"€"#,##0.00_);[Red]\("€"#,##0.00\)</c:formatCode>
                <c:ptCount val="49"/>
                <c:pt idx="0">
                  <c:v>294907</c:v>
                </c:pt>
                <c:pt idx="1">
                  <c:v>256906</c:v>
                </c:pt>
                <c:pt idx="2">
                  <c:v>218905</c:v>
                </c:pt>
                <c:pt idx="3">
                  <c:v>177797</c:v>
                </c:pt>
                <c:pt idx="4">
                  <c:v>136689</c:v>
                </c:pt>
                <c:pt idx="5">
                  <c:v>501769.99744947779</c:v>
                </c:pt>
                <c:pt idx="6">
                  <c:v>347298.18865948683</c:v>
                </c:pt>
                <c:pt idx="7">
                  <c:v>191952.83601627714</c:v>
                </c:pt>
                <c:pt idx="8">
                  <c:v>76245.500319848696</c:v>
                </c:pt>
                <c:pt idx="9">
                  <c:v>60158.004192076478</c:v>
                </c:pt>
                <c:pt idx="10">
                  <c:v>47717.972811085507</c:v>
                </c:pt>
                <c:pt idx="11">
                  <c:v>21085.290876875795</c:v>
                </c:pt>
                <c:pt idx="12">
                  <c:v>15598.751139447324</c:v>
                </c:pt>
                <c:pt idx="13">
                  <c:v>24204.321598800103</c:v>
                </c:pt>
                <c:pt idx="14">
                  <c:v>41932.32225493413</c:v>
                </c:pt>
                <c:pt idx="15">
                  <c:v>14806.631607849416</c:v>
                </c:pt>
                <c:pt idx="16">
                  <c:v>49532.604207545941</c:v>
                </c:pt>
                <c:pt idx="17">
                  <c:v>71345.410754023702</c:v>
                </c:pt>
                <c:pt idx="18">
                  <c:v>54308.537897282753</c:v>
                </c:pt>
                <c:pt idx="19">
                  <c:v>121730.94313732305</c:v>
                </c:pt>
                <c:pt idx="20">
                  <c:v>167996.45659539456</c:v>
                </c:pt>
                <c:pt idx="21">
                  <c:v>172331.96422899736</c:v>
                </c:pt>
                <c:pt idx="22">
                  <c:v>280788.05280938139</c:v>
                </c:pt>
                <c:pt idx="23">
                  <c:v>379734.89713654661</c:v>
                </c:pt>
                <c:pt idx="24">
                  <c:v>167572.82711263123</c:v>
                </c:pt>
                <c:pt idx="25">
                  <c:v>313504.44593335898</c:v>
                </c:pt>
                <c:pt idx="26">
                  <c:v>473388.560100868</c:v>
                </c:pt>
                <c:pt idx="27">
                  <c:v>504868.38991515827</c:v>
                </c:pt>
                <c:pt idx="28">
                  <c:v>694116.05557622982</c:v>
                </c:pt>
                <c:pt idx="29">
                  <c:v>873997.73398408247</c:v>
                </c:pt>
                <c:pt idx="30">
                  <c:v>924687.16678871657</c:v>
                </c:pt>
                <c:pt idx="31">
                  <c:v>1160641.7508901318</c:v>
                </c:pt>
                <c:pt idx="32">
                  <c:v>1382560.3912095784</c:v>
                </c:pt>
                <c:pt idx="33">
                  <c:v>1460207.1408045562</c:v>
                </c:pt>
                <c:pt idx="34">
                  <c:v>1750571.8907463152</c:v>
                </c:pt>
                <c:pt idx="35">
                  <c:v>2033796.2730348555</c:v>
                </c:pt>
                <c:pt idx="36">
                  <c:v>607859.65291391755</c:v>
                </c:pt>
                <c:pt idx="37">
                  <c:v>949041.87339602038</c:v>
                </c:pt>
                <c:pt idx="38">
                  <c:v>1308452.3020749046</c:v>
                </c:pt>
                <c:pt idx="39">
                  <c:v>1424997.9866505698</c:v>
                </c:pt>
                <c:pt idx="40">
                  <c:v>1809006.6699230163</c:v>
                </c:pt>
                <c:pt idx="41">
                  <c:v>2178517.3667922439</c:v>
                </c:pt>
                <c:pt idx="42">
                  <c:v>2298025.3035582528</c:v>
                </c:pt>
                <c:pt idx="43">
                  <c:v>2714559.3322210433</c:v>
                </c:pt>
                <c:pt idx="44">
                  <c:v>3115406.0991018647</c:v>
                </c:pt>
                <c:pt idx="45">
                  <c:v>3256446.0808582176</c:v>
                </c:pt>
                <c:pt idx="46">
                  <c:v>3712385.8836613516</c:v>
                </c:pt>
                <c:pt idx="47">
                  <c:v>4155693.0351112671</c:v>
                </c:pt>
                <c:pt idx="48">
                  <c:v>1108364.9913358642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DE-400A-8815-50CAED5A0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62906703"/>
        <c:axId val="162915439"/>
      </c:lineChart>
      <c:catAx>
        <c:axId val="16290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915439"/>
        <c:crosses val="autoZero"/>
        <c:auto val="1"/>
        <c:lblAlgn val="ctr"/>
        <c:lblOffset val="100"/>
        <c:noMultiLvlLbl val="0"/>
      </c:catAx>
      <c:valAx>
        <c:axId val="162915439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90670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Economic Balance (monthly)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Cashflow!$T$32:$BP$32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Cashflow!$T$49:$BP$49</c:f>
              <c:numCache>
                <c:formatCode>"€"#,##0.00_);[Red]\("€"#,##0.00\)</c:formatCode>
                <c:ptCount val="49"/>
                <c:pt idx="0">
                  <c:v>-5093</c:v>
                </c:pt>
                <c:pt idx="1">
                  <c:v>-38001</c:v>
                </c:pt>
                <c:pt idx="2">
                  <c:v>-38001</c:v>
                </c:pt>
                <c:pt idx="3">
                  <c:v>-41108</c:v>
                </c:pt>
                <c:pt idx="4">
                  <c:v>-41108</c:v>
                </c:pt>
                <c:pt idx="5">
                  <c:v>-65728.526360046017</c:v>
                </c:pt>
                <c:pt idx="6">
                  <c:v>-149281.33259951478</c:v>
                </c:pt>
                <c:pt idx="7">
                  <c:v>-150154.8764527335</c:v>
                </c:pt>
                <c:pt idx="8">
                  <c:v>-110516.85950595226</c:v>
                </c:pt>
                <c:pt idx="9">
                  <c:v>-10897.019937296025</c:v>
                </c:pt>
                <c:pt idx="10">
                  <c:v>-7249.555190514784</c:v>
                </c:pt>
                <c:pt idx="11">
                  <c:v>-21442.205743733521</c:v>
                </c:pt>
                <c:pt idx="12">
                  <c:v>-296.06354695228083</c:v>
                </c:pt>
                <c:pt idx="13">
                  <c:v>13796.046649828972</c:v>
                </c:pt>
                <c:pt idx="14">
                  <c:v>22918.476846610214</c:v>
                </c:pt>
                <c:pt idx="15">
                  <c:v>32208.51854339147</c:v>
                </c:pt>
                <c:pt idx="16">
                  <c:v>39916.448790172719</c:v>
                </c:pt>
                <c:pt idx="17">
                  <c:v>27003.282736953945</c:v>
                </c:pt>
                <c:pt idx="18">
                  <c:v>60686.301333735231</c:v>
                </c:pt>
                <c:pt idx="19">
                  <c:v>72612.881430516485</c:v>
                </c:pt>
                <c:pt idx="20">
                  <c:v>51455.9896485477</c:v>
                </c:pt>
                <c:pt idx="21">
                  <c:v>102447.26682407898</c:v>
                </c:pt>
                <c:pt idx="22">
                  <c:v>113646.5647708602</c:v>
                </c:pt>
                <c:pt idx="23">
                  <c:v>103137.32051764142</c:v>
                </c:pt>
                <c:pt idx="24">
                  <c:v>35570.825882614925</c:v>
                </c:pt>
                <c:pt idx="25">
                  <c:v>151122.09501120393</c:v>
                </c:pt>
                <c:pt idx="26">
                  <c:v>165074.5903579852</c:v>
                </c:pt>
                <c:pt idx="27">
                  <c:v>179061.07900476645</c:v>
                </c:pt>
                <c:pt idx="28">
                  <c:v>194438.14185154776</c:v>
                </c:pt>
                <c:pt idx="29">
                  <c:v>185072.1545983289</c:v>
                </c:pt>
                <c:pt idx="30">
                  <c:v>224543.23599511021</c:v>
                </c:pt>
                <c:pt idx="31">
                  <c:v>241145.06029189142</c:v>
                </c:pt>
                <c:pt idx="32">
                  <c:v>227109.11650992269</c:v>
                </c:pt>
                <c:pt idx="33">
                  <c:v>279653.65678545396</c:v>
                </c:pt>
                <c:pt idx="34">
                  <c:v>295555.22613223526</c:v>
                </c:pt>
                <c:pt idx="35">
                  <c:v>288414.85847901646</c:v>
                </c:pt>
                <c:pt idx="36">
                  <c:v>-318407.34779467352</c:v>
                </c:pt>
                <c:pt idx="37">
                  <c:v>346372.69667257898</c:v>
                </c:pt>
                <c:pt idx="38">
                  <c:v>364600.90486936027</c:v>
                </c:pt>
                <c:pt idx="39">
                  <c:v>382681.66726614145</c:v>
                </c:pt>
                <c:pt idx="40">
                  <c:v>389199.15946292272</c:v>
                </c:pt>
                <c:pt idx="41">
                  <c:v>374701.17305970402</c:v>
                </c:pt>
                <c:pt idx="42">
                  <c:v>410967.07395648514</c:v>
                </c:pt>
                <c:pt idx="43">
                  <c:v>421724.50485326652</c:v>
                </c:pt>
                <c:pt idx="44">
                  <c:v>406037.24307129777</c:v>
                </c:pt>
                <c:pt idx="45">
                  <c:v>451085.18994682899</c:v>
                </c:pt>
                <c:pt idx="46">
                  <c:v>461130.27899361023</c:v>
                </c:pt>
                <c:pt idx="47">
                  <c:v>448497.62764039147</c:v>
                </c:pt>
                <c:pt idx="48">
                  <c:v>-713724.1473174236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A-425B-9E4C-ECA1A46E5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70909759"/>
        <c:axId val="370910591"/>
      </c:barChart>
      <c:catAx>
        <c:axId val="37090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0910591"/>
        <c:crosses val="autoZero"/>
        <c:auto val="1"/>
        <c:lblAlgn val="ctr"/>
        <c:lblOffset val="100"/>
        <c:tickLblSkip val="6"/>
        <c:noMultiLvlLbl val="0"/>
      </c:catAx>
      <c:valAx>
        <c:axId val="37091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090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Inversors Motivation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Cashflow!$C$20:$C$21</c:f>
              <c:strCache>
                <c:ptCount val="2"/>
                <c:pt idx="0">
                  <c:v>MIN per dividends</c:v>
                </c:pt>
                <c:pt idx="1">
                  <c:v>INVESTORS DIVIDENDS</c:v>
                </c:pt>
              </c:strCache>
            </c:strRef>
          </c:cat>
          <c:val>
            <c:numRef>
              <c:f>Cashflow!$D$20:$D$21</c:f>
              <c:numCache>
                <c:formatCode>"€"#,##0.00_);[Red]\("€"#,##0.00\)</c:formatCode>
                <c:ptCount val="2"/>
                <c:pt idx="0" formatCode="_(&quot;€&quot;* #,##0.00_);_(&quot;€&quot;* \(#,##0.00\);_(&quot;€&quot;* &quot;-&quot;??_);_(@_)">
                  <c:v>70000</c:v>
                </c:pt>
                <c:pt idx="1">
                  <c:v>2969935.0416193455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80-4CDC-BD2A-194B95771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0361232"/>
        <c:axId val="1864330240"/>
      </c:barChart>
      <c:catAx>
        <c:axId val="185036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64330240"/>
        <c:crosses val="autoZero"/>
        <c:auto val="1"/>
        <c:lblAlgn val="ctr"/>
        <c:lblOffset val="100"/>
        <c:noMultiLvlLbl val="0"/>
      </c:catAx>
      <c:valAx>
        <c:axId val="186433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036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cashflow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0765515777101688"/>
          <c:y val="9.4639873905386862E-2"/>
          <c:w val="0.86646393287674073"/>
          <c:h val="0.877292220649499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Cashflow!$S$77</c:f>
              <c:strCache>
                <c:ptCount val="1"/>
                <c:pt idx="0">
                  <c:v>Monthly cashflow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Cashflow!$T$77:$BP$77</c:f>
              <c:numCache>
                <c:formatCode>"€"#,##0.00_);[Red]\("€"#,##0.00\)</c:formatCode>
                <c:ptCount val="49"/>
                <c:pt idx="0">
                  <c:v>294907</c:v>
                </c:pt>
                <c:pt idx="1">
                  <c:v>-38001</c:v>
                </c:pt>
                <c:pt idx="2">
                  <c:v>-38001</c:v>
                </c:pt>
                <c:pt idx="3">
                  <c:v>-41108</c:v>
                </c:pt>
                <c:pt idx="4">
                  <c:v>-41108</c:v>
                </c:pt>
                <c:pt idx="5">
                  <c:v>365080.99744947779</c:v>
                </c:pt>
                <c:pt idx="6">
                  <c:v>-154471.80878999096</c:v>
                </c:pt>
                <c:pt idx="7">
                  <c:v>-155345.35264320968</c:v>
                </c:pt>
                <c:pt idx="8">
                  <c:v>-115707.33569642845</c:v>
                </c:pt>
                <c:pt idx="9">
                  <c:v>-16087.496127772214</c:v>
                </c:pt>
                <c:pt idx="10">
                  <c:v>-12440.031380990975</c:v>
                </c:pt>
                <c:pt idx="11">
                  <c:v>-26632.681934209711</c:v>
                </c:pt>
                <c:pt idx="12">
                  <c:v>-5486.5397374284712</c:v>
                </c:pt>
                <c:pt idx="13">
                  <c:v>8605.5704593527807</c:v>
                </c:pt>
                <c:pt idx="14">
                  <c:v>17728.000656134023</c:v>
                </c:pt>
                <c:pt idx="15">
                  <c:v>-27125.690647084713</c:v>
                </c:pt>
                <c:pt idx="16">
                  <c:v>34725.972599696528</c:v>
                </c:pt>
                <c:pt idx="17">
                  <c:v>21812.806546477754</c:v>
                </c:pt>
                <c:pt idx="18">
                  <c:v>-17036.872856740949</c:v>
                </c:pt>
                <c:pt idx="19">
                  <c:v>67422.405240040302</c:v>
                </c:pt>
                <c:pt idx="20">
                  <c:v>46265.513458071509</c:v>
                </c:pt>
                <c:pt idx="21">
                  <c:v>4335.5076336028142</c:v>
                </c:pt>
                <c:pt idx="22">
                  <c:v>108456.08858038402</c:v>
                </c:pt>
                <c:pt idx="23">
                  <c:v>98946.844327165236</c:v>
                </c:pt>
                <c:pt idx="24">
                  <c:v>-88374.503307861232</c:v>
                </c:pt>
                <c:pt idx="25">
                  <c:v>145931.61882072774</c:v>
                </c:pt>
                <c:pt idx="26">
                  <c:v>159884.11416750902</c:v>
                </c:pt>
                <c:pt idx="27">
                  <c:v>31479.829814290279</c:v>
                </c:pt>
                <c:pt idx="28">
                  <c:v>189247.66566107157</c:v>
                </c:pt>
                <c:pt idx="29">
                  <c:v>179881.67840785271</c:v>
                </c:pt>
                <c:pt idx="30">
                  <c:v>50689.432804634038</c:v>
                </c:pt>
                <c:pt idx="31">
                  <c:v>235954.58410141524</c:v>
                </c:pt>
                <c:pt idx="32">
                  <c:v>221918.64031944651</c:v>
                </c:pt>
                <c:pt idx="33">
                  <c:v>77646.749594977766</c:v>
                </c:pt>
                <c:pt idx="34">
                  <c:v>290364.74994175904</c:v>
                </c:pt>
                <c:pt idx="35">
                  <c:v>283224.38228854025</c:v>
                </c:pt>
                <c:pt idx="36">
                  <c:v>-553581.68648514978</c:v>
                </c:pt>
                <c:pt idx="37">
                  <c:v>341182.22048210277</c:v>
                </c:pt>
                <c:pt idx="38">
                  <c:v>359410.42867888405</c:v>
                </c:pt>
                <c:pt idx="39">
                  <c:v>116545.68457566528</c:v>
                </c:pt>
                <c:pt idx="40">
                  <c:v>384008.68327244651</c:v>
                </c:pt>
                <c:pt idx="41">
                  <c:v>369510.6968692278</c:v>
                </c:pt>
                <c:pt idx="42">
                  <c:v>119507.93676600896</c:v>
                </c:pt>
                <c:pt idx="43">
                  <c:v>416534.02866279031</c:v>
                </c:pt>
                <c:pt idx="44">
                  <c:v>400846.76688082155</c:v>
                </c:pt>
                <c:pt idx="45">
                  <c:v>141039.98175635282</c:v>
                </c:pt>
                <c:pt idx="46">
                  <c:v>455939.80280313402</c:v>
                </c:pt>
                <c:pt idx="47">
                  <c:v>443307.15144991525</c:v>
                </c:pt>
                <c:pt idx="48">
                  <c:v>-1073535.5025078999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B0-4D23-819F-25021BF35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29327168"/>
        <c:axId val="1864342240"/>
      </c:barChart>
      <c:catAx>
        <c:axId val="192932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64342240"/>
        <c:crosses val="autoZero"/>
        <c:auto val="1"/>
        <c:lblAlgn val="ctr"/>
        <c:lblOffset val="100"/>
        <c:tickLblSkip val="6"/>
        <c:tickMarkSkip val="5"/>
        <c:noMultiLvlLbl val="0"/>
      </c:catAx>
      <c:valAx>
        <c:axId val="186434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932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0507841389309031"/>
          <c:y val="0.12612558819765049"/>
          <c:w val="0.87102641885452214"/>
          <c:h val="0.6414097572130020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Cashflow!$R$82</c:f>
              <c:strCache>
                <c:ptCount val="1"/>
                <c:pt idx="0">
                  <c:v>Salaries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Cashflow!$S$81:$BO$81</c:f>
              <c:strCache>
                <c:ptCount val="49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Cashflow!$S$82:$BO$82</c:f>
              <c:numCache>
                <c:formatCode>"€"#,##0.00_);[Red]\("€"#,##0.00\)</c:formatCode>
                <c:ptCount val="49"/>
                <c:pt idx="0">
                  <c:v>5093</c:v>
                </c:pt>
                <c:pt idx="1">
                  <c:v>33201</c:v>
                </c:pt>
                <c:pt idx="2">
                  <c:v>33201</c:v>
                </c:pt>
                <c:pt idx="3">
                  <c:v>36308</c:v>
                </c:pt>
                <c:pt idx="4">
                  <c:v>36308</c:v>
                </c:pt>
                <c:pt idx="5">
                  <c:v>58655</c:v>
                </c:pt>
                <c:pt idx="6">
                  <c:v>36509</c:v>
                </c:pt>
                <c:pt idx="7">
                  <c:v>36509</c:v>
                </c:pt>
                <c:pt idx="8">
                  <c:v>40947</c:v>
                </c:pt>
                <c:pt idx="9">
                  <c:v>40947</c:v>
                </c:pt>
                <c:pt idx="10">
                  <c:v>40947</c:v>
                </c:pt>
                <c:pt idx="11">
                  <c:v>63093</c:v>
                </c:pt>
                <c:pt idx="12">
                  <c:v>45424.05</c:v>
                </c:pt>
                <c:pt idx="13">
                  <c:v>45424.05</c:v>
                </c:pt>
                <c:pt idx="14">
                  <c:v>45424.05</c:v>
                </c:pt>
                <c:pt idx="15">
                  <c:v>45424.05</c:v>
                </c:pt>
                <c:pt idx="16">
                  <c:v>48460.649999999994</c:v>
                </c:pt>
                <c:pt idx="17">
                  <c:v>71713.950000000012</c:v>
                </c:pt>
                <c:pt idx="18">
                  <c:v>48460.649999999994</c:v>
                </c:pt>
                <c:pt idx="19">
                  <c:v>48460.649999999994</c:v>
                </c:pt>
                <c:pt idx="20">
                  <c:v>48460.649999999994</c:v>
                </c:pt>
                <c:pt idx="21">
                  <c:v>48460.649999999994</c:v>
                </c:pt>
                <c:pt idx="22">
                  <c:v>48460.649999999994</c:v>
                </c:pt>
                <c:pt idx="23">
                  <c:v>71713.950000000012</c:v>
                </c:pt>
                <c:pt idx="24">
                  <c:v>50768.3</c:v>
                </c:pt>
                <c:pt idx="25">
                  <c:v>50768.3</c:v>
                </c:pt>
                <c:pt idx="26">
                  <c:v>50768.3</c:v>
                </c:pt>
                <c:pt idx="27">
                  <c:v>50768.3</c:v>
                </c:pt>
                <c:pt idx="28">
                  <c:v>50768.3</c:v>
                </c:pt>
                <c:pt idx="29">
                  <c:v>75128.900000000009</c:v>
                </c:pt>
                <c:pt idx="30">
                  <c:v>50768.3</c:v>
                </c:pt>
                <c:pt idx="31">
                  <c:v>50768.3</c:v>
                </c:pt>
                <c:pt idx="32">
                  <c:v>50768.3</c:v>
                </c:pt>
                <c:pt idx="33">
                  <c:v>50768.3</c:v>
                </c:pt>
                <c:pt idx="34">
                  <c:v>50768.3</c:v>
                </c:pt>
                <c:pt idx="35">
                  <c:v>75128.900000000009</c:v>
                </c:pt>
                <c:pt idx="36">
                  <c:v>53075.95</c:v>
                </c:pt>
                <c:pt idx="37">
                  <c:v>53075.95</c:v>
                </c:pt>
                <c:pt idx="38">
                  <c:v>53075.95</c:v>
                </c:pt>
                <c:pt idx="39">
                  <c:v>53075.95</c:v>
                </c:pt>
                <c:pt idx="40">
                  <c:v>53075.95</c:v>
                </c:pt>
                <c:pt idx="41">
                  <c:v>78543.850000000006</c:v>
                </c:pt>
                <c:pt idx="42">
                  <c:v>53075.95</c:v>
                </c:pt>
                <c:pt idx="43">
                  <c:v>53075.95</c:v>
                </c:pt>
                <c:pt idx="44">
                  <c:v>53075.95</c:v>
                </c:pt>
                <c:pt idx="45">
                  <c:v>53075.95</c:v>
                </c:pt>
                <c:pt idx="46">
                  <c:v>53075.95</c:v>
                </c:pt>
                <c:pt idx="47">
                  <c:v>78543.850000000006</c:v>
                </c:pt>
                <c:pt idx="48">
                  <c:v>53075.95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B9-43A1-982C-2D3CEE903661}"/>
            </c:ext>
          </c:extLst>
        </c:ser>
        <c:ser>
          <c:idx val="1"/>
          <c:order val="1"/>
          <c:tx>
            <c:strRef>
              <c:f>Cashflow!$R$83</c:f>
              <c:strCache>
                <c:ptCount val="1"/>
                <c:pt idx="0">
                  <c:v>Production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Cashflow!$S$81:$BO$81</c:f>
              <c:strCache>
                <c:ptCount val="49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Cashflow!$S$83:$BO$83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6894</c:v>
                </c:pt>
                <c:pt idx="9">
                  <c:v>4194</c:v>
                </c:pt>
                <c:pt idx="10">
                  <c:v>1908</c:v>
                </c:pt>
                <c:pt idx="11">
                  <c:v>1926</c:v>
                </c:pt>
                <c:pt idx="12">
                  <c:v>1950</c:v>
                </c:pt>
                <c:pt idx="13">
                  <c:v>2172</c:v>
                </c:pt>
                <c:pt idx="14">
                  <c:v>2196</c:v>
                </c:pt>
                <c:pt idx="15">
                  <c:v>2208</c:v>
                </c:pt>
                <c:pt idx="16">
                  <c:v>2436</c:v>
                </c:pt>
                <c:pt idx="17">
                  <c:v>2454</c:v>
                </c:pt>
                <c:pt idx="18">
                  <c:v>2472</c:v>
                </c:pt>
                <c:pt idx="19">
                  <c:v>2688</c:v>
                </c:pt>
                <c:pt idx="20">
                  <c:v>2700</c:v>
                </c:pt>
                <c:pt idx="21">
                  <c:v>3762</c:v>
                </c:pt>
                <c:pt idx="22">
                  <c:v>2952</c:v>
                </c:pt>
                <c:pt idx="23">
                  <c:v>2958</c:v>
                </c:pt>
                <c:pt idx="24">
                  <c:v>2970</c:v>
                </c:pt>
                <c:pt idx="25">
                  <c:v>3204</c:v>
                </c:pt>
                <c:pt idx="26">
                  <c:v>3210</c:v>
                </c:pt>
                <c:pt idx="27">
                  <c:v>3216</c:v>
                </c:pt>
                <c:pt idx="28">
                  <c:v>3444</c:v>
                </c:pt>
                <c:pt idx="29">
                  <c:v>3450</c:v>
                </c:pt>
                <c:pt idx="30">
                  <c:v>3450</c:v>
                </c:pt>
                <c:pt idx="31">
                  <c:v>3696</c:v>
                </c:pt>
                <c:pt idx="32">
                  <c:v>3690</c:v>
                </c:pt>
                <c:pt idx="33">
                  <c:v>4656</c:v>
                </c:pt>
                <c:pt idx="34">
                  <c:v>3918</c:v>
                </c:pt>
                <c:pt idx="35">
                  <c:v>3912</c:v>
                </c:pt>
                <c:pt idx="36">
                  <c:v>3906</c:v>
                </c:pt>
                <c:pt idx="37">
                  <c:v>4134</c:v>
                </c:pt>
                <c:pt idx="38">
                  <c:v>4122</c:v>
                </c:pt>
                <c:pt idx="39">
                  <c:v>4110</c:v>
                </c:pt>
                <c:pt idx="40">
                  <c:v>2286</c:v>
                </c:pt>
                <c:pt idx="41">
                  <c:v>2472</c:v>
                </c:pt>
                <c:pt idx="42">
                  <c:v>2484</c:v>
                </c:pt>
                <c:pt idx="43">
                  <c:v>2496</c:v>
                </c:pt>
                <c:pt idx="44">
                  <c:v>2676</c:v>
                </c:pt>
                <c:pt idx="45">
                  <c:v>3564</c:v>
                </c:pt>
                <c:pt idx="46">
                  <c:v>2682</c:v>
                </c:pt>
                <c:pt idx="47">
                  <c:v>2862</c:v>
                </c:pt>
                <c:pt idx="48">
                  <c:v>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B9-43A1-982C-2D3CEE903661}"/>
            </c:ext>
          </c:extLst>
        </c:ser>
        <c:ser>
          <c:idx val="2"/>
          <c:order val="2"/>
          <c:tx>
            <c:strRef>
              <c:f>Cashflow!$R$84</c:f>
              <c:strCache>
                <c:ptCount val="1"/>
                <c:pt idx="0">
                  <c:v>Office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Cashflow!$S$81:$BO$81</c:f>
              <c:strCache>
                <c:ptCount val="49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Cashflow!$S$84:$BO$84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4800</c:v>
                </c:pt>
                <c:pt idx="2">
                  <c:v>4800</c:v>
                </c:pt>
                <c:pt idx="3">
                  <c:v>4800</c:v>
                </c:pt>
                <c:pt idx="4">
                  <c:v>4800</c:v>
                </c:pt>
                <c:pt idx="5">
                  <c:v>4800</c:v>
                </c:pt>
                <c:pt idx="6">
                  <c:v>4800</c:v>
                </c:pt>
                <c:pt idx="7">
                  <c:v>4800</c:v>
                </c:pt>
                <c:pt idx="8">
                  <c:v>5632.32</c:v>
                </c:pt>
                <c:pt idx="9">
                  <c:v>6048.48</c:v>
                </c:pt>
                <c:pt idx="10">
                  <c:v>6256.56</c:v>
                </c:pt>
                <c:pt idx="11">
                  <c:v>6464.64</c:v>
                </c:pt>
                <c:pt idx="12">
                  <c:v>6672.72</c:v>
                </c:pt>
                <c:pt idx="13">
                  <c:v>6880.8</c:v>
                </c:pt>
                <c:pt idx="14">
                  <c:v>7192.92</c:v>
                </c:pt>
                <c:pt idx="15">
                  <c:v>7401</c:v>
                </c:pt>
                <c:pt idx="16">
                  <c:v>7609.08</c:v>
                </c:pt>
                <c:pt idx="17">
                  <c:v>7921.2000000000007</c:v>
                </c:pt>
                <c:pt idx="18">
                  <c:v>8233.32</c:v>
                </c:pt>
                <c:pt idx="19">
                  <c:v>8441.4</c:v>
                </c:pt>
                <c:pt idx="20">
                  <c:v>8753.52</c:v>
                </c:pt>
                <c:pt idx="21">
                  <c:v>9169.68</c:v>
                </c:pt>
                <c:pt idx="22">
                  <c:v>9481.7999999999993</c:v>
                </c:pt>
                <c:pt idx="23">
                  <c:v>9793.92</c:v>
                </c:pt>
                <c:pt idx="24">
                  <c:v>10106.040000000001</c:v>
                </c:pt>
                <c:pt idx="25">
                  <c:v>10522.2</c:v>
                </c:pt>
                <c:pt idx="26">
                  <c:v>10834.32</c:v>
                </c:pt>
                <c:pt idx="27">
                  <c:v>11146.44</c:v>
                </c:pt>
                <c:pt idx="28">
                  <c:v>11562.6</c:v>
                </c:pt>
                <c:pt idx="29">
                  <c:v>11978.76</c:v>
                </c:pt>
                <c:pt idx="30">
                  <c:v>12290.880000000001</c:v>
                </c:pt>
                <c:pt idx="31">
                  <c:v>12707.04</c:v>
                </c:pt>
                <c:pt idx="32">
                  <c:v>13123.2</c:v>
                </c:pt>
                <c:pt idx="33">
                  <c:v>13643.4</c:v>
                </c:pt>
                <c:pt idx="34">
                  <c:v>14059.560000000001</c:v>
                </c:pt>
                <c:pt idx="35">
                  <c:v>14475.720000000001</c:v>
                </c:pt>
                <c:pt idx="36">
                  <c:v>14891.880000000001</c:v>
                </c:pt>
                <c:pt idx="37">
                  <c:v>15308.04</c:v>
                </c:pt>
                <c:pt idx="38">
                  <c:v>15724.2</c:v>
                </c:pt>
                <c:pt idx="39">
                  <c:v>16244.400000000001</c:v>
                </c:pt>
                <c:pt idx="40">
                  <c:v>16452.480000000003</c:v>
                </c:pt>
                <c:pt idx="41">
                  <c:v>16764.599999999999</c:v>
                </c:pt>
                <c:pt idx="42">
                  <c:v>16972.68</c:v>
                </c:pt>
                <c:pt idx="43">
                  <c:v>17284.800000000003</c:v>
                </c:pt>
                <c:pt idx="44">
                  <c:v>17596.919999999998</c:v>
                </c:pt>
                <c:pt idx="45">
                  <c:v>17909.04</c:v>
                </c:pt>
                <c:pt idx="46">
                  <c:v>18221.160000000003</c:v>
                </c:pt>
                <c:pt idx="47">
                  <c:v>18533.28</c:v>
                </c:pt>
                <c:pt idx="48">
                  <c:v>18845.400000000001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B9-43A1-982C-2D3CEE903661}"/>
            </c:ext>
          </c:extLst>
        </c:ser>
        <c:ser>
          <c:idx val="3"/>
          <c:order val="3"/>
          <c:tx>
            <c:strRef>
              <c:f>Cashflow!$R$85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Cashflow!$S$81:$BO$81</c:f>
              <c:strCache>
                <c:ptCount val="49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Cashflow!$S$85:$BO$85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105698.80623946873</c:v>
                </c:pt>
                <c:pt idx="7">
                  <c:v>106572.35009268748</c:v>
                </c:pt>
                <c:pt idx="8">
                  <c:v>106121.84814590623</c:v>
                </c:pt>
                <c:pt idx="9">
                  <c:v>20549.436077250004</c:v>
                </c:pt>
                <c:pt idx="10">
                  <c:v>21331.273830468752</c:v>
                </c:pt>
                <c:pt idx="11">
                  <c:v>22106.286883687502</c:v>
                </c:pt>
                <c:pt idx="12">
                  <c:v>22874.394686906253</c:v>
                </c:pt>
                <c:pt idx="13">
                  <c:v>23626.569490125003</c:v>
                </c:pt>
                <c:pt idx="14">
                  <c:v>24371.086793343755</c:v>
                </c:pt>
                <c:pt idx="15">
                  <c:v>25107.870096562507</c:v>
                </c:pt>
                <c:pt idx="16">
                  <c:v>25826.944849781255</c:v>
                </c:pt>
                <c:pt idx="17">
                  <c:v>26537.580903000005</c:v>
                </c:pt>
                <c:pt idx="18">
                  <c:v>27239.714806218755</c:v>
                </c:pt>
                <c:pt idx="19">
                  <c:v>27922.437209437507</c:v>
                </c:pt>
                <c:pt idx="20">
                  <c:v>61277.126491406263</c:v>
                </c:pt>
                <c:pt idx="21">
                  <c:v>29201.524315875009</c:v>
                </c:pt>
                <c:pt idx="22">
                  <c:v>29842.303869093757</c:v>
                </c:pt>
                <c:pt idx="23">
                  <c:v>30473.23562231251</c:v>
                </c:pt>
                <c:pt idx="24">
                  <c:v>31094.292575531257</c:v>
                </c:pt>
                <c:pt idx="25">
                  <c:v>31691.50612875001</c:v>
                </c:pt>
                <c:pt idx="26">
                  <c:v>32278.260781968762</c:v>
                </c:pt>
                <c:pt idx="27">
                  <c:v>32854.542135187512</c:v>
                </c:pt>
                <c:pt idx="28">
                  <c:v>33405.47678840626</c:v>
                </c:pt>
                <c:pt idx="29">
                  <c:v>33945.421541625015</c:v>
                </c:pt>
                <c:pt idx="30">
                  <c:v>34474.387644843766</c:v>
                </c:pt>
                <c:pt idx="31">
                  <c:v>34975.200848062515</c:v>
                </c:pt>
                <c:pt idx="32">
                  <c:v>65647.159630031267</c:v>
                </c:pt>
                <c:pt idx="33">
                  <c:v>35870.059354500016</c:v>
                </c:pt>
                <c:pt idx="34">
                  <c:v>36317.582507718762</c:v>
                </c:pt>
                <c:pt idx="35">
                  <c:v>36753.32016093751</c:v>
                </c:pt>
                <c:pt idx="36">
                  <c:v>37177.32991415626</c:v>
                </c:pt>
                <c:pt idx="37">
                  <c:v>37570.826967375011</c:v>
                </c:pt>
                <c:pt idx="38">
                  <c:v>37952.303770593768</c:v>
                </c:pt>
                <c:pt idx="39">
                  <c:v>38321.858873812518</c:v>
                </c:pt>
                <c:pt idx="40">
                  <c:v>38835.131677031262</c:v>
                </c:pt>
                <c:pt idx="41">
                  <c:v>39325.000580250009</c:v>
                </c:pt>
                <c:pt idx="42">
                  <c:v>39806.292183468766</c:v>
                </c:pt>
                <c:pt idx="43">
                  <c:v>40278.996286687514</c:v>
                </c:pt>
                <c:pt idx="44">
                  <c:v>68338.685568656263</c:v>
                </c:pt>
                <c:pt idx="45">
                  <c:v>41083.386193125014</c:v>
                </c:pt>
                <c:pt idx="46">
                  <c:v>41512.632146343763</c:v>
                </c:pt>
                <c:pt idx="47">
                  <c:v>41916.240999562513</c:v>
                </c:pt>
                <c:pt idx="48">
                  <c:v>42310.548202781269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B9-43A1-982C-2D3CEE903661}"/>
            </c:ext>
          </c:extLst>
        </c:ser>
        <c:ser>
          <c:idx val="4"/>
          <c:order val="4"/>
          <c:tx>
            <c:strRef>
              <c:f>Cashflow!$R$86</c:f>
              <c:strCache>
                <c:ptCount val="1"/>
                <c:pt idx="0">
                  <c:v>Distributors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Cashflow!$S$81:$BO$81</c:f>
              <c:strCache>
                <c:ptCount val="49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Cashflow!$S$86:$BO$86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7723.3499999999995</c:v>
                </c:pt>
                <c:pt idx="9">
                  <c:v>8984.1224999999995</c:v>
                </c:pt>
                <c:pt idx="10">
                  <c:v>9029.0249999999978</c:v>
                </c:pt>
                <c:pt idx="11">
                  <c:v>10234.987499999999</c:v>
                </c:pt>
                <c:pt idx="12">
                  <c:v>11458.867499999998</c:v>
                </c:pt>
                <c:pt idx="13">
                  <c:v>12920.302499999998</c:v>
                </c:pt>
                <c:pt idx="14">
                  <c:v>14294.924999999997</c:v>
                </c:pt>
                <c:pt idx="15">
                  <c:v>15674.009999999998</c:v>
                </c:pt>
                <c:pt idx="16">
                  <c:v>17301.12</c:v>
                </c:pt>
                <c:pt idx="17">
                  <c:v>18833.939999999999</c:v>
                </c:pt>
                <c:pt idx="18">
                  <c:v>20377.207499999997</c:v>
                </c:pt>
                <c:pt idx="19">
                  <c:v>22155.044999999998</c:v>
                </c:pt>
                <c:pt idx="20">
                  <c:v>23840.092499999995</c:v>
                </c:pt>
                <c:pt idx="21">
                  <c:v>26708.512499999993</c:v>
                </c:pt>
                <c:pt idx="22">
                  <c:v>28137.314999999995</c:v>
                </c:pt>
                <c:pt idx="23">
                  <c:v>29979.067499999997</c:v>
                </c:pt>
                <c:pt idx="24">
                  <c:v>31831.274999999998</c:v>
                </c:pt>
                <c:pt idx="25">
                  <c:v>33938.977499999994</c:v>
                </c:pt>
                <c:pt idx="26">
                  <c:v>35937.442499999997</c:v>
                </c:pt>
                <c:pt idx="27">
                  <c:v>37938.892499999994</c:v>
                </c:pt>
                <c:pt idx="28">
                  <c:v>40194.344999999994</c:v>
                </c:pt>
                <c:pt idx="29">
                  <c:v>42340.56749999999</c:v>
                </c:pt>
                <c:pt idx="30">
                  <c:v>44485.289999999994</c:v>
                </c:pt>
                <c:pt idx="31">
                  <c:v>46903.447499999995</c:v>
                </c:pt>
                <c:pt idx="32">
                  <c:v>49194.427499999998</c:v>
                </c:pt>
                <c:pt idx="33">
                  <c:v>52570.177499999998</c:v>
                </c:pt>
                <c:pt idx="34">
                  <c:v>54637.859999999993</c:v>
                </c:pt>
                <c:pt idx="35">
                  <c:v>57066.15</c:v>
                </c:pt>
                <c:pt idx="36">
                  <c:v>59489.962499999994</c:v>
                </c:pt>
                <c:pt idx="37">
                  <c:v>62172.27</c:v>
                </c:pt>
                <c:pt idx="38">
                  <c:v>64727.414999999994</c:v>
                </c:pt>
                <c:pt idx="39">
                  <c:v>67275.097499999989</c:v>
                </c:pt>
                <c:pt idx="40">
                  <c:v>67786.237500000003</c:v>
                </c:pt>
                <c:pt idx="41">
                  <c:v>69416.28</c:v>
                </c:pt>
                <c:pt idx="42">
                  <c:v>70964.017499999987</c:v>
                </c:pt>
                <c:pt idx="43">
                  <c:v>72519.217499999984</c:v>
                </c:pt>
                <c:pt idx="44">
                  <c:v>74270.14499999999</c:v>
                </c:pt>
                <c:pt idx="45">
                  <c:v>76929.397499999992</c:v>
                </c:pt>
                <c:pt idx="46">
                  <c:v>78156.622499999998</c:v>
                </c:pt>
                <c:pt idx="47">
                  <c:v>80023.964999999997</c:v>
                </c:pt>
                <c:pt idx="48">
                  <c:v>81803.024999999994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B9-43A1-982C-2D3CEE903661}"/>
            </c:ext>
          </c:extLst>
        </c:ser>
        <c:ser>
          <c:idx val="5"/>
          <c:order val="5"/>
          <c:tx>
            <c:v>Taxes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Cashflow!$S$87:$BO$87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54143.732999999993</c:v>
                </c:pt>
                <c:pt idx="16">
                  <c:v>0</c:v>
                </c:pt>
                <c:pt idx="17">
                  <c:v>0</c:v>
                </c:pt>
                <c:pt idx="18">
                  <c:v>72532.697999999989</c:v>
                </c:pt>
                <c:pt idx="19">
                  <c:v>0</c:v>
                </c:pt>
                <c:pt idx="20">
                  <c:v>0</c:v>
                </c:pt>
                <c:pt idx="21">
                  <c:v>92921.282999999981</c:v>
                </c:pt>
                <c:pt idx="22">
                  <c:v>0</c:v>
                </c:pt>
                <c:pt idx="23">
                  <c:v>0</c:v>
                </c:pt>
                <c:pt idx="24">
                  <c:v>214684.80818180775</c:v>
                </c:pt>
                <c:pt idx="25">
                  <c:v>0</c:v>
                </c:pt>
                <c:pt idx="26">
                  <c:v>0</c:v>
                </c:pt>
                <c:pt idx="27">
                  <c:v>142390.77299999999</c:v>
                </c:pt>
                <c:pt idx="28">
                  <c:v>0</c:v>
                </c:pt>
                <c:pt idx="29">
                  <c:v>0</c:v>
                </c:pt>
                <c:pt idx="30">
                  <c:v>168663.32699999999</c:v>
                </c:pt>
                <c:pt idx="31">
                  <c:v>0</c:v>
                </c:pt>
                <c:pt idx="32">
                  <c:v>0</c:v>
                </c:pt>
                <c:pt idx="33">
                  <c:v>196816.43099999998</c:v>
                </c:pt>
                <c:pt idx="34">
                  <c:v>0</c:v>
                </c:pt>
                <c:pt idx="35">
                  <c:v>0</c:v>
                </c:pt>
                <c:pt idx="36">
                  <c:v>870656.36152047128</c:v>
                </c:pt>
                <c:pt idx="37">
                  <c:v>0</c:v>
                </c:pt>
                <c:pt idx="38">
                  <c:v>0</c:v>
                </c:pt>
                <c:pt idx="39">
                  <c:v>260945.50649999996</c:v>
                </c:pt>
                <c:pt idx="40">
                  <c:v>0</c:v>
                </c:pt>
                <c:pt idx="41">
                  <c:v>0</c:v>
                </c:pt>
                <c:pt idx="42">
                  <c:v>286268.66099999996</c:v>
                </c:pt>
                <c:pt idx="43">
                  <c:v>0</c:v>
                </c:pt>
                <c:pt idx="44">
                  <c:v>0</c:v>
                </c:pt>
                <c:pt idx="45">
                  <c:v>304854.73199999996</c:v>
                </c:pt>
                <c:pt idx="46">
                  <c:v>0</c:v>
                </c:pt>
                <c:pt idx="47">
                  <c:v>0</c:v>
                </c:pt>
                <c:pt idx="48">
                  <c:v>1523969.6467545964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B9-43A1-982C-2D3CEE903661}"/>
            </c:ext>
          </c:extLst>
        </c:ser>
        <c:ser>
          <c:idx val="6"/>
          <c:order val="6"/>
          <c:tx>
            <c:v>Interests</c:v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Cashflow!$S$88:$BO$88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2273.5263600460207</c:v>
                </c:pt>
                <c:pt idx="6">
                  <c:v>2273.5263600460207</c:v>
                </c:pt>
                <c:pt idx="7">
                  <c:v>2273.5263600460207</c:v>
                </c:pt>
                <c:pt idx="8">
                  <c:v>2273.5263600460207</c:v>
                </c:pt>
                <c:pt idx="9">
                  <c:v>2273.5263600460207</c:v>
                </c:pt>
                <c:pt idx="10">
                  <c:v>2273.5263600460207</c:v>
                </c:pt>
                <c:pt idx="11">
                  <c:v>2273.5263600460207</c:v>
                </c:pt>
                <c:pt idx="12">
                  <c:v>2273.5263600460207</c:v>
                </c:pt>
                <c:pt idx="13">
                  <c:v>2273.5263600460207</c:v>
                </c:pt>
                <c:pt idx="14">
                  <c:v>2273.5263600460207</c:v>
                </c:pt>
                <c:pt idx="15">
                  <c:v>2273.5263600460207</c:v>
                </c:pt>
                <c:pt idx="16">
                  <c:v>2273.5263600460207</c:v>
                </c:pt>
                <c:pt idx="17">
                  <c:v>2273.5263600460207</c:v>
                </c:pt>
                <c:pt idx="18">
                  <c:v>2273.5263600460207</c:v>
                </c:pt>
                <c:pt idx="19">
                  <c:v>2273.5263600460207</c:v>
                </c:pt>
                <c:pt idx="20">
                  <c:v>2273.5263600460207</c:v>
                </c:pt>
                <c:pt idx="21">
                  <c:v>2273.5263600460207</c:v>
                </c:pt>
                <c:pt idx="22">
                  <c:v>2273.5263600460207</c:v>
                </c:pt>
                <c:pt idx="23">
                  <c:v>2273.5263600460207</c:v>
                </c:pt>
                <c:pt idx="24">
                  <c:v>2273.5263600460207</c:v>
                </c:pt>
                <c:pt idx="25">
                  <c:v>2273.5263600460207</c:v>
                </c:pt>
                <c:pt idx="26">
                  <c:v>2273.5263600460207</c:v>
                </c:pt>
                <c:pt idx="27">
                  <c:v>2273.5263600460207</c:v>
                </c:pt>
                <c:pt idx="28">
                  <c:v>2273.5263600460207</c:v>
                </c:pt>
                <c:pt idx="29">
                  <c:v>2273.5263600460207</c:v>
                </c:pt>
                <c:pt idx="30">
                  <c:v>2273.5263600460207</c:v>
                </c:pt>
                <c:pt idx="31">
                  <c:v>2273.5263600460207</c:v>
                </c:pt>
                <c:pt idx="32">
                  <c:v>2273.5263600460207</c:v>
                </c:pt>
                <c:pt idx="33">
                  <c:v>2273.5263600460207</c:v>
                </c:pt>
                <c:pt idx="34">
                  <c:v>2273.5263600460207</c:v>
                </c:pt>
                <c:pt idx="35">
                  <c:v>2273.5263600460207</c:v>
                </c:pt>
                <c:pt idx="36">
                  <c:v>2273.5263600460207</c:v>
                </c:pt>
                <c:pt idx="37">
                  <c:v>2273.5263600460207</c:v>
                </c:pt>
                <c:pt idx="38">
                  <c:v>2273.5263600460207</c:v>
                </c:pt>
                <c:pt idx="39">
                  <c:v>2273.5263600460207</c:v>
                </c:pt>
                <c:pt idx="40">
                  <c:v>2273.5263600460207</c:v>
                </c:pt>
                <c:pt idx="41">
                  <c:v>2273.5263600460207</c:v>
                </c:pt>
                <c:pt idx="42">
                  <c:v>2273.5263600460207</c:v>
                </c:pt>
                <c:pt idx="43">
                  <c:v>2273.5263600460207</c:v>
                </c:pt>
                <c:pt idx="44">
                  <c:v>2273.5263600460207</c:v>
                </c:pt>
                <c:pt idx="45">
                  <c:v>2273.5263600460207</c:v>
                </c:pt>
                <c:pt idx="46">
                  <c:v>2273.5263600460207</c:v>
                </c:pt>
                <c:pt idx="47">
                  <c:v>2273.5263600460207</c:v>
                </c:pt>
                <c:pt idx="48">
                  <c:v>2273.5263600460207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9-43A1-982C-2D3CEE903661}"/>
            </c:ext>
          </c:extLst>
        </c:ser>
        <c:ser>
          <c:idx val="7"/>
          <c:order val="7"/>
          <c:tx>
            <c:v>Depreciation and Amortization</c:v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Cashflow!$S$89:$BO$89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4600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5400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5400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7B9-43A1-982C-2D3CEE903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9386096"/>
        <c:axId val="120851392"/>
      </c:barChart>
      <c:catAx>
        <c:axId val="192938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851392"/>
        <c:crosses val="autoZero"/>
        <c:auto val="1"/>
        <c:lblAlgn val="ctr"/>
        <c:lblOffset val="100"/>
        <c:noMultiLvlLbl val="0"/>
      </c:catAx>
      <c:valAx>
        <c:axId val="1208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938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0669757274507942"/>
          <c:y val="0.10780168040840979"/>
          <c:w val="0.8733673063534233"/>
          <c:h val="0.86022693958370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Cashflow!$S$75</c:f>
              <c:strCache>
                <c:ptCount val="1"/>
                <c:pt idx="0">
                  <c:v>TOTAL BALANCE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Cashflow!$S$81:$BO$81</c:f>
              <c:strCache>
                <c:ptCount val="49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Cashflow!$T$75:$BP$75</c:f>
              <c:numCache>
                <c:formatCode>"€"#,##0.00_);[Red]\("€"#,##0.00\)</c:formatCode>
                <c:ptCount val="49"/>
                <c:pt idx="0">
                  <c:v>294907</c:v>
                </c:pt>
                <c:pt idx="1">
                  <c:v>256906</c:v>
                </c:pt>
                <c:pt idx="2">
                  <c:v>218905</c:v>
                </c:pt>
                <c:pt idx="3">
                  <c:v>177797</c:v>
                </c:pt>
                <c:pt idx="4">
                  <c:v>136689</c:v>
                </c:pt>
                <c:pt idx="5">
                  <c:v>501769.99744947779</c:v>
                </c:pt>
                <c:pt idx="6">
                  <c:v>347298.18865948683</c:v>
                </c:pt>
                <c:pt idx="7">
                  <c:v>191952.83601627714</c:v>
                </c:pt>
                <c:pt idx="8">
                  <c:v>76245.500319848696</c:v>
                </c:pt>
                <c:pt idx="9">
                  <c:v>60158.004192076478</c:v>
                </c:pt>
                <c:pt idx="10">
                  <c:v>47717.972811085507</c:v>
                </c:pt>
                <c:pt idx="11">
                  <c:v>21085.290876875795</c:v>
                </c:pt>
                <c:pt idx="12">
                  <c:v>15598.751139447324</c:v>
                </c:pt>
                <c:pt idx="13">
                  <c:v>24204.321598800103</c:v>
                </c:pt>
                <c:pt idx="14">
                  <c:v>41932.32225493413</c:v>
                </c:pt>
                <c:pt idx="15">
                  <c:v>14806.631607849416</c:v>
                </c:pt>
                <c:pt idx="16">
                  <c:v>49532.604207545941</c:v>
                </c:pt>
                <c:pt idx="17">
                  <c:v>71345.410754023702</c:v>
                </c:pt>
                <c:pt idx="18">
                  <c:v>54308.537897282753</c:v>
                </c:pt>
                <c:pt idx="19">
                  <c:v>121730.94313732305</c:v>
                </c:pt>
                <c:pt idx="20">
                  <c:v>167996.45659539456</c:v>
                </c:pt>
                <c:pt idx="21">
                  <c:v>172331.96422899736</c:v>
                </c:pt>
                <c:pt idx="22">
                  <c:v>280788.05280938139</c:v>
                </c:pt>
                <c:pt idx="23">
                  <c:v>379734.89713654661</c:v>
                </c:pt>
                <c:pt idx="24">
                  <c:v>291360.3938286854</c:v>
                </c:pt>
                <c:pt idx="25">
                  <c:v>437292.01264941314</c:v>
                </c:pt>
                <c:pt idx="26">
                  <c:v>597176.1268169221</c:v>
                </c:pt>
                <c:pt idx="27">
                  <c:v>628655.95663121238</c:v>
                </c:pt>
                <c:pt idx="28">
                  <c:v>817903.62229228392</c:v>
                </c:pt>
                <c:pt idx="29">
                  <c:v>997785.30070013669</c:v>
                </c:pt>
                <c:pt idx="30">
                  <c:v>1048474.7335047708</c:v>
                </c:pt>
                <c:pt idx="31">
                  <c:v>1284429.317606186</c:v>
                </c:pt>
                <c:pt idx="32">
                  <c:v>1506347.9579256326</c:v>
                </c:pt>
                <c:pt idx="33">
                  <c:v>1583994.7075206104</c:v>
                </c:pt>
                <c:pt idx="34">
                  <c:v>1874359.4574623695</c:v>
                </c:pt>
                <c:pt idx="35">
                  <c:v>2157583.8397509097</c:v>
                </c:pt>
                <c:pt idx="36">
                  <c:v>1604002.1532657598</c:v>
                </c:pt>
                <c:pt idx="37">
                  <c:v>1945184.3737478626</c:v>
                </c:pt>
                <c:pt idx="38">
                  <c:v>2304594.8024267466</c:v>
                </c:pt>
                <c:pt idx="39">
                  <c:v>2421140.4870024119</c:v>
                </c:pt>
                <c:pt idx="40">
                  <c:v>2805149.1702748584</c:v>
                </c:pt>
                <c:pt idx="41">
                  <c:v>3174659.8671440864</c:v>
                </c:pt>
                <c:pt idx="42">
                  <c:v>3294167.8039100952</c:v>
                </c:pt>
                <c:pt idx="43">
                  <c:v>3710701.8325728858</c:v>
                </c:pt>
                <c:pt idx="44">
                  <c:v>4111548.5994537072</c:v>
                </c:pt>
                <c:pt idx="45">
                  <c:v>4252588.58121006</c:v>
                </c:pt>
                <c:pt idx="46">
                  <c:v>4708528.3840131937</c:v>
                </c:pt>
                <c:pt idx="47">
                  <c:v>5151835.5354631087</c:v>
                </c:pt>
                <c:pt idx="48">
                  <c:v>4078300.0329552088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FF-4BFF-87BA-5286A3DEA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4973440"/>
        <c:axId val="120851872"/>
      </c:barChart>
      <c:catAx>
        <c:axId val="18497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851872"/>
        <c:crosses val="autoZero"/>
        <c:auto val="1"/>
        <c:lblAlgn val="ctr"/>
        <c:lblOffset val="100"/>
        <c:noMultiLvlLbl val="0"/>
      </c:catAx>
      <c:valAx>
        <c:axId val="12085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97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>
        <c:manualLayout>
          <c:xMode val="edge"/>
          <c:yMode val="edge"/>
          <c:x val="0.38426814479238858"/>
          <c:y val="3.6712364406350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Cashflow!$S$50</c:f>
              <c:strCache>
                <c:ptCount val="1"/>
                <c:pt idx="0">
                  <c:v>Accumulated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0-E629-4AB0-84AC-A18B9A16D3C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F-E629-4AB0-84AC-A18B9A16D3C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E-E629-4AB0-84AC-A18B9A16D3C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D-E629-4AB0-84AC-A18B9A16D3C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C-E629-4AB0-84AC-A18B9A16D3C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B-E629-4AB0-84AC-A18B9A16D3CB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A-E629-4AB0-84AC-A18B9A16D3CB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9-E629-4AB0-84AC-A18B9A16D3CB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8-E629-4AB0-84AC-A18B9A16D3CB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7-E629-4AB0-84AC-A18B9A16D3CB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6-E629-4AB0-84AC-A18B9A16D3CB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5-E629-4AB0-84AC-A18B9A16D3CB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4-E629-4AB0-84AC-A18B9A16D3CB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3-E629-4AB0-84AC-A18B9A16D3CB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2-E629-4AB0-84AC-A18B9A16D3CB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1-E629-4AB0-84AC-A18B9A16D3CB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0-E629-4AB0-84AC-A18B9A16D3CB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F-E629-4AB0-84AC-A18B9A16D3CB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E-E629-4AB0-84AC-A18B9A16D3CB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D-E629-4AB0-84AC-A18B9A16D3CB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B-E629-4AB0-84AC-A18B9A16D3CB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E629-4AB0-84AC-A18B9A16D3CB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C-E629-4AB0-84AC-A18B9A16D3CB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E629-4AB0-84AC-A18B9A16D3CB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E629-4AB0-84AC-A18B9A16D3CB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E629-4AB0-84AC-A18B9A16D3CB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E629-4AB0-84AC-A18B9A16D3CB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E629-4AB0-84AC-A18B9A16D3CB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E629-4AB0-84AC-A18B9A16D3CB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E629-4AB0-84AC-A18B9A16D3CB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E629-4AB0-84AC-A18B9A16D3CB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E629-4AB0-84AC-A18B9A16D3CB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E629-4AB0-84AC-A18B9A16D3CB}"/>
                </c:ext>
              </c:extLst>
            </c:dLbl>
            <c:dLbl>
              <c:idx val="3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E629-4AB0-84AC-A18B9A16D3CB}"/>
                </c:ext>
              </c:extLst>
            </c:dLbl>
            <c:dLbl>
              <c:idx val="3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E629-4AB0-84AC-A18B9A16D3CB}"/>
                </c:ext>
              </c:extLst>
            </c:dLbl>
            <c:dLbl>
              <c:idx val="3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E629-4AB0-84AC-A18B9A16D3CB}"/>
                </c:ext>
              </c:extLst>
            </c:dLbl>
            <c:dLbl>
              <c:idx val="3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E629-4AB0-84AC-A18B9A16D3CB}"/>
                </c:ext>
              </c:extLst>
            </c:dLbl>
            <c:dLbl>
              <c:idx val="3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E629-4AB0-84AC-A18B9A16D3CB}"/>
                </c:ext>
              </c:extLst>
            </c:dLbl>
            <c:dLbl>
              <c:idx val="3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E629-4AB0-84AC-A18B9A16D3CB}"/>
                </c:ext>
              </c:extLst>
            </c:dLbl>
            <c:dLbl>
              <c:idx val="3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E629-4AB0-84AC-A18B9A16D3CB}"/>
                </c:ext>
              </c:extLst>
            </c:dLbl>
            <c:dLbl>
              <c:idx val="4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E629-4AB0-84AC-A18B9A16D3CB}"/>
                </c:ext>
              </c:extLst>
            </c:dLbl>
            <c:dLbl>
              <c:idx val="4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E629-4AB0-84AC-A18B9A16D3CB}"/>
                </c:ext>
              </c:extLst>
            </c:dLbl>
            <c:dLbl>
              <c:idx val="4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E629-4AB0-84AC-A18B9A16D3CB}"/>
                </c:ext>
              </c:extLst>
            </c:dLbl>
            <c:dLbl>
              <c:idx val="4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E629-4AB0-84AC-A18B9A16D3CB}"/>
                </c:ext>
              </c:extLst>
            </c:dLbl>
            <c:dLbl>
              <c:idx val="4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E629-4AB0-84AC-A18B9A16D3CB}"/>
                </c:ext>
              </c:extLst>
            </c:dLbl>
            <c:dLbl>
              <c:idx val="4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E629-4AB0-84AC-A18B9A16D3CB}"/>
                </c:ext>
              </c:extLst>
            </c:dLbl>
            <c:dLbl>
              <c:idx val="4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E629-4AB0-84AC-A18B9A16D3CB}"/>
                </c:ext>
              </c:extLst>
            </c:dLbl>
            <c:dLbl>
              <c:idx val="47"/>
              <c:layout>
                <c:manualLayout>
                  <c:x val="-1.0167601135489019E-16"/>
                  <c:y val="0.2569865508444565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>
                        <a:solidFill>
                          <a:sysClr val="windowText" lastClr="000000"/>
                        </a:solidFill>
                      </a:rPr>
                      <a:t>Accumulated</a:t>
                    </a:r>
                    <a:r>
                      <a:rPr lang="en-US" b="1" baseline="0">
                        <a:solidFill>
                          <a:sysClr val="windowText" lastClr="000000"/>
                        </a:solidFill>
                      </a:rPr>
                      <a:t> Income:</a:t>
                    </a:r>
                  </a:p>
                  <a:p>
                    <a:pPr>
                      <a:defRPr/>
                    </a:pPr>
                    <a:r>
                      <a:rPr lang="en-US" b="1" baseline="0">
                        <a:solidFill>
                          <a:sysClr val="windowText" lastClr="000000"/>
                        </a:solidFill>
                      </a:rPr>
                      <a:t> </a:t>
                    </a:r>
                    <a:fld id="{B9DC16AD-3CDF-422B-A3FF-2594C34BBD48}" type="VALUE">
                      <a:rPr lang="en-US" b="1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[VALOR]</a:t>
                    </a:fld>
                    <a:endParaRPr lang="en-US" b="1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&quot;€&quot;#,##0.00_);[Red]\(&quot;€&quot;#,##0.00\)" sourceLinked="0"/>
              <c:spPr>
                <a:solidFill>
                  <a:srgbClr val="FBE5D6">
                    <a:alpha val="50196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F-E629-4AB0-84AC-A18B9A16D3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Cashflow!$S$32:$BP$32</c15:sqref>
                  </c15:fullRef>
                </c:ext>
              </c:extLst>
              <c:f>Cashflow!$T$32:$BP$32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Cashflow!$T$50:$BP$50</c15:sqref>
                  </c15:fullRef>
                </c:ext>
              </c:extLst>
              <c:f>Cashflow!$U$50:$BP$50</c:f>
              <c:numCache>
                <c:formatCode>"€"#,##0.00_);[Red]\("€"#,##0.00\)</c:formatCode>
                <c:ptCount val="48"/>
                <c:pt idx="0">
                  <c:v>-43094</c:v>
                </c:pt>
                <c:pt idx="1">
                  <c:v>-81095</c:v>
                </c:pt>
                <c:pt idx="2">
                  <c:v>-122203</c:v>
                </c:pt>
                <c:pt idx="3">
                  <c:v>-163311</c:v>
                </c:pt>
                <c:pt idx="4">
                  <c:v>-229039.526360046</c:v>
                </c:pt>
                <c:pt idx="5">
                  <c:v>-378320.85895956075</c:v>
                </c:pt>
                <c:pt idx="6">
                  <c:v>-528475.73541229428</c:v>
                </c:pt>
                <c:pt idx="7">
                  <c:v>-638992.5949182465</c:v>
                </c:pt>
                <c:pt idx="8">
                  <c:v>-649889.61485554255</c:v>
                </c:pt>
                <c:pt idx="9">
                  <c:v>-657139.17004605732</c:v>
                </c:pt>
                <c:pt idx="10">
                  <c:v>-678581.37578979088</c:v>
                </c:pt>
                <c:pt idx="11">
                  <c:v>-678877.43933674321</c:v>
                </c:pt>
                <c:pt idx="12">
                  <c:v>-665081.39268691419</c:v>
                </c:pt>
                <c:pt idx="13">
                  <c:v>-642162.91584030399</c:v>
                </c:pt>
                <c:pt idx="14">
                  <c:v>-609954.3972969125</c:v>
                </c:pt>
                <c:pt idx="15">
                  <c:v>-570037.94850673981</c:v>
                </c:pt>
                <c:pt idx="16">
                  <c:v>-543034.66576978588</c:v>
                </c:pt>
                <c:pt idx="17">
                  <c:v>-482348.36443605064</c:v>
                </c:pt>
                <c:pt idx="18">
                  <c:v>-409735.48300553416</c:v>
                </c:pt>
                <c:pt idx="19">
                  <c:v>-358279.49335698644</c:v>
                </c:pt>
                <c:pt idx="20">
                  <c:v>-255832.22653290746</c:v>
                </c:pt>
                <c:pt idx="21">
                  <c:v>-142185.66176204727</c:v>
                </c:pt>
                <c:pt idx="22">
                  <c:v>-39048.341244405849</c:v>
                </c:pt>
                <c:pt idx="23">
                  <c:v>-3477.5153617909236</c:v>
                </c:pt>
                <c:pt idx="24">
                  <c:v>147644.579649413</c:v>
                </c:pt>
                <c:pt idx="25">
                  <c:v>312719.17000739824</c:v>
                </c:pt>
                <c:pt idx="26">
                  <c:v>491780.24901216466</c:v>
                </c:pt>
                <c:pt idx="27">
                  <c:v>686218.39086371241</c:v>
                </c:pt>
                <c:pt idx="28">
                  <c:v>871290.54546204128</c:v>
                </c:pt>
                <c:pt idx="29">
                  <c:v>1095833.7814571515</c:v>
                </c:pt>
                <c:pt idx="30">
                  <c:v>1336978.841749043</c:v>
                </c:pt>
                <c:pt idx="31">
                  <c:v>1564087.9582589658</c:v>
                </c:pt>
                <c:pt idx="32">
                  <c:v>1843741.6150444197</c:v>
                </c:pt>
                <c:pt idx="33">
                  <c:v>2139296.8411766551</c:v>
                </c:pt>
                <c:pt idx="34">
                  <c:v>2427711.6996556716</c:v>
                </c:pt>
                <c:pt idx="35">
                  <c:v>2109304.3518609982</c:v>
                </c:pt>
                <c:pt idx="36">
                  <c:v>2455677.048533577</c:v>
                </c:pt>
                <c:pt idx="37">
                  <c:v>2820277.9534029374</c:v>
                </c:pt>
                <c:pt idx="38">
                  <c:v>3202959.620669079</c:v>
                </c:pt>
                <c:pt idx="39">
                  <c:v>3592158.7801320017</c:v>
                </c:pt>
                <c:pt idx="40">
                  <c:v>3966859.953191706</c:v>
                </c:pt>
                <c:pt idx="41">
                  <c:v>4377827.0271481909</c:v>
                </c:pt>
                <c:pt idx="42">
                  <c:v>4799551.5320014572</c:v>
                </c:pt>
                <c:pt idx="43">
                  <c:v>5205588.7750727553</c:v>
                </c:pt>
                <c:pt idx="44">
                  <c:v>5656673.9650195846</c:v>
                </c:pt>
                <c:pt idx="45">
                  <c:v>6117804.2440131949</c:v>
                </c:pt>
                <c:pt idx="46">
                  <c:v>6566301.8716535866</c:v>
                </c:pt>
                <c:pt idx="47">
                  <c:v>5852577.7243361631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9-4AB0-84AC-A18B9A16D3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6144623"/>
        <c:axId val="200331983"/>
      </c:barChart>
      <c:catAx>
        <c:axId val="21614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331983"/>
        <c:crosses val="autoZero"/>
        <c:auto val="1"/>
        <c:lblAlgn val="ctr"/>
        <c:lblOffset val="100"/>
        <c:tickMarkSkip val="5"/>
        <c:noMultiLvlLbl val="0"/>
      </c:catAx>
      <c:valAx>
        <c:axId val="20033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6144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Cashflow!$R$87</c:f>
              <c:strCache>
                <c:ptCount val="1"/>
                <c:pt idx="0">
                  <c:v>Taxes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Cashflow!$S$81:$BO$81</c:f>
              <c:strCache>
                <c:ptCount val="49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Cashflow!$S$87:$BO$87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54143.732999999993</c:v>
                </c:pt>
                <c:pt idx="16">
                  <c:v>0</c:v>
                </c:pt>
                <c:pt idx="17">
                  <c:v>0</c:v>
                </c:pt>
                <c:pt idx="18">
                  <c:v>72532.697999999989</c:v>
                </c:pt>
                <c:pt idx="19">
                  <c:v>0</c:v>
                </c:pt>
                <c:pt idx="20">
                  <c:v>0</c:v>
                </c:pt>
                <c:pt idx="21">
                  <c:v>92921.282999999981</c:v>
                </c:pt>
                <c:pt idx="22">
                  <c:v>0</c:v>
                </c:pt>
                <c:pt idx="23">
                  <c:v>0</c:v>
                </c:pt>
                <c:pt idx="24">
                  <c:v>214684.80818180775</c:v>
                </c:pt>
                <c:pt idx="25">
                  <c:v>0</c:v>
                </c:pt>
                <c:pt idx="26">
                  <c:v>0</c:v>
                </c:pt>
                <c:pt idx="27">
                  <c:v>142390.77299999999</c:v>
                </c:pt>
                <c:pt idx="28">
                  <c:v>0</c:v>
                </c:pt>
                <c:pt idx="29">
                  <c:v>0</c:v>
                </c:pt>
                <c:pt idx="30">
                  <c:v>168663.32699999999</c:v>
                </c:pt>
                <c:pt idx="31">
                  <c:v>0</c:v>
                </c:pt>
                <c:pt idx="32">
                  <c:v>0</c:v>
                </c:pt>
                <c:pt idx="33">
                  <c:v>196816.43099999998</c:v>
                </c:pt>
                <c:pt idx="34">
                  <c:v>0</c:v>
                </c:pt>
                <c:pt idx="35">
                  <c:v>0</c:v>
                </c:pt>
                <c:pt idx="36">
                  <c:v>870656.36152047128</c:v>
                </c:pt>
                <c:pt idx="37">
                  <c:v>0</c:v>
                </c:pt>
                <c:pt idx="38">
                  <c:v>0</c:v>
                </c:pt>
                <c:pt idx="39">
                  <c:v>260945.50649999996</c:v>
                </c:pt>
                <c:pt idx="40">
                  <c:v>0</c:v>
                </c:pt>
                <c:pt idx="41">
                  <c:v>0</c:v>
                </c:pt>
                <c:pt idx="42">
                  <c:v>286268.66099999996</c:v>
                </c:pt>
                <c:pt idx="43">
                  <c:v>0</c:v>
                </c:pt>
                <c:pt idx="44">
                  <c:v>0</c:v>
                </c:pt>
                <c:pt idx="45">
                  <c:v>304854.73199999996</c:v>
                </c:pt>
                <c:pt idx="46">
                  <c:v>0</c:v>
                </c:pt>
                <c:pt idx="47">
                  <c:v>0</c:v>
                </c:pt>
                <c:pt idx="48">
                  <c:v>1523969.6467545964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D-46BD-9207-5825DE5D1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5776640"/>
        <c:axId val="2082938080"/>
      </c:barChart>
      <c:catAx>
        <c:axId val="70577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82938080"/>
        <c:crosses val="autoZero"/>
        <c:auto val="1"/>
        <c:lblAlgn val="ctr"/>
        <c:lblOffset val="100"/>
        <c:tickLblSkip val="3"/>
        <c:noMultiLvlLbl val="0"/>
      </c:catAx>
      <c:valAx>
        <c:axId val="208293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577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Total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475-4D7A-BFDC-985D2C3846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041-4C73-8E69-018A30BD42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041-4C73-8E69-018A30BD42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475-4D7A-BFDC-985D2C3846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475-4D7A-BFDC-985D2C38464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475-4D7A-BFDC-985D2C38464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041-4C73-8E69-018A30BD426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041-4C73-8E69-018A30BD426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475-4D7A-BFDC-985D2C38464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Cashflow!$BU$40:$BU$48</c:f>
              <c:strCache>
                <c:ptCount val="9"/>
                <c:pt idx="0">
                  <c:v>Salaries</c:v>
                </c:pt>
                <c:pt idx="1">
                  <c:v>Production </c:v>
                </c:pt>
                <c:pt idx="2">
                  <c:v>Servers</c:v>
                </c:pt>
                <c:pt idx="3">
                  <c:v>Marketing</c:v>
                </c:pt>
                <c:pt idx="4">
                  <c:v>Office (Coworking)</c:v>
                </c:pt>
                <c:pt idx="5">
                  <c:v>Distributors</c:v>
                </c:pt>
                <c:pt idx="6">
                  <c:v>Depreciation and Amortization</c:v>
                </c:pt>
                <c:pt idx="7">
                  <c:v>Interests</c:v>
                </c:pt>
                <c:pt idx="8">
                  <c:v>Taxes</c:v>
                </c:pt>
              </c:strCache>
            </c:strRef>
          </c:cat>
          <c:val>
            <c:numRef>
              <c:f>Cashflow!$BV$40:$BV$48</c:f>
              <c:numCache>
                <c:formatCode>"€"#,##0.00_);[Red]\("€"#,##0.00\)</c:formatCode>
                <c:ptCount val="9"/>
                <c:pt idx="0">
                  <c:v>2476469.9500000016</c:v>
                </c:pt>
                <c:pt idx="1">
                  <c:v>129342</c:v>
                </c:pt>
                <c:pt idx="2">
                  <c:v>292352.40000000008</c:v>
                </c:pt>
                <c:pt idx="3">
                  <c:v>1720417.2338649381</c:v>
                </c:pt>
                <c:pt idx="4">
                  <c:v>230400</c:v>
                </c:pt>
                <c:pt idx="5">
                  <c:v>1730224.3950000003</c:v>
                </c:pt>
                <c:pt idx="6">
                  <c:v>20800</c:v>
                </c:pt>
                <c:pt idx="7">
                  <c:v>100035.15984202489</c:v>
                </c:pt>
                <c:pt idx="8">
                  <c:v>1931418.1219568753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1-4C73-8E69-018A30BD426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Total Revenue</a:t>
            </a:r>
          </a:p>
        </c:rich>
      </c:tx>
      <c:layout>
        <c:manualLayout>
          <c:xMode val="edge"/>
          <c:yMode val="edge"/>
          <c:x val="0.38790299304022507"/>
          <c:y val="4.026157980098732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118-4CB0-BFC2-95CA13D148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118-4CB0-BFC2-95CA13D148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118-4CB0-BFC2-95CA13D148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118-4CB0-BFC2-95CA13D1482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Cashflow!$BU$34:$BU$37</c:f>
              <c:strCache>
                <c:ptCount val="4"/>
                <c:pt idx="0">
                  <c:v>Sales</c:v>
                </c:pt>
                <c:pt idx="1">
                  <c:v>Ads (Free Version)</c:v>
                </c:pt>
                <c:pt idx="2">
                  <c:v>Vet Promotion</c:v>
                </c:pt>
                <c:pt idx="3">
                  <c:v>KIWOKO Promotion</c:v>
                </c:pt>
              </c:strCache>
            </c:strRef>
          </c:cat>
          <c:val>
            <c:numRef>
              <c:f>Cashflow!$BV$34:$BV$37</c:f>
              <c:numCache>
                <c:formatCode>"€"#,##0.00_);[Red]\("€"#,##0.00\)</c:formatCode>
                <c:ptCount val="4"/>
                <c:pt idx="0">
                  <c:v>11534829.299999999</c:v>
                </c:pt>
                <c:pt idx="1">
                  <c:v>1205315.6849999998</c:v>
                </c:pt>
                <c:pt idx="2">
                  <c:v>69800</c:v>
                </c:pt>
                <c:pt idx="3">
                  <c:v>1674092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76-4386-A76F-2F0685C540D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71778193590543"/>
          <c:y val="0.38360372831881134"/>
          <c:w val="0.22519353638274342"/>
          <c:h val="0.3440664482626861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EVEn and PAYBACK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6327073908299569"/>
          <c:y val="0.13073966917834151"/>
          <c:w val="0.80895980425812908"/>
          <c:h val="0.699064755469748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Cashflow!$S$50</c:f>
              <c:strCache>
                <c:ptCount val="1"/>
                <c:pt idx="0">
                  <c:v>Accumulated Income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0A4-47CC-82DA-303A8187398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0A4-47CC-82DA-303A8187398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0A4-47CC-82DA-303A8187398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0A4-47CC-82DA-303A8187398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0A4-47CC-82DA-303A8187398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0A4-47CC-82DA-303A8187398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0A4-47CC-82DA-303A8187398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0A4-47CC-82DA-303A8187398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0A4-47CC-82DA-303A8187398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0A4-47CC-82DA-303A8187398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0A4-47CC-82DA-303A8187398A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0A4-47CC-82DA-303A8187398A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0A4-47CC-82DA-303A8187398A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0A4-47CC-82DA-303A8187398A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0A4-47CC-82DA-303A8187398A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0A4-47CC-82DA-303A8187398A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0A4-47CC-82DA-303A8187398A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0A4-47CC-82DA-303A8187398A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0A4-47CC-82DA-303A8187398A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0A4-47CC-82DA-303A8187398A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40A4-47CC-82DA-303A8187398A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0A4-47CC-82DA-303A8187398A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40A4-47CC-82DA-303A8187398A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0A4-47CC-82DA-303A8187398A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40A4-47CC-82DA-303A8187398A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0A4-47CC-82DA-303A8187398A}"/>
                </c:ext>
              </c:extLst>
            </c:dLbl>
            <c:dLbl>
              <c:idx val="26"/>
              <c:layout>
                <c:manualLayout>
                  <c:x val="-4.8596549153031569E-2"/>
                  <c:y val="-2.818086155104462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40A4-47CC-82DA-303A8187398A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40A4-47CC-82DA-303A8187398A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40A4-47CC-82DA-303A818739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Cashflow!$S$32:$BP$32</c15:sqref>
                  </c15:fullRef>
                </c:ext>
              </c:extLst>
              <c:f>(Cashflow!$T$32:$AV$32,Cashflow!$BP$32)</c:f>
              <c:strCache>
                <c:ptCount val="30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49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Cashflow!$T$50:$BP$50</c15:sqref>
                  </c15:fullRef>
                </c:ext>
              </c:extLst>
              <c:f>Cashflow!$U$50:$AW$50</c:f>
              <c:numCache>
                <c:formatCode>"€"#,##0.00_);[Red]\("€"#,##0.00\)</c:formatCode>
                <c:ptCount val="29"/>
                <c:pt idx="0">
                  <c:v>-43094</c:v>
                </c:pt>
                <c:pt idx="1">
                  <c:v>-81095</c:v>
                </c:pt>
                <c:pt idx="2">
                  <c:v>-122203</c:v>
                </c:pt>
                <c:pt idx="3">
                  <c:v>-163311</c:v>
                </c:pt>
                <c:pt idx="4">
                  <c:v>-229039.526360046</c:v>
                </c:pt>
                <c:pt idx="5">
                  <c:v>-378320.85895956075</c:v>
                </c:pt>
                <c:pt idx="6">
                  <c:v>-528475.73541229428</c:v>
                </c:pt>
                <c:pt idx="7">
                  <c:v>-638992.5949182465</c:v>
                </c:pt>
                <c:pt idx="8">
                  <c:v>-649889.61485554255</c:v>
                </c:pt>
                <c:pt idx="9">
                  <c:v>-657139.17004605732</c:v>
                </c:pt>
                <c:pt idx="10">
                  <c:v>-678581.37578979088</c:v>
                </c:pt>
                <c:pt idx="11">
                  <c:v>-678877.43933674321</c:v>
                </c:pt>
                <c:pt idx="12">
                  <c:v>-665081.39268691419</c:v>
                </c:pt>
                <c:pt idx="13">
                  <c:v>-642162.91584030399</c:v>
                </c:pt>
                <c:pt idx="14">
                  <c:v>-609954.3972969125</c:v>
                </c:pt>
                <c:pt idx="15">
                  <c:v>-570037.94850673981</c:v>
                </c:pt>
                <c:pt idx="16">
                  <c:v>-543034.66576978588</c:v>
                </c:pt>
                <c:pt idx="17">
                  <c:v>-482348.36443605064</c:v>
                </c:pt>
                <c:pt idx="18">
                  <c:v>-409735.48300553416</c:v>
                </c:pt>
                <c:pt idx="19">
                  <c:v>-358279.49335698644</c:v>
                </c:pt>
                <c:pt idx="20">
                  <c:v>-255832.22653290746</c:v>
                </c:pt>
                <c:pt idx="21">
                  <c:v>-142185.66176204727</c:v>
                </c:pt>
                <c:pt idx="22">
                  <c:v>-39048.341244405849</c:v>
                </c:pt>
                <c:pt idx="23">
                  <c:v>-3477.5153617909236</c:v>
                </c:pt>
                <c:pt idx="24">
                  <c:v>147644.579649413</c:v>
                </c:pt>
                <c:pt idx="25">
                  <c:v>312719.17000739824</c:v>
                </c:pt>
                <c:pt idx="26">
                  <c:v>491780.24901216466</c:v>
                </c:pt>
                <c:pt idx="27">
                  <c:v>686218.39086371241</c:v>
                </c:pt>
                <c:pt idx="28">
                  <c:v>871290.54546204128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Cashflow!$AX$50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A104-41B4-AD16-920BFE8DF8D0}"/>
                      </c:ext>
                    </c:extLst>
                  </c15:dLbl>
                </c15:categoryFilterException>
                <c15:categoryFilterException>
                  <c15:sqref>Cashflow!$AY$50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A104-41B4-AD16-920BFE8DF8D0}"/>
                      </c:ext>
                    </c:extLst>
                  </c15:dLbl>
                </c15:categoryFilterException>
                <c15:categoryFilterException>
                  <c15:sqref>Cashflow!$AZ$50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A104-41B4-AD16-920BFE8DF8D0}"/>
                      </c:ext>
                    </c:extLst>
                  </c15:dLbl>
                </c15:categoryFilterException>
                <c15:categoryFilterException>
                  <c15:sqref>Cashflow!$BA$50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A104-41B4-AD16-920BFE8DF8D0}"/>
                      </c:ext>
                    </c:extLst>
                  </c15:dLbl>
                </c15:categoryFilterException>
                <c15:categoryFilterException>
                  <c15:sqref>Cashflow!$BB$50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A104-41B4-AD16-920BFE8DF8D0}"/>
                      </c:ext>
                    </c:extLst>
                  </c15:dLbl>
                </c15:categoryFilterException>
                <c15:categoryFilterException>
                  <c15:sqref>Cashflow!$BC$50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A104-41B4-AD16-920BFE8DF8D0}"/>
                      </c:ext>
                    </c:extLst>
                  </c15:dLbl>
                </c15:categoryFilterException>
                <c15:categoryFilterException>
                  <c15:sqref>Cashflow!$BD$50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6-A104-41B4-AD16-920BFE8DF8D0}"/>
                      </c:ext>
                    </c:extLst>
                  </c15:dLbl>
                </c15:categoryFilterException>
                <c15:categoryFilterException>
                  <c15:sqref>Cashflow!$BE$50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7-A104-41B4-AD16-920BFE8DF8D0}"/>
                      </c:ext>
                    </c:extLst>
                  </c15:dLbl>
                </c15:categoryFilterException>
                <c15:categoryFilterException>
                  <c15:sqref>Cashflow!$BF$50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8-A104-41B4-AD16-920BFE8DF8D0}"/>
                      </c:ext>
                    </c:extLst>
                  </c15:dLbl>
                </c15:categoryFilterException>
                <c15:categoryFilterException>
                  <c15:sqref>Cashflow!$BG$50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9-A104-41B4-AD16-920BFE8DF8D0}"/>
                      </c:ext>
                    </c:extLst>
                  </c15:dLbl>
                </c15:categoryFilterException>
                <c15:categoryFilterException>
                  <c15:sqref>Cashflow!$BH$50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A-A104-41B4-AD16-920BFE8DF8D0}"/>
                      </c:ext>
                    </c:extLst>
                  </c15:dLbl>
                </c15:categoryFilterException>
                <c15:categoryFilterException>
                  <c15:sqref>Cashflow!$BI$50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B-A104-41B4-AD16-920BFE8DF8D0}"/>
                      </c:ext>
                    </c:extLst>
                  </c15:dLbl>
                </c15:categoryFilterException>
                <c15:categoryFilterException>
                  <c15:sqref>Cashflow!$BJ$50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C-A104-41B4-AD16-920BFE8DF8D0}"/>
                      </c:ext>
                    </c:extLst>
                  </c15:dLbl>
                </c15:categoryFilterException>
                <c15:categoryFilterException>
                  <c15:sqref>Cashflow!$BK$50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D-A104-41B4-AD16-920BFE8DF8D0}"/>
                      </c:ext>
                    </c:extLst>
                  </c15:dLbl>
                </c15:categoryFilterException>
                <c15:categoryFilterException>
                  <c15:sqref>Cashflow!$BL$50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E-A104-41B4-AD16-920BFE8DF8D0}"/>
                      </c:ext>
                    </c:extLst>
                  </c15:dLbl>
                </c15:categoryFilterException>
                <c15:categoryFilterException>
                  <c15:sqref>Cashflow!$BM$50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F-A104-41B4-AD16-920BFE8DF8D0}"/>
                      </c:ext>
                    </c:extLst>
                  </c15:dLbl>
                </c15:categoryFilterException>
                <c15:categoryFilterException>
                  <c15:sqref>Cashflow!$BN$50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10-A104-41B4-AD16-920BFE8DF8D0}"/>
                      </c:ext>
                    </c:extLst>
                  </c15:dLbl>
                </c15:categoryFilterException>
                <c15:categoryFilterException>
                  <c15:sqref>Cashflow!$BO$50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11-A104-41B4-AD16-920BFE8DF8D0}"/>
                      </c:ext>
                    </c:extLst>
                  </c15:dLbl>
                </c15:categoryFilterException>
                <c15:categoryFilterException>
                  <c15:sqref>Cashflow!$BP$50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12-A104-41B4-AD16-920BFE8DF8D0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31-40A4-47CC-82DA-303A818739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216144623"/>
        <c:axId val="200331983"/>
      </c:barChart>
      <c:catAx>
        <c:axId val="21614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331983"/>
        <c:crosses val="autoZero"/>
        <c:auto val="1"/>
        <c:lblAlgn val="ctr"/>
        <c:lblOffset val="100"/>
        <c:tickMarkSkip val="5"/>
        <c:noMultiLvlLbl val="0"/>
      </c:catAx>
      <c:valAx>
        <c:axId val="200331983"/>
        <c:scaling>
          <c:orientation val="minMax"/>
        </c:scaling>
        <c:delete val="0"/>
        <c:axPos val="l"/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6144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1"/>
              <a:t>Total</a:t>
            </a:r>
            <a:r>
              <a:rPr lang="es-ES" sz="1800" b="1" baseline="0"/>
              <a:t> Revenues</a:t>
            </a:r>
            <a:endParaRPr lang="es-E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Cashflow!$S$33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Cashflow!$T$32:$BP$32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Cashflow!$T$33:$BP$33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51489</c:v>
                </c:pt>
                <c:pt idx="9">
                  <c:v>59894.149999999994</c:v>
                </c:pt>
                <c:pt idx="10">
                  <c:v>60193.499999999993</c:v>
                </c:pt>
                <c:pt idx="11">
                  <c:v>68233.25</c:v>
                </c:pt>
                <c:pt idx="12">
                  <c:v>76392.45</c:v>
                </c:pt>
                <c:pt idx="13">
                  <c:v>86135.349999999991</c:v>
                </c:pt>
                <c:pt idx="14">
                  <c:v>95299.499999999985</c:v>
                </c:pt>
                <c:pt idx="15">
                  <c:v>104493.4</c:v>
                </c:pt>
                <c:pt idx="16">
                  <c:v>115340.79999999999</c:v>
                </c:pt>
                <c:pt idx="17">
                  <c:v>125559.59999999999</c:v>
                </c:pt>
                <c:pt idx="18">
                  <c:v>135848.04999999999</c:v>
                </c:pt>
                <c:pt idx="19">
                  <c:v>147700.29999999999</c:v>
                </c:pt>
                <c:pt idx="20">
                  <c:v>158933.94999999998</c:v>
                </c:pt>
                <c:pt idx="21">
                  <c:v>178056.74999999997</c:v>
                </c:pt>
                <c:pt idx="22">
                  <c:v>187582.09999999998</c:v>
                </c:pt>
                <c:pt idx="23">
                  <c:v>199860.44999999998</c:v>
                </c:pt>
                <c:pt idx="24">
                  <c:v>212208.5</c:v>
                </c:pt>
                <c:pt idx="25">
                  <c:v>226259.84999999998</c:v>
                </c:pt>
                <c:pt idx="26">
                  <c:v>239582.94999999998</c:v>
                </c:pt>
                <c:pt idx="27">
                  <c:v>252925.94999999998</c:v>
                </c:pt>
                <c:pt idx="28">
                  <c:v>267962.3</c:v>
                </c:pt>
                <c:pt idx="29">
                  <c:v>282270.44999999995</c:v>
                </c:pt>
                <c:pt idx="30">
                  <c:v>296568.59999999998</c:v>
                </c:pt>
                <c:pt idx="31">
                  <c:v>312689.64999999997</c:v>
                </c:pt>
                <c:pt idx="32">
                  <c:v>327962.84999999998</c:v>
                </c:pt>
                <c:pt idx="33">
                  <c:v>350467.85</c:v>
                </c:pt>
                <c:pt idx="34">
                  <c:v>364252.39999999997</c:v>
                </c:pt>
                <c:pt idx="35">
                  <c:v>380441</c:v>
                </c:pt>
                <c:pt idx="36">
                  <c:v>396599.75</c:v>
                </c:pt>
                <c:pt idx="37">
                  <c:v>414481.8</c:v>
                </c:pt>
                <c:pt idx="38">
                  <c:v>431516.1</c:v>
                </c:pt>
                <c:pt idx="39">
                  <c:v>448500.64999999997</c:v>
                </c:pt>
                <c:pt idx="40">
                  <c:v>451908.25</c:v>
                </c:pt>
                <c:pt idx="41">
                  <c:v>462775.2</c:v>
                </c:pt>
                <c:pt idx="42">
                  <c:v>473093.44999999995</c:v>
                </c:pt>
                <c:pt idx="43">
                  <c:v>483461.44999999995</c:v>
                </c:pt>
                <c:pt idx="44">
                  <c:v>495134.3</c:v>
                </c:pt>
                <c:pt idx="45">
                  <c:v>512862.64999999997</c:v>
                </c:pt>
                <c:pt idx="46">
                  <c:v>521044.14999999997</c:v>
                </c:pt>
                <c:pt idx="47">
                  <c:v>533493.1</c:v>
                </c:pt>
                <c:pt idx="48">
                  <c:v>545353.5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B9-4BB5-9F11-F162FE6EA92E}"/>
            </c:ext>
          </c:extLst>
        </c:ser>
        <c:ser>
          <c:idx val="1"/>
          <c:order val="1"/>
          <c:tx>
            <c:strRef>
              <c:f>Cashflow!$S$34</c:f>
              <c:strCache>
                <c:ptCount val="1"/>
                <c:pt idx="0">
                  <c:v>Ads (Free version)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Cashflow!$T$32:$BP$32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Cashflow!$T$34:$BP$34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3100.1849999999999</c:v>
                </c:pt>
                <c:pt idx="9">
                  <c:v>4987.3950000000004</c:v>
                </c:pt>
                <c:pt idx="10">
                  <c:v>5844.3300000000008</c:v>
                </c:pt>
                <c:pt idx="11">
                  <c:v>6710.9849999999997</c:v>
                </c:pt>
                <c:pt idx="12">
                  <c:v>7587.0450000000019</c:v>
                </c:pt>
                <c:pt idx="13">
                  <c:v>8564.4450000000015</c:v>
                </c:pt>
                <c:pt idx="14">
                  <c:v>9550.4850000000024</c:v>
                </c:pt>
                <c:pt idx="15">
                  <c:v>10545.075000000001</c:v>
                </c:pt>
                <c:pt idx="16">
                  <c:v>11639.970000000001</c:v>
                </c:pt>
                <c:pt idx="17">
                  <c:v>12742.38</c:v>
                </c:pt>
                <c:pt idx="18">
                  <c:v>13852.17</c:v>
                </c:pt>
                <c:pt idx="19">
                  <c:v>15061.140000000003</c:v>
                </c:pt>
                <c:pt idx="20">
                  <c:v>16276.455</c:v>
                </c:pt>
                <c:pt idx="21">
                  <c:v>17968.41</c:v>
                </c:pt>
                <c:pt idx="22">
                  <c:v>19294.560000000001</c:v>
                </c:pt>
                <c:pt idx="23">
                  <c:v>20625.570000000003</c:v>
                </c:pt>
                <c:pt idx="24">
                  <c:v>21961.215000000004</c:v>
                </c:pt>
                <c:pt idx="25">
                  <c:v>23401.755000000001</c:v>
                </c:pt>
                <c:pt idx="26">
                  <c:v>24845.49</c:v>
                </c:pt>
                <c:pt idx="27">
                  <c:v>26292.33</c:v>
                </c:pt>
                <c:pt idx="28">
                  <c:v>27841.59</c:v>
                </c:pt>
                <c:pt idx="29">
                  <c:v>29392.38</c:v>
                </c:pt>
                <c:pt idx="30">
                  <c:v>30944.52</c:v>
                </c:pt>
                <c:pt idx="31">
                  <c:v>32605.424999999999</c:v>
                </c:pt>
                <c:pt idx="32">
                  <c:v>34265.880000000005</c:v>
                </c:pt>
                <c:pt idx="33">
                  <c:v>36360.269999999997</c:v>
                </c:pt>
                <c:pt idx="34">
                  <c:v>38122.155000000006</c:v>
                </c:pt>
                <c:pt idx="35">
                  <c:v>39881.474999999999</c:v>
                </c:pt>
                <c:pt idx="36">
                  <c:v>41638.050000000003</c:v>
                </c:pt>
                <c:pt idx="37">
                  <c:v>43496.01</c:v>
                </c:pt>
                <c:pt idx="38">
                  <c:v>45349.2</c:v>
                </c:pt>
                <c:pt idx="39">
                  <c:v>47197.35</c:v>
                </c:pt>
                <c:pt idx="40">
                  <c:v>48225.735000000001</c:v>
                </c:pt>
                <c:pt idx="41">
                  <c:v>49337.73</c:v>
                </c:pt>
                <c:pt idx="42">
                  <c:v>50454.09</c:v>
                </c:pt>
                <c:pt idx="43">
                  <c:v>51574.544999999998</c:v>
                </c:pt>
                <c:pt idx="44">
                  <c:v>52777.17</c:v>
                </c:pt>
                <c:pt idx="45">
                  <c:v>54380.34</c:v>
                </c:pt>
                <c:pt idx="46">
                  <c:v>55586.52</c:v>
                </c:pt>
                <c:pt idx="47">
                  <c:v>56872.89</c:v>
                </c:pt>
                <c:pt idx="48">
                  <c:v>58160.97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B9-4BB5-9F11-F162FE6EA92E}"/>
            </c:ext>
          </c:extLst>
        </c:ser>
        <c:ser>
          <c:idx val="2"/>
          <c:order val="2"/>
          <c:tx>
            <c:strRef>
              <c:f>Cashflow!$S$35</c:f>
              <c:strCache>
                <c:ptCount val="1"/>
                <c:pt idx="0">
                  <c:v>Vet Promotion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Cashflow!$T$32:$BP$32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Cashflow!$T$35:$BP$35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180</c:v>
                </c:pt>
                <c:pt idx="9">
                  <c:v>290</c:v>
                </c:pt>
                <c:pt idx="10">
                  <c:v>340</c:v>
                </c:pt>
                <c:pt idx="11">
                  <c:v>390</c:v>
                </c:pt>
                <c:pt idx="12">
                  <c:v>440</c:v>
                </c:pt>
                <c:pt idx="13">
                  <c:v>497.5</c:v>
                </c:pt>
                <c:pt idx="14">
                  <c:v>555</c:v>
                </c:pt>
                <c:pt idx="15">
                  <c:v>612.5</c:v>
                </c:pt>
                <c:pt idx="16">
                  <c:v>675</c:v>
                </c:pt>
                <c:pt idx="17">
                  <c:v>737.5</c:v>
                </c:pt>
                <c:pt idx="18">
                  <c:v>802.5</c:v>
                </c:pt>
                <c:pt idx="19">
                  <c:v>872.5</c:v>
                </c:pt>
                <c:pt idx="20">
                  <c:v>942.5</c:v>
                </c:pt>
                <c:pt idx="21">
                  <c:v>1040</c:v>
                </c:pt>
                <c:pt idx="22">
                  <c:v>1117.5</c:v>
                </c:pt>
                <c:pt idx="23">
                  <c:v>1195</c:v>
                </c:pt>
                <c:pt idx="24">
                  <c:v>1272.5</c:v>
                </c:pt>
                <c:pt idx="25">
                  <c:v>1355</c:v>
                </c:pt>
                <c:pt idx="26">
                  <c:v>1440</c:v>
                </c:pt>
                <c:pt idx="27">
                  <c:v>1522.5</c:v>
                </c:pt>
                <c:pt idx="28">
                  <c:v>1612.5</c:v>
                </c:pt>
                <c:pt idx="29">
                  <c:v>1702.5</c:v>
                </c:pt>
                <c:pt idx="30">
                  <c:v>1792.5</c:v>
                </c:pt>
                <c:pt idx="31">
                  <c:v>1887.5</c:v>
                </c:pt>
                <c:pt idx="32">
                  <c:v>1985</c:v>
                </c:pt>
                <c:pt idx="33">
                  <c:v>2105</c:v>
                </c:pt>
                <c:pt idx="34">
                  <c:v>2207.5</c:v>
                </c:pt>
                <c:pt idx="35">
                  <c:v>2310</c:v>
                </c:pt>
                <c:pt idx="36">
                  <c:v>2410</c:v>
                </c:pt>
                <c:pt idx="37">
                  <c:v>2517.5</c:v>
                </c:pt>
                <c:pt idx="38">
                  <c:v>2625</c:v>
                </c:pt>
                <c:pt idx="39">
                  <c:v>2732.5</c:v>
                </c:pt>
                <c:pt idx="40">
                  <c:v>2792.5</c:v>
                </c:pt>
                <c:pt idx="41">
                  <c:v>2857.5</c:v>
                </c:pt>
                <c:pt idx="42">
                  <c:v>2920</c:v>
                </c:pt>
                <c:pt idx="43">
                  <c:v>2985</c:v>
                </c:pt>
                <c:pt idx="44">
                  <c:v>3055</c:v>
                </c:pt>
                <c:pt idx="45">
                  <c:v>3147.5</c:v>
                </c:pt>
                <c:pt idx="46">
                  <c:v>3217.5</c:v>
                </c:pt>
                <c:pt idx="47">
                  <c:v>3292.5</c:v>
                </c:pt>
                <c:pt idx="48">
                  <c:v>3367.5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B9-4BB5-9F11-F162FE6EA92E}"/>
            </c:ext>
          </c:extLst>
        </c:ser>
        <c:ser>
          <c:idx val="3"/>
          <c:order val="3"/>
          <c:tx>
            <c:strRef>
              <c:f>Cashflow!$S$36</c:f>
              <c:strCache>
                <c:ptCount val="1"/>
                <c:pt idx="0">
                  <c:v>KIWOKO Promotion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Cashflow!$T$32:$BP$32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Cashflow!$T$36:$BP$36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4306</c:v>
                </c:pt>
                <c:pt idx="9">
                  <c:v>6928</c:v>
                </c:pt>
                <c:pt idx="10">
                  <c:v>8118</c:v>
                </c:pt>
                <c:pt idx="11">
                  <c:v>9322</c:v>
                </c:pt>
                <c:pt idx="12">
                  <c:v>10538</c:v>
                </c:pt>
                <c:pt idx="13">
                  <c:v>11896</c:v>
                </c:pt>
                <c:pt idx="14">
                  <c:v>13266</c:v>
                </c:pt>
                <c:pt idx="15">
                  <c:v>14646</c:v>
                </c:pt>
                <c:pt idx="16">
                  <c:v>16168</c:v>
                </c:pt>
                <c:pt idx="17">
                  <c:v>17698</c:v>
                </c:pt>
                <c:pt idx="18">
                  <c:v>19240</c:v>
                </c:pt>
                <c:pt idx="19">
                  <c:v>20920</c:v>
                </c:pt>
                <c:pt idx="20">
                  <c:v>22608</c:v>
                </c:pt>
                <c:pt idx="21">
                  <c:v>24958</c:v>
                </c:pt>
                <c:pt idx="22">
                  <c:v>26800</c:v>
                </c:pt>
                <c:pt idx="23">
                  <c:v>28648</c:v>
                </c:pt>
                <c:pt idx="24">
                  <c:v>30502</c:v>
                </c:pt>
                <c:pt idx="25">
                  <c:v>32504</c:v>
                </c:pt>
                <c:pt idx="26">
                  <c:v>34508</c:v>
                </c:pt>
                <c:pt idx="27">
                  <c:v>36518</c:v>
                </c:pt>
                <c:pt idx="28">
                  <c:v>38670</c:v>
                </c:pt>
                <c:pt idx="29">
                  <c:v>40824</c:v>
                </c:pt>
                <c:pt idx="30">
                  <c:v>42980</c:v>
                </c:pt>
                <c:pt idx="31">
                  <c:v>45286</c:v>
                </c:pt>
                <c:pt idx="32">
                  <c:v>47592</c:v>
                </c:pt>
                <c:pt idx="33">
                  <c:v>50502</c:v>
                </c:pt>
                <c:pt idx="34">
                  <c:v>52948</c:v>
                </c:pt>
                <c:pt idx="35">
                  <c:v>55392</c:v>
                </c:pt>
                <c:pt idx="36">
                  <c:v>57832</c:v>
                </c:pt>
                <c:pt idx="37">
                  <c:v>60412</c:v>
                </c:pt>
                <c:pt idx="38">
                  <c:v>62986</c:v>
                </c:pt>
                <c:pt idx="39">
                  <c:v>65552</c:v>
                </c:pt>
                <c:pt idx="40">
                  <c:v>66982</c:v>
                </c:pt>
                <c:pt idx="41">
                  <c:v>68526</c:v>
                </c:pt>
                <c:pt idx="42">
                  <c:v>70076</c:v>
                </c:pt>
                <c:pt idx="43">
                  <c:v>71632</c:v>
                </c:pt>
                <c:pt idx="44">
                  <c:v>73302</c:v>
                </c:pt>
                <c:pt idx="45">
                  <c:v>75530</c:v>
                </c:pt>
                <c:pt idx="46">
                  <c:v>77204</c:v>
                </c:pt>
                <c:pt idx="47">
                  <c:v>78992</c:v>
                </c:pt>
                <c:pt idx="48">
                  <c:v>80780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B9-4BB5-9F11-F162FE6EA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1941983"/>
        <c:axId val="1149615311"/>
      </c:barChart>
      <c:catAx>
        <c:axId val="136194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9615311"/>
        <c:crosses val="autoZero"/>
        <c:auto val="1"/>
        <c:lblAlgn val="ctr"/>
        <c:lblOffset val="100"/>
        <c:noMultiLvlLbl val="0"/>
      </c:catAx>
      <c:valAx>
        <c:axId val="114961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194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Sales: GPS Tracker and</a:t>
            </a:r>
            <a:r>
              <a:rPr lang="es-ES" baseline="0"/>
              <a:t> suscriptions</a:t>
            </a:r>
            <a:endParaRPr lang="es-ES"/>
          </a:p>
        </c:rich>
      </c:tx>
      <c:layout>
        <c:manualLayout>
          <c:xMode val="edge"/>
          <c:yMode val="edge"/>
          <c:x val="0.35402949869735711"/>
          <c:y val="3.1175613651838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Sales!$I$10</c:f>
              <c:strCache>
                <c:ptCount val="1"/>
                <c:pt idx="0">
                  <c:v>Suscriptions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6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shade val="76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shade val="76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76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Sales!$J$3:$BF$3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Sales!$J$10:$BF$10</c:f>
              <c:numCache>
                <c:formatCode>_("€"* #,##0.00_);_("€"* \(#,##0.00\);_("€"* "-"??_);_(@_)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28566.449999999997</c:v>
                </c:pt>
                <c:pt idx="9">
                  <c:v>45949.1</c:v>
                </c:pt>
                <c:pt idx="10">
                  <c:v>53849.399999999994</c:v>
                </c:pt>
                <c:pt idx="11">
                  <c:v>61829.299999999996</c:v>
                </c:pt>
                <c:pt idx="12">
                  <c:v>69908.7</c:v>
                </c:pt>
                <c:pt idx="13">
                  <c:v>78913.45</c:v>
                </c:pt>
                <c:pt idx="14">
                  <c:v>87997.799999999988</c:v>
                </c:pt>
                <c:pt idx="15">
                  <c:v>97151.799999999988</c:v>
                </c:pt>
                <c:pt idx="16">
                  <c:v>107241.09999999999</c:v>
                </c:pt>
                <c:pt idx="17">
                  <c:v>117400.04999999999</c:v>
                </c:pt>
                <c:pt idx="18">
                  <c:v>127628.65</c:v>
                </c:pt>
                <c:pt idx="19">
                  <c:v>138762.69999999998</c:v>
                </c:pt>
                <c:pt idx="20">
                  <c:v>149956.44999999998</c:v>
                </c:pt>
                <c:pt idx="21">
                  <c:v>165548.09999999998</c:v>
                </c:pt>
                <c:pt idx="22">
                  <c:v>177766.69999999998</c:v>
                </c:pt>
                <c:pt idx="23">
                  <c:v>190025.09999999998</c:v>
                </c:pt>
                <c:pt idx="24">
                  <c:v>202333.25</c:v>
                </c:pt>
                <c:pt idx="25">
                  <c:v>215606.55</c:v>
                </c:pt>
                <c:pt idx="26">
                  <c:v>228909.69999999998</c:v>
                </c:pt>
                <c:pt idx="27">
                  <c:v>242232.74999999997</c:v>
                </c:pt>
                <c:pt idx="28">
                  <c:v>256510.99999999997</c:v>
                </c:pt>
                <c:pt idx="29">
                  <c:v>270799.19999999995</c:v>
                </c:pt>
                <c:pt idx="30">
                  <c:v>285097.34999999998</c:v>
                </c:pt>
                <c:pt idx="31">
                  <c:v>300400.44999999995</c:v>
                </c:pt>
                <c:pt idx="32">
                  <c:v>315693.59999999998</c:v>
                </c:pt>
                <c:pt idx="33">
                  <c:v>334986.64999999997</c:v>
                </c:pt>
                <c:pt idx="34">
                  <c:v>351225.05</c:v>
                </c:pt>
                <c:pt idx="35">
                  <c:v>367433.6</c:v>
                </c:pt>
                <c:pt idx="36">
                  <c:v>383612.3</c:v>
                </c:pt>
                <c:pt idx="37">
                  <c:v>400736.25</c:v>
                </c:pt>
                <c:pt idx="38">
                  <c:v>417810.44999999995</c:v>
                </c:pt>
                <c:pt idx="39">
                  <c:v>434834.89999999997</c:v>
                </c:pt>
                <c:pt idx="40">
                  <c:v>444307.3</c:v>
                </c:pt>
                <c:pt idx="41">
                  <c:v>454555.8</c:v>
                </c:pt>
                <c:pt idx="42">
                  <c:v>464834.14999999997</c:v>
                </c:pt>
                <c:pt idx="43">
                  <c:v>475162.24999999994</c:v>
                </c:pt>
                <c:pt idx="44">
                  <c:v>486236.6</c:v>
                </c:pt>
                <c:pt idx="45">
                  <c:v>501012.35</c:v>
                </c:pt>
                <c:pt idx="46">
                  <c:v>512126.49999999994</c:v>
                </c:pt>
                <c:pt idx="47">
                  <c:v>523976.94999999995</c:v>
                </c:pt>
                <c:pt idx="48">
                  <c:v>535837.35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2F-4C8E-8D42-65E6A624F6F6}"/>
            </c:ext>
          </c:extLst>
        </c:ser>
        <c:ser>
          <c:idx val="1"/>
          <c:order val="1"/>
          <c:tx>
            <c:strRef>
              <c:f>Sales!$I$11</c:f>
              <c:strCache>
                <c:ptCount val="1"/>
                <c:pt idx="0">
                  <c:v>GPS Tracker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7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tint val="77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tint val="77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tint val="77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Sales!$J$3:$BF$3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Sales!$J$11:$BF$11</c:f>
              <c:numCache>
                <c:formatCode>_("€"* #,##0.00_);_("€"* \(#,##0.00\);_("€"* "-"??_);_(@_)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22922.55</c:v>
                </c:pt>
                <c:pt idx="9">
                  <c:v>13945.05</c:v>
                </c:pt>
                <c:pt idx="10">
                  <c:v>6344.0999999999995</c:v>
                </c:pt>
                <c:pt idx="11">
                  <c:v>6403.95</c:v>
                </c:pt>
                <c:pt idx="12">
                  <c:v>6483.75</c:v>
                </c:pt>
                <c:pt idx="13">
                  <c:v>7221.9</c:v>
                </c:pt>
                <c:pt idx="14">
                  <c:v>7301.7</c:v>
                </c:pt>
                <c:pt idx="15">
                  <c:v>7341.5999999999995</c:v>
                </c:pt>
                <c:pt idx="16">
                  <c:v>8099.7</c:v>
                </c:pt>
                <c:pt idx="17">
                  <c:v>8159.5499999999993</c:v>
                </c:pt>
                <c:pt idx="18">
                  <c:v>8219.4</c:v>
                </c:pt>
                <c:pt idx="19">
                  <c:v>8937.6</c:v>
                </c:pt>
                <c:pt idx="20">
                  <c:v>8977.5</c:v>
                </c:pt>
                <c:pt idx="21">
                  <c:v>12508.65</c:v>
                </c:pt>
                <c:pt idx="22">
                  <c:v>9815.4</c:v>
                </c:pt>
                <c:pt idx="23">
                  <c:v>9835.35</c:v>
                </c:pt>
                <c:pt idx="24">
                  <c:v>9875.25</c:v>
                </c:pt>
                <c:pt idx="25">
                  <c:v>10653.3</c:v>
                </c:pt>
                <c:pt idx="26">
                  <c:v>10673.25</c:v>
                </c:pt>
                <c:pt idx="27">
                  <c:v>10693.199999999999</c:v>
                </c:pt>
                <c:pt idx="28">
                  <c:v>11451.3</c:v>
                </c:pt>
                <c:pt idx="29">
                  <c:v>11471.25</c:v>
                </c:pt>
                <c:pt idx="30">
                  <c:v>11471.25</c:v>
                </c:pt>
                <c:pt idx="31">
                  <c:v>12289.199999999999</c:v>
                </c:pt>
                <c:pt idx="32">
                  <c:v>12269.25</c:v>
                </c:pt>
                <c:pt idx="33">
                  <c:v>15481.199999999999</c:v>
                </c:pt>
                <c:pt idx="34">
                  <c:v>13027.35</c:v>
                </c:pt>
                <c:pt idx="35">
                  <c:v>13007.4</c:v>
                </c:pt>
                <c:pt idx="36">
                  <c:v>12987.449999999999</c:v>
                </c:pt>
                <c:pt idx="37">
                  <c:v>13745.55</c:v>
                </c:pt>
                <c:pt idx="38">
                  <c:v>13705.65</c:v>
                </c:pt>
                <c:pt idx="39">
                  <c:v>13665.75</c:v>
                </c:pt>
                <c:pt idx="40">
                  <c:v>7600.95</c:v>
                </c:pt>
                <c:pt idx="41">
                  <c:v>8219.4</c:v>
                </c:pt>
                <c:pt idx="42">
                  <c:v>8259.2999999999993</c:v>
                </c:pt>
                <c:pt idx="43">
                  <c:v>8299.1999999999989</c:v>
                </c:pt>
                <c:pt idx="44">
                  <c:v>8897.6999999999989</c:v>
                </c:pt>
                <c:pt idx="45">
                  <c:v>11850.3</c:v>
                </c:pt>
                <c:pt idx="46">
                  <c:v>8917.65</c:v>
                </c:pt>
                <c:pt idx="47">
                  <c:v>9516.15</c:v>
                </c:pt>
                <c:pt idx="48">
                  <c:v>9516.15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2F-4C8E-8D42-65E6A624F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6417600"/>
        <c:axId val="296430080"/>
      </c:barChart>
      <c:catAx>
        <c:axId val="29641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6430080"/>
        <c:crosses val="autoZero"/>
        <c:auto val="1"/>
        <c:lblAlgn val="ctr"/>
        <c:lblOffset val="100"/>
        <c:noMultiLvlLbl val="0"/>
      </c:catAx>
      <c:valAx>
        <c:axId val="29643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641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 of PRO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Sales!$I$6</c:f>
              <c:strCache>
                <c:ptCount val="1"/>
                <c:pt idx="0">
                  <c:v>Increment of users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Sales!$J$3:$BF$3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Sales!$J$6:$BF$6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71764</c:v>
                </c:pt>
                <c:pt idx="9">
                  <c:v>43685</c:v>
                </c:pt>
                <c:pt idx="10">
                  <c:v>19837</c:v>
                </c:pt>
                <c:pt idx="11">
                  <c:v>20061</c:v>
                </c:pt>
                <c:pt idx="12">
                  <c:v>20280</c:v>
                </c:pt>
                <c:pt idx="13">
                  <c:v>22625</c:v>
                </c:pt>
                <c:pt idx="14">
                  <c:v>22825</c:v>
                </c:pt>
                <c:pt idx="15">
                  <c:v>23022</c:v>
                </c:pt>
                <c:pt idx="16">
                  <c:v>25345</c:v>
                </c:pt>
                <c:pt idx="17">
                  <c:v>25519</c:v>
                </c:pt>
                <c:pt idx="18">
                  <c:v>25690</c:v>
                </c:pt>
                <c:pt idx="19">
                  <c:v>27985</c:v>
                </c:pt>
                <c:pt idx="20">
                  <c:v>28132</c:v>
                </c:pt>
                <c:pt idx="21">
                  <c:v>39166</c:v>
                </c:pt>
                <c:pt idx="22">
                  <c:v>30698</c:v>
                </c:pt>
                <c:pt idx="23">
                  <c:v>30810</c:v>
                </c:pt>
                <c:pt idx="24">
                  <c:v>30918</c:v>
                </c:pt>
                <c:pt idx="25">
                  <c:v>33346</c:v>
                </c:pt>
                <c:pt idx="26">
                  <c:v>33420</c:v>
                </c:pt>
                <c:pt idx="27">
                  <c:v>33491</c:v>
                </c:pt>
                <c:pt idx="28">
                  <c:v>35863</c:v>
                </c:pt>
                <c:pt idx="29">
                  <c:v>35898</c:v>
                </c:pt>
                <c:pt idx="30">
                  <c:v>35929</c:v>
                </c:pt>
                <c:pt idx="31">
                  <c:v>38447</c:v>
                </c:pt>
                <c:pt idx="32">
                  <c:v>38436</c:v>
                </c:pt>
                <c:pt idx="33">
                  <c:v>48481</c:v>
                </c:pt>
                <c:pt idx="34">
                  <c:v>40785</c:v>
                </c:pt>
                <c:pt idx="35">
                  <c:v>40725</c:v>
                </c:pt>
                <c:pt idx="36">
                  <c:v>40661</c:v>
                </c:pt>
                <c:pt idx="37">
                  <c:v>43009</c:v>
                </c:pt>
                <c:pt idx="38">
                  <c:v>42898</c:v>
                </c:pt>
                <c:pt idx="39">
                  <c:v>42781</c:v>
                </c:pt>
                <c:pt idx="40">
                  <c:v>23805</c:v>
                </c:pt>
                <c:pt idx="41">
                  <c:v>25741</c:v>
                </c:pt>
                <c:pt idx="42">
                  <c:v>25841</c:v>
                </c:pt>
                <c:pt idx="43">
                  <c:v>25937</c:v>
                </c:pt>
                <c:pt idx="44">
                  <c:v>27838</c:v>
                </c:pt>
                <c:pt idx="45">
                  <c:v>37111</c:v>
                </c:pt>
                <c:pt idx="46">
                  <c:v>27921</c:v>
                </c:pt>
                <c:pt idx="47">
                  <c:v>29777</c:v>
                </c:pt>
                <c:pt idx="48">
                  <c:v>29816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0-4434-A97D-3C7411197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49562912"/>
        <c:axId val="549563744"/>
      </c:barChart>
      <c:catAx>
        <c:axId val="54956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9563744"/>
        <c:crosses val="autoZero"/>
        <c:auto val="1"/>
        <c:lblAlgn val="ctr"/>
        <c:lblOffset val="100"/>
        <c:noMultiLvlLbl val="0"/>
      </c:catAx>
      <c:valAx>
        <c:axId val="5495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PRO</a:t>
                </a:r>
                <a:r>
                  <a:rPr lang="es-ES" baseline="0"/>
                  <a:t> Users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956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sales:</a:t>
            </a:r>
            <a:r>
              <a:rPr lang="en-US" baseline="0"/>
              <a:t> cumulative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Sales!$I$14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Sales!$J$3:$BF$3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Sales!$J$14:$BF$14</c:f>
              <c:numCache>
                <c:formatCode>_("€"* #,##0.00_);_("€"* \(#,##0.00\);_("€"* "-"??_);_(@_)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51489</c:v>
                </c:pt>
                <c:pt idx="9">
                  <c:v>111383.15</c:v>
                </c:pt>
                <c:pt idx="10">
                  <c:v>171576.65</c:v>
                </c:pt>
                <c:pt idx="11">
                  <c:v>239809.9</c:v>
                </c:pt>
                <c:pt idx="12">
                  <c:v>316202.34999999998</c:v>
                </c:pt>
                <c:pt idx="13">
                  <c:v>402337.69999999995</c:v>
                </c:pt>
                <c:pt idx="14">
                  <c:v>497637.19999999995</c:v>
                </c:pt>
                <c:pt idx="15">
                  <c:v>602130.6</c:v>
                </c:pt>
                <c:pt idx="16">
                  <c:v>717471.39999999991</c:v>
                </c:pt>
                <c:pt idx="17">
                  <c:v>843030.99999999988</c:v>
                </c:pt>
                <c:pt idx="18">
                  <c:v>978879.04999999981</c:v>
                </c:pt>
                <c:pt idx="19">
                  <c:v>1126579.3499999999</c:v>
                </c:pt>
                <c:pt idx="20">
                  <c:v>1285513.2999999998</c:v>
                </c:pt>
                <c:pt idx="21">
                  <c:v>1463570.0499999998</c:v>
                </c:pt>
                <c:pt idx="22">
                  <c:v>1651152.15</c:v>
                </c:pt>
                <c:pt idx="23">
                  <c:v>1851012.5999999999</c:v>
                </c:pt>
                <c:pt idx="24">
                  <c:v>2063221.0999999999</c:v>
                </c:pt>
                <c:pt idx="25">
                  <c:v>2289480.9499999997</c:v>
                </c:pt>
                <c:pt idx="26">
                  <c:v>2529063.9</c:v>
                </c:pt>
                <c:pt idx="27">
                  <c:v>2781989.85</c:v>
                </c:pt>
                <c:pt idx="28">
                  <c:v>3049952.15</c:v>
                </c:pt>
                <c:pt idx="29">
                  <c:v>3332222.5999999996</c:v>
                </c:pt>
                <c:pt idx="30">
                  <c:v>3628791.1999999997</c:v>
                </c:pt>
                <c:pt idx="31">
                  <c:v>3941480.8499999996</c:v>
                </c:pt>
                <c:pt idx="32">
                  <c:v>4269443.6999999993</c:v>
                </c:pt>
                <c:pt idx="33">
                  <c:v>4619911.5499999989</c:v>
                </c:pt>
                <c:pt idx="34">
                  <c:v>4984163.9499999993</c:v>
                </c:pt>
                <c:pt idx="35">
                  <c:v>5364604.9499999993</c:v>
                </c:pt>
                <c:pt idx="36">
                  <c:v>5761204.6999999993</c:v>
                </c:pt>
                <c:pt idx="37">
                  <c:v>6175686.4999999991</c:v>
                </c:pt>
                <c:pt idx="38">
                  <c:v>6607202.5999999987</c:v>
                </c:pt>
                <c:pt idx="39">
                  <c:v>7055703.2499999991</c:v>
                </c:pt>
                <c:pt idx="40">
                  <c:v>7507611.4999999991</c:v>
                </c:pt>
                <c:pt idx="41">
                  <c:v>7970386.6999999993</c:v>
                </c:pt>
                <c:pt idx="42">
                  <c:v>8443480.1499999985</c:v>
                </c:pt>
                <c:pt idx="43">
                  <c:v>8926941.5999999978</c:v>
                </c:pt>
                <c:pt idx="44">
                  <c:v>9422075.8999999985</c:v>
                </c:pt>
                <c:pt idx="45">
                  <c:v>9934938.5499999989</c:v>
                </c:pt>
                <c:pt idx="46">
                  <c:v>10455982.699999999</c:v>
                </c:pt>
                <c:pt idx="47">
                  <c:v>10989475.799999999</c:v>
                </c:pt>
                <c:pt idx="48">
                  <c:v>11534829.299999999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F-48E1-BE20-0F9AE88AE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6435072"/>
        <c:axId val="296438400"/>
      </c:barChart>
      <c:catAx>
        <c:axId val="296435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6438400"/>
        <c:crosses val="autoZero"/>
        <c:auto val="1"/>
        <c:lblAlgn val="ctr"/>
        <c:lblOffset val="100"/>
        <c:noMultiLvlLbl val="0"/>
      </c:catAx>
      <c:valAx>
        <c:axId val="29643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643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GPS Tracker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Sales!$I$21</c:f>
              <c:strCache>
                <c:ptCount val="1"/>
                <c:pt idx="0">
                  <c:v>GPS Tracker cost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Sales!$J$17:$BF$17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Sales!$J$21:$BF$21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6894</c:v>
                </c:pt>
                <c:pt idx="9">
                  <c:v>4194</c:v>
                </c:pt>
                <c:pt idx="10">
                  <c:v>1908</c:v>
                </c:pt>
                <c:pt idx="11">
                  <c:v>1926</c:v>
                </c:pt>
                <c:pt idx="12">
                  <c:v>1950</c:v>
                </c:pt>
                <c:pt idx="13">
                  <c:v>2172</c:v>
                </c:pt>
                <c:pt idx="14">
                  <c:v>2196</c:v>
                </c:pt>
                <c:pt idx="15">
                  <c:v>2208</c:v>
                </c:pt>
                <c:pt idx="16">
                  <c:v>2436</c:v>
                </c:pt>
                <c:pt idx="17">
                  <c:v>2454</c:v>
                </c:pt>
                <c:pt idx="18">
                  <c:v>2472</c:v>
                </c:pt>
                <c:pt idx="19">
                  <c:v>2688</c:v>
                </c:pt>
                <c:pt idx="20">
                  <c:v>2700</c:v>
                </c:pt>
                <c:pt idx="21">
                  <c:v>3762</c:v>
                </c:pt>
                <c:pt idx="22">
                  <c:v>2952</c:v>
                </c:pt>
                <c:pt idx="23">
                  <c:v>2958</c:v>
                </c:pt>
                <c:pt idx="24">
                  <c:v>2970</c:v>
                </c:pt>
                <c:pt idx="25">
                  <c:v>3204</c:v>
                </c:pt>
                <c:pt idx="26">
                  <c:v>3210</c:v>
                </c:pt>
                <c:pt idx="27">
                  <c:v>3216</c:v>
                </c:pt>
                <c:pt idx="28">
                  <c:v>3444</c:v>
                </c:pt>
                <c:pt idx="29">
                  <c:v>3450</c:v>
                </c:pt>
                <c:pt idx="30">
                  <c:v>3450</c:v>
                </c:pt>
                <c:pt idx="31">
                  <c:v>3696</c:v>
                </c:pt>
                <c:pt idx="32">
                  <c:v>3690</c:v>
                </c:pt>
                <c:pt idx="33">
                  <c:v>4656</c:v>
                </c:pt>
                <c:pt idx="34">
                  <c:v>3918</c:v>
                </c:pt>
                <c:pt idx="35">
                  <c:v>3912</c:v>
                </c:pt>
                <c:pt idx="36">
                  <c:v>3906</c:v>
                </c:pt>
                <c:pt idx="37">
                  <c:v>4134</c:v>
                </c:pt>
                <c:pt idx="38">
                  <c:v>4122</c:v>
                </c:pt>
                <c:pt idx="39">
                  <c:v>4110</c:v>
                </c:pt>
                <c:pt idx="40">
                  <c:v>2286</c:v>
                </c:pt>
                <c:pt idx="41">
                  <c:v>2472</c:v>
                </c:pt>
                <c:pt idx="42">
                  <c:v>2484</c:v>
                </c:pt>
                <c:pt idx="43">
                  <c:v>2496</c:v>
                </c:pt>
                <c:pt idx="44">
                  <c:v>2676</c:v>
                </c:pt>
                <c:pt idx="45">
                  <c:v>3564</c:v>
                </c:pt>
                <c:pt idx="46">
                  <c:v>2682</c:v>
                </c:pt>
                <c:pt idx="47">
                  <c:v>2862</c:v>
                </c:pt>
                <c:pt idx="48">
                  <c:v>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9-4543-AC75-0E798F8BC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43343360"/>
        <c:axId val="1224302672"/>
      </c:barChart>
      <c:catAx>
        <c:axId val="124334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4302672"/>
        <c:crosses val="autoZero"/>
        <c:auto val="1"/>
        <c:lblAlgn val="ctr"/>
        <c:lblOffset val="100"/>
        <c:noMultiLvlLbl val="0"/>
      </c:catAx>
      <c:valAx>
        <c:axId val="122430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334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  <a:r>
              <a:rPr lang="en-US" baseline="0"/>
              <a:t> of Distributors share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Sales!$I$24</c:f>
              <c:strCache>
                <c:ptCount val="1"/>
                <c:pt idx="0">
                  <c:v>Cost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Sales!$J$23:$BF$23</c:f>
              <c:strCache>
                <c:ptCount val="49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Sales!$J$24:$BF$24</c:f>
              <c:numCache>
                <c:formatCode>_("€"* #,##0.00_);_("€"* \(#,##0.00\);_("€"* "-"??_);_(@_)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7723.3499999999995</c:v>
                </c:pt>
                <c:pt idx="9">
                  <c:v>8984.1224999999995</c:v>
                </c:pt>
                <c:pt idx="10">
                  <c:v>9029.0249999999978</c:v>
                </c:pt>
                <c:pt idx="11">
                  <c:v>10234.987499999999</c:v>
                </c:pt>
                <c:pt idx="12">
                  <c:v>11458.867499999998</c:v>
                </c:pt>
                <c:pt idx="13">
                  <c:v>12920.302499999998</c:v>
                </c:pt>
                <c:pt idx="14">
                  <c:v>14294.924999999997</c:v>
                </c:pt>
                <c:pt idx="15">
                  <c:v>15674.009999999998</c:v>
                </c:pt>
                <c:pt idx="16">
                  <c:v>17301.12</c:v>
                </c:pt>
                <c:pt idx="17">
                  <c:v>18833.939999999999</c:v>
                </c:pt>
                <c:pt idx="18">
                  <c:v>20377.207499999997</c:v>
                </c:pt>
                <c:pt idx="19">
                  <c:v>22155.044999999998</c:v>
                </c:pt>
                <c:pt idx="20">
                  <c:v>23840.092499999995</c:v>
                </c:pt>
                <c:pt idx="21">
                  <c:v>26708.512499999993</c:v>
                </c:pt>
                <c:pt idx="22">
                  <c:v>28137.314999999995</c:v>
                </c:pt>
                <c:pt idx="23">
                  <c:v>29979.067499999997</c:v>
                </c:pt>
                <c:pt idx="24">
                  <c:v>31831.274999999998</c:v>
                </c:pt>
                <c:pt idx="25">
                  <c:v>33938.977499999994</c:v>
                </c:pt>
                <c:pt idx="26">
                  <c:v>35937.442499999997</c:v>
                </c:pt>
                <c:pt idx="27">
                  <c:v>37938.892499999994</c:v>
                </c:pt>
                <c:pt idx="28">
                  <c:v>40194.344999999994</c:v>
                </c:pt>
                <c:pt idx="29">
                  <c:v>42340.56749999999</c:v>
                </c:pt>
                <c:pt idx="30">
                  <c:v>44485.289999999994</c:v>
                </c:pt>
                <c:pt idx="31">
                  <c:v>46903.447499999995</c:v>
                </c:pt>
                <c:pt idx="32">
                  <c:v>49194.427499999998</c:v>
                </c:pt>
                <c:pt idx="33">
                  <c:v>52570.177499999998</c:v>
                </c:pt>
                <c:pt idx="34">
                  <c:v>54637.859999999993</c:v>
                </c:pt>
                <c:pt idx="35">
                  <c:v>57066.15</c:v>
                </c:pt>
                <c:pt idx="36">
                  <c:v>59489.962499999994</c:v>
                </c:pt>
                <c:pt idx="37">
                  <c:v>62172.27</c:v>
                </c:pt>
                <c:pt idx="38">
                  <c:v>64727.414999999994</c:v>
                </c:pt>
                <c:pt idx="39">
                  <c:v>67275.097499999989</c:v>
                </c:pt>
                <c:pt idx="40">
                  <c:v>67786.237500000003</c:v>
                </c:pt>
                <c:pt idx="41">
                  <c:v>69416.28</c:v>
                </c:pt>
                <c:pt idx="42">
                  <c:v>70964.017499999987</c:v>
                </c:pt>
                <c:pt idx="43">
                  <c:v>72519.217499999984</c:v>
                </c:pt>
                <c:pt idx="44">
                  <c:v>74270.14499999999</c:v>
                </c:pt>
                <c:pt idx="45">
                  <c:v>76929.397499999992</c:v>
                </c:pt>
                <c:pt idx="46">
                  <c:v>78156.622499999998</c:v>
                </c:pt>
                <c:pt idx="47">
                  <c:v>80023.964999999997</c:v>
                </c:pt>
                <c:pt idx="48">
                  <c:v>81803.024999999994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F-4733-9075-8F01EE62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46721568"/>
        <c:axId val="1230014096"/>
      </c:barChart>
      <c:catAx>
        <c:axId val="144672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30014096"/>
        <c:crosses val="autoZero"/>
        <c:auto val="1"/>
        <c:lblAlgn val="ctr"/>
        <c:lblOffset val="100"/>
        <c:noMultiLvlLbl val="0"/>
      </c:catAx>
      <c:valAx>
        <c:axId val="123001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672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Other Incomes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'Other incomes'!$B$41</c:f>
              <c:strCache>
                <c:ptCount val="1"/>
                <c:pt idx="0">
                  <c:v>Comission Earnings (KIWOKO Promotion)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65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shade val="65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shade val="65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65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'Other incomes'!$C$40:$AY$40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'Other incomes'!$C$41:$AY$41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4306</c:v>
                </c:pt>
                <c:pt idx="9">
                  <c:v>6928</c:v>
                </c:pt>
                <c:pt idx="10">
                  <c:v>8118</c:v>
                </c:pt>
                <c:pt idx="11">
                  <c:v>9322</c:v>
                </c:pt>
                <c:pt idx="12">
                  <c:v>10538</c:v>
                </c:pt>
                <c:pt idx="13">
                  <c:v>11896</c:v>
                </c:pt>
                <c:pt idx="14">
                  <c:v>13266</c:v>
                </c:pt>
                <c:pt idx="15">
                  <c:v>14646</c:v>
                </c:pt>
                <c:pt idx="16">
                  <c:v>16168</c:v>
                </c:pt>
                <c:pt idx="17">
                  <c:v>17698</c:v>
                </c:pt>
                <c:pt idx="18">
                  <c:v>19240</c:v>
                </c:pt>
                <c:pt idx="19">
                  <c:v>20920</c:v>
                </c:pt>
                <c:pt idx="20">
                  <c:v>22608</c:v>
                </c:pt>
                <c:pt idx="21">
                  <c:v>24958</c:v>
                </c:pt>
                <c:pt idx="22">
                  <c:v>26800</c:v>
                </c:pt>
                <c:pt idx="23">
                  <c:v>28648</c:v>
                </c:pt>
                <c:pt idx="24">
                  <c:v>30502</c:v>
                </c:pt>
                <c:pt idx="25">
                  <c:v>32504</c:v>
                </c:pt>
                <c:pt idx="26">
                  <c:v>34508</c:v>
                </c:pt>
                <c:pt idx="27">
                  <c:v>36518</c:v>
                </c:pt>
                <c:pt idx="28">
                  <c:v>38670</c:v>
                </c:pt>
                <c:pt idx="29">
                  <c:v>40824</c:v>
                </c:pt>
                <c:pt idx="30">
                  <c:v>42980</c:v>
                </c:pt>
                <c:pt idx="31">
                  <c:v>45286</c:v>
                </c:pt>
                <c:pt idx="32">
                  <c:v>47592</c:v>
                </c:pt>
                <c:pt idx="33">
                  <c:v>50502</c:v>
                </c:pt>
                <c:pt idx="34">
                  <c:v>52948</c:v>
                </c:pt>
                <c:pt idx="35">
                  <c:v>55392</c:v>
                </c:pt>
                <c:pt idx="36">
                  <c:v>57832</c:v>
                </c:pt>
                <c:pt idx="37">
                  <c:v>60412</c:v>
                </c:pt>
                <c:pt idx="38">
                  <c:v>62986</c:v>
                </c:pt>
                <c:pt idx="39">
                  <c:v>65552</c:v>
                </c:pt>
                <c:pt idx="40">
                  <c:v>66982</c:v>
                </c:pt>
                <c:pt idx="41">
                  <c:v>68526</c:v>
                </c:pt>
                <c:pt idx="42">
                  <c:v>70076</c:v>
                </c:pt>
                <c:pt idx="43">
                  <c:v>71632</c:v>
                </c:pt>
                <c:pt idx="44">
                  <c:v>73302</c:v>
                </c:pt>
                <c:pt idx="45">
                  <c:v>75530</c:v>
                </c:pt>
                <c:pt idx="46">
                  <c:v>77204</c:v>
                </c:pt>
                <c:pt idx="47">
                  <c:v>78992</c:v>
                </c:pt>
                <c:pt idx="48">
                  <c:v>80780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5-40DB-9186-BF64295BEB6F}"/>
            </c:ext>
          </c:extLst>
        </c:ser>
        <c:ser>
          <c:idx val="1"/>
          <c:order val="1"/>
          <c:tx>
            <c:strRef>
              <c:f>'Other incomes'!$B$42</c:f>
              <c:strCache>
                <c:ptCount val="1"/>
                <c:pt idx="0">
                  <c:v>Comission Earnings (VET Promotion)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'Other incomes'!$C$40:$AY$40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'Other incomes'!$C$42:$AY$42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180</c:v>
                </c:pt>
                <c:pt idx="9">
                  <c:v>290</c:v>
                </c:pt>
                <c:pt idx="10">
                  <c:v>340</c:v>
                </c:pt>
                <c:pt idx="11">
                  <c:v>390</c:v>
                </c:pt>
                <c:pt idx="12">
                  <c:v>440</c:v>
                </c:pt>
                <c:pt idx="13">
                  <c:v>497.5</c:v>
                </c:pt>
                <c:pt idx="14">
                  <c:v>555</c:v>
                </c:pt>
                <c:pt idx="15">
                  <c:v>612.5</c:v>
                </c:pt>
                <c:pt idx="16">
                  <c:v>675</c:v>
                </c:pt>
                <c:pt idx="17">
                  <c:v>737.5</c:v>
                </c:pt>
                <c:pt idx="18">
                  <c:v>802.5</c:v>
                </c:pt>
                <c:pt idx="19">
                  <c:v>872.5</c:v>
                </c:pt>
                <c:pt idx="20">
                  <c:v>942.5</c:v>
                </c:pt>
                <c:pt idx="21">
                  <c:v>1040</c:v>
                </c:pt>
                <c:pt idx="22">
                  <c:v>1117.5</c:v>
                </c:pt>
                <c:pt idx="23">
                  <c:v>1195</c:v>
                </c:pt>
                <c:pt idx="24">
                  <c:v>1272.5</c:v>
                </c:pt>
                <c:pt idx="25">
                  <c:v>1355</c:v>
                </c:pt>
                <c:pt idx="26">
                  <c:v>1440</c:v>
                </c:pt>
                <c:pt idx="27">
                  <c:v>1522.5</c:v>
                </c:pt>
                <c:pt idx="28">
                  <c:v>1612.5</c:v>
                </c:pt>
                <c:pt idx="29">
                  <c:v>1702.5</c:v>
                </c:pt>
                <c:pt idx="30">
                  <c:v>1792.5</c:v>
                </c:pt>
                <c:pt idx="31">
                  <c:v>1887.5</c:v>
                </c:pt>
                <c:pt idx="32">
                  <c:v>1985</c:v>
                </c:pt>
                <c:pt idx="33">
                  <c:v>2105</c:v>
                </c:pt>
                <c:pt idx="34">
                  <c:v>2207.5</c:v>
                </c:pt>
                <c:pt idx="35">
                  <c:v>2310</c:v>
                </c:pt>
                <c:pt idx="36">
                  <c:v>2410</c:v>
                </c:pt>
                <c:pt idx="37">
                  <c:v>2517.5</c:v>
                </c:pt>
                <c:pt idx="38">
                  <c:v>2625</c:v>
                </c:pt>
                <c:pt idx="39">
                  <c:v>2732.5</c:v>
                </c:pt>
                <c:pt idx="40">
                  <c:v>2792.5</c:v>
                </c:pt>
                <c:pt idx="41">
                  <c:v>2857.5</c:v>
                </c:pt>
                <c:pt idx="42">
                  <c:v>2920</c:v>
                </c:pt>
                <c:pt idx="43">
                  <c:v>2985</c:v>
                </c:pt>
                <c:pt idx="44">
                  <c:v>3055</c:v>
                </c:pt>
                <c:pt idx="45">
                  <c:v>3147.5</c:v>
                </c:pt>
                <c:pt idx="46">
                  <c:v>3217.5</c:v>
                </c:pt>
                <c:pt idx="47">
                  <c:v>3292.5</c:v>
                </c:pt>
                <c:pt idx="48">
                  <c:v>3367.5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75-40DB-9186-BF64295BEB6F}"/>
            </c:ext>
          </c:extLst>
        </c:ser>
        <c:ser>
          <c:idx val="2"/>
          <c:order val="2"/>
          <c:tx>
            <c:strRef>
              <c:f>'Other incomes'!$B$43</c:f>
              <c:strCache>
                <c:ptCount val="1"/>
                <c:pt idx="0">
                  <c:v>Ads Earnings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65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tint val="65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tint val="65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tint val="65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'Other incomes'!$C$40:$AY$40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'Other incomes'!$C$43:$AY$43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3100.1849999999999</c:v>
                </c:pt>
                <c:pt idx="9">
                  <c:v>4987.3950000000004</c:v>
                </c:pt>
                <c:pt idx="10">
                  <c:v>5844.3300000000008</c:v>
                </c:pt>
                <c:pt idx="11">
                  <c:v>6710.9849999999997</c:v>
                </c:pt>
                <c:pt idx="12">
                  <c:v>7587.0450000000019</c:v>
                </c:pt>
                <c:pt idx="13">
                  <c:v>8564.4450000000015</c:v>
                </c:pt>
                <c:pt idx="14">
                  <c:v>9550.4850000000024</c:v>
                </c:pt>
                <c:pt idx="15">
                  <c:v>10545.075000000001</c:v>
                </c:pt>
                <c:pt idx="16">
                  <c:v>11639.970000000001</c:v>
                </c:pt>
                <c:pt idx="17">
                  <c:v>12742.38</c:v>
                </c:pt>
                <c:pt idx="18">
                  <c:v>13852.17</c:v>
                </c:pt>
                <c:pt idx="19">
                  <c:v>15061.140000000003</c:v>
                </c:pt>
                <c:pt idx="20">
                  <c:v>16276.455</c:v>
                </c:pt>
                <c:pt idx="21">
                  <c:v>17968.41</c:v>
                </c:pt>
                <c:pt idx="22">
                  <c:v>19294.560000000001</c:v>
                </c:pt>
                <c:pt idx="23">
                  <c:v>20625.570000000003</c:v>
                </c:pt>
                <c:pt idx="24">
                  <c:v>21961.215000000004</c:v>
                </c:pt>
                <c:pt idx="25">
                  <c:v>23401.755000000001</c:v>
                </c:pt>
                <c:pt idx="26">
                  <c:v>24845.49</c:v>
                </c:pt>
                <c:pt idx="27">
                  <c:v>26292.33</c:v>
                </c:pt>
                <c:pt idx="28">
                  <c:v>27841.59</c:v>
                </c:pt>
                <c:pt idx="29">
                  <c:v>29392.38</c:v>
                </c:pt>
                <c:pt idx="30">
                  <c:v>30944.52</c:v>
                </c:pt>
                <c:pt idx="31">
                  <c:v>32605.424999999999</c:v>
                </c:pt>
                <c:pt idx="32">
                  <c:v>34265.880000000005</c:v>
                </c:pt>
                <c:pt idx="33">
                  <c:v>36360.269999999997</c:v>
                </c:pt>
                <c:pt idx="34">
                  <c:v>38122.155000000006</c:v>
                </c:pt>
                <c:pt idx="35">
                  <c:v>39881.474999999999</c:v>
                </c:pt>
                <c:pt idx="36">
                  <c:v>41638.050000000003</c:v>
                </c:pt>
                <c:pt idx="37">
                  <c:v>43496.01</c:v>
                </c:pt>
                <c:pt idx="38">
                  <c:v>45349.2</c:v>
                </c:pt>
                <c:pt idx="39">
                  <c:v>47197.35</c:v>
                </c:pt>
                <c:pt idx="40">
                  <c:v>48225.735000000001</c:v>
                </c:pt>
                <c:pt idx="41">
                  <c:v>49337.73</c:v>
                </c:pt>
                <c:pt idx="42">
                  <c:v>50454.09</c:v>
                </c:pt>
                <c:pt idx="43">
                  <c:v>51574.544999999998</c:v>
                </c:pt>
                <c:pt idx="44">
                  <c:v>52777.17</c:v>
                </c:pt>
                <c:pt idx="45">
                  <c:v>54380.34</c:v>
                </c:pt>
                <c:pt idx="46">
                  <c:v>55586.52</c:v>
                </c:pt>
                <c:pt idx="47">
                  <c:v>56872.89</c:v>
                </c:pt>
                <c:pt idx="48">
                  <c:v>58160.97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75-40DB-9186-BF64295BE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233616"/>
        <c:axId val="1199455584"/>
      </c:barChart>
      <c:catAx>
        <c:axId val="122423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9455584"/>
        <c:crosses val="autoZero"/>
        <c:auto val="1"/>
        <c:lblAlgn val="ctr"/>
        <c:lblOffset val="100"/>
        <c:noMultiLvlLbl val="0"/>
      </c:catAx>
      <c:valAx>
        <c:axId val="119945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423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Salary of each department</a:t>
            </a:r>
          </a:p>
        </c:rich>
      </c:tx>
      <c:layout>
        <c:manualLayout>
          <c:xMode val="edge"/>
          <c:yMode val="edge"/>
          <c:x val="0.24227711676769967"/>
          <c:y val="5.73379560251564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5.5936501013996075E-2"/>
          <c:y val="0.13797627229659873"/>
          <c:w val="0.91722689284466796"/>
          <c:h val="0.723508805074912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Salaries!$G$34</c:f>
              <c:strCache>
                <c:ptCount val="1"/>
                <c:pt idx="0">
                  <c:v>Technological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Salaries!$H$33:$BC$33</c:f>
              <c:strCache>
                <c:ptCount val="48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</c:strCache>
            </c:strRef>
          </c:cat>
          <c:val>
            <c:numRef>
              <c:f>Salaries!$H$34:$BC$34</c:f>
              <c:numCache>
                <c:formatCode>General</c:formatCode>
                <c:ptCount val="48"/>
                <c:pt idx="0">
                  <c:v>0</c:v>
                </c:pt>
                <c:pt idx="1">
                  <c:v>26398</c:v>
                </c:pt>
                <c:pt idx="2">
                  <c:v>26398</c:v>
                </c:pt>
                <c:pt idx="3">
                  <c:v>26398</c:v>
                </c:pt>
                <c:pt idx="4">
                  <c:v>26398</c:v>
                </c:pt>
                <c:pt idx="5">
                  <c:v>30111</c:v>
                </c:pt>
                <c:pt idx="6">
                  <c:v>21952</c:v>
                </c:pt>
                <c:pt idx="7">
                  <c:v>21952</c:v>
                </c:pt>
                <c:pt idx="8">
                  <c:v>19060</c:v>
                </c:pt>
                <c:pt idx="9">
                  <c:v>19060</c:v>
                </c:pt>
                <c:pt idx="10">
                  <c:v>19060</c:v>
                </c:pt>
                <c:pt idx="11">
                  <c:v>27219</c:v>
                </c:pt>
                <c:pt idx="12">
                  <c:v>20013</c:v>
                </c:pt>
                <c:pt idx="13">
                  <c:v>20013</c:v>
                </c:pt>
                <c:pt idx="14">
                  <c:v>20013</c:v>
                </c:pt>
                <c:pt idx="15">
                  <c:v>20013</c:v>
                </c:pt>
                <c:pt idx="16">
                  <c:v>23049.599999999999</c:v>
                </c:pt>
                <c:pt idx="17">
                  <c:v>31616.55</c:v>
                </c:pt>
                <c:pt idx="18">
                  <c:v>23049.599999999999</c:v>
                </c:pt>
                <c:pt idx="19">
                  <c:v>23049.599999999999</c:v>
                </c:pt>
                <c:pt idx="20">
                  <c:v>23049.599999999999</c:v>
                </c:pt>
                <c:pt idx="21">
                  <c:v>23049.599999999999</c:v>
                </c:pt>
                <c:pt idx="22">
                  <c:v>23049.599999999999</c:v>
                </c:pt>
                <c:pt idx="23">
                  <c:v>31616.55</c:v>
                </c:pt>
                <c:pt idx="24">
                  <c:v>24147.200000000001</c:v>
                </c:pt>
                <c:pt idx="25">
                  <c:v>24147.200000000001</c:v>
                </c:pt>
                <c:pt idx="26">
                  <c:v>24147.200000000001</c:v>
                </c:pt>
                <c:pt idx="27">
                  <c:v>24147.200000000001</c:v>
                </c:pt>
                <c:pt idx="28">
                  <c:v>24147.200000000001</c:v>
                </c:pt>
                <c:pt idx="29">
                  <c:v>33122.100000000006</c:v>
                </c:pt>
                <c:pt idx="30">
                  <c:v>24147.200000000001</c:v>
                </c:pt>
                <c:pt idx="31">
                  <c:v>24147.200000000001</c:v>
                </c:pt>
                <c:pt idx="32">
                  <c:v>24147.200000000001</c:v>
                </c:pt>
                <c:pt idx="33">
                  <c:v>24147.200000000001</c:v>
                </c:pt>
                <c:pt idx="34">
                  <c:v>24147.200000000001</c:v>
                </c:pt>
                <c:pt idx="35">
                  <c:v>33122.100000000006</c:v>
                </c:pt>
                <c:pt idx="36">
                  <c:v>25244.799999999999</c:v>
                </c:pt>
                <c:pt idx="37">
                  <c:v>25244.799999999999</c:v>
                </c:pt>
                <c:pt idx="38">
                  <c:v>25244.799999999999</c:v>
                </c:pt>
                <c:pt idx="39">
                  <c:v>25244.799999999999</c:v>
                </c:pt>
                <c:pt idx="40">
                  <c:v>25244.799999999999</c:v>
                </c:pt>
                <c:pt idx="41">
                  <c:v>34627.65</c:v>
                </c:pt>
                <c:pt idx="42">
                  <c:v>25244.799999999999</c:v>
                </c:pt>
                <c:pt idx="43">
                  <c:v>25244.799999999999</c:v>
                </c:pt>
                <c:pt idx="44">
                  <c:v>25244.799999999999</c:v>
                </c:pt>
                <c:pt idx="45">
                  <c:v>25244.799999999999</c:v>
                </c:pt>
                <c:pt idx="46">
                  <c:v>25244.799999999999</c:v>
                </c:pt>
                <c:pt idx="47">
                  <c:v>34627.65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B-4795-AABB-A0FE37A75D88}"/>
            </c:ext>
          </c:extLst>
        </c:ser>
        <c:ser>
          <c:idx val="1"/>
          <c:order val="1"/>
          <c:tx>
            <c:strRef>
              <c:f>Salaries!$G$35</c:f>
              <c:strCache>
                <c:ptCount val="1"/>
                <c:pt idx="0">
                  <c:v>Business Development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Salaries!$H$33:$BC$33</c:f>
              <c:strCache>
                <c:ptCount val="48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</c:strCache>
            </c:strRef>
          </c:cat>
          <c:val>
            <c:numRef>
              <c:f>Salaries!$H$35:$BC$35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11158</c:v>
                </c:pt>
                <c:pt idx="6">
                  <c:v>4647</c:v>
                </c:pt>
                <c:pt idx="7">
                  <c:v>4647</c:v>
                </c:pt>
                <c:pt idx="8">
                  <c:v>8825</c:v>
                </c:pt>
                <c:pt idx="9">
                  <c:v>8825</c:v>
                </c:pt>
                <c:pt idx="10">
                  <c:v>8825</c:v>
                </c:pt>
                <c:pt idx="11">
                  <c:v>15336</c:v>
                </c:pt>
                <c:pt idx="12">
                  <c:v>11695.949999999999</c:v>
                </c:pt>
                <c:pt idx="13">
                  <c:v>11695.949999999999</c:v>
                </c:pt>
                <c:pt idx="14">
                  <c:v>11695.949999999999</c:v>
                </c:pt>
                <c:pt idx="15">
                  <c:v>11695.949999999999</c:v>
                </c:pt>
                <c:pt idx="16">
                  <c:v>11695.949999999999</c:v>
                </c:pt>
                <c:pt idx="17">
                  <c:v>18532.5</c:v>
                </c:pt>
                <c:pt idx="18">
                  <c:v>11695.949999999999</c:v>
                </c:pt>
                <c:pt idx="19">
                  <c:v>11695.949999999999</c:v>
                </c:pt>
                <c:pt idx="20">
                  <c:v>11695.949999999999</c:v>
                </c:pt>
                <c:pt idx="21">
                  <c:v>11695.949999999999</c:v>
                </c:pt>
                <c:pt idx="22">
                  <c:v>11695.949999999999</c:v>
                </c:pt>
                <c:pt idx="23">
                  <c:v>18532.5</c:v>
                </c:pt>
                <c:pt idx="24">
                  <c:v>12252.900000000001</c:v>
                </c:pt>
                <c:pt idx="25">
                  <c:v>12252.900000000001</c:v>
                </c:pt>
                <c:pt idx="26">
                  <c:v>12252.900000000001</c:v>
                </c:pt>
                <c:pt idx="27">
                  <c:v>12252.900000000001</c:v>
                </c:pt>
                <c:pt idx="28">
                  <c:v>12252.900000000001</c:v>
                </c:pt>
                <c:pt idx="29">
                  <c:v>19415</c:v>
                </c:pt>
                <c:pt idx="30">
                  <c:v>12252.900000000001</c:v>
                </c:pt>
                <c:pt idx="31">
                  <c:v>12252.900000000001</c:v>
                </c:pt>
                <c:pt idx="32">
                  <c:v>12252.900000000001</c:v>
                </c:pt>
                <c:pt idx="33">
                  <c:v>12252.900000000001</c:v>
                </c:pt>
                <c:pt idx="34">
                  <c:v>12252.900000000001</c:v>
                </c:pt>
                <c:pt idx="35">
                  <c:v>19415</c:v>
                </c:pt>
                <c:pt idx="36">
                  <c:v>12809.849999999999</c:v>
                </c:pt>
                <c:pt idx="37">
                  <c:v>12809.849999999999</c:v>
                </c:pt>
                <c:pt idx="38">
                  <c:v>12809.849999999999</c:v>
                </c:pt>
                <c:pt idx="39">
                  <c:v>12809.849999999999</c:v>
                </c:pt>
                <c:pt idx="40">
                  <c:v>12809.849999999999</c:v>
                </c:pt>
                <c:pt idx="41">
                  <c:v>20297.5</c:v>
                </c:pt>
                <c:pt idx="42">
                  <c:v>12809.849999999999</c:v>
                </c:pt>
                <c:pt idx="43">
                  <c:v>12809.849999999999</c:v>
                </c:pt>
                <c:pt idx="44">
                  <c:v>12809.849999999999</c:v>
                </c:pt>
                <c:pt idx="45">
                  <c:v>12809.849999999999</c:v>
                </c:pt>
                <c:pt idx="46">
                  <c:v>12809.849999999999</c:v>
                </c:pt>
                <c:pt idx="47">
                  <c:v>20297.5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1B-4795-AABB-A0FE37A75D88}"/>
            </c:ext>
          </c:extLst>
        </c:ser>
        <c:ser>
          <c:idx val="2"/>
          <c:order val="2"/>
          <c:tx>
            <c:strRef>
              <c:f>Salaries!$G$36</c:f>
              <c:strCache>
                <c:ptCount val="1"/>
                <c:pt idx="0">
                  <c:v>Administration and Ops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Salaries!$H$33:$BC$33</c:f>
              <c:strCache>
                <c:ptCount val="48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</c:strCache>
            </c:strRef>
          </c:cat>
          <c:val>
            <c:numRef>
              <c:f>Salaries!$H$36:$BC$36</c:f>
              <c:numCache>
                <c:formatCode>General</c:formatCode>
                <c:ptCount val="48"/>
                <c:pt idx="0">
                  <c:v>5093</c:v>
                </c:pt>
                <c:pt idx="1">
                  <c:v>6803</c:v>
                </c:pt>
                <c:pt idx="2">
                  <c:v>6803</c:v>
                </c:pt>
                <c:pt idx="3">
                  <c:v>9910</c:v>
                </c:pt>
                <c:pt idx="4">
                  <c:v>9910</c:v>
                </c:pt>
                <c:pt idx="5">
                  <c:v>17386</c:v>
                </c:pt>
                <c:pt idx="6">
                  <c:v>9910</c:v>
                </c:pt>
                <c:pt idx="7">
                  <c:v>9910</c:v>
                </c:pt>
                <c:pt idx="8">
                  <c:v>13062</c:v>
                </c:pt>
                <c:pt idx="9">
                  <c:v>13062</c:v>
                </c:pt>
                <c:pt idx="10">
                  <c:v>13062</c:v>
                </c:pt>
                <c:pt idx="11">
                  <c:v>20538</c:v>
                </c:pt>
                <c:pt idx="12">
                  <c:v>13715.100000000002</c:v>
                </c:pt>
                <c:pt idx="13">
                  <c:v>13715.100000000002</c:v>
                </c:pt>
                <c:pt idx="14">
                  <c:v>13715.100000000002</c:v>
                </c:pt>
                <c:pt idx="15">
                  <c:v>13715.100000000002</c:v>
                </c:pt>
                <c:pt idx="16">
                  <c:v>13715.100000000002</c:v>
                </c:pt>
                <c:pt idx="17">
                  <c:v>21564.9</c:v>
                </c:pt>
                <c:pt idx="18">
                  <c:v>13715.100000000002</c:v>
                </c:pt>
                <c:pt idx="19">
                  <c:v>13715.100000000002</c:v>
                </c:pt>
                <c:pt idx="20">
                  <c:v>13715.100000000002</c:v>
                </c:pt>
                <c:pt idx="21">
                  <c:v>13715.100000000002</c:v>
                </c:pt>
                <c:pt idx="22">
                  <c:v>13715.100000000002</c:v>
                </c:pt>
                <c:pt idx="23">
                  <c:v>21564.9</c:v>
                </c:pt>
                <c:pt idx="24">
                  <c:v>14368.2</c:v>
                </c:pt>
                <c:pt idx="25">
                  <c:v>14368.2</c:v>
                </c:pt>
                <c:pt idx="26">
                  <c:v>14368.2</c:v>
                </c:pt>
                <c:pt idx="27">
                  <c:v>14368.2</c:v>
                </c:pt>
                <c:pt idx="28">
                  <c:v>14368.2</c:v>
                </c:pt>
                <c:pt idx="29">
                  <c:v>22591.800000000003</c:v>
                </c:pt>
                <c:pt idx="30">
                  <c:v>14368.2</c:v>
                </c:pt>
                <c:pt idx="31">
                  <c:v>14368.2</c:v>
                </c:pt>
                <c:pt idx="32">
                  <c:v>14368.2</c:v>
                </c:pt>
                <c:pt idx="33">
                  <c:v>14368.2</c:v>
                </c:pt>
                <c:pt idx="34">
                  <c:v>14368.2</c:v>
                </c:pt>
                <c:pt idx="35">
                  <c:v>22591.800000000003</c:v>
                </c:pt>
                <c:pt idx="36">
                  <c:v>15021.3</c:v>
                </c:pt>
                <c:pt idx="37">
                  <c:v>15021.3</c:v>
                </c:pt>
                <c:pt idx="38">
                  <c:v>15021.3</c:v>
                </c:pt>
                <c:pt idx="39">
                  <c:v>15021.3</c:v>
                </c:pt>
                <c:pt idx="40">
                  <c:v>15021.3</c:v>
                </c:pt>
                <c:pt idx="41">
                  <c:v>23618.699999999997</c:v>
                </c:pt>
                <c:pt idx="42">
                  <c:v>15021.3</c:v>
                </c:pt>
                <c:pt idx="43">
                  <c:v>15021.3</c:v>
                </c:pt>
                <c:pt idx="44">
                  <c:v>15021.3</c:v>
                </c:pt>
                <c:pt idx="45">
                  <c:v>15021.3</c:v>
                </c:pt>
                <c:pt idx="46">
                  <c:v>15021.3</c:v>
                </c:pt>
                <c:pt idx="47">
                  <c:v>23618.699999999997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1B-4795-AABB-A0FE37A75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53791616"/>
        <c:axId val="453802432"/>
      </c:barChart>
      <c:catAx>
        <c:axId val="45379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3802432"/>
        <c:crosses val="autoZero"/>
        <c:auto val="1"/>
        <c:lblAlgn val="ctr"/>
        <c:lblOffset val="100"/>
        <c:noMultiLvlLbl val="0"/>
      </c:catAx>
      <c:valAx>
        <c:axId val="45380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379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045472095358886"/>
          <c:y val="6.9636270372599507E-2"/>
          <c:w val="0.40197042115761478"/>
          <c:h val="3.72147992355402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cost of the Marketing promotion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Marketing!$B$6</c:f>
              <c:strCache>
                <c:ptCount val="1"/>
                <c:pt idx="0">
                  <c:v>Monthly cost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Marketing!$I$2:$AY$2</c:f>
              <c:strCache>
                <c:ptCount val="43"/>
                <c:pt idx="0">
                  <c:v>Month 7</c:v>
                </c:pt>
                <c:pt idx="1">
                  <c:v>Month 8</c:v>
                </c:pt>
                <c:pt idx="2">
                  <c:v>Month 9</c:v>
                </c:pt>
                <c:pt idx="3">
                  <c:v>Month 10</c:v>
                </c:pt>
                <c:pt idx="4">
                  <c:v>Month 11</c:v>
                </c:pt>
                <c:pt idx="5">
                  <c:v>Month 12</c:v>
                </c:pt>
                <c:pt idx="6">
                  <c:v>Month 13</c:v>
                </c:pt>
                <c:pt idx="7">
                  <c:v>Month 14</c:v>
                </c:pt>
                <c:pt idx="8">
                  <c:v>Month 15</c:v>
                </c:pt>
                <c:pt idx="9">
                  <c:v>Month 16</c:v>
                </c:pt>
                <c:pt idx="10">
                  <c:v>Month 17</c:v>
                </c:pt>
                <c:pt idx="11">
                  <c:v>Month 18</c:v>
                </c:pt>
                <c:pt idx="12">
                  <c:v>Month 19</c:v>
                </c:pt>
                <c:pt idx="13">
                  <c:v>Month 20</c:v>
                </c:pt>
                <c:pt idx="14">
                  <c:v>Month 21</c:v>
                </c:pt>
                <c:pt idx="15">
                  <c:v>Month 22</c:v>
                </c:pt>
                <c:pt idx="16">
                  <c:v>Month 23</c:v>
                </c:pt>
                <c:pt idx="17">
                  <c:v>Month 24</c:v>
                </c:pt>
                <c:pt idx="18">
                  <c:v>Month 25</c:v>
                </c:pt>
                <c:pt idx="19">
                  <c:v>Month 26</c:v>
                </c:pt>
                <c:pt idx="20">
                  <c:v>Month 27</c:v>
                </c:pt>
                <c:pt idx="21">
                  <c:v>Month 28</c:v>
                </c:pt>
                <c:pt idx="22">
                  <c:v>Month 29</c:v>
                </c:pt>
                <c:pt idx="23">
                  <c:v>Month 30</c:v>
                </c:pt>
                <c:pt idx="24">
                  <c:v>Month 31</c:v>
                </c:pt>
                <c:pt idx="25">
                  <c:v>Month 32</c:v>
                </c:pt>
                <c:pt idx="26">
                  <c:v>Month 33</c:v>
                </c:pt>
                <c:pt idx="27">
                  <c:v>Month 34</c:v>
                </c:pt>
                <c:pt idx="28">
                  <c:v>Month 35</c:v>
                </c:pt>
                <c:pt idx="29">
                  <c:v>Month 36</c:v>
                </c:pt>
                <c:pt idx="30">
                  <c:v>Month 37</c:v>
                </c:pt>
                <c:pt idx="31">
                  <c:v>Month 38</c:v>
                </c:pt>
                <c:pt idx="32">
                  <c:v>Month 39</c:v>
                </c:pt>
                <c:pt idx="33">
                  <c:v>Month 40</c:v>
                </c:pt>
                <c:pt idx="34">
                  <c:v>Month 41</c:v>
                </c:pt>
                <c:pt idx="35">
                  <c:v>Month 42</c:v>
                </c:pt>
                <c:pt idx="36">
                  <c:v>Month 43</c:v>
                </c:pt>
                <c:pt idx="37">
                  <c:v>Month 44</c:v>
                </c:pt>
                <c:pt idx="38">
                  <c:v>Month 45</c:v>
                </c:pt>
                <c:pt idx="39">
                  <c:v>Month 46</c:v>
                </c:pt>
                <c:pt idx="40">
                  <c:v>Month 47</c:v>
                </c:pt>
                <c:pt idx="41">
                  <c:v>Month 48</c:v>
                </c:pt>
                <c:pt idx="42">
                  <c:v>Month 49</c:v>
                </c:pt>
              </c:strCache>
            </c:strRef>
          </c:cat>
          <c:val>
            <c:numRef>
              <c:f>Marketing!$I$6:$AY$6</c:f>
              <c:numCache>
                <c:formatCode>General</c:formatCode>
                <c:ptCount val="43"/>
                <c:pt idx="0">
                  <c:v>105698.80623946873</c:v>
                </c:pt>
                <c:pt idx="1">
                  <c:v>106572.35009268748</c:v>
                </c:pt>
                <c:pt idx="2">
                  <c:v>106121.84814590623</c:v>
                </c:pt>
                <c:pt idx="3">
                  <c:v>20549.436077250004</c:v>
                </c:pt>
                <c:pt idx="4">
                  <c:v>21331.273830468752</c:v>
                </c:pt>
                <c:pt idx="5">
                  <c:v>22106.286883687502</c:v>
                </c:pt>
                <c:pt idx="6">
                  <c:v>22874.394686906253</c:v>
                </c:pt>
                <c:pt idx="7">
                  <c:v>23626.569490125003</c:v>
                </c:pt>
                <c:pt idx="8">
                  <c:v>24371.086793343755</c:v>
                </c:pt>
                <c:pt idx="9">
                  <c:v>25107.870096562507</c:v>
                </c:pt>
                <c:pt idx="10">
                  <c:v>25826.944849781255</c:v>
                </c:pt>
                <c:pt idx="11">
                  <c:v>26537.580903000005</c:v>
                </c:pt>
                <c:pt idx="12">
                  <c:v>27239.714806218755</c:v>
                </c:pt>
                <c:pt idx="13">
                  <c:v>27922.437209437507</c:v>
                </c:pt>
                <c:pt idx="14">
                  <c:v>61277.126491406263</c:v>
                </c:pt>
                <c:pt idx="15">
                  <c:v>29201.524315875009</c:v>
                </c:pt>
                <c:pt idx="16">
                  <c:v>29842.303869093757</c:v>
                </c:pt>
                <c:pt idx="17">
                  <c:v>30473.23562231251</c:v>
                </c:pt>
                <c:pt idx="18">
                  <c:v>31094.292575531257</c:v>
                </c:pt>
                <c:pt idx="19">
                  <c:v>31691.50612875001</c:v>
                </c:pt>
                <c:pt idx="20">
                  <c:v>32278.260781968762</c:v>
                </c:pt>
                <c:pt idx="21">
                  <c:v>32854.542135187512</c:v>
                </c:pt>
                <c:pt idx="22">
                  <c:v>33405.47678840626</c:v>
                </c:pt>
                <c:pt idx="23">
                  <c:v>33945.421541625015</c:v>
                </c:pt>
                <c:pt idx="24">
                  <c:v>34474.387644843766</c:v>
                </c:pt>
                <c:pt idx="25">
                  <c:v>34975.200848062515</c:v>
                </c:pt>
                <c:pt idx="26">
                  <c:v>65647.159630031267</c:v>
                </c:pt>
                <c:pt idx="27">
                  <c:v>35870.059354500016</c:v>
                </c:pt>
                <c:pt idx="28">
                  <c:v>36317.582507718762</c:v>
                </c:pt>
                <c:pt idx="29">
                  <c:v>36753.32016093751</c:v>
                </c:pt>
                <c:pt idx="30">
                  <c:v>37177.32991415626</c:v>
                </c:pt>
                <c:pt idx="31">
                  <c:v>37570.826967375011</c:v>
                </c:pt>
                <c:pt idx="32">
                  <c:v>37952.303770593768</c:v>
                </c:pt>
                <c:pt idx="33">
                  <c:v>38321.858873812518</c:v>
                </c:pt>
                <c:pt idx="34">
                  <c:v>38835.131677031262</c:v>
                </c:pt>
                <c:pt idx="35">
                  <c:v>39325.000580250009</c:v>
                </c:pt>
                <c:pt idx="36">
                  <c:v>39806.292183468766</c:v>
                </c:pt>
                <c:pt idx="37">
                  <c:v>40278.996286687514</c:v>
                </c:pt>
                <c:pt idx="38">
                  <c:v>68338.685568656263</c:v>
                </c:pt>
                <c:pt idx="39">
                  <c:v>41083.386193125014</c:v>
                </c:pt>
                <c:pt idx="40">
                  <c:v>41512.632146343763</c:v>
                </c:pt>
                <c:pt idx="41">
                  <c:v>41916.240999562513</c:v>
                </c:pt>
                <c:pt idx="42">
                  <c:v>42310.548202781269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CD-48E7-96D1-E7E918CF2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5902655"/>
        <c:axId val="28590431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Marketing!$B$3</c15:sqref>
                        </c15:formulaRef>
                      </c:ext>
                    </c:extLst>
                    <c:strCache>
                      <c:ptCount val="1"/>
                      <c:pt idx="0">
                        <c:v>Number of potential users in the campaign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Marketing!$I$2:$AY$2</c15:sqref>
                        </c15:formulaRef>
                      </c:ext>
                    </c:extLst>
                    <c:strCache>
                      <c:ptCount val="43"/>
                      <c:pt idx="0">
                        <c:v>Month 7</c:v>
                      </c:pt>
                      <c:pt idx="1">
                        <c:v>Month 8</c:v>
                      </c:pt>
                      <c:pt idx="2">
                        <c:v>Month 9</c:v>
                      </c:pt>
                      <c:pt idx="3">
                        <c:v>Month 10</c:v>
                      </c:pt>
                      <c:pt idx="4">
                        <c:v>Month 11</c:v>
                      </c:pt>
                      <c:pt idx="5">
                        <c:v>Month 12</c:v>
                      </c:pt>
                      <c:pt idx="6">
                        <c:v>Month 13</c:v>
                      </c:pt>
                      <c:pt idx="7">
                        <c:v>Month 14</c:v>
                      </c:pt>
                      <c:pt idx="8">
                        <c:v>Month 15</c:v>
                      </c:pt>
                      <c:pt idx="9">
                        <c:v>Month 16</c:v>
                      </c:pt>
                      <c:pt idx="10">
                        <c:v>Month 17</c:v>
                      </c:pt>
                      <c:pt idx="11">
                        <c:v>Month 18</c:v>
                      </c:pt>
                      <c:pt idx="12">
                        <c:v>Month 19</c:v>
                      </c:pt>
                      <c:pt idx="13">
                        <c:v>Month 20</c:v>
                      </c:pt>
                      <c:pt idx="14">
                        <c:v>Month 21</c:v>
                      </c:pt>
                      <c:pt idx="15">
                        <c:v>Month 22</c:v>
                      </c:pt>
                      <c:pt idx="16">
                        <c:v>Month 23</c:v>
                      </c:pt>
                      <c:pt idx="17">
                        <c:v>Month 24</c:v>
                      </c:pt>
                      <c:pt idx="18">
                        <c:v>Month 25</c:v>
                      </c:pt>
                      <c:pt idx="19">
                        <c:v>Month 26</c:v>
                      </c:pt>
                      <c:pt idx="20">
                        <c:v>Month 27</c:v>
                      </c:pt>
                      <c:pt idx="21">
                        <c:v>Month 28</c:v>
                      </c:pt>
                      <c:pt idx="22">
                        <c:v>Month 29</c:v>
                      </c:pt>
                      <c:pt idx="23">
                        <c:v>Month 30</c:v>
                      </c:pt>
                      <c:pt idx="24">
                        <c:v>Month 31</c:v>
                      </c:pt>
                      <c:pt idx="25">
                        <c:v>Month 32</c:v>
                      </c:pt>
                      <c:pt idx="26">
                        <c:v>Month 33</c:v>
                      </c:pt>
                      <c:pt idx="27">
                        <c:v>Month 34</c:v>
                      </c:pt>
                      <c:pt idx="28">
                        <c:v>Month 35</c:v>
                      </c:pt>
                      <c:pt idx="29">
                        <c:v>Month 36</c:v>
                      </c:pt>
                      <c:pt idx="30">
                        <c:v>Month 37</c:v>
                      </c:pt>
                      <c:pt idx="31">
                        <c:v>Month 38</c:v>
                      </c:pt>
                      <c:pt idx="32">
                        <c:v>Month 39</c:v>
                      </c:pt>
                      <c:pt idx="33">
                        <c:v>Month 40</c:v>
                      </c:pt>
                      <c:pt idx="34">
                        <c:v>Month 41</c:v>
                      </c:pt>
                      <c:pt idx="35">
                        <c:v>Month 42</c:v>
                      </c:pt>
                      <c:pt idx="36">
                        <c:v>Month 43</c:v>
                      </c:pt>
                      <c:pt idx="37">
                        <c:v>Month 44</c:v>
                      </c:pt>
                      <c:pt idx="38">
                        <c:v>Month 45</c:v>
                      </c:pt>
                      <c:pt idx="39">
                        <c:v>Month 46</c:v>
                      </c:pt>
                      <c:pt idx="40">
                        <c:v>Month 47</c:v>
                      </c:pt>
                      <c:pt idx="41">
                        <c:v>Month 48</c:v>
                      </c:pt>
                      <c:pt idx="42">
                        <c:v>Month 49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Marketing!$C$3:$AY$3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582362.56881249999</c:v>
                      </c:pt>
                      <c:pt idx="1">
                        <c:v>582362.56881249999</c:v>
                      </c:pt>
                      <c:pt idx="2">
                        <c:v>582362.56881249999</c:v>
                      </c:pt>
                      <c:pt idx="3">
                        <c:v>582362.56881249999</c:v>
                      </c:pt>
                      <c:pt idx="4">
                        <c:v>582362.56881249999</c:v>
                      </c:pt>
                      <c:pt idx="5">
                        <c:v>582362.56881249999</c:v>
                      </c:pt>
                      <c:pt idx="6">
                        <c:v>3523293.5413156245</c:v>
                      </c:pt>
                      <c:pt idx="7">
                        <c:v>3552411.6697562495</c:v>
                      </c:pt>
                      <c:pt idx="8">
                        <c:v>3537394.9381968747</c:v>
                      </c:pt>
                      <c:pt idx="9">
                        <c:v>684981.20257500012</c:v>
                      </c:pt>
                      <c:pt idx="10">
                        <c:v>711042.46101562504</c:v>
                      </c:pt>
                      <c:pt idx="11">
                        <c:v>736876.22945625009</c:v>
                      </c:pt>
                      <c:pt idx="12">
                        <c:v>762479.82289687509</c:v>
                      </c:pt>
                      <c:pt idx="13">
                        <c:v>787552.31633750012</c:v>
                      </c:pt>
                      <c:pt idx="14">
                        <c:v>812369.55977812514</c:v>
                      </c:pt>
                      <c:pt idx="15">
                        <c:v>836929.00321875024</c:v>
                      </c:pt>
                      <c:pt idx="16">
                        <c:v>860898.16165937518</c:v>
                      </c:pt>
                      <c:pt idx="17">
                        <c:v>884586.03010000021</c:v>
                      </c:pt>
                      <c:pt idx="18">
                        <c:v>907990.4935406252</c:v>
                      </c:pt>
                      <c:pt idx="19">
                        <c:v>930747.90698125027</c:v>
                      </c:pt>
                      <c:pt idx="20">
                        <c:v>2042570.8830468755</c:v>
                      </c:pt>
                      <c:pt idx="21">
                        <c:v>973384.14386250032</c:v>
                      </c:pt>
                      <c:pt idx="22">
                        <c:v>994743.4623031253</c:v>
                      </c:pt>
                      <c:pt idx="23">
                        <c:v>1015774.5207437504</c:v>
                      </c:pt>
                      <c:pt idx="24">
                        <c:v>1036476.4191843753</c:v>
                      </c:pt>
                      <c:pt idx="25">
                        <c:v>1056383.5376250003</c:v>
                      </c:pt>
                      <c:pt idx="26">
                        <c:v>1075942.0260656255</c:v>
                      </c:pt>
                      <c:pt idx="27">
                        <c:v>1095151.4045062505</c:v>
                      </c:pt>
                      <c:pt idx="28">
                        <c:v>1113515.8929468754</c:v>
                      </c:pt>
                      <c:pt idx="29">
                        <c:v>1131514.0513875005</c:v>
                      </c:pt>
                      <c:pt idx="30">
                        <c:v>1149146.2548281255</c:v>
                      </c:pt>
                      <c:pt idx="31">
                        <c:v>1165840.0282687505</c:v>
                      </c:pt>
                      <c:pt idx="32">
                        <c:v>2188238.6543343756</c:v>
                      </c:pt>
                      <c:pt idx="33">
                        <c:v>1195668.6451500005</c:v>
                      </c:pt>
                      <c:pt idx="34">
                        <c:v>1210586.0835906256</c:v>
                      </c:pt>
                      <c:pt idx="35">
                        <c:v>1225110.6720312503</c:v>
                      </c:pt>
                      <c:pt idx="36">
                        <c:v>1239244.3304718754</c:v>
                      </c:pt>
                      <c:pt idx="37">
                        <c:v>1252360.8989125004</c:v>
                      </c:pt>
                      <c:pt idx="38">
                        <c:v>1265076.7923531255</c:v>
                      </c:pt>
                      <c:pt idx="39">
                        <c:v>1277395.2957937506</c:v>
                      </c:pt>
                      <c:pt idx="40">
                        <c:v>1294504.3892343754</c:v>
                      </c:pt>
                      <c:pt idx="41">
                        <c:v>1310833.3526750004</c:v>
                      </c:pt>
                      <c:pt idx="42">
                        <c:v>1326876.4061156255</c:v>
                      </c:pt>
                      <c:pt idx="43">
                        <c:v>1342633.2095562506</c:v>
                      </c:pt>
                      <c:pt idx="44">
                        <c:v>2277956.1856218753</c:v>
                      </c:pt>
                      <c:pt idx="45">
                        <c:v>1369446.2064375004</c:v>
                      </c:pt>
                      <c:pt idx="46">
                        <c:v>1383754.4048781255</c:v>
                      </c:pt>
                      <c:pt idx="47">
                        <c:v>1397208.0333187506</c:v>
                      </c:pt>
                      <c:pt idx="48">
                        <c:v>1410351.6067593757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4CD-48E7-96D1-E7E918CF2A16}"/>
                  </c:ext>
                </c:extLst>
              </c15:ser>
            </c15:filteredBarSeries>
          </c:ext>
        </c:extLst>
      </c:barChart>
      <c:catAx>
        <c:axId val="285902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Month</a:t>
                </a:r>
              </a:p>
              <a:p>
                <a:pPr>
                  <a:defRPr/>
                </a:pP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accent1">
                <a:alpha val="98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5904319"/>
        <c:crosses val="autoZero"/>
        <c:auto val="1"/>
        <c:lblAlgn val="ctr"/>
        <c:lblOffset val="100"/>
        <c:noMultiLvlLbl val="0"/>
      </c:catAx>
      <c:valAx>
        <c:axId val="28590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Cost in 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590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604680</xdr:colOff>
      <xdr:row>1</xdr:row>
      <xdr:rowOff>124903</xdr:rowOff>
    </xdr:from>
    <xdr:to>
      <xdr:col>14</xdr:col>
      <xdr:colOff>622902</xdr:colOff>
      <xdr:row>15</xdr:row>
      <xdr:rowOff>163968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B0404A-641B-F3D1-4E6C-492508924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561055</xdr:colOff>
      <xdr:row>17</xdr:row>
      <xdr:rowOff>21519</xdr:rowOff>
    </xdr:from>
    <xdr:to>
      <xdr:col>14</xdr:col>
      <xdr:colOff>514950</xdr:colOff>
      <xdr:row>32</xdr:row>
      <xdr:rowOff>64240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760F238-A5C8-EE64-DEE5-D0E1CAFFE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572089</xdr:colOff>
      <xdr:row>34</xdr:row>
      <xdr:rowOff>64813</xdr:rowOff>
    </xdr:from>
    <xdr:to>
      <xdr:col>15</xdr:col>
      <xdr:colOff>400431</xdr:colOff>
      <xdr:row>51</xdr:row>
      <xdr:rowOff>181768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0EEF681-9B7D-E04F-37F8-93E45D73C6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100740</xdr:colOff>
      <xdr:row>53</xdr:row>
      <xdr:rowOff>61713</xdr:rowOff>
    </xdr:from>
    <xdr:to>
      <xdr:col>15</xdr:col>
      <xdr:colOff>108095</xdr:colOff>
      <xdr:row>67</xdr:row>
      <xdr:rowOff>192626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00FC6E8-80BF-6B2F-B70A-689745354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1057255</xdr:colOff>
      <xdr:row>90</xdr:row>
      <xdr:rowOff>78711</xdr:rowOff>
    </xdr:from>
    <xdr:to>
      <xdr:col>32</xdr:col>
      <xdr:colOff>317555</xdr:colOff>
      <xdr:row>116</xdr:row>
      <xdr:rowOff>156289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E4FFDDC-D48F-3D3E-32D9-527E3ECD1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629385</xdr:colOff>
      <xdr:row>90</xdr:row>
      <xdr:rowOff>53942</xdr:rowOff>
    </xdr:from>
    <xdr:to>
      <xdr:col>21</xdr:col>
      <xdr:colOff>838359</xdr:colOff>
      <xdr:row>110</xdr:row>
      <xdr:rowOff>101511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A089F477-286B-0C1A-905F-EDF05DE52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1000595</xdr:colOff>
      <xdr:row>91</xdr:row>
      <xdr:rowOff>105704</xdr:rowOff>
    </xdr:from>
    <xdr:to>
      <xdr:col>25</xdr:col>
      <xdr:colOff>937147</xdr:colOff>
      <xdr:row>105</xdr:row>
      <xdr:rowOff>156138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6C5ED63C-D9DE-626C-B46E-7485DC5C4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475050</xdr:colOff>
      <xdr:row>69</xdr:row>
      <xdr:rowOff>15620</xdr:rowOff>
    </xdr:from>
    <xdr:to>
      <xdr:col>16</xdr:col>
      <xdr:colOff>341375</xdr:colOff>
      <xdr:row>87</xdr:row>
      <xdr:rowOff>174476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C9F1384-1334-572F-365A-76FB51E734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455612</xdr:colOff>
      <xdr:row>91</xdr:row>
      <xdr:rowOff>83738</xdr:rowOff>
    </xdr:from>
    <xdr:to>
      <xdr:col>38</xdr:col>
      <xdr:colOff>250031</xdr:colOff>
      <xdr:row>118</xdr:row>
      <xdr:rowOff>38893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C63434B-D194-18B2-1179-57E031578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71</xdr:col>
      <xdr:colOff>606821</xdr:colOff>
      <xdr:row>49</xdr:row>
      <xdr:rowOff>6746</xdr:rowOff>
    </xdr:from>
    <xdr:to>
      <xdr:col>77</xdr:col>
      <xdr:colOff>726280</xdr:colOff>
      <xdr:row>68</xdr:row>
      <xdr:rowOff>166688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C12E402-D38C-AB69-E887-7282C1D24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71</xdr:col>
      <xdr:colOff>693739</xdr:colOff>
      <xdr:row>13</xdr:row>
      <xdr:rowOff>101996</xdr:rowOff>
    </xdr:from>
    <xdr:to>
      <xdr:col>77</xdr:col>
      <xdr:colOff>273844</xdr:colOff>
      <xdr:row>30</xdr:row>
      <xdr:rowOff>44450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C9A291A8-632C-6C42-63CE-7F4999382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272346</xdr:colOff>
      <xdr:row>89</xdr:row>
      <xdr:rowOff>42944</xdr:rowOff>
    </xdr:from>
    <xdr:to>
      <xdr:col>15</xdr:col>
      <xdr:colOff>450815</xdr:colOff>
      <xdr:row>108</xdr:row>
      <xdr:rowOff>58624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C3921345-AF48-46C4-8160-121F71E2D4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39</xdr:col>
      <xdr:colOff>11173</xdr:colOff>
      <xdr:row>91</xdr:row>
      <xdr:rowOff>74911</xdr:rowOff>
    </xdr:from>
    <xdr:to>
      <xdr:col>44</xdr:col>
      <xdr:colOff>699304</xdr:colOff>
      <xdr:row>117</xdr:row>
      <xdr:rowOff>108511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1E28445-9994-5667-802C-FFCE63564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270276</xdr:colOff>
      <xdr:row>6</xdr:row>
      <xdr:rowOff>76777</xdr:rowOff>
    </xdr:from>
    <xdr:ext cx="5509845" cy="18391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4ECD6A9-CF5C-ED26-0E28-5112241E46DA}"/>
                </a:ext>
              </a:extLst>
            </xdr:cNvPr>
            <xdr:cNvSpPr txBox="1"/>
          </xdr:nvSpPr>
          <xdr:spPr>
            <a:xfrm>
              <a:off x="1023617" y="1167822"/>
              <a:ext cx="5509845" cy="18391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e>
                      <m:sub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𝑈𝑠𝑒𝑟𝑠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𝑚𝑜𝑛𝑡h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</m:oMath>
                </m:oMathPara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e>
                      <m:sub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𝑈𝑠𝑒𝑟𝑠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𝑚𝑜𝑛𝑡h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−1</m:t>
                    </m:r>
                  </m:oMath>
                </m:oMathPara>
              </a14:m>
              <a:endParaRPr lang="es-ES" sz="2000">
                <a:effectLst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</m:e>
                      <m:sub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</m:sSub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𝐵𝑎𝑠𝑒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𝑢𝑠𝑒𝑟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𝑖𝑛𝑐𝑟𝑒𝑚𝑒𝑛𝑡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(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𝑟𝑎𝑛𝑑𝑜𝑚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𝑛𝑒𝑤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𝑢𝑠𝑒𝑟𝑠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0" lang="es-ES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0" lang="es-ES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</m:e>
                      <m:sub>
                        <m:r>
                          <a:rPr kumimoji="0" lang="es-ES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𝑀</m:t>
                        </m:r>
                      </m:sub>
                    </m:sSub>
                    <m:r>
                      <a:rPr kumimoji="0" lang="es-ES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kumimoji="0" lang="es-ES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𝑀𝑎𝑟𝑘𝑒𝑡𝑖𝑛𝑔</m:t>
                    </m:r>
                    <m:r>
                      <a:rPr kumimoji="0" lang="es-ES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ES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𝑢𝑠𝑒𝑟</m:t>
                    </m:r>
                    <m:r>
                      <a:rPr kumimoji="0" lang="es-ES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ES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𝑖𝑛𝑐𝑟𝑒𝑚𝑒𝑛𝑡</m:t>
                    </m:r>
                  </m:oMath>
                </m:oMathPara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sub>
                    </m:sSub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𝑅𝑒𝑐𝑜𝑚𝑚𝑒𝑛𝑑𝑎𝑡𝑖𝑜𝑛𝑠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𝑟𝑎𝑡𝑒</m:t>
                    </m:r>
                  </m:oMath>
                </m:oMathPara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𝑈𝑛𝑠𝑢𝑏𝑠𝑐𝑟𝑖𝑝𝑡𝑖𝑜𝑛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𝑟𝑎𝑡𝑒</m:t>
                    </m:r>
                  </m:oMath>
                </m:oMathPara>
              </a14:m>
              <a:endParaRPr lang="es-ES" sz="2000" b="0" i="1"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𝑇𝑜𝑡𝑎𝑙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𝑐𝑢𝑠𝑡𝑜𝑚𝑒𝑟𝑠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𝑡h𝑒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𝑚𝑎𝑟𝑘𝑒𝑡</m:t>
                    </m:r>
                  </m:oMath>
                </m:oMathPara>
              </a14:m>
              <a:endParaRPr lang="es-ES" sz="2000">
                <a:effectLst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𝑈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s-ES" sz="1600" b="0" i="1">
                      <a:latin typeface="Cambria Math" panose="02040503050406030204" pitchFamily="18" charset="0"/>
                    </a:rPr>
                    <m:t>=  </m:t>
                  </m:r>
                </m:oMath>
              </a14:m>
              <a:r>
                <a:rPr lang="es-ES" sz="160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</m:e>
                    <m:sub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−1</m:t>
                      </m:r>
                    </m:sub>
                  </m:sSub>
                  <m:sSub>
                    <m:sSubPr>
                      <m:ctrlPr>
                        <a:rPr kumimoji="0" lang="es-E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s-E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b>
                        <m:sSubPr>
                          <m:ctrlPr>
                            <a:rPr kumimoji="0" lang="es-ES" sz="16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kumimoji="0" lang="es-ES" sz="16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∆</m:t>
                          </m:r>
                        </m:e>
                        <m:sub>
                          <m:r>
                            <a:rPr kumimoji="0" lang="es-ES" sz="16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𝑀</m:t>
                          </m:r>
                        </m:sub>
                      </m:sSub>
                      <m:r>
                        <a:rPr kumimoji="0" lang="es-E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+(</m:t>
                      </m:r>
                      <m:r>
                        <a:rPr kumimoji="0" lang="es-E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</m:e>
                    <m:sub>
                      <m:r>
                        <a:rPr kumimoji="0" lang="es-E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kumimoji="0" lang="es-E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−1</m:t>
                      </m:r>
                    </m:sub>
                  </m:sSub>
                </m:oMath>
              </a14:m>
              <a:r>
                <a:rPr lang="es-ES"/>
                <a:t>·</a:t>
              </a:r>
              <a14:m>
                <m:oMath xmlns:m="http://schemas.openxmlformats.org/officeDocument/2006/math">
                  <m:sSub>
                    <m:sSubPr>
                      <m:ctrlP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e>
                    <m:sub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sub>
                  </m:sSub>
                  <m:r>
                    <a:rPr lang="es-ES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sSub>
                    <m:sSubPr>
                      <m:ctrlP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e>
                    <m:sub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</m:sub>
                  </m:sSub>
                  <m:r>
                    <a:rPr lang="es-ES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)+</m:t>
                  </m:r>
                  <m:sSub>
                    <m:sSubPr>
                      <m:ctrlPr>
                        <a:rPr kumimoji="0" lang="es-E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s-E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∆</m:t>
                      </m:r>
                    </m:e>
                    <m:sub>
                      <m:r>
                        <a:rPr kumimoji="0" lang="es-E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</m:t>
                      </m:r>
                    </m:sub>
                  </m:sSub>
                </m:oMath>
              </a14:m>
              <a:r>
                <a:rPr lang="es-ES" sz="1600"/>
                <a:t>) ·</a:t>
              </a:r>
              <a14:m>
                <m:oMath xmlns:m="http://schemas.openxmlformats.org/officeDocument/2006/math">
                  <m:func>
                    <m:funcPr>
                      <m:ctrlPr>
                        <a:rPr lang="es-ES" sz="160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sSub>
                        <m:sSubPr>
                          <m:ctrlPr>
                            <a:rPr lang="es-ES" sz="16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ES" sz="1600" b="0" i="0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m:rPr>
                              <m:sty m:val="p"/>
                            </m:rPr>
                            <a:rPr lang="es-ES" sz="1600" i="0">
                              <a:latin typeface="Cambria Math" panose="02040503050406030204" pitchFamily="18" charset="0"/>
                            </a:rPr>
                            <m:t>log</m:t>
                          </m:r>
                        </m:e>
                        <m:sub>
                          <m:r>
                            <a:rPr lang="es-ES" sz="16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(</m:t>
                      </m:r>
                    </m:fName>
                    <m:e>
                      <m:f>
                        <m:fPr>
                          <m:ctrlPr>
                            <a:rPr lang="es-ES" sz="16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s-E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s-E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𝑇</m:t>
                              </m:r>
                              <m:r>
                                <a:rPr lang="es-E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es-E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𝑈</m:t>
                              </m:r>
                            </m:e>
                            <m:sub>
                              <m:r>
                                <a:rPr lang="es-E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  <m:r>
                                <a:rPr lang="es-E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−1</m:t>
                              </m:r>
                            </m:sub>
                          </m:sSub>
                        </m:num>
                        <m:den>
                          <m:r>
                            <a:rPr lang="es-ES" sz="1600" b="0" i="1">
                              <a:latin typeface="Cambria Math" panose="02040503050406030204" pitchFamily="18" charset="0"/>
                            </a:rPr>
                            <m:t>𝑇</m:t>
                          </m:r>
                        </m:den>
                      </m:f>
                      <m:r>
                        <a:rPr lang="es-ES" sz="1600" b="0" i="1">
                          <a:latin typeface="Cambria Math" panose="02040503050406030204" pitchFamily="18" charset="0"/>
                        </a:rPr>
                        <m:t>+1</m:t>
                      </m:r>
                    </m:e>
                  </m:func>
                  <m:r>
                    <a:rPr lang="es-ES" sz="16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endParaRPr lang="es-ES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4ECD6A9-CF5C-ED26-0E28-5112241E46DA}"/>
                </a:ext>
              </a:extLst>
            </xdr:cNvPr>
            <xdr:cNvSpPr txBox="1"/>
          </xdr:nvSpPr>
          <xdr:spPr>
            <a:xfrm>
              <a:off x="1023617" y="1167822"/>
              <a:ext cx="5509845" cy="18391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𝑈_𝑖:𝑈𝑠𝑒𝑟𝑠 𝑖𝑛 𝑚𝑜𝑛𝑡ℎ 𝑖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𝑈_(𝑖−1):𝑈𝑠𝑒𝑟𝑠 𝑖𝑛 𝑚𝑜𝑛𝑡ℎ 𝑖−1</a:t>
              </a:r>
              <a:endParaRPr lang="es-ES" sz="2000">
                <a:effectLst/>
              </a:endParaRPr>
            </a:p>
            <a:p>
              <a:pPr algn="l"/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_𝐵:𝐵𝑎𝑠𝑒 𝑢𝑠𝑒𝑟 𝑖𝑛𝑐𝑟𝑒𝑚𝑒𝑛𝑡 (𝑟𝑎𝑛𝑑𝑜𝑚 𝑛𝑒𝑤 𝑢𝑠𝑒𝑟𝑠)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E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kumimoji="0" lang="es-E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kumimoji="0" lang="es-E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𝑀</a:t>
              </a:r>
              <a:r>
                <a:rPr kumimoji="0" lang="es-E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:𝑀𝑎𝑟𝑘𝑒𝑡𝑖𝑛𝑔 𝑢𝑠𝑒𝑟 𝑖𝑛𝑐𝑟𝑒𝑚𝑒𝑛𝑡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𝑟_𝑅:𝑅𝑒𝑐𝑜𝑚𝑚𝑒𝑛𝑑𝑎𝑡𝑖𝑜𝑛𝑠 𝑟𝑎𝑡𝑒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𝑟_𝑈:𝑈𝑛𝑠𝑢𝑏𝑠𝑐𝑟𝑖𝑝𝑡𝑖𝑜𝑛 𝑟𝑎𝑡𝑒</a:t>
              </a:r>
              <a:endParaRPr lang="es-ES" sz="2000" b="0" i="1"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𝑇:𝑇𝑜𝑡𝑎𝑙 𝑐𝑢𝑠𝑡𝑜𝑚𝑒𝑟𝑠 𝑖𝑛 𝑡ℎ𝑒 𝑚𝑎𝑟𝑘𝑒𝑡</a:t>
              </a:r>
              <a:endParaRPr lang="es-ES" sz="2000">
                <a:effectLst/>
              </a:endParaRPr>
            </a:p>
            <a:p>
              <a:r>
                <a:rPr lang="es-ES" sz="1600" b="0" i="0">
                  <a:latin typeface="Cambria Math" panose="02040503050406030204" pitchFamily="18" charset="0"/>
                </a:rPr>
                <a:t>𝑈_𝑖=  </a:t>
              </a:r>
              <a:r>
                <a:rPr lang="es-ES" sz="1600"/>
                <a:t> </a:t>
              </a:r>
              <a:r>
                <a:rPr lang="es-E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𝑈_(𝑖−1)</a:t>
              </a:r>
              <a:r>
                <a:rPr kumimoji="0" lang="es-E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 〖+</a:t>
              </a:r>
              <a:r>
                <a:rPr kumimoji="0" lang="es-E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kumimoji="0" lang="es-E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kumimoji="0" lang="es-E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𝑀</a:t>
              </a:r>
              <a:r>
                <a:rPr kumimoji="0" lang="es-E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+(𝑈〗_(𝑖−1)</a:t>
              </a:r>
              <a:r>
                <a:rPr lang="es-ES"/>
                <a:t>·</a:t>
              </a:r>
              <a:r>
                <a:rPr lang="es-E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〖(𝑟〗_𝑅−𝑟_𝑈)+</a:t>
              </a:r>
              <a:r>
                <a:rPr kumimoji="0" lang="es-E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kumimoji="0" lang="es-E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_𝐵</a:t>
              </a:r>
              <a:r>
                <a:rPr lang="es-ES" sz="1600"/>
                <a:t>) ·</a:t>
              </a:r>
              <a:r>
                <a:rPr lang="es-ES" sz="1600" i="0">
                  <a:latin typeface="Cambria Math" panose="02040503050406030204" pitchFamily="18" charset="0"/>
                </a:rPr>
                <a:t>〖〖</a:t>
              </a:r>
              <a:r>
                <a:rPr lang="es-ES" sz="1600" b="0" i="0">
                  <a:latin typeface="Cambria Math" panose="02040503050406030204" pitchFamily="18" charset="0"/>
                </a:rPr>
                <a:t> </a:t>
              </a:r>
              <a:r>
                <a:rPr lang="es-ES" sz="1600" i="0">
                  <a:latin typeface="Cambria Math" panose="02040503050406030204" pitchFamily="18" charset="0"/>
                </a:rPr>
                <a:t>log〗_</a:t>
              </a:r>
              <a:r>
                <a:rPr lang="es-ES" sz="1600" b="0" i="0">
                  <a:latin typeface="Cambria Math" panose="02040503050406030204" pitchFamily="18" charset="0"/>
                </a:rPr>
                <a:t>2 (〗⁡〖</a:t>
              </a:r>
              <a:r>
                <a:rPr lang="es-E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〖𝑇−𝑈〗_(𝑖−1)/</a:t>
              </a:r>
              <a:r>
                <a:rPr lang="es-ES" sz="1600" b="0" i="0">
                  <a:latin typeface="Cambria Math" panose="02040503050406030204" pitchFamily="18" charset="0"/>
                </a:rPr>
                <a:t>𝑇+1〗)</a:t>
              </a:r>
              <a:endParaRPr lang="es-ES" sz="1100"/>
            </a:p>
          </xdr:txBody>
        </xdr:sp>
      </mc:Fallback>
    </mc:AlternateContent>
    <xdr:clientData/>
  </xdr:oneCellAnchor>
  <xdr:twoCellAnchor>
    <xdr:from>
      <xdr:col>5</xdr:col>
      <xdr:colOff>340970</xdr:colOff>
      <xdr:row>25</xdr:row>
      <xdr:rowOff>44022</xdr:rowOff>
    </xdr:from>
    <xdr:to>
      <xdr:col>10</xdr:col>
      <xdr:colOff>399198</xdr:colOff>
      <xdr:row>45</xdr:row>
      <xdr:rowOff>150039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DFCD5E3-B5DD-FB58-BE8B-483A6EADC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546688</xdr:colOff>
      <xdr:row>25</xdr:row>
      <xdr:rowOff>72750</xdr:rowOff>
    </xdr:from>
    <xdr:to>
      <xdr:col>17</xdr:col>
      <xdr:colOff>343226</xdr:colOff>
      <xdr:row>43</xdr:row>
      <xdr:rowOff>50110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8FAE63E-EF01-4E2D-1CAC-9CB54DAA1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84420</xdr:colOff>
      <xdr:row>18</xdr:row>
      <xdr:rowOff>154396</xdr:rowOff>
    </xdr:from>
    <xdr:to>
      <xdr:col>5</xdr:col>
      <xdr:colOff>83529</xdr:colOff>
      <xdr:row>37</xdr:row>
      <xdr:rowOff>114438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3084D79-1730-D7FD-0180-401230507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507998</xdr:colOff>
      <xdr:row>25</xdr:row>
      <xdr:rowOff>126712</xdr:rowOff>
    </xdr:from>
    <xdr:to>
      <xdr:col>22</xdr:col>
      <xdr:colOff>703406</xdr:colOff>
      <xdr:row>40</xdr:row>
      <xdr:rowOff>96692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7982AE50-9ED4-F379-F1BE-FD4910FA8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770948</xdr:colOff>
      <xdr:row>25</xdr:row>
      <xdr:rowOff>146048</xdr:rowOff>
    </xdr:from>
    <xdr:to>
      <xdr:col>29</xdr:col>
      <xdr:colOff>591704</xdr:colOff>
      <xdr:row>41</xdr:row>
      <xdr:rowOff>144317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DE91223F-7658-3551-4248-A1C590328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157887</xdr:colOff>
      <xdr:row>16</xdr:row>
      <xdr:rowOff>101748</xdr:rowOff>
    </xdr:from>
    <xdr:to>
      <xdr:col>12</xdr:col>
      <xdr:colOff>181328</xdr:colOff>
      <xdr:row>37</xdr:row>
      <xdr:rowOff>98166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1238966-67D2-724A-C582-DD587DA63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823379</xdr:colOff>
      <xdr:row>39</xdr:row>
      <xdr:rowOff>142926</xdr:rowOff>
    </xdr:from>
    <xdr:to>
      <xdr:col>12</xdr:col>
      <xdr:colOff>1098550</xdr:colOff>
      <xdr:row>70</xdr:row>
      <xdr:rowOff>112058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9171A5-47D9-6005-760F-E360AA616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547159</xdr:colOff>
      <xdr:row>7</xdr:row>
      <xdr:rowOff>9524</xdr:rowOff>
    </xdr:from>
    <xdr:to>
      <xdr:col>17</xdr:col>
      <xdr:colOff>43390</xdr:colOff>
      <xdr:row>26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222C16-E08C-AB2E-D702-D5DFE2879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600075</xdr:colOff>
      <xdr:row>8</xdr:row>
      <xdr:rowOff>1</xdr:rowOff>
    </xdr:from>
    <xdr:ext cx="5509845" cy="19835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7927B63-C744-4D7B-8045-27EFB3EA5C53}"/>
                </a:ext>
              </a:extLst>
            </xdr:cNvPr>
            <xdr:cNvSpPr txBox="1"/>
          </xdr:nvSpPr>
          <xdr:spPr>
            <a:xfrm>
              <a:off x="600075" y="1979084"/>
              <a:ext cx="5509845" cy="19835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𝑃𝑜𝑡𝑒𝑛𝑡𝑖𝑎𝑙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𝑢𝑠𝑒𝑟𝑠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𝑡𝑜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𝑟𝑒𝑎𝑐h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𝑤𝑖𝑡h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𝑀𝑎𝑟𝑘𝑒𝑡𝑖𝑛𝑔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𝐶𝑎𝑚𝑝𝑎𝑖𝑔𝑛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𝑀𝑜𝑛𝑡h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𝑇𝑜𝑡𝑎𝑙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𝑀𝑎𝑟𝑘𝑒𝑡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𝑠𝑖𝑧𝑒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𝑡𝑜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𝑟𝑒𝑎𝑐h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𝑡h𝑟𝑜𝑢𝑔h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𝑆𝑜𝑐𝑖𝑎𝑙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𝑀𝑒𝑑𝑖𝑎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𝐶𝑎𝑚𝑝𝑎𝑖𝑔𝑛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70%&lt;40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𝐼𝑛𝑠𝑡𝑎𝑔𝑟𝑎𝑚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 45%&gt;30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𝐹𝑎𝑐𝑒𝑏𝑜𝑜𝑘</m:t>
                        </m:r>
                      </m:e>
                    </m:d>
                  </m:oMath>
                </m:oMathPara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𝑅𝑎𝑡𝑒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𝑜𝑓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𝑡h𝑒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𝑖𝑛𝑐𝑟𝑒𝑚𝑒𝑛𝑡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𝑜𝑓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𝑡h𝑒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𝑡𝑎𝑟𝑔𝑒𝑡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𝑚𝑜𝑛𝑡h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</m:oMath>
                </m:oMathPara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𝑖𝑛𝑖𝑡𝑖𝑎𝑙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𝑐𝑎𝑚𝑝𝑎𝑖𝑔𝑛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𝑏𝑜𝑛𝑢𝑠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𝑡𝑎𝑟𝑔𝑒𝑡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𝑟𝑎𝑡𝑒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𝑜𝑓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𝑠𝑢𝑐𝑐𝑒𝑠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𝑎𝑑𝑠</m:t>
                    </m:r>
                    <m:d>
                      <m:d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𝑝𝑜𝑟𝑡𝑖𝑜𝑛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𝑜𝑓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𝑝𝑜𝑡𝑒𝑛𝑡𝑖𝑎𝑙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𝑢𝑠𝑒𝑟𝑠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𝑡h𝑎𝑡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𝑏𝑒𝑐𝑜𝑚𝑒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𝑢𝑠𝑒𝑟𝑠</m:t>
                        </m:r>
                      </m:e>
                    </m:d>
                  </m:oMath>
                </m:oMathPara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sub>
                    </m:sSub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𝑐𝑜𝑠𝑡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𝑝𝑒𝑟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𝑒𝑛𝑔𝑎𝑔𝑒𝑚𝑒𝑛𝑡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(0.03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𝑏𝑜𝑡h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𝐼𝑛𝑠𝑡𝑎𝑔𝑟𝑎𝑚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𝑎𝑛𝑑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𝐹𝑎𝑐𝑒𝑏𝑜𝑜𝑘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 </m:t>
                    </m:r>
                  </m:oMath>
                </m:oMathPara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ES" sz="16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s-ES" sz="1600" b="0" i="1">
                        <a:latin typeface="Cambria Math" panose="02040503050406030204" pitchFamily="18" charset="0"/>
                      </a:rPr>
                      <m:t>·(</m:t>
                    </m:r>
                    <m:d>
                      <m:d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  <m:sub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s-ES" sz="1600" b="0" i="0">
                        <a:latin typeface="Cambria Math" panose="02040503050406030204" pitchFamily="18" charset="0"/>
                      </a:rPr>
                      <m:t>·</m:t>
                    </m:r>
                    <m:d>
                      <m:d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s-ES" sz="1600" b="0" i="0">
                                <a:latin typeface="Cambria Math" panose="02040503050406030204" pitchFamily="18" charset="0"/>
                              </a:rPr>
                              <m:t>r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s-ES" sz="1600" b="0" i="0">
                                <a:latin typeface="Cambria Math" panose="02040503050406030204" pitchFamily="18" charset="0"/>
                              </a:rPr>
                              <m:t>i</m:t>
                            </m:r>
                          </m:sub>
                        </m:sSub>
                        <m:r>
                          <a:rPr lang="es-ES" sz="1600" b="0" i="0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s-E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s-ES" sz="1600" b="0" i="0">
                                <a:latin typeface="Cambria Math" panose="02040503050406030204" pitchFamily="18" charset="0"/>
                              </a:rPr>
                              <m:t>r</m:t>
                            </m:r>
                          </m:e>
                          <m:sub>
                            <m:r>
                              <a:rPr lang="es-ES" sz="1600" b="0" i="0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lang="es-ES" sz="16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ES" sz="1600" b="0" i="0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s-ES" sz="1600" b="0" i="0">
                            <a:latin typeface="Cambria Math" panose="02040503050406030204" pitchFamily="18" charset="0"/>
                          </a:rPr>
                          <m:t>C</m:t>
                        </m:r>
                      </m:e>
                      <m:sub>
                        <m:sSub>
                          <m:sSubPr>
                            <m:ctrlPr>
                              <a:rPr lang="es-E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s-ES" sz="1600" b="0" i="0">
                                <a:latin typeface="Cambria Math" panose="02040503050406030204" pitchFamily="18" charset="0"/>
                              </a:rPr>
                              <m:t>M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s-ES" sz="1600" b="0" i="0">
                                <a:latin typeface="Cambria Math" panose="02040503050406030204" pitchFamily="18" charset="0"/>
                              </a:rPr>
                              <m:t>i</m:t>
                            </m:r>
                          </m:sub>
                        </m:sSub>
                      </m:sub>
                    </m:sSub>
                    <m:r>
                      <a:rPr lang="es-ES" sz="16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s-ES" sz="1600" b="0" i="0">
                            <a:latin typeface="Cambria Math" panose="02040503050406030204" pitchFamily="18" charset="0"/>
                          </a:rPr>
                          <m:t>c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s-ES" sz="1600" b="0" i="0">
                            <a:latin typeface="Cambria Math" panose="02040503050406030204" pitchFamily="18" charset="0"/>
                          </a:rPr>
                          <m:t>e</m:t>
                        </m:r>
                      </m:sub>
                    </m:sSub>
                    <m:r>
                      <a:rPr lang="es-ES" sz="1600" b="0" i="0">
                        <a:latin typeface="Cambria Math" panose="02040503050406030204" pitchFamily="18" charset="0"/>
                      </a:rPr>
                      <m:t>·</m:t>
                    </m:r>
                    <m:sSub>
                      <m:sSub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s-E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s-ES" sz="16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lang="es-ES" sz="1600" b="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7927B63-C744-4D7B-8045-27EFB3EA5C53}"/>
                </a:ext>
              </a:extLst>
            </xdr:cNvPr>
            <xdr:cNvSpPr txBox="1"/>
          </xdr:nvSpPr>
          <xdr:spPr>
            <a:xfrm>
              <a:off x="600075" y="1979084"/>
              <a:ext cx="5509845" cy="19835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𝑀_𝑖:𝑃𝑜𝑡𝑒𝑛𝑡𝑖𝑎𝑙 𝑢𝑠𝑒𝑟𝑠 𝑡𝑜 𝑟𝑒𝑎𝑐ℎ 𝑤𝑖𝑡ℎ 𝑀𝑎𝑟𝑘𝑒𝑡𝑖𝑛𝑔 𝐶𝑎𝑚𝑝𝑎𝑖𝑔𝑛 𝑖𝑛 𝑀𝑜𝑛𝑡ℎ 𝑖 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𝑇:𝑇𝑜𝑡𝑎𝑙 𝑀𝑎𝑟𝑘𝑒𝑡 𝑠𝑖𝑧𝑒 𝑡𝑜 𝑟𝑒𝑎𝑐ℎ 𝑡ℎ𝑟𝑜𝑢𝑔ℎ 𝑆𝑜𝑐𝑖𝑎𝑙 𝑀𝑒𝑑𝑖𝑎 𝐶𝑎𝑚𝑝𝑎𝑖𝑔𝑛 (70%&lt;40𝑦 𝐼𝑛𝑠𝑡𝑎𝑔𝑟𝑎𝑚, 45%&gt;30𝑦 𝐹𝑎𝑐𝑒𝑏𝑜𝑜𝑘)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𝑟_𝑖:𝑅𝑎𝑡𝑒 𝑜𝑓 𝑡ℎ𝑒 𝑖𝑛𝑐𝑟𝑒𝑚𝑒𝑛𝑡 𝑜𝑓 𝑡ℎ𝑒 𝑡𝑎𝑟𝑔𝑒𝑡 𝑖𝑛 𝑚𝑜𝑛𝑡ℎ 𝑖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𝑟_0:𝑖𝑛𝑖𝑡𝑖𝑎𝑙 𝑐𝑎𝑚𝑝𝑎𝑖𝑔𝑛 𝑏𝑜𝑛𝑢𝑠 𝑡𝑎𝑟𝑔𝑒𝑡 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𝑟_𝑠:𝑟𝑎𝑡𝑒 𝑜𝑓 𝑠𝑢𝑐𝑐𝑒𝑠 𝑎𝑑𝑠(𝑝𝑜𝑟𝑡𝑖𝑜𝑛 𝑜𝑓 𝑝𝑜𝑡𝑒𝑛𝑡𝑖𝑎𝑙 𝑢𝑠𝑒𝑟𝑠 𝑡ℎ𝑎𝑡 𝑏𝑒𝑐𝑜𝑚𝑒 𝑢𝑠𝑒𝑟𝑠)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𝑐_𝑒:𝑐𝑜𝑠𝑡 𝑝𝑒𝑟 𝑒𝑛𝑔𝑎𝑔𝑒𝑚𝑒𝑛𝑡 (0.03 𝑏𝑜𝑡ℎ 𝑖𝑛 𝐼𝑛𝑠𝑡𝑎𝑔𝑟𝑎𝑚 𝑎𝑛𝑑 𝐹𝑎𝑐𝑒𝑏𝑜𝑜𝑘) 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r>
                <a:rPr lang="es-ES" sz="1600" b="0" i="0">
                  <a:latin typeface="Cambria Math" panose="02040503050406030204" pitchFamily="18" charset="0"/>
                </a:rPr>
                <a:t>𝑀_𝑖=𝑟_𝑠·((𝑇−𝑈_(𝑖−1) )·(r_i+r_0 ))</a:t>
              </a:r>
            </a:p>
            <a:p>
              <a:pPr/>
              <a:r>
                <a:rPr lang="es-ES" sz="1600" b="0" i="0">
                  <a:latin typeface="Cambria Math" panose="02040503050406030204" pitchFamily="18" charset="0"/>
                </a:rPr>
                <a:t>C_(M_i )=c_e·M_i</a:t>
              </a:r>
              <a:endParaRPr lang="es-ES" sz="1600" b="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15ACEF0-E8BF-42C1-8BE4-FB313674D544}" name="Tabla715" displayName="Tabla715" ref="S58:BP76" totalsRowCount="1" totalsRowDxfId="388">
  <autoFilter ref="S58:BP75" xr:uid="{815ACEF0-E8BF-42C1-8BE4-FB313674D544}"/>
  <tableColumns count="50">
    <tableColumn id="1" xr3:uid="{5CE7C0E0-12DA-4552-96C9-D17FFDFF7814}" name="Month" totalsRowLabel="BALANCE w/o LOANS" totalsRowDxfId="387"/>
    <tableColumn id="2" xr3:uid="{32E7F71A-A4B6-4BC5-87F5-170507F1076A}" name="Month 1 " totalsRowFunction="custom" dataDxfId="386" totalsRowDxfId="385">
      <totalsRowFormula>SUM(T61:T69,T72,T74,T59)</totalsRowFormula>
    </tableColumn>
    <tableColumn id="3" xr3:uid="{48551200-958B-4403-9479-4BD16E589D5D}" name="Month 2" totalsRowFunction="custom" dataDxfId="384" totalsRowDxfId="383">
      <totalsRowFormula>SUM(U61:U70,U72,U74,U59)+Tabla715[[#Totals],[Month 1 ]]</totalsRowFormula>
    </tableColumn>
    <tableColumn id="4" xr3:uid="{DA313427-DE4D-4964-B0D4-2723C5EB54C1}" name="Month 3" totalsRowFunction="custom" dataDxfId="382" totalsRowDxfId="381">
      <totalsRowFormula>SUM(V61:V70,V72,V74,V59)+Tabla715[[#Totals],[Month 2]]</totalsRowFormula>
    </tableColumn>
    <tableColumn id="5" xr3:uid="{A91AE53D-0AAD-4527-AE46-48F6075F511C}" name="Month 4" totalsRowFunction="custom" dataDxfId="380" totalsRowDxfId="379">
      <totalsRowFormula>SUM(W61:W70,W72,W74,W59)+Tabla715[[#Totals],[Month 3]]</totalsRowFormula>
    </tableColumn>
    <tableColumn id="6" xr3:uid="{65812AED-F870-4B7F-B7BC-A1948D68FBE3}" name="Month 5" totalsRowFunction="custom" dataDxfId="378" totalsRowDxfId="377">
      <totalsRowFormula>SUM(X61:X70,X72,X74,X59)+Tabla715[[#Totals],[Month 4]]</totalsRowFormula>
    </tableColumn>
    <tableColumn id="7" xr3:uid="{7BC80253-E401-4C77-8DE6-AC3BA0F35DC5}" name="Month 6" totalsRowFunction="custom" dataDxfId="376" totalsRowDxfId="375">
      <totalsRowFormula>SUM(Y61:Y70,Y72,Y74,Y59)+Tabla715[[#Totals],[Month 5]]</totalsRowFormula>
    </tableColumn>
    <tableColumn id="8" xr3:uid="{BA639FD0-3CA4-467A-83E0-C3B2FCB65910}" name="Month 7" totalsRowFunction="custom" dataDxfId="374" totalsRowDxfId="373">
      <totalsRowFormula>SUM(Z61:Z70,Z72,Z74,Z59)+Tabla715[[#Totals],[Month 6]]</totalsRowFormula>
    </tableColumn>
    <tableColumn id="9" xr3:uid="{2C3FD725-1124-46AD-AD63-D6B92D35998F}" name="Month 8" totalsRowFunction="custom" dataDxfId="372" totalsRowDxfId="371">
      <totalsRowFormula>SUM(AA61:AA70,AA72,AA74,AA59)+Tabla715[[#Totals],[Month 7]]</totalsRowFormula>
    </tableColumn>
    <tableColumn id="10" xr3:uid="{E33D3BC8-B406-4980-9A6F-0FA88B21B60F}" name="Month 9" totalsRowFunction="custom" dataDxfId="370" totalsRowDxfId="369">
      <totalsRowFormula>SUM(AB61:AB70,AB72,AB74,AB59)+Tabla715[[#Totals],[Month 8]]</totalsRowFormula>
    </tableColumn>
    <tableColumn id="11" xr3:uid="{C0742DA0-BF31-4A92-89A7-B2C71E5D897A}" name="Month 10" totalsRowFunction="custom" dataDxfId="368" totalsRowDxfId="367">
      <totalsRowFormula>SUM(AC61:AC70,AC72,AC74,AC59)+Tabla715[[#Totals],[Month 9]]</totalsRowFormula>
    </tableColumn>
    <tableColumn id="12" xr3:uid="{EE099435-FE16-417C-B938-A00CCA2A9FC5}" name="Month 11" totalsRowFunction="custom" dataDxfId="366" totalsRowDxfId="365">
      <totalsRowFormula>SUM(AD61:AD70,AD72,AD74,AD59)+Tabla715[[#Totals],[Month 10]]</totalsRowFormula>
    </tableColumn>
    <tableColumn id="13" xr3:uid="{D1EA84F8-9367-4CF6-9316-68C68D108F19}" name="Month 12" totalsRowFunction="custom" dataDxfId="364" totalsRowDxfId="363">
      <totalsRowFormula>SUM(AE61:AE70,AE72,AE74,AE59)+Tabla715[[#Totals],[Month 11]]</totalsRowFormula>
    </tableColumn>
    <tableColumn id="14" xr3:uid="{D1F916D4-6E32-4E64-AB35-7089F908FC27}" name="Month 13" totalsRowFunction="custom" dataDxfId="362" totalsRowDxfId="361">
      <totalsRowFormula>SUM(AF61:AF70,AF72,AF74,AF59)+Tabla715[[#Totals],[Month 12]]</totalsRowFormula>
    </tableColumn>
    <tableColumn id="15" xr3:uid="{D6828654-E38D-4408-B585-3312572B6A39}" name="Month 14" totalsRowFunction="custom" dataDxfId="360" totalsRowDxfId="359">
      <totalsRowFormula>SUM(AG61:AG70,AG72,AG74,AG59)+Tabla715[[#Totals],[Month 13]]</totalsRowFormula>
    </tableColumn>
    <tableColumn id="16" xr3:uid="{6BC7A940-A7E3-439D-80B2-369E4C352713}" name="Month 15" totalsRowFunction="custom" dataDxfId="358" totalsRowDxfId="357">
      <totalsRowFormula>SUM(AH61:AH70,AH72,AH74,AH59)+Tabla715[[#Totals],[Month 14]]</totalsRowFormula>
    </tableColumn>
    <tableColumn id="17" xr3:uid="{36A20524-664F-4708-A74C-C4553EDFC2C8}" name="Month 16" totalsRowFunction="custom" dataDxfId="356" totalsRowDxfId="355">
      <totalsRowFormula>SUM(AI61:AI70,AI72,AI74,AI59)+Tabla715[[#Totals],[Month 15]]</totalsRowFormula>
    </tableColumn>
    <tableColumn id="18" xr3:uid="{F0E66975-95B4-479B-8DF8-A634886194E1}" name="Month 17" totalsRowFunction="custom" dataDxfId="354" totalsRowDxfId="353">
      <totalsRowFormula>SUM(AJ61:AJ70,AJ72,AJ74,AJ59)+Tabla715[[#Totals],[Month 16]]</totalsRowFormula>
    </tableColumn>
    <tableColumn id="19" xr3:uid="{7B6B41F4-7497-46EC-8013-6570D8F17388}" name="Month 18" totalsRowFunction="custom" dataDxfId="352" totalsRowDxfId="351">
      <totalsRowFormula>SUM(AK61:AK70,AK72,AK74,AK59)+Tabla715[[#Totals],[Month 17]]</totalsRowFormula>
    </tableColumn>
    <tableColumn id="20" xr3:uid="{D14B6775-895A-4160-8C6E-4EA5A93CC6E5}" name="Month 19" totalsRowFunction="custom" dataDxfId="350" totalsRowDxfId="349">
      <totalsRowFormula>SUM(AL61:AL70,AL72,AL74,AL59)+Tabla715[[#Totals],[Month 18]]</totalsRowFormula>
    </tableColumn>
    <tableColumn id="21" xr3:uid="{48B10651-ACFE-475C-8127-34A73C4B820E}" name="Month 20" totalsRowFunction="custom" dataDxfId="348" totalsRowDxfId="347">
      <totalsRowFormula>SUM(AM61:AM70,AM72,AM74,AM59)+Tabla715[[#Totals],[Month 19]]</totalsRowFormula>
    </tableColumn>
    <tableColumn id="22" xr3:uid="{B527E150-1D50-427E-AF4D-0031DEBD62E2}" name="Month 21" totalsRowFunction="custom" dataDxfId="346" totalsRowDxfId="345">
      <totalsRowFormula>SUM(AN61:AN70,AN72,AN74,AN59)+Tabla715[[#Totals],[Month 20]]</totalsRowFormula>
    </tableColumn>
    <tableColumn id="23" xr3:uid="{009D58FE-E3C1-41C0-A3BF-18CB351A69D0}" name="Month 22" totalsRowFunction="custom" dataDxfId="344" totalsRowDxfId="343">
      <totalsRowFormula>SUM(AO61:AO70,AO72,AO74,AO59)+Tabla715[[#Totals],[Month 21]]</totalsRowFormula>
    </tableColumn>
    <tableColumn id="24" xr3:uid="{672DBA7F-EDFC-4F71-AFFA-5F59EDC23802}" name="Month 23" totalsRowFunction="custom" dataDxfId="342" totalsRowDxfId="341">
      <totalsRowFormula>SUM(AP61:AP70,AP72,AP74,AP59)+Tabla715[[#Totals],[Month 22]]</totalsRowFormula>
    </tableColumn>
    <tableColumn id="25" xr3:uid="{D6E52DFA-593A-49F0-8738-149C19F118CC}" name="Month 24" totalsRowFunction="custom" dataDxfId="340" totalsRowDxfId="339">
      <totalsRowFormula>SUM(AQ61:AQ70,AQ72,AQ74,AQ59)+Tabla715[[#Totals],[Month 23]]</totalsRowFormula>
    </tableColumn>
    <tableColumn id="26" xr3:uid="{552648D2-4869-4E04-92F3-67C7D85BF7FE}" name="Month 25" totalsRowFunction="custom" dataDxfId="338" totalsRowDxfId="337">
      <totalsRowFormula>SUM(AR61:AR70,AR72,AR74,AR59)+Tabla715[[#Totals],[Month 24]]</totalsRowFormula>
    </tableColumn>
    <tableColumn id="27" xr3:uid="{D583604B-CDDF-4588-B44E-47DA4E3839B9}" name="Month 26" totalsRowFunction="custom" dataDxfId="336" totalsRowDxfId="335">
      <totalsRowFormula>SUM(AS61:AS70,AS72,AS74,AS59)+Tabla715[[#Totals],[Month 25]]</totalsRowFormula>
    </tableColumn>
    <tableColumn id="28" xr3:uid="{A819269B-2265-48ED-AFF0-2C7896FD14EB}" name="Month 27" totalsRowFunction="custom" dataDxfId="334" totalsRowDxfId="333">
      <totalsRowFormula>SUM(AT61:AT70,AT72,AT74,AT59)+Tabla715[[#Totals],[Month 26]]</totalsRowFormula>
    </tableColumn>
    <tableColumn id="29" xr3:uid="{B941AD76-9763-47C1-8D8B-F2D7DA360658}" name="Month 28" totalsRowFunction="custom" dataDxfId="332" totalsRowDxfId="331">
      <totalsRowFormula>SUM(AU61:AU70,AU72,AU74,AU59)+Tabla715[[#Totals],[Month 27]]</totalsRowFormula>
    </tableColumn>
    <tableColumn id="30" xr3:uid="{5F8FBE49-5C18-4B5B-B83F-2B3A392C7B90}" name="Month 29" totalsRowFunction="custom" dataDxfId="330" totalsRowDxfId="329">
      <totalsRowFormula>SUM(AV61:AV70,AV72,AV74,AV59)+Tabla715[[#Totals],[Month 28]]</totalsRowFormula>
    </tableColumn>
    <tableColumn id="31" xr3:uid="{25B8DD63-C7AF-4498-A2B7-D80896FB7869}" name="Month 30" totalsRowFunction="custom" dataDxfId="328" totalsRowDxfId="327">
      <totalsRowFormula>SUM(AW61:AW70,AW72,AW74,AW59)+Tabla715[[#Totals],[Month 29]]</totalsRowFormula>
    </tableColumn>
    <tableColumn id="32" xr3:uid="{3556C4D0-13C3-40AD-B820-694C47048ED3}" name="Month 31" totalsRowFunction="custom" dataDxfId="326" totalsRowDxfId="325">
      <totalsRowFormula>SUM(AX61:AX70,AX72,AX74,AX59)+Tabla715[[#Totals],[Month 30]]</totalsRowFormula>
    </tableColumn>
    <tableColumn id="33" xr3:uid="{4594F314-49B1-45E6-9F1B-0D5FC9FC014F}" name="Month 32" totalsRowFunction="custom" dataDxfId="324" totalsRowDxfId="323">
      <totalsRowFormula>SUM(AY61:AY70,AY72,AY74,AY59)+Tabla715[[#Totals],[Month 31]]</totalsRowFormula>
    </tableColumn>
    <tableColumn id="34" xr3:uid="{C870FF17-7737-4693-8580-915316F012C5}" name="Month 33" totalsRowFunction="custom" dataDxfId="322" totalsRowDxfId="321">
      <totalsRowFormula>SUM(AZ61:AZ70,AZ72,AZ74,AZ59)+Tabla715[[#Totals],[Month 32]]</totalsRowFormula>
    </tableColumn>
    <tableColumn id="35" xr3:uid="{19266E72-7220-4652-AC05-EEC4712F8BEB}" name="Month 34" totalsRowFunction="custom" dataDxfId="320" totalsRowDxfId="319">
      <totalsRowFormula>SUM(BA61:BA70,BA72,BA74,BA59)+Tabla715[[#Totals],[Month 33]]</totalsRowFormula>
    </tableColumn>
    <tableColumn id="36" xr3:uid="{BB296177-A09A-48AA-974D-CF54A1D9E89B}" name="Month 35" totalsRowFunction="custom" dataDxfId="318" totalsRowDxfId="317">
      <totalsRowFormula>SUM(BB61:BB70,BB72,BB74,BB59)+Tabla715[[#Totals],[Month 34]]</totalsRowFormula>
    </tableColumn>
    <tableColumn id="37" xr3:uid="{8493A379-C5F0-4564-B4C1-B7C9CB28523D}" name="Month 36" totalsRowFunction="custom" dataDxfId="316" totalsRowDxfId="315">
      <totalsRowFormula>SUM(BC61:BC70,BC72,BC74,BC59)+Tabla715[[#Totals],[Month 35]]</totalsRowFormula>
    </tableColumn>
    <tableColumn id="38" xr3:uid="{DD923A26-0255-45DB-A635-20A71CA334E8}" name="Month 37" totalsRowFunction="custom" dataDxfId="314" totalsRowDxfId="313">
      <totalsRowFormula>SUM(BD61:BD70,BD72,BD74,BD59)+Tabla715[[#Totals],[Month 36]]</totalsRowFormula>
    </tableColumn>
    <tableColumn id="39" xr3:uid="{579D4A5A-E9D5-4009-9B8E-37F82E946C0C}" name="Month 38" totalsRowFunction="custom" dataDxfId="312" totalsRowDxfId="311">
      <totalsRowFormula>SUM(BE61:BE70,BE72,BE74,BE59)+Tabla715[[#Totals],[Month 37]]</totalsRowFormula>
    </tableColumn>
    <tableColumn id="40" xr3:uid="{860947EC-2FFE-426E-B24B-6E7BF8E5CB0B}" name="Month 39" totalsRowFunction="custom" dataDxfId="310" totalsRowDxfId="309">
      <totalsRowFormula>SUM(BF61:BF70,BF72,BF74,BF59)+Tabla715[[#Totals],[Month 38]]</totalsRowFormula>
    </tableColumn>
    <tableColumn id="41" xr3:uid="{D868CEBC-ED00-4165-B7BB-B831AE30DADB}" name="Month 40" totalsRowFunction="custom" dataDxfId="308" totalsRowDxfId="307">
      <totalsRowFormula>SUM(BG61:BG70,BG72,BG74,BG59)+Tabla715[[#Totals],[Month 39]]</totalsRowFormula>
    </tableColumn>
    <tableColumn id="42" xr3:uid="{D3DE3B4D-3CAB-4B3D-AADF-2C35E4753B17}" name="Month 41" totalsRowFunction="custom" dataDxfId="306" totalsRowDxfId="305">
      <totalsRowFormula>SUM(BH61:BH70,BH72,BH74,BH59)+Tabla715[[#Totals],[Month 40]]</totalsRowFormula>
    </tableColumn>
    <tableColumn id="43" xr3:uid="{241A0FBD-C56B-427A-8668-D2CB72A5F055}" name="Month 42" totalsRowFunction="custom" dataDxfId="304" totalsRowDxfId="303">
      <totalsRowFormula>SUM(BI61:BI70,BI72,BI74,BI59)+Tabla715[[#Totals],[Month 41]]</totalsRowFormula>
    </tableColumn>
    <tableColumn id="44" xr3:uid="{79983000-5564-4F29-AC56-6A88002593A9}" name="Month 43" totalsRowFunction="custom" dataDxfId="302" totalsRowDxfId="301">
      <totalsRowFormula>SUM(BJ61:BJ70,BJ72,BJ74,BJ59)+Tabla715[[#Totals],[Month 42]]</totalsRowFormula>
    </tableColumn>
    <tableColumn id="45" xr3:uid="{1F618902-79BF-4278-B6E1-7F80A9B2EF36}" name="Month 44" totalsRowFunction="custom" dataDxfId="300" totalsRowDxfId="299">
      <totalsRowFormula>SUM(BK61:BK70,BK72,BK74,BK59)+Tabla715[[#Totals],[Month 43]]</totalsRowFormula>
    </tableColumn>
    <tableColumn id="46" xr3:uid="{C3A22F7B-58DF-4680-B18C-4767E056B97E}" name="Month 45" totalsRowFunction="custom" dataDxfId="298" totalsRowDxfId="297">
      <totalsRowFormula>SUM(BL61:BL70,BL72,BL74,BL59)+Tabla715[[#Totals],[Month 44]]</totalsRowFormula>
    </tableColumn>
    <tableColumn id="47" xr3:uid="{C3BB2A8D-E536-415D-A3BE-EC399DA726A5}" name="Month 46" totalsRowFunction="custom" dataDxfId="296" totalsRowDxfId="295">
      <totalsRowFormula>SUM(BM61:BM70,BM72,BM74,BM59)+Tabla715[[#Totals],[Month 45]]</totalsRowFormula>
    </tableColumn>
    <tableColumn id="48" xr3:uid="{9184735B-F253-40C3-B4AB-F07CEC70C4C2}" name="Month 47" totalsRowFunction="custom" dataDxfId="294" totalsRowDxfId="293">
      <totalsRowFormula>SUM(BN61:BN70,BN72,BN74,BN59)+Tabla715[[#Totals],[Month 46]]</totalsRowFormula>
    </tableColumn>
    <tableColumn id="49" xr3:uid="{6A1924EA-E871-4B67-9344-90CBFA2D1EC2}" name="Month 48" totalsRowFunction="custom" dataDxfId="292" totalsRowDxfId="291">
      <totalsRowFormula>SUM(BO61:BO70,BO72,BO74,BO59)+Tabla715[[#Totals],[Month 47]]</totalsRowFormula>
    </tableColumn>
    <tableColumn id="50" xr3:uid="{19062686-6D72-4D28-8A35-6AD8D89727C9}" name="Month 49" totalsRowFunction="custom" dataDxfId="290" totalsRowDxfId="289">
      <totalsRowFormula>SUM(BP61:BP70,BP72,BP74,BP59)+Tabla715[[#Totals],[Month 48]]</totalsRow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2A6ECF-CDA4-477C-A84D-86C1A5901BAF}" name="Tabla7" displayName="Tabla7" ref="S5:BP25" totalsRowCount="1" totalsRowDxfId="288">
  <autoFilter ref="S5:BP24" xr:uid="{7E2A6ECF-CDA4-477C-A84D-86C1A5901BAF}"/>
  <tableColumns count="50">
    <tableColumn id="1" xr3:uid="{B1364C01-1858-4EDB-9B41-B7F4D4BC50CB}" name="Month" totalsRowLabel="BALANCE w/o Loans" totalsRowDxfId="287"/>
    <tableColumn id="2" xr3:uid="{8D2E5796-1AAB-4B74-91DC-495CA5CB4DD5}" name="Month 1 " totalsRowFunction="custom" dataDxfId="286" totalsRowDxfId="285">
      <totalsRowFormula>SUM(T8:T17,T19,T21,T6,T23)</totalsRowFormula>
    </tableColumn>
    <tableColumn id="3" xr3:uid="{53F38A9B-A056-4472-B875-E5E04EF82A3C}" name="Month 2" totalsRowFunction="custom" dataDxfId="284" totalsRowDxfId="283">
      <totalsRowFormula>SUM(U8:U17,U19,U21,U6)+Tabla7[[#Totals],[Month 1 ]]</totalsRowFormula>
    </tableColumn>
    <tableColumn id="4" xr3:uid="{484674F8-8AA9-42AB-8492-DDBEA95A39D1}" name="Month 3" totalsRowFunction="custom" dataDxfId="282" totalsRowDxfId="281">
      <totalsRowFormula>SUM(V8:V17,V19,V21,V6)+Tabla7[[#Totals],[Month 2]]</totalsRowFormula>
    </tableColumn>
    <tableColumn id="5" xr3:uid="{F3B47268-D3AC-46C9-9DF7-8895AD181A62}" name="Month 4" totalsRowFunction="custom" dataDxfId="280" totalsRowDxfId="279">
      <totalsRowFormula>SUM(W8:W17,W19,W21,W6)+Tabla7[[#Totals],[Month 3]]</totalsRowFormula>
    </tableColumn>
    <tableColumn id="6" xr3:uid="{B5665972-5B71-49C7-9B1B-E05F97236A1F}" name="Month 5" totalsRowFunction="custom" dataDxfId="278" totalsRowDxfId="277">
      <totalsRowFormula>SUM(X8:X17,X19,X21,X6)+Tabla7[[#Totals],[Month 4]]</totalsRowFormula>
    </tableColumn>
    <tableColumn id="7" xr3:uid="{DBDB121C-CEE1-453E-A0B4-7D7C12F83880}" name="Month 6" totalsRowFunction="custom" dataDxfId="276" totalsRowDxfId="275">
      <totalsRowFormula>SUM(Y8:Y17,Y19,Y21,Y6)+Tabla7[[#Totals],[Month 5]]</totalsRowFormula>
    </tableColumn>
    <tableColumn id="8" xr3:uid="{A6E7A87F-73E3-431A-A26F-BE4EE9649FFC}" name="Month 7" totalsRowFunction="custom" dataDxfId="274" totalsRowDxfId="273">
      <totalsRowFormula>SUM(Z8:Z17,Z19,Z21,Z6)+Tabla7[[#Totals],[Month 6]]</totalsRowFormula>
    </tableColumn>
    <tableColumn id="9" xr3:uid="{E1F97017-BD44-418E-AAF2-BF2CF92E22C4}" name="Month 8" totalsRowFunction="custom" dataDxfId="272" totalsRowDxfId="271">
      <totalsRowFormula>SUM(AA8:AA17,AA19,AA21,AA6)+Tabla7[[#Totals],[Month 7]]</totalsRowFormula>
    </tableColumn>
    <tableColumn id="10" xr3:uid="{D3E12A9C-C222-4D6F-86D4-D937ADA792CF}" name="Month 9" totalsRowFunction="custom" dataDxfId="270" totalsRowDxfId="269">
      <totalsRowFormula>SUM(AB8:AB17,AB19,AB21,AB6)+Tabla7[[#Totals],[Month 8]]</totalsRowFormula>
    </tableColumn>
    <tableColumn id="11" xr3:uid="{40A21109-E0DF-4F9F-BC4C-B69A616DD77C}" name="Month 10" totalsRowFunction="custom" dataDxfId="268" totalsRowDxfId="267">
      <totalsRowFormula>SUM(AC8:AC17,AC19,AC21,AC6)+Tabla7[[#Totals],[Month 9]]</totalsRowFormula>
    </tableColumn>
    <tableColumn id="12" xr3:uid="{727D9EA5-4E20-442D-B700-49B8A90CF290}" name="Month 11" totalsRowFunction="custom" dataDxfId="266" totalsRowDxfId="265">
      <totalsRowFormula>SUM(AD8:AD17,AD19,AD21,AD6)+Tabla7[[#Totals],[Month 10]]</totalsRowFormula>
    </tableColumn>
    <tableColumn id="13" xr3:uid="{3048B759-9E09-4FAE-8635-B29BE04231AA}" name="Month 12" totalsRowFunction="custom" dataDxfId="264" totalsRowDxfId="263">
      <totalsRowFormula>SUM(AE8:AE17,AE19,AE21,AE6)+Tabla7[[#Totals],[Month 11]]</totalsRowFormula>
    </tableColumn>
    <tableColumn id="14" xr3:uid="{AE03132E-C4AB-495D-9260-7C40BD1BB512}" name="Month 13" totalsRowFunction="custom" dataDxfId="262" totalsRowDxfId="261">
      <totalsRowFormula>SUM(AF8:AF17,AF19,AF21,AF6)+Tabla7[[#Totals],[Month 12]]</totalsRowFormula>
    </tableColumn>
    <tableColumn id="15" xr3:uid="{2864916D-271C-41FC-A905-BC0CA66E1F35}" name="Month 14" totalsRowFunction="custom" dataDxfId="260" totalsRowDxfId="259">
      <totalsRowFormula>SUM(AG8:AG17,AG19,AG21,AG6)+Tabla7[[#Totals],[Month 13]]</totalsRowFormula>
    </tableColumn>
    <tableColumn id="16" xr3:uid="{B54018E3-1791-41CE-9833-9064DB3D545C}" name="Month 15" totalsRowFunction="custom" dataDxfId="258" totalsRowDxfId="257">
      <totalsRowFormula>SUM(AH8:AH17,AH19,AH21,AH6)+Tabla7[[#Totals],[Month 14]]</totalsRowFormula>
    </tableColumn>
    <tableColumn id="17" xr3:uid="{DA028B8E-3280-4F1B-A624-709096EE29F6}" name="Month 16" totalsRowFunction="custom" dataDxfId="256" totalsRowDxfId="255">
      <totalsRowFormula>SUM(AI8:AI17,AI19,AI21,AI6)+Tabla7[[#Totals],[Month 15]]</totalsRowFormula>
    </tableColumn>
    <tableColumn id="18" xr3:uid="{0AFF4F5D-C0D4-4F3E-BF01-B00C48C0DA3A}" name="Month 17" totalsRowFunction="custom" dataDxfId="254" totalsRowDxfId="253">
      <totalsRowFormula>SUM(AJ8:AJ17,AJ19,AJ21,AJ6)+Tabla7[[#Totals],[Month 16]]</totalsRowFormula>
    </tableColumn>
    <tableColumn id="19" xr3:uid="{AB080BAF-D44F-4BFF-8FD0-E89771436AE8}" name="Month 18" totalsRowFunction="custom" dataDxfId="252" totalsRowDxfId="251">
      <totalsRowFormula>SUM(AK8:AK17,AK19,AK21,AK6)+Tabla7[[#Totals],[Month 17]]</totalsRowFormula>
    </tableColumn>
    <tableColumn id="20" xr3:uid="{BAE350AE-44B0-426E-AD7B-B6BCEC37F210}" name="Month 19" totalsRowFunction="custom" dataDxfId="250" totalsRowDxfId="249">
      <totalsRowFormula>SUM(AL8:AL17,AL19,AL21,AL6)+Tabla7[[#Totals],[Month 18]]</totalsRowFormula>
    </tableColumn>
    <tableColumn id="21" xr3:uid="{4EC54B26-3A9F-4580-B41F-949F4235FFA6}" name="Month 20" totalsRowFunction="custom" dataDxfId="248" totalsRowDxfId="247">
      <totalsRowFormula>SUM(AM8:AM17,AM19,AM21,AM6)+Tabla7[[#Totals],[Month 19]]</totalsRowFormula>
    </tableColumn>
    <tableColumn id="22" xr3:uid="{9749579E-9D36-4D02-979E-0267A21F3BBA}" name="Month 21" totalsRowFunction="custom" dataDxfId="246" totalsRowDxfId="245">
      <totalsRowFormula>SUM(AN8:AN17,AN19,AN21,AN6)+Tabla7[[#Totals],[Month 20]]</totalsRowFormula>
    </tableColumn>
    <tableColumn id="23" xr3:uid="{958E5B06-E3E1-41B6-8DF9-150648226B32}" name="Month 22" totalsRowFunction="custom" dataDxfId="244" totalsRowDxfId="243">
      <totalsRowFormula>SUM(AO8:AO17,AO19,AO21,AO6)+Tabla7[[#Totals],[Month 21]]</totalsRowFormula>
    </tableColumn>
    <tableColumn id="24" xr3:uid="{736BFB7C-2AE2-43B1-B0A3-2C7E4AE74C95}" name="Month 23" totalsRowFunction="custom" dataDxfId="242" totalsRowDxfId="241">
      <totalsRowFormula>SUM(AP8:AP17,AP19,AP21,AP6)+Tabla7[[#Totals],[Month 22]]</totalsRowFormula>
    </tableColumn>
    <tableColumn id="25" xr3:uid="{384806D1-9121-476F-8614-6079A93F51B8}" name="Month 24" totalsRowFunction="custom" dataDxfId="240" totalsRowDxfId="239">
      <totalsRowFormula>SUM(AQ8:AQ17,AQ19,AQ21,AQ6)+Tabla7[[#Totals],[Month 23]]</totalsRowFormula>
    </tableColumn>
    <tableColumn id="26" xr3:uid="{78AEC412-0FC0-409A-ACB0-C02460DE321D}" name="Month 25" totalsRowFunction="custom" dataDxfId="238" totalsRowDxfId="237">
      <totalsRowFormula>SUM(AR8:AR17,AR19,AR21,AR6)+Tabla7[[#Totals],[Month 24]]</totalsRowFormula>
    </tableColumn>
    <tableColumn id="27" xr3:uid="{861D5DB6-4910-4778-983C-E01973754A6F}" name="Month 26" totalsRowFunction="custom" dataDxfId="236" totalsRowDxfId="235">
      <totalsRowFormula>SUM(AS8:AS17,AS19,AS21,AS6)+Tabla7[[#Totals],[Month 25]]</totalsRowFormula>
    </tableColumn>
    <tableColumn id="28" xr3:uid="{5B1AA929-7DBE-4D7E-9668-83CCAC4B35AD}" name="Month 27" totalsRowFunction="custom" dataDxfId="234" totalsRowDxfId="233">
      <totalsRowFormula>SUM(AT8:AT17,AT19,AT21,AT6)+Tabla7[[#Totals],[Month 26]]</totalsRowFormula>
    </tableColumn>
    <tableColumn id="29" xr3:uid="{2C083EE0-6714-41DE-8C3E-A34EEA02FB78}" name="Month 28" totalsRowFunction="custom" dataDxfId="232" totalsRowDxfId="231">
      <totalsRowFormula>SUM(AU8:AU17,AU19,AU21,AU6)+Tabla7[[#Totals],[Month 27]]</totalsRowFormula>
    </tableColumn>
    <tableColumn id="30" xr3:uid="{3126ADBA-D41F-4051-AB64-2F7F56B7C49A}" name="Month 29" totalsRowFunction="custom" dataDxfId="230" totalsRowDxfId="229">
      <totalsRowFormula>SUM(AV8:AV17,AV19,AV21,AV6)+Tabla7[[#Totals],[Month 28]]</totalsRowFormula>
    </tableColumn>
    <tableColumn id="31" xr3:uid="{ADFA524B-DD6A-4DB4-A28F-E340A7E9515A}" name="Month 30" totalsRowFunction="custom" dataDxfId="228" totalsRowDxfId="227">
      <totalsRowFormula>SUM(AW8:AW17,AW19,AW21,AW6)+Tabla7[[#Totals],[Month 29]]</totalsRowFormula>
    </tableColumn>
    <tableColumn id="32" xr3:uid="{5ECFC533-C518-4A18-A219-C492A0119A9F}" name="Month 31" totalsRowFunction="custom" dataDxfId="226" totalsRowDxfId="225">
      <totalsRowFormula>SUM(AX8:AX17,AX19,AX21,AX6)+Tabla7[[#Totals],[Month 30]]</totalsRowFormula>
    </tableColumn>
    <tableColumn id="33" xr3:uid="{1B1A6ECD-8391-4840-BF5E-43A46662A374}" name="Month 32" totalsRowFunction="custom" dataDxfId="224" totalsRowDxfId="223">
      <totalsRowFormula>SUM(AY8:AY17,AY19,AY21,AY6)+Tabla7[[#Totals],[Month 31]]</totalsRowFormula>
    </tableColumn>
    <tableColumn id="34" xr3:uid="{3872C3CD-3BFD-43FD-BB05-30A274EF386C}" name="Month 33" totalsRowFunction="custom" dataDxfId="222" totalsRowDxfId="221">
      <totalsRowFormula>SUM(AZ8:AZ17,AZ19,AZ21,AZ6)+Tabla7[[#Totals],[Month 32]]</totalsRowFormula>
    </tableColumn>
    <tableColumn id="35" xr3:uid="{89D754C8-2965-405A-A4A8-864E1B32058C}" name="Month 34" totalsRowFunction="custom" dataDxfId="220" totalsRowDxfId="219">
      <totalsRowFormula>SUM(BA8:BA17,BA19,BA21,BA6)+Tabla7[[#Totals],[Month 33]]</totalsRowFormula>
    </tableColumn>
    <tableColumn id="36" xr3:uid="{99C74C13-AA39-4EB1-823D-CFA5BE26EEEA}" name="Month 35" totalsRowFunction="custom" dataDxfId="218" totalsRowDxfId="217">
      <totalsRowFormula>SUM(BB8:BB17,BB19,BB21,BB6)+Tabla7[[#Totals],[Month 34]]</totalsRowFormula>
    </tableColumn>
    <tableColumn id="37" xr3:uid="{F412C7CE-4341-411D-ACC9-983044825686}" name="Month 36" totalsRowFunction="custom" dataDxfId="216" totalsRowDxfId="215">
      <totalsRowFormula>SUM(BC8:BC17,BC19,BC21,BC6)+Tabla7[[#Totals],[Month 35]]</totalsRowFormula>
    </tableColumn>
    <tableColumn id="38" xr3:uid="{29B6D00F-2A8D-401E-A857-518E14DF55E0}" name="Month 37" totalsRowFunction="custom" dataDxfId="214" totalsRowDxfId="213">
      <totalsRowFormula>SUM(BD8:BD17,BD19,BD21,BD6)+Tabla7[[#Totals],[Month 36]]</totalsRowFormula>
    </tableColumn>
    <tableColumn id="39" xr3:uid="{F6FBB2C2-BE6C-465B-8F7A-3394EE799A5C}" name="Month 38" totalsRowFunction="custom" dataDxfId="212" totalsRowDxfId="211">
      <totalsRowFormula>SUM(BE8:BE17,BE19,BE21,BE6)+Tabla7[[#Totals],[Month 37]]</totalsRowFormula>
    </tableColumn>
    <tableColumn id="40" xr3:uid="{379E6C1E-1817-4E32-9A44-D54933704044}" name="Month 39" totalsRowFunction="custom" dataDxfId="210" totalsRowDxfId="209">
      <totalsRowFormula>SUM(BF8:BF17,BF19,BF21,BF6)+Tabla7[[#Totals],[Month 38]]</totalsRowFormula>
    </tableColumn>
    <tableColumn id="41" xr3:uid="{A5246069-807F-46A8-9F63-806466C9F20C}" name="Month 40" totalsRowFunction="custom" dataDxfId="208" totalsRowDxfId="207">
      <totalsRowFormula>SUM(BG8:BG17,BG19,BG21,BG6)+Tabla7[[#Totals],[Month 39]]</totalsRowFormula>
    </tableColumn>
    <tableColumn id="42" xr3:uid="{62E947B3-1302-490B-B50B-2F1F2D190B93}" name="Month 41" totalsRowFunction="custom" dataDxfId="206" totalsRowDxfId="205">
      <totalsRowFormula>SUM(BH8:BH17,BH19,BH21,BH6)+Tabla7[[#Totals],[Month 40]]</totalsRowFormula>
    </tableColumn>
    <tableColumn id="43" xr3:uid="{5A3611B0-9FAB-4DA9-BDE9-17547ED85A70}" name="Month 42" totalsRowFunction="custom" dataDxfId="204" totalsRowDxfId="203">
      <totalsRowFormula>SUM(BI8:BI17,BI19,BI21,BI6)+Tabla7[[#Totals],[Month 41]]</totalsRowFormula>
    </tableColumn>
    <tableColumn id="44" xr3:uid="{9E418D9E-C3B7-48FA-AD57-9D354CE07E37}" name="Month 43" totalsRowFunction="custom" dataDxfId="202" totalsRowDxfId="201">
      <totalsRowFormula>SUM(BJ8:BJ17,BJ19,BJ21,BJ6)+Tabla7[[#Totals],[Month 42]]</totalsRowFormula>
    </tableColumn>
    <tableColumn id="45" xr3:uid="{A02CEA63-F747-4E99-80BE-5A728E16B310}" name="Month 44" totalsRowFunction="custom" dataDxfId="200" totalsRowDxfId="199">
      <totalsRowFormula>SUM(BK8:BK17,BK19,BK21,BK6)+Tabla7[[#Totals],[Month 43]]</totalsRowFormula>
    </tableColumn>
    <tableColumn id="46" xr3:uid="{FB067777-77DD-4C98-8666-A353B877A08B}" name="Month 45" totalsRowFunction="custom" dataDxfId="198" totalsRowDxfId="197">
      <totalsRowFormula>SUM(BL8:BL17,BL19,BL21,BL6)+Tabla7[[#Totals],[Month 44]]</totalsRowFormula>
    </tableColumn>
    <tableColumn id="47" xr3:uid="{BFB93EED-CEA4-43B7-B3BE-9D81181EBAD5}" name="Month 46" totalsRowFunction="custom" dataDxfId="196" totalsRowDxfId="195">
      <totalsRowFormula>SUM(BM8:BM17,BM19,BM21,BM6)+Tabla7[[#Totals],[Month 45]]</totalsRowFormula>
    </tableColumn>
    <tableColumn id="48" xr3:uid="{4AF9B932-2E9C-4F66-8904-2624D02C9489}" name="Month 47" totalsRowFunction="custom" dataDxfId="194" totalsRowDxfId="193">
      <totalsRowFormula>SUM(BN8:BN17,BN19,BN21,BN6)+Tabla7[[#Totals],[Month 46]]</totalsRowFormula>
    </tableColumn>
    <tableColumn id="49" xr3:uid="{7E5FF990-E874-4EB8-8CFB-AE6041CA9409}" name="Month 48" totalsRowFunction="custom" dataDxfId="192" totalsRowDxfId="191">
      <totalsRowFormula>SUM(BO8:BO17,BO19,BO21,BO6)+Tabla7[[#Totals],[Month 47]]</totalsRowFormula>
    </tableColumn>
    <tableColumn id="50" xr3:uid="{F95D1534-C02E-4A62-B6A3-533259CE2B80}" name="Month 49" totalsRowFunction="custom" dataDxfId="190" totalsRowDxfId="189">
      <totalsRowFormula>SUM(BP8:BP17,BP19,BP21,BP6)+Tabla7[[#Totals],[Month 48]]</totalsRowFormula>
    </tableColumn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9AF333F-FE1E-4428-A6A6-9678DA5261BE}" name="Tabla712" displayName="Tabla712" ref="S32:BP50" totalsRowShown="0" totalsRowDxfId="188">
  <autoFilter ref="S32:BP50" xr:uid="{69AF333F-FE1E-4428-A6A6-9678DA5261BE}"/>
  <tableColumns count="50">
    <tableColumn id="1" xr3:uid="{72B7974E-098B-4D6B-AEB1-D4A7C0BEEB00}" name="Month" dataDxfId="187" totalsRowDxfId="186"/>
    <tableColumn id="2" xr3:uid="{467BEA3A-0DE5-4224-BA96-D8F893F5FCEE}" name="Month 1 " dataDxfId="185" totalsRowDxfId="184"/>
    <tableColumn id="3" xr3:uid="{D2006EC4-41EB-42BC-A7E0-5C208F892EE0}" name="Month 2" dataDxfId="183" totalsRowDxfId="182"/>
    <tableColumn id="4" xr3:uid="{D61C747F-3AF6-4E0D-98B0-A40487BBE851}" name="Month 3" dataDxfId="181" totalsRowDxfId="180"/>
    <tableColumn id="5" xr3:uid="{24B2602E-CEE2-499B-B9C1-2CAF79C5544D}" name="Month 4" dataDxfId="179" totalsRowDxfId="178"/>
    <tableColumn id="6" xr3:uid="{79136414-9E95-4BB2-85B1-66D601A1CD4F}" name="Month 5" dataDxfId="177" totalsRowDxfId="176"/>
    <tableColumn id="7" xr3:uid="{DE5DCCBF-80C5-41C0-9EE7-ADFB3F0039E2}" name="Month 6" dataDxfId="175" totalsRowDxfId="174"/>
    <tableColumn id="8" xr3:uid="{52BB5F8F-95D3-4018-B394-749105D0DBEB}" name="Month 7" dataDxfId="173" totalsRowDxfId="172"/>
    <tableColumn id="9" xr3:uid="{4E562559-B005-4713-8543-76ABFD2083F4}" name="Month 8" dataDxfId="171" totalsRowDxfId="170"/>
    <tableColumn id="10" xr3:uid="{A8A90398-CA2E-4496-82A6-6A6C5452779F}" name="Month 9" dataDxfId="169" totalsRowDxfId="168"/>
    <tableColumn id="11" xr3:uid="{96921D3A-0B90-40A4-92A9-33E802BA767E}" name="Month 10" dataDxfId="167" totalsRowDxfId="166"/>
    <tableColumn id="12" xr3:uid="{18864304-C9D0-4AA8-8F80-1CDEE2D172F3}" name="Month 11" dataDxfId="165" totalsRowDxfId="164"/>
    <tableColumn id="13" xr3:uid="{A5EC2894-05B2-46E9-ADDE-3D32550D9EEE}" name="Month 12" dataDxfId="163" totalsRowDxfId="162"/>
    <tableColumn id="14" xr3:uid="{7134BB1B-088D-4C29-A325-3C4F576A9C83}" name="Month 13" dataDxfId="161" totalsRowDxfId="160"/>
    <tableColumn id="15" xr3:uid="{0B907BD1-82F1-4127-8CE5-BA089E4B460F}" name="Month 14" dataDxfId="159" totalsRowDxfId="158"/>
    <tableColumn id="16" xr3:uid="{0636C21B-E3C9-4BEE-A2A1-D92250B0B88C}" name="Month 15" dataDxfId="157" totalsRowDxfId="156"/>
    <tableColumn id="17" xr3:uid="{06DBBAB3-AB4E-4B98-8B81-1EC66E846DFE}" name="Month 16" dataDxfId="155" totalsRowDxfId="154"/>
    <tableColumn id="18" xr3:uid="{CA7D4F83-E86B-4574-BB7E-CAE9B0D6D652}" name="Month 17" dataDxfId="153" totalsRowDxfId="152"/>
    <tableColumn id="19" xr3:uid="{59BCC293-76DA-4E30-B2AF-209B2A88D29D}" name="Month 18" dataDxfId="151" totalsRowDxfId="150"/>
    <tableColumn id="20" xr3:uid="{0AFB5BD9-A903-4D10-86E8-B8F6FC2EE0B2}" name="Month 19" dataDxfId="149" totalsRowDxfId="148"/>
    <tableColumn id="21" xr3:uid="{8436AB01-D855-4452-A1FD-0177F5CC06D3}" name="Month 20" dataDxfId="147" totalsRowDxfId="146"/>
    <tableColumn id="22" xr3:uid="{62772EA9-FDD7-497D-8879-82FEB9F1E014}" name="Month 21" dataDxfId="145" totalsRowDxfId="144"/>
    <tableColumn id="23" xr3:uid="{4F35E9AA-0975-444D-92B1-FFB53444992C}" name="Month 22" dataDxfId="143" totalsRowDxfId="142"/>
    <tableColumn id="24" xr3:uid="{EED31C97-BF80-4973-9C76-CECB66EB2079}" name="Month 23" dataDxfId="141" totalsRowDxfId="140"/>
    <tableColumn id="25" xr3:uid="{5ECED904-EA84-406C-AF76-F9D0900599AD}" name="Month 24" dataDxfId="139" totalsRowDxfId="138"/>
    <tableColumn id="26" xr3:uid="{B0C06C34-485C-49F0-989D-902BB5F21D62}" name="Month 25" dataDxfId="137" totalsRowDxfId="136"/>
    <tableColumn id="27" xr3:uid="{37E68B6E-BCAC-42C4-829A-E2249E63FE02}" name="Month 26" dataDxfId="135" totalsRowDxfId="134"/>
    <tableColumn id="28" xr3:uid="{2EC92024-A265-4BA5-B1F5-6FF48F070240}" name="Month 27" dataDxfId="133" totalsRowDxfId="132"/>
    <tableColumn id="29" xr3:uid="{C8A1E00E-9B02-40E2-B283-3457FDA8879C}" name="Month 28" dataDxfId="131" totalsRowDxfId="130"/>
    <tableColumn id="30" xr3:uid="{D504DE59-0B34-4354-B478-D802EE368720}" name="Month 29" dataDxfId="129" totalsRowDxfId="128"/>
    <tableColumn id="31" xr3:uid="{EC79DD4B-2009-4CB1-8AE6-0DFE47E5748C}" name="Month 30" dataDxfId="127" totalsRowDxfId="126"/>
    <tableColumn id="32" xr3:uid="{2DD9A459-F3D9-454C-BDE0-8E495D96A0BC}" name="Month 31" dataDxfId="125" totalsRowDxfId="124"/>
    <tableColumn id="33" xr3:uid="{2179A29E-10A3-46DC-817C-E2BED9251CE8}" name="Month 32" dataDxfId="123" totalsRowDxfId="122"/>
    <tableColumn id="34" xr3:uid="{CF70D22E-1448-4DD0-9746-BB2AD565E571}" name="Month 33" dataDxfId="121" totalsRowDxfId="120"/>
    <tableColumn id="35" xr3:uid="{1082A2FD-68B5-4284-8147-13853C058235}" name="Month 34" dataDxfId="119" totalsRowDxfId="118"/>
    <tableColumn id="36" xr3:uid="{64966B61-7FBA-4A9D-B605-8BE968754AB3}" name="Month 35" dataDxfId="117" totalsRowDxfId="116"/>
    <tableColumn id="37" xr3:uid="{5F3C5A77-6587-4E2B-9ECE-0A6B0910F238}" name="Month 36" dataDxfId="115" totalsRowDxfId="114"/>
    <tableColumn id="38" xr3:uid="{EFD4536E-9F85-4922-945E-EA0C78CBE78B}" name="Month 37" dataDxfId="113" totalsRowDxfId="112"/>
    <tableColumn id="39" xr3:uid="{FBA0A31B-EBA0-4BBA-999E-FE1FEB8417EF}" name="Month 38" dataDxfId="111" totalsRowDxfId="110"/>
    <tableColumn id="40" xr3:uid="{C178D341-0EFB-442D-B16E-A142AC2C7E78}" name="Month 39" dataDxfId="109" totalsRowDxfId="108"/>
    <tableColumn id="41" xr3:uid="{9936828F-E59A-42CD-8D55-7A3DE99A4202}" name="Month 40" dataDxfId="107" totalsRowDxfId="106"/>
    <tableColumn id="42" xr3:uid="{80C23316-C103-4CD3-9590-A2BCD46B8E9B}" name="Month 41" dataDxfId="105" totalsRowDxfId="104"/>
    <tableColumn id="43" xr3:uid="{B9BDEC37-AD75-42C3-8869-68BBBB94F008}" name="Month 42" dataDxfId="103" totalsRowDxfId="102"/>
    <tableColumn id="44" xr3:uid="{813D166F-3D8D-4CC7-811E-7FBFAC73ECDB}" name="Month 43" dataDxfId="101" totalsRowDxfId="100"/>
    <tableColumn id="45" xr3:uid="{D7C26B01-807A-475C-B04F-35AB7EA52A56}" name="Month 44" dataDxfId="99" totalsRowDxfId="98"/>
    <tableColumn id="46" xr3:uid="{F9A0FC0A-DDD8-4D76-9159-EFC045A9256B}" name="Month 45" dataDxfId="97" totalsRowDxfId="96"/>
    <tableColumn id="47" xr3:uid="{1EF590EA-48FC-48AF-B8C9-C0855A7A5782}" name="Month 46" dataDxfId="95" totalsRowDxfId="94"/>
    <tableColumn id="48" xr3:uid="{4D24B668-68E6-46AC-BC4E-C9F8AB8A2338}" name="Month 47" dataDxfId="93" totalsRowDxfId="92"/>
    <tableColumn id="49" xr3:uid="{F83AB0E9-8115-47C3-A50B-18248B055728}" name="Month 48" dataDxfId="91" totalsRowDxfId="90"/>
    <tableColumn id="50" xr3:uid="{36AAA7A6-1577-40E1-8539-87A24A0AE76E}" name="Month 49" dataDxfId="89" totalsRowDxfId="88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04A072-7EE9-49DF-A51D-5F2A42B450E6}" name="Tabla6" displayName="Tabla6" ref="I3:BF14" totalsRowShown="0">
  <autoFilter ref="I3:BF14" xr:uid="{DF04A072-7EE9-49DF-A51D-5F2A42B450E6}"/>
  <tableColumns count="50">
    <tableColumn id="1" xr3:uid="{4C5015E0-6512-4D63-ABD5-E51F553642C0}" name="Month"/>
    <tableColumn id="2" xr3:uid="{EF6DB0A8-6C87-44EB-BFC5-627098AF21CD}" name="Month 1 "/>
    <tableColumn id="3" xr3:uid="{59410B59-CF9A-459F-B8A5-CD78CE46C04F}" name="Month 2"/>
    <tableColumn id="4" xr3:uid="{049FC37A-F2DD-4EF5-8BA5-5340A1C4F173}" name="Month 3"/>
    <tableColumn id="5" xr3:uid="{3F07CE94-2719-4DE9-82F7-C70BDE4D7BD9}" name="Month 4"/>
    <tableColumn id="6" xr3:uid="{8EC3789B-54B0-48AF-9062-C361369F865C}" name="Month 5"/>
    <tableColumn id="7" xr3:uid="{2D6BCD2F-DC74-4B1D-9AB6-F5AA2B45EF59}" name="Month 6"/>
    <tableColumn id="8" xr3:uid="{EFF68CB1-69C0-46FA-A8E6-6A839910F865}" name="Month 7"/>
    <tableColumn id="9" xr3:uid="{96AC269A-66DB-4B58-80D7-4C282B1A8EC7}" name="Month 8"/>
    <tableColumn id="10" xr3:uid="{E7FA5091-AF58-48A6-B8D9-B2699F44A747}" name="Month 9"/>
    <tableColumn id="11" xr3:uid="{4A8951B3-3E05-447B-8776-4678101FC739}" name="Month 10"/>
    <tableColumn id="12" xr3:uid="{181D47F2-ABDA-4BFE-98D5-304026314E11}" name="Month 11"/>
    <tableColumn id="13" xr3:uid="{D22BB724-D6AC-4E87-9F94-CEDE8BDFA13F}" name="Month 12"/>
    <tableColumn id="14" xr3:uid="{1DF45119-D489-42C1-84A3-98B34AB34518}" name="Month 13"/>
    <tableColumn id="15" xr3:uid="{2BF72AAF-7518-4358-8A4E-DA12313523D2}" name="Month 14"/>
    <tableColumn id="16" xr3:uid="{1E8287D8-E255-48F7-BBDC-E19C0417DFD4}" name="Month 15"/>
    <tableColumn id="17" xr3:uid="{E46329E0-0754-4C25-B079-06ECD2EB9415}" name="Month 16"/>
    <tableColumn id="18" xr3:uid="{C905F74D-5506-4194-88D0-F9DA544CBE3D}" name="Month 17"/>
    <tableColumn id="19" xr3:uid="{27AC406E-584D-4AA2-B06F-91D826B7D08A}" name="Month 18"/>
    <tableColumn id="20" xr3:uid="{86D3DE00-4776-4088-A603-2C3907B7CFB2}" name="Month 19"/>
    <tableColumn id="21" xr3:uid="{3609BE20-D6B8-44EA-8162-1D6946A6F3E5}" name="Month 20"/>
    <tableColumn id="22" xr3:uid="{05DC8B79-7C1C-41D0-8189-F07AF3F53A14}" name="Month 21"/>
    <tableColumn id="23" xr3:uid="{20DC5638-9C05-492D-B043-12D1D778CF30}" name="Month 22"/>
    <tableColumn id="24" xr3:uid="{6BA1690A-C8C2-4CDB-A97C-356A5C060D60}" name="Month 23"/>
    <tableColumn id="25" xr3:uid="{4F82628F-0ED5-4E9F-B335-401434536CCC}" name="Month 24"/>
    <tableColumn id="26" xr3:uid="{48C22F67-0D13-4226-B972-073810974D02}" name="Month 25"/>
    <tableColumn id="27" xr3:uid="{9C4E2B2A-7719-4BF4-91B2-72F6FC020895}" name="Month 26"/>
    <tableColumn id="28" xr3:uid="{0BD35922-F195-4224-BA7F-5DCBEED1D125}" name="Month 27"/>
    <tableColumn id="29" xr3:uid="{472122D3-B270-49B8-80DD-A43EF5795A20}" name="Month 28"/>
    <tableColumn id="30" xr3:uid="{070328F3-4881-4E96-9E6E-3B9CD48C9C42}" name="Month 29"/>
    <tableColumn id="31" xr3:uid="{6BC45813-7239-492E-A03A-CE2179CD179A}" name="Month 30"/>
    <tableColumn id="32" xr3:uid="{5B2B1376-8BAD-4435-9AE6-4A4535FF663A}" name="Month 31"/>
    <tableColumn id="33" xr3:uid="{872DC039-DB8E-43B9-B30E-A5306CB83BE2}" name="Month 32"/>
    <tableColumn id="34" xr3:uid="{F7D327AC-F8A8-4189-85C9-E3D619F1B39A}" name="Month 33"/>
    <tableColumn id="35" xr3:uid="{83819A82-60B4-4E4F-8519-C8230CA7AC6C}" name="Month 34"/>
    <tableColumn id="36" xr3:uid="{BDA5B481-CE60-4085-8B8E-F45879F831BB}" name="Month 35"/>
    <tableColumn id="37" xr3:uid="{18C75619-328A-4E3E-A828-01B7302502D2}" name="Month 36"/>
    <tableColumn id="38" xr3:uid="{308D7850-60CE-4672-8A2C-F059A57FA188}" name="Month 37"/>
    <tableColumn id="39" xr3:uid="{202FAB60-80D0-408A-ABE7-725478C8519E}" name="Month 38"/>
    <tableColumn id="40" xr3:uid="{DF1C34F4-3075-4DC1-B2FA-00B5CFFE77C9}" name="Month 39"/>
    <tableColumn id="41" xr3:uid="{D0504645-92AE-48D2-A2D8-1399F8D1E899}" name="Month 40"/>
    <tableColumn id="42" xr3:uid="{B7691961-F82E-4BE7-A478-968DCF93D4DA}" name="Month 41"/>
    <tableColumn id="43" xr3:uid="{CF4DCD5A-5ED6-43C7-90C1-87AA5A173EA0}" name="Month 42"/>
    <tableColumn id="44" xr3:uid="{C35DE701-C645-4FD7-A271-1756D30367A4}" name="Month 43"/>
    <tableColumn id="45" xr3:uid="{534BB10D-098C-4E41-8FCF-43370B154B06}" name="Month 44"/>
    <tableColumn id="46" xr3:uid="{0DDB10EB-5F80-4169-9859-B76F89021E41}" name="Month 45"/>
    <tableColumn id="47" xr3:uid="{49FC13F1-88B2-4B83-B446-8BC062EDC16D}" name="Month 46"/>
    <tableColumn id="48" xr3:uid="{40E1F20E-F0DE-4F72-BA58-8CF3A950BCC9}" name="Month 47"/>
    <tableColumn id="49" xr3:uid="{802494D0-19F9-4185-A930-8C9FAD43DA2F}" name="Month 48"/>
    <tableColumn id="50" xr3:uid="{A0A48B55-8CDE-49BF-AA26-072692BE6F1B}" name="Month 49" dataDxfId="87" dataCellStyle="Moneda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4585601-9304-47A3-8AB3-AE7C2D4B9DA9}" name="Tabla10" displayName="Tabla10" ref="I17:BF19" totalsRowShown="0" headerRowDxfId="86" headerRowBorderDxfId="85">
  <autoFilter ref="I17:BF19" xr:uid="{54585601-9304-47A3-8AB3-AE7C2D4B9DA9}"/>
  <tableColumns count="50">
    <tableColumn id="1" xr3:uid="{05DCD600-6835-4CFD-8547-D34897757F27}" name="Month"/>
    <tableColumn id="2" xr3:uid="{4511977C-405D-4E38-B0AD-D2E97986E3FF}" name="Month 1 ">
      <calculatedColumnFormula>-J17*Cashflow!$G$15</calculatedColumnFormula>
    </tableColumn>
    <tableColumn id="3" xr3:uid="{526C0368-D556-4FAC-BD2C-E88CE7732A78}" name="Month 2">
      <calculatedColumnFormula>-K17*Cashflow!$G$15</calculatedColumnFormula>
    </tableColumn>
    <tableColumn id="4" xr3:uid="{F3F4627C-2BF2-453E-B0B0-03EB1167088B}" name="Month 3">
      <calculatedColumnFormula>-L17*Cashflow!$G$15</calculatedColumnFormula>
    </tableColumn>
    <tableColumn id="5" xr3:uid="{16234B00-6FB0-4E19-B49F-3F3557F8744A}" name="Month 4">
      <calculatedColumnFormula>-M17*Cashflow!$G$15</calculatedColumnFormula>
    </tableColumn>
    <tableColumn id="6" xr3:uid="{9B181D01-23B0-4B0A-8D0E-70E216A3296A}" name="Month 5">
      <calculatedColumnFormula>-N17*Cashflow!$G$15</calculatedColumnFormula>
    </tableColumn>
    <tableColumn id="7" xr3:uid="{AC07EB4E-3692-4D25-91FD-B8F106C9E37A}" name="Month 6">
      <calculatedColumnFormula>-O17*Cashflow!$G$15</calculatedColumnFormula>
    </tableColumn>
    <tableColumn id="8" xr3:uid="{60F3BD6E-F724-46D0-955B-BA729E7BB2DD}" name="Month 7">
      <calculatedColumnFormula>-P17*Cashflow!$G$15</calculatedColumnFormula>
    </tableColumn>
    <tableColumn id="9" xr3:uid="{71EA5B4E-EC31-475B-8646-7FCCDD2CCA64}" name="Month 8">
      <calculatedColumnFormula>-Q17*Cashflow!$G$15</calculatedColumnFormula>
    </tableColumn>
    <tableColumn id="10" xr3:uid="{DFEB38FB-E00F-4F46-890B-D6C19D5BCF76}" name="Month 9">
      <calculatedColumnFormula>-R17*Cashflow!$G$15</calculatedColumnFormula>
    </tableColumn>
    <tableColumn id="11" xr3:uid="{97240ACF-EBD1-4F05-99D3-11DA4260ECF6}" name="Month 10">
      <calculatedColumnFormula>-S17*Cashflow!$G$15</calculatedColumnFormula>
    </tableColumn>
    <tableColumn id="12" xr3:uid="{4F040848-2CB5-4F3E-B165-5E96E9BFA18B}" name="Month 11">
      <calculatedColumnFormula>-T17*Cashflow!$G$15</calculatedColumnFormula>
    </tableColumn>
    <tableColumn id="13" xr3:uid="{7FB25C60-9962-463E-AD8B-A0F6936344B9}" name="Month 12">
      <calculatedColumnFormula>-U17*Cashflow!$G$15</calculatedColumnFormula>
    </tableColumn>
    <tableColumn id="14" xr3:uid="{566CE8A4-FCE0-424E-956E-E97E3E2A224F}" name="Month 13">
      <calculatedColumnFormula>-V17*Cashflow!$G$15</calculatedColumnFormula>
    </tableColumn>
    <tableColumn id="15" xr3:uid="{EACEE9E3-5E81-4BE5-9742-CEEE219FBF78}" name="Month 14">
      <calculatedColumnFormula>-W17*Cashflow!$G$15</calculatedColumnFormula>
    </tableColumn>
    <tableColumn id="16" xr3:uid="{5019E260-A301-4AF5-8B26-5FF4A8797222}" name="Month 15">
      <calculatedColumnFormula>-X17*Cashflow!$G$15</calculatedColumnFormula>
    </tableColumn>
    <tableColumn id="17" xr3:uid="{14854ADF-98F1-4FD1-8CAD-B771CED4D840}" name="Month 16">
      <calculatedColumnFormula>-Y17*Cashflow!$G$15</calculatedColumnFormula>
    </tableColumn>
    <tableColumn id="18" xr3:uid="{14DEE805-443D-4728-B71F-2EF034661939}" name="Month 17">
      <calculatedColumnFormula>-Z17*Cashflow!$G$15</calculatedColumnFormula>
    </tableColumn>
    <tableColumn id="19" xr3:uid="{6B1A884C-F6D7-490C-9773-DFCC2E90DF19}" name="Month 18">
      <calculatedColumnFormula>-AA17*Cashflow!$G$15</calculatedColumnFormula>
    </tableColumn>
    <tableColumn id="20" xr3:uid="{2D814783-71E2-4B8A-835B-DD4BA2FFB59A}" name="Month 19">
      <calculatedColumnFormula>-AB17*Cashflow!$G$15</calculatedColumnFormula>
    </tableColumn>
    <tableColumn id="21" xr3:uid="{9E0EB5A4-31A0-4C67-8750-DEE025989B5F}" name="Month 20">
      <calculatedColumnFormula>-AC17*Cashflow!$G$15</calculatedColumnFormula>
    </tableColumn>
    <tableColumn id="22" xr3:uid="{E1FB9089-5817-456B-8FB5-EAB4482EC259}" name="Month 21">
      <calculatedColumnFormula>-AD17*Cashflow!$G$15</calculatedColumnFormula>
    </tableColumn>
    <tableColumn id="23" xr3:uid="{BAD72DC8-AFA9-488E-BE87-84BDBDB69AC7}" name="Month 22">
      <calculatedColumnFormula>-AE17*Cashflow!$G$15</calculatedColumnFormula>
    </tableColumn>
    <tableColumn id="24" xr3:uid="{982E013B-B6AC-45A9-B927-1FA3E0328F74}" name="Month 23">
      <calculatedColumnFormula>-AF17*Cashflow!$G$15</calculatedColumnFormula>
    </tableColumn>
    <tableColumn id="25" xr3:uid="{3685DE58-792A-413A-A510-E3E1271C4F5F}" name="Month 24">
      <calculatedColumnFormula>-AG17*Cashflow!$G$15</calculatedColumnFormula>
    </tableColumn>
    <tableColumn id="26" xr3:uid="{E4FCBDB5-0F4D-4D13-8187-5D0F7183D409}" name="Month 25">
      <calculatedColumnFormula>-AH17*Cashflow!$G$15</calculatedColumnFormula>
    </tableColumn>
    <tableColumn id="27" xr3:uid="{3EED2405-BEDF-410B-8275-06A7C059946C}" name="Month 26">
      <calculatedColumnFormula>-AI17*Cashflow!$G$15</calculatedColumnFormula>
    </tableColumn>
    <tableColumn id="28" xr3:uid="{EEDF8BE6-E947-4F39-8AA7-B5CA764C9580}" name="Month 27">
      <calculatedColumnFormula>-AJ17*Cashflow!$G$15</calculatedColumnFormula>
    </tableColumn>
    <tableColumn id="29" xr3:uid="{3F95EE20-6CED-4F4B-9424-651B1B6CBBCC}" name="Month 28">
      <calculatedColumnFormula>-AK17*Cashflow!$G$15</calculatedColumnFormula>
    </tableColumn>
    <tableColumn id="30" xr3:uid="{ED945BE2-095F-484A-8579-10129DDC06BB}" name="Month 29">
      <calculatedColumnFormula>-AL17*Cashflow!$G$15</calculatedColumnFormula>
    </tableColumn>
    <tableColumn id="31" xr3:uid="{83E73A3D-C3BD-4538-8868-063087B4315E}" name="Month 30">
      <calculatedColumnFormula>-AM17*Cashflow!$G$15</calculatedColumnFormula>
    </tableColumn>
    <tableColumn id="32" xr3:uid="{A31E3813-598D-4528-93C9-53F39440DE3E}" name="Month 31">
      <calculatedColumnFormula>-AN17*Cashflow!$G$15</calculatedColumnFormula>
    </tableColumn>
    <tableColumn id="33" xr3:uid="{54BE415D-5BFB-40D8-83BA-CE99CDB7DE9D}" name="Month 32">
      <calculatedColumnFormula>-AO17*Cashflow!$G$15</calculatedColumnFormula>
    </tableColumn>
    <tableColumn id="34" xr3:uid="{48E1EF76-1667-4649-880B-7A939B881EA3}" name="Month 33">
      <calculatedColumnFormula>-AP17*Cashflow!$G$15</calculatedColumnFormula>
    </tableColumn>
    <tableColumn id="35" xr3:uid="{2B910020-BB1D-4AF1-A704-962B1BA035E8}" name="Month 34">
      <calculatedColumnFormula>-AQ17*Cashflow!$G$15</calculatedColumnFormula>
    </tableColumn>
    <tableColumn id="36" xr3:uid="{AFD35C39-9C3C-474C-8FE7-58EF90C4F7E1}" name="Month 35">
      <calculatedColumnFormula>-AR17*Cashflow!$G$15</calculatedColumnFormula>
    </tableColumn>
    <tableColumn id="37" xr3:uid="{97285771-A0BA-4C37-89F5-25E174F9441E}" name="Month 36">
      <calculatedColumnFormula>-AS17*Cashflow!$G$15</calculatedColumnFormula>
    </tableColumn>
    <tableColumn id="38" xr3:uid="{520BD408-2F73-40A5-A1DF-36D0E6C0C841}" name="Month 37">
      <calculatedColumnFormula>-AT17*Cashflow!$G$15</calculatedColumnFormula>
    </tableColumn>
    <tableColumn id="39" xr3:uid="{6D2C1442-63D8-480D-B23B-782DE6FA927B}" name="Month 38">
      <calculatedColumnFormula>-AU17*Cashflow!$G$15</calculatedColumnFormula>
    </tableColumn>
    <tableColumn id="40" xr3:uid="{F448DFEF-4CC3-4F57-8103-2673618F672F}" name="Month 39">
      <calculatedColumnFormula>-AV17*Cashflow!$G$15</calculatedColumnFormula>
    </tableColumn>
    <tableColumn id="41" xr3:uid="{16377B40-E9EB-438F-8318-655BBF04774A}" name="Month 40">
      <calculatedColumnFormula>-AW17*Cashflow!$G$15</calculatedColumnFormula>
    </tableColumn>
    <tableColumn id="42" xr3:uid="{7A5A0075-8A4D-45F7-975A-0CE819D35D8A}" name="Month 41">
      <calculatedColumnFormula>-AX17*Cashflow!$G$15</calculatedColumnFormula>
    </tableColumn>
    <tableColumn id="43" xr3:uid="{F85C19E3-C44B-4F02-A1AC-8A9A2AE4286F}" name="Month 42">
      <calculatedColumnFormula>-AY17*Cashflow!$G$15</calculatedColumnFormula>
    </tableColumn>
    <tableColumn id="44" xr3:uid="{859C95C2-0628-4E8C-9C68-90BFC0FB9E38}" name="Month 43">
      <calculatedColumnFormula>-AZ17*Cashflow!$G$15</calculatedColumnFormula>
    </tableColumn>
    <tableColumn id="45" xr3:uid="{A41441B3-92FB-497D-947B-57CD65AC5A47}" name="Month 44">
      <calculatedColumnFormula>-BA17*Cashflow!$G$15</calculatedColumnFormula>
    </tableColumn>
    <tableColumn id="46" xr3:uid="{0BEED839-8244-4C45-9FB1-9B5CAE754CAD}" name="Month 45">
      <calculatedColumnFormula>-BB17*Cashflow!$G$15</calculatedColumnFormula>
    </tableColumn>
    <tableColumn id="47" xr3:uid="{B3D3F618-79AB-4D20-93A0-DF01ECD11148}" name="Month 46">
      <calculatedColumnFormula>-BC17*Cashflow!$G$15</calculatedColumnFormula>
    </tableColumn>
    <tableColumn id="48" xr3:uid="{B3D99D45-0F6A-4E44-8BB0-20A153FF8FE1}" name="Month 47">
      <calculatedColumnFormula>-BD17*Cashflow!$G$15</calculatedColumnFormula>
    </tableColumn>
    <tableColumn id="49" xr3:uid="{B06CEE25-1449-4C3B-8A60-2F8C6B331AB6}" name="Month 48">
      <calculatedColumnFormula>-BE17*Cashflow!$G$15</calculatedColumnFormula>
    </tableColumn>
    <tableColumn id="50" xr3:uid="{A49439A8-9146-4381-89FC-125014C8E75A}" name="Month 49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61D0173-8D65-4A29-B7F4-724EF11E39CE}" name="Distributors" displayName="Distributors" ref="I23:BF24" totalsRowShown="0">
  <autoFilter ref="I23:BF24" xr:uid="{261D0173-8D65-4A29-B7F4-724EF11E39CE}"/>
  <tableColumns count="50">
    <tableColumn id="1" xr3:uid="{1CCE1819-AA96-46A7-9647-50E40F5AA705}" name="Distributors share"/>
    <tableColumn id="2" xr3:uid="{681EFDA3-87CD-4B31-9BF8-30A72B33554E}" name="Month 1" dataDxfId="84">
      <calculatedColumnFormula>J12*GEOMEAN($C$40,$C$41)</calculatedColumnFormula>
    </tableColumn>
    <tableColumn id="3" xr3:uid="{C6C874DF-82AA-4053-86DA-DA70A36325C0}" name="Month 2" dataDxfId="83">
      <calculatedColumnFormula>K12*GEOMEAN($C$40,$C$41)</calculatedColumnFormula>
    </tableColumn>
    <tableColumn id="4" xr3:uid="{4BC6782A-F3F0-42EA-BC7D-CABDD615C664}" name="Month 3" dataDxfId="82">
      <calculatedColumnFormula>L12*GEOMEAN($C$40,$C$41)</calculatedColumnFormula>
    </tableColumn>
    <tableColumn id="5" xr3:uid="{47ECAE5F-1F60-47E4-896C-B64FE2C46C84}" name="Month 4" dataDxfId="81">
      <calculatedColumnFormula>M12*GEOMEAN($C$40,$C$41)</calculatedColumnFormula>
    </tableColumn>
    <tableColumn id="6" xr3:uid="{20DAA1F7-CF2D-4AD4-A335-232573E443CF}" name="Month 5" dataDxfId="80">
      <calculatedColumnFormula>N12*GEOMEAN($C$40,$C$41)</calculatedColumnFormula>
    </tableColumn>
    <tableColumn id="7" xr3:uid="{4A571DE3-F8F0-4074-8473-66F709543F8F}" name="Month 6" dataDxfId="79">
      <calculatedColumnFormula>O12*GEOMEAN($C$40,$C$41)</calculatedColumnFormula>
    </tableColumn>
    <tableColumn id="8" xr3:uid="{744B1D88-7827-4477-98A3-39D739EFD79D}" name="Month 7" dataDxfId="78">
      <calculatedColumnFormula>P12*GEOMEAN($C$40,$C$41)</calculatedColumnFormula>
    </tableColumn>
    <tableColumn id="9" xr3:uid="{9F29DB8D-57A0-46C8-A65F-C09361935040}" name="Month 8" dataDxfId="77">
      <calculatedColumnFormula>Q12*GEOMEAN($C$40,$C$41)</calculatedColumnFormula>
    </tableColumn>
    <tableColumn id="10" xr3:uid="{964DD505-0612-40FF-B0BC-3C7E9858F086}" name="Month 9" dataDxfId="76">
      <calculatedColumnFormula>R12*GEOMEAN($C$40,$C$41)</calculatedColumnFormula>
    </tableColumn>
    <tableColumn id="11" xr3:uid="{14CA2D2D-E817-412F-B5D7-9F73E8EE6F8A}" name="Month 10" dataDxfId="75">
      <calculatedColumnFormula>S12*GEOMEAN($C$40,$C$41)</calculatedColumnFormula>
    </tableColumn>
    <tableColumn id="12" xr3:uid="{AD14DB30-0F60-4A10-A458-EF67D0086100}" name="Month 11" dataDxfId="74">
      <calculatedColumnFormula>T12*GEOMEAN($C$40,$C$41)</calculatedColumnFormula>
    </tableColumn>
    <tableColumn id="13" xr3:uid="{76F03C0D-CCAC-4E3A-9D0E-ABE024464C84}" name="Month 12" dataDxfId="73">
      <calculatedColumnFormula>U12*GEOMEAN($C$40,$C$41)</calculatedColumnFormula>
    </tableColumn>
    <tableColumn id="14" xr3:uid="{7FC2035B-DFF2-4FC6-8C84-1EF5D1B09FAF}" name="Month 13" dataDxfId="72">
      <calculatedColumnFormula>V12*GEOMEAN($C$40,$C$41)</calculatedColumnFormula>
    </tableColumn>
    <tableColumn id="15" xr3:uid="{D461880A-B61B-4E85-BF0B-D96375F6C180}" name="Month 14" dataDxfId="71">
      <calculatedColumnFormula>W12*GEOMEAN($C$40,$C$41)</calculatedColumnFormula>
    </tableColumn>
    <tableColumn id="16" xr3:uid="{F2A2E489-1A48-4E28-AB57-280AA7AD3950}" name="Month 15" dataDxfId="70">
      <calculatedColumnFormula>X12*GEOMEAN($C$40,$C$41)</calculatedColumnFormula>
    </tableColumn>
    <tableColumn id="17" xr3:uid="{3FE8EAE1-5A7F-49EB-90DA-FD71FE62361E}" name="Month 16" dataDxfId="69">
      <calculatedColumnFormula>Y12*GEOMEAN($C$40,$C$41)</calculatedColumnFormula>
    </tableColumn>
    <tableColumn id="18" xr3:uid="{14BE7C80-5E22-4F27-A353-931A48223F45}" name="Month 17" dataDxfId="68">
      <calculatedColumnFormula>Z12*GEOMEAN($C$40,$C$41)</calculatedColumnFormula>
    </tableColumn>
    <tableColumn id="19" xr3:uid="{6CDA2D73-7E43-4C33-8570-4AC92921D2C0}" name="Month 18" dataDxfId="67">
      <calculatedColumnFormula>AA12*GEOMEAN($C$40,$C$41)</calculatedColumnFormula>
    </tableColumn>
    <tableColumn id="20" xr3:uid="{CFC30705-C95B-4EB0-BE3A-A677A14A6BFE}" name="Month 19" dataDxfId="66">
      <calculatedColumnFormula>AB12*GEOMEAN($C$40,$C$41)</calculatedColumnFormula>
    </tableColumn>
    <tableColumn id="21" xr3:uid="{7CE0D27B-DF41-46A9-A7C8-D413E39AC007}" name="Month 20" dataDxfId="65">
      <calculatedColumnFormula>AC12*GEOMEAN($C$40,$C$41)</calculatedColumnFormula>
    </tableColumn>
    <tableColumn id="22" xr3:uid="{48358C08-B582-46EF-B673-D09E9A14AC1C}" name="Month 21" dataDxfId="64">
      <calculatedColumnFormula>AD12*GEOMEAN($C$40,$C$41)</calculatedColumnFormula>
    </tableColumn>
    <tableColumn id="23" xr3:uid="{CFC0A73B-E82B-4799-8389-1F92C7507740}" name="Month 22" dataDxfId="63">
      <calculatedColumnFormula>AE12*GEOMEAN($C$40,$C$41)</calculatedColumnFormula>
    </tableColumn>
    <tableColumn id="24" xr3:uid="{21720267-AE46-4DD6-8CFA-D408DAD56AC7}" name="Month 23" dataDxfId="62">
      <calculatedColumnFormula>AF12*GEOMEAN($C$40,$C$41)</calculatedColumnFormula>
    </tableColumn>
    <tableColumn id="25" xr3:uid="{77AB304F-043A-4F2C-9EBE-9A9DEE463027}" name="Month 24" dataDxfId="61">
      <calculatedColumnFormula>AG12*GEOMEAN($C$40,$C$41)</calculatedColumnFormula>
    </tableColumn>
    <tableColumn id="26" xr3:uid="{E42A2CBF-7CCC-4AA9-8405-D3D96402886B}" name="Month 25" dataDxfId="60">
      <calculatedColumnFormula>AH12*GEOMEAN($C$40,$C$41)</calculatedColumnFormula>
    </tableColumn>
    <tableColumn id="27" xr3:uid="{1B275CAE-87BF-40E0-9D97-320CB86DAFAE}" name="Month 26" dataDxfId="59">
      <calculatedColumnFormula>AI12*GEOMEAN($C$40,$C$41)</calculatedColumnFormula>
    </tableColumn>
    <tableColumn id="28" xr3:uid="{45268041-DAC1-41A6-A5E0-67377A4838F1}" name="Month 27" dataDxfId="58">
      <calculatedColumnFormula>AJ12*GEOMEAN($C$40,$C$41)</calculatedColumnFormula>
    </tableColumn>
    <tableColumn id="29" xr3:uid="{6E20F294-F445-41BE-8B73-711B31BAAEA2}" name="Month 28" dataDxfId="57">
      <calculatedColumnFormula>AK12*GEOMEAN($C$40,$C$41)</calculatedColumnFormula>
    </tableColumn>
    <tableColumn id="30" xr3:uid="{78C17328-B6FF-4A25-B111-A7FDDC28EB87}" name="Month 29" dataDxfId="56">
      <calculatedColumnFormula>AL12*GEOMEAN($C$40,$C$41)</calculatedColumnFormula>
    </tableColumn>
    <tableColumn id="31" xr3:uid="{D8E71168-A751-4DB0-9B50-BC979863AA7D}" name="Month 30" dataDxfId="55">
      <calculatedColumnFormula>AM12*GEOMEAN($C$40,$C$41)</calculatedColumnFormula>
    </tableColumn>
    <tableColumn id="32" xr3:uid="{E411D058-8F94-4F72-A7F6-F7E20E70535A}" name="Month 31" dataDxfId="54">
      <calculatedColumnFormula>AN12*GEOMEAN($C$40,$C$41)</calculatedColumnFormula>
    </tableColumn>
    <tableColumn id="33" xr3:uid="{81EAABF4-1998-4890-881D-6C092258173D}" name="Month 32" dataDxfId="53">
      <calculatedColumnFormula>AO12*GEOMEAN($C$40,$C$41)</calculatedColumnFormula>
    </tableColumn>
    <tableColumn id="34" xr3:uid="{41B2D80F-3402-4E5F-9D6D-2758F21718D4}" name="Month 33" dataDxfId="52">
      <calculatedColumnFormula>AP12*GEOMEAN($C$40,$C$41)</calculatedColumnFormula>
    </tableColumn>
    <tableColumn id="35" xr3:uid="{B7BB47D4-AE26-4959-B9B7-B8F0A25F8623}" name="Month 34" dataDxfId="51">
      <calculatedColumnFormula>AQ12*GEOMEAN($C$40,$C$41)</calculatedColumnFormula>
    </tableColumn>
    <tableColumn id="36" xr3:uid="{36821921-44D2-4440-BC50-78AA28545CB4}" name="Month 35" dataDxfId="50">
      <calculatedColumnFormula>AR12*GEOMEAN($C$40,$C$41)</calculatedColumnFormula>
    </tableColumn>
    <tableColumn id="37" xr3:uid="{4ED2863B-ED35-483B-BAA9-A3905A85BC29}" name="Month 36" dataDxfId="49">
      <calculatedColumnFormula>AS12*GEOMEAN($C$40,$C$41)</calculatedColumnFormula>
    </tableColumn>
    <tableColumn id="38" xr3:uid="{E656E134-776E-4FCD-A37A-D8573F4652CB}" name="Month 37" dataDxfId="48">
      <calculatedColumnFormula>AT12*GEOMEAN($C$40,$C$41)</calculatedColumnFormula>
    </tableColumn>
    <tableColumn id="39" xr3:uid="{5EE2E1E7-967F-408B-A67C-DE3622202EEF}" name="Month 38" dataDxfId="47">
      <calculatedColumnFormula>AU12*GEOMEAN($C$40,$C$41)</calculatedColumnFormula>
    </tableColumn>
    <tableColumn id="40" xr3:uid="{F1CB136A-4289-42EA-B13E-9E4292B3918A}" name="Month 39" dataDxfId="46">
      <calculatedColumnFormula>AV12*GEOMEAN($C$40,$C$41)</calculatedColumnFormula>
    </tableColumn>
    <tableColumn id="41" xr3:uid="{213DD8BE-5118-4233-AF43-245165014523}" name="Month 40" dataDxfId="45">
      <calculatedColumnFormula>AW12*GEOMEAN($C$40,$C$41)</calculatedColumnFormula>
    </tableColumn>
    <tableColumn id="42" xr3:uid="{ED78C386-36E9-4F37-8839-30840D77BB19}" name="Month 41" dataDxfId="44">
      <calculatedColumnFormula>AX12*GEOMEAN($C$40,$C$41)</calculatedColumnFormula>
    </tableColumn>
    <tableColumn id="43" xr3:uid="{4D1DAEAE-D162-41FA-8D17-386DDA635EC1}" name="Month 42" dataDxfId="43">
      <calculatedColumnFormula>AY12*GEOMEAN($C$40,$C$41)</calculatedColumnFormula>
    </tableColumn>
    <tableColumn id="44" xr3:uid="{8C31F6A7-68FF-4542-BF18-1014745F9D01}" name="Month 43" dataDxfId="42">
      <calculatedColumnFormula>AZ12*GEOMEAN($C$40,$C$41)</calculatedColumnFormula>
    </tableColumn>
    <tableColumn id="45" xr3:uid="{2812BF0F-D1EC-457A-B7A4-E3054B79C4C6}" name="Month 44" dataDxfId="41">
      <calculatedColumnFormula>BA12*GEOMEAN($C$40,$C$41)</calculatedColumnFormula>
    </tableColumn>
    <tableColumn id="46" xr3:uid="{AF599331-6D59-4953-BBB6-C49F7F2D2E17}" name="Month 45" dataDxfId="40">
      <calculatedColumnFormula>BB12*GEOMEAN($C$40,$C$41)</calculatedColumnFormula>
    </tableColumn>
    <tableColumn id="47" xr3:uid="{480753BD-593C-494A-B6BB-166025A8FE9B}" name="Month 46" dataDxfId="39">
      <calculatedColumnFormula>BC12*GEOMEAN($C$40,$C$41)</calculatedColumnFormula>
    </tableColumn>
    <tableColumn id="48" xr3:uid="{EFE30989-F9E6-4F06-B234-AAFE39AD5AEC}" name="Month 47" dataDxfId="38">
      <calculatedColumnFormula>BD12*GEOMEAN($C$40,$C$41)</calculatedColumnFormula>
    </tableColumn>
    <tableColumn id="49" xr3:uid="{40897ED7-9F3C-4090-8476-2BE639E91025}" name="Month 48" dataDxfId="37">
      <calculatedColumnFormula>BE12*GEOMEAN($C$40,$C$41)</calculatedColumnFormula>
    </tableColumn>
    <tableColumn id="50" xr3:uid="{4FCF4EFA-1753-4944-8EFC-9C02C3E50DBA}" name="Month 49" dataDxfId="36">
      <calculatedColumnFormula>BF12*GEOMEAN($C$40,$C$41)</calculatedColumn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767AEE-FA44-4F1B-880C-CCCAC4FF4B54}" name="Tabla4" displayName="Tabla4" ref="B3:P6" totalsRowShown="0">
  <autoFilter ref="B3:P6" xr:uid="{C8767AEE-FA44-4F1B-880C-CCCAC4FF4B54}"/>
  <tableColumns count="15">
    <tableColumn id="1" xr3:uid="{3F4894D1-2A5E-4371-81AB-0AD3963873EF}" name="Loan"/>
    <tableColumn id="15" xr3:uid="{0DB772C7-6E9B-46B5-971B-2D97D47BA83B}" name="IN USE" dataDxfId="35">
      <calculatedColumnFormula>MAX(T11:BO11)</calculatedColumnFormula>
    </tableColumn>
    <tableColumn id="2" xr3:uid="{253D2189-A6FA-47AC-998E-46747B5E345B}" name="Time (years)"/>
    <tableColumn id="3" xr3:uid="{F120629C-F32D-496B-B289-A46C701F1EEF}" name="Min"/>
    <tableColumn id="4" xr3:uid="{FC88BC0D-BE2E-45CE-ACEE-A5B8C26F2800}" name="Max"/>
    <tableColumn id="5" xr3:uid="{EC6F58C1-B61B-4A3B-BC68-FBD32946B4DE}" name="Opening commission" dataDxfId="34" dataCellStyle="Porcentaje"/>
    <tableColumn id="6" xr3:uid="{35621391-FFE4-47DB-A7DA-25015B82BADE}" name="Euribor" dataDxfId="33">
      <calculatedColumnFormula>Cashflow!$G$21</calculatedColumnFormula>
    </tableColumn>
    <tableColumn id="7" xr3:uid="{6EDCB6EA-1CDF-4A7D-BF55-CCC98C0A9984}" name="Interest" dataDxfId="32" dataCellStyle="Porcentaje">
      <calculatedColumnFormula>3.75%+4%</calculatedColumnFormula>
    </tableColumn>
    <tableColumn id="8" xr3:uid="{082F1471-9CF0-498C-A0D3-5F1E36166C9E}" name="Amount" dataDxfId="31">
      <calculatedColumnFormula>MAX(T12:BO12)</calculatedColumnFormula>
    </tableColumn>
    <tableColumn id="9" xr3:uid="{DE12CAB3-0C4E-4160-8BDA-01CB0A91EA8B}" name="Years">
      <calculatedColumnFormula>Cashflow!$G$22</calculatedColumnFormula>
    </tableColumn>
    <tableColumn id="10" xr3:uid="{B87D22E0-68EF-42DB-B506-69C0CE481904}" name="TOTAL">
      <calculatedColumnFormula>($J4*(1+$G4)*(($H4+$I4)/12))/(1-(1+(($H4+$I4)/12))^(-$K4*12))*12*$K4</calculatedColumnFormula>
    </tableColumn>
    <tableColumn id="11" xr3:uid="{041D19F3-3522-4436-A867-CFBD84BEC004}" name="Total Interest">
      <calculatedColumnFormula>$L4-$J4</calculatedColumnFormula>
    </tableColumn>
    <tableColumn id="12" xr3:uid="{C92E2E67-9C6E-4DBB-8DA2-9914B5BF9E10}" name="Monthly Interest">
      <calculatedColumnFormula>$M4/(12*$K4)</calculatedColumnFormula>
    </tableColumn>
    <tableColumn id="13" xr3:uid="{2F959539-6ACE-43A8-9388-5BE1D9D2B76F}" name="Monthly Amount">
      <calculatedColumnFormula>$L4/12/$K4</calculatedColumnFormula>
    </tableColumn>
    <tableColumn id="14" xr3:uid="{451703B9-CF13-441B-9BBB-03D09CA6C8C5}" name="Monthly Without Interest">
      <calculatedColumnFormula>$O4-$N4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1C631-180D-43F0-90BF-D250C8EA59ED}" name="Tabla1" displayName="Tabla1" ref="B2:E13" totalsRowShown="0" headerRowDxfId="30" dataDxfId="29">
  <autoFilter ref="B2:E13" xr:uid="{94C1C631-180D-43F0-90BF-D250C8EA59ED}"/>
  <tableColumns count="4">
    <tableColumn id="1" xr3:uid="{E0609601-C9EC-4D04-AD72-3D70E11C43A3}" name="Salaries" dataDxfId="28"/>
    <tableColumn id="3" xr3:uid="{EF0E4BD2-15F9-49F7-BBC1-9735788CD1F3}" name="Monthly" dataDxfId="27" dataCellStyle="Moneda">
      <calculatedColumnFormula>ROUNDDOWN(D3/14,0)</calculatedColumnFormula>
    </tableColumn>
    <tableColumn id="4" xr3:uid="{AD78E1AF-61BB-4FFF-A381-23E81280311C}" name="Yearly" dataDxfId="26" dataCellStyle="Moneda"/>
    <tableColumn id="5" xr3:uid="{E8251DBB-BE3A-4EF5-8BA9-869D826A3877}" name="DATA FROM: Jobted" dataDxfId="25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9B2014-6D89-4CBE-807E-EB775CD01B79}" name="Tabla2" displayName="Tabla2" ref="G2:BC14" totalsRowShown="0" headerRowBorderDxfId="24" tableBorderDxfId="23">
  <autoFilter ref="G2:BC14" xr:uid="{079B2014-6D89-4CBE-807E-EB775CD01B79}"/>
  <tableColumns count="49">
    <tableColumn id="1" xr3:uid="{B483EBAE-8519-4571-A356-0989796DCAF2}" name="Number of:" dataDxfId="22"/>
    <tableColumn id="2" xr3:uid="{80738CE5-0127-434B-8BE6-2E20479F709E}" name="Month 1"/>
    <tableColumn id="3" xr3:uid="{2A1A2B6E-A673-4BD5-BE42-FF9AACD84691}" name="Month 2"/>
    <tableColumn id="4" xr3:uid="{67112318-29CA-4C37-8275-95EABBE34CDF}" name="Month 3"/>
    <tableColumn id="5" xr3:uid="{60B636E8-9629-4DE2-930F-7A4889B3D415}" name="Month 4"/>
    <tableColumn id="6" xr3:uid="{12930335-09AD-458A-ADF4-BDB1D73FEF4C}" name="Month 5"/>
    <tableColumn id="7" xr3:uid="{8E91A6FF-9E87-454C-869F-3D671C8ED68D}" name="Month 6"/>
    <tableColumn id="8" xr3:uid="{8D18B920-62FE-4C8A-B0A4-8E42166E0784}" name="Month 7"/>
    <tableColumn id="9" xr3:uid="{B51390B8-2C6D-4FDF-BFE9-954B607F1D9E}" name="Month 8"/>
    <tableColumn id="10" xr3:uid="{E586B976-53F8-45D3-925C-D1AB65C46330}" name="Month 9"/>
    <tableColumn id="11" xr3:uid="{F266D83B-4D39-4AF0-8286-1D95F9E3BDBC}" name="Month 10"/>
    <tableColumn id="12" xr3:uid="{C98D0CD4-E793-4002-9738-7E8C62D9647C}" name="Month 11"/>
    <tableColumn id="13" xr3:uid="{1603859D-EBF0-4A69-B3C4-FC9AD65D0922}" name="Month 12"/>
    <tableColumn id="14" xr3:uid="{57DEF398-DAD3-4CBC-84E6-D5F96F4A3F55}" name="Month 13"/>
    <tableColumn id="15" xr3:uid="{12B8BEEA-9E8F-4610-A812-F5F87ADA0C13}" name="Month 14"/>
    <tableColumn id="16" xr3:uid="{2ABCE423-B411-4F6C-B7D7-646958B416C8}" name="Month 15"/>
    <tableColumn id="17" xr3:uid="{4B564CB1-E268-418A-9246-564121BEBCAC}" name="Month 16"/>
    <tableColumn id="18" xr3:uid="{E1F834B7-AEE1-40E6-92D6-93E467C653DF}" name="Month 17"/>
    <tableColumn id="19" xr3:uid="{EFF98B5D-B0DB-4ED4-942B-C9C3BE3B6942}" name="Month 18"/>
    <tableColumn id="20" xr3:uid="{E386FA6D-C7CE-45FA-89B4-E0F89D4BD016}" name="Month 19"/>
    <tableColumn id="21" xr3:uid="{73A529BC-7DFD-4C04-9EB7-BC2BBCC532F6}" name="Month 20"/>
    <tableColumn id="22" xr3:uid="{30AF34A7-C5FF-45C2-86E9-313663618B81}" name="Month 21"/>
    <tableColumn id="23" xr3:uid="{E82C61FD-D9E0-49A2-8691-BB9278A4BCA1}" name="Month 22"/>
    <tableColumn id="24" xr3:uid="{D5FFC6F8-F124-4FD8-876C-4A46276EEA1D}" name="Month 23"/>
    <tableColumn id="25" xr3:uid="{C26F2835-7F32-4AF5-9264-419D6B71AC4F}" name="Month 24"/>
    <tableColumn id="26" xr3:uid="{06500611-9163-4DE7-8AD9-F84E3474A0A5}" name="Month 25"/>
    <tableColumn id="27" xr3:uid="{461DB78E-459E-4995-BCDB-DFA6B58E4A6B}" name="Month 26"/>
    <tableColumn id="28" xr3:uid="{94D886C1-ACD1-4D40-8B48-DD44B5485D41}" name="Month 27"/>
    <tableColumn id="29" xr3:uid="{F5E5D085-76F0-48DF-8293-B04CAF257459}" name="Month 28"/>
    <tableColumn id="30" xr3:uid="{3381F32E-0A93-47F2-BC85-66312E63B1C9}" name="Month 29"/>
    <tableColumn id="31" xr3:uid="{7FCC0440-4206-4A22-B343-8902926BDEE5}" name="Month 30"/>
    <tableColumn id="32" xr3:uid="{F4DBD025-357B-49A0-9707-C095BCF66359}" name="Month 31"/>
    <tableColumn id="33" xr3:uid="{2E00EEE0-E8DA-4537-9EBF-6E7CCA6A1DE4}" name="Month 32"/>
    <tableColumn id="34" xr3:uid="{3AB2A6A1-B6BB-4A90-8678-36E2FE0DE13B}" name="Month 33"/>
    <tableColumn id="35" xr3:uid="{4F9E17AE-F6E2-46EC-9FB4-D69F05C41C2E}" name="Month 34"/>
    <tableColumn id="36" xr3:uid="{22DC6266-2E06-4888-9BBB-714F17396C93}" name="Month 35"/>
    <tableColumn id="37" xr3:uid="{E627404C-5DB4-4265-A101-BA82520244C5}" name="Month 36"/>
    <tableColumn id="38" xr3:uid="{881986DF-CDEF-43CC-9E11-1B258BEB25E9}" name="Month 37"/>
    <tableColumn id="39" xr3:uid="{D79770EC-DC4E-40FB-9CBB-B10B0132A7BD}" name="Month 38"/>
    <tableColumn id="40" xr3:uid="{B250B2D1-4B64-4BA6-9404-68C5787FD582}" name="Month 39"/>
    <tableColumn id="41" xr3:uid="{0B6A6571-7E68-441A-ACCB-A562A3D9C712}" name="Month 40"/>
    <tableColumn id="42" xr3:uid="{5851F426-0F86-40F8-971C-CFF4CA91174C}" name="Month 41"/>
    <tableColumn id="43" xr3:uid="{31413844-338C-4DBF-9444-BF6A94D56A53}" name="Month 42"/>
    <tableColumn id="44" xr3:uid="{3AF5CD75-7702-4F2C-875E-08A55A0C24CE}" name="Month 43"/>
    <tableColumn id="45" xr3:uid="{BF9F8FA5-8940-46DB-82D1-536F4BEF8070}" name="Month 44"/>
    <tableColumn id="46" xr3:uid="{06486126-FA1D-48F3-A9A8-B6E418B1905E}" name="Month 45"/>
    <tableColumn id="47" xr3:uid="{BFF54A50-A2AD-494F-9267-4F01D7AE049D}" name="Month 46"/>
    <tableColumn id="48" xr3:uid="{B027A05E-54C7-4C23-8680-FEAEAA3ADEF9}" name="Month 47"/>
    <tableColumn id="49" xr3:uid="{B5961B8F-B6FA-4CAC-9747-995529BD7E02}" name="Month 48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1CDCAB-F811-43A5-8C90-D94795BC89AC}" name="Tabla3" displayName="Tabla3" ref="G19:BC30" totalsRowShown="0" headerRowBorderDxfId="21" tableBorderDxfId="20">
  <autoFilter ref="G19:BC30" xr:uid="{BA1CDCAB-F811-43A5-8C90-D94795BC89AC}"/>
  <tableColumns count="49">
    <tableColumn id="1" xr3:uid="{7F3CE7B4-336B-4154-B5B6-C5462F288562}" name="Salary of:"/>
    <tableColumn id="2" xr3:uid="{C2A34EFB-E2BF-4981-B357-04557086A60C}" name="Month 1" dataDxfId="19">
      <calculatedColumnFormula>($C3*H3+IF(OR(H$18=6,H$18=12),$C3,0))*(1+$C$19*H$17)</calculatedColumnFormula>
    </tableColumn>
    <tableColumn id="3" xr3:uid="{EC78BB33-CC04-46AA-A35B-DC4C0049BFD6}" name="Month 2">
      <calculatedColumnFormula>($C3*I3+IF(OR(I$18=6,I$18=12),$C3,0))*(1+$C$19*I$17)</calculatedColumnFormula>
    </tableColumn>
    <tableColumn id="4" xr3:uid="{CB434EF3-73DC-42F9-8786-00AAD8552720}" name="Month 3">
      <calculatedColumnFormula>($C3*J3+IF(OR(J$18=6,J$18=12),$C3,0))*(1+$C$19*J$17)</calculatedColumnFormula>
    </tableColumn>
    <tableColumn id="5" xr3:uid="{B4A4B24C-85A2-4B3D-9D2C-EB83B7E0B672}" name="Month 4">
      <calculatedColumnFormula>($C3*K3+IF(OR(K$18=6,K$18=12),$C3,0))*(1+$C$19*K$17)</calculatedColumnFormula>
    </tableColumn>
    <tableColumn id="6" xr3:uid="{DC0BC715-D743-48F3-B432-36EAA53713DC}" name="Month 5">
      <calculatedColumnFormula>($C3*L3+IF(OR(L$18=6,L$18=12),$C3,0))*(1+$C$19*L$17)</calculatedColumnFormula>
    </tableColumn>
    <tableColumn id="7" xr3:uid="{AC3828C9-5518-4BD2-905D-D156481226E3}" name="Month 6">
      <calculatedColumnFormula>($C3*M3+IF(OR(M$18=6,M$18=12),$C3,0))*(1+$C$19*M$17)</calculatedColumnFormula>
    </tableColumn>
    <tableColumn id="8" xr3:uid="{C2323AA3-9AEA-4989-B462-FE57436529B6}" name="Month 7">
      <calculatedColumnFormula>($C3*N3+IF(OR(N$18=6,N$18=12),$C3,0))*(1+$C$19*N$17)</calculatedColumnFormula>
    </tableColumn>
    <tableColumn id="9" xr3:uid="{5467273D-10A6-4860-8AB2-5C8621635F4C}" name="Month 8">
      <calculatedColumnFormula>($C3*O3+IF(OR(O$18=6,O$18=12),$C3,0))*(1+$C$19*O$17)</calculatedColumnFormula>
    </tableColumn>
    <tableColumn id="10" xr3:uid="{4E8BCA30-0B2B-49EF-8BC6-E03AA980AF7F}" name="Month 9">
      <calculatedColumnFormula>($C3*P3+IF(OR(P$18=6,P$18=12),$C3,0))*(1+$C$19*P$17)</calculatedColumnFormula>
    </tableColumn>
    <tableColumn id="11" xr3:uid="{921E3053-15AF-4B1D-A661-FBA788D43DF9}" name="Month 10">
      <calculatedColumnFormula>($C3*Q3+IF(OR(Q$18=6,Q$18=12),$C3,0))*(1+$C$19*Q$17)</calculatedColumnFormula>
    </tableColumn>
    <tableColumn id="12" xr3:uid="{367D7977-F038-41B0-896D-32DBBEE4825E}" name="Month 11">
      <calculatedColumnFormula>($C3*R3+IF(OR(R$18=6,R$18=12),$C3,0))*(1+$C$19*R$17)</calculatedColumnFormula>
    </tableColumn>
    <tableColumn id="13" xr3:uid="{1938AE46-947F-41A2-9AE4-942A2467E510}" name="Month 12">
      <calculatedColumnFormula>($C3*S3+IF(OR(S$18=6,S$18=12),$C3,0))*(1+$C$19*S$17)</calculatedColumnFormula>
    </tableColumn>
    <tableColumn id="14" xr3:uid="{C927CE3B-994F-4C1B-8ECC-78A7A2C631C0}" name="Month 13" dataDxfId="18">
      <calculatedColumnFormula>($C3*T3+IF(OR(T$18=6,T$18=12),$C3,0))*(1+$C$19*T$17)</calculatedColumnFormula>
    </tableColumn>
    <tableColumn id="15" xr3:uid="{F47D0BBA-B7A7-4470-A1E4-A876461EC478}" name="Month 14">
      <calculatedColumnFormula>($C3*U3+IF(OR(U$18=6,U$18=12),$C3,0))*(1+$C$19*U$17)</calculatedColumnFormula>
    </tableColumn>
    <tableColumn id="16" xr3:uid="{9DC1256F-4F36-411B-91DC-429088FE0D58}" name="Month 15">
      <calculatedColumnFormula>($C3*V3+IF(OR(V$18=6,V$18=12),$C3,0))*(1+$C$19*V$17)</calculatedColumnFormula>
    </tableColumn>
    <tableColumn id="17" xr3:uid="{9F467125-3C8F-4BEE-A734-61934F78373A}" name="Month 16">
      <calculatedColumnFormula>($C3*W3+IF(OR(W$18=6,W$18=12),$C3,0))*(1+$C$19*W$17)</calculatedColumnFormula>
    </tableColumn>
    <tableColumn id="18" xr3:uid="{1D01DB81-4117-46BA-A835-23CE0068D1DB}" name="Month 17">
      <calculatedColumnFormula>($C3*X3+IF(OR(X$18=6,X$18=12),$C3,0))*(1+$C$19*X$17)</calculatedColumnFormula>
    </tableColumn>
    <tableColumn id="19" xr3:uid="{95EE7D9E-D278-4B3F-88FC-DEEC10051007}" name="Month 18">
      <calculatedColumnFormula>($C3*Y3+IF(OR(Y$18=6,Y$18=12),$C3,0))*(1+$C$19*Y$17)</calculatedColumnFormula>
    </tableColumn>
    <tableColumn id="20" xr3:uid="{6111BB80-3D5A-4C56-935B-7075A19059E9}" name="Month 19">
      <calculatedColumnFormula>($C3*Z3+IF(OR(Z$18=6,Z$18=12),$C3,0))*(1+$C$19*Z$17)</calculatedColumnFormula>
    </tableColumn>
    <tableColumn id="21" xr3:uid="{D806FE4C-82AF-4106-BFE1-34325893587B}" name="Month 20">
      <calculatedColumnFormula>($C3*AA3+IF(OR(AA$18=6,AA$18=12),$C3,0))*(1+$C$19*AA$17)</calculatedColumnFormula>
    </tableColumn>
    <tableColumn id="22" xr3:uid="{8BD8C355-6DAB-4687-9591-6C2866A96628}" name="Month 21">
      <calculatedColumnFormula>($C3*AB3+IF(OR(AB$18=6,AB$18=12),$C3,0))*(1+$C$19*AB$17)</calculatedColumnFormula>
    </tableColumn>
    <tableColumn id="23" xr3:uid="{E198C4A4-19D1-44EB-8311-2515A83ADF3C}" name="Month 22">
      <calculatedColumnFormula>($C3*AC3+IF(OR(AC$18=6,AC$18=12),$C3,0))*(1+$C$19*AC$17)</calculatedColumnFormula>
    </tableColumn>
    <tableColumn id="24" xr3:uid="{CB76F77E-4439-4F3D-92ED-36A69B8A14C7}" name="Month 23">
      <calculatedColumnFormula>($C3*AD3+IF(OR(AD$18=6,AD$18=12),$C3,0))*(1+$C$19*AD$17)</calculatedColumnFormula>
    </tableColumn>
    <tableColumn id="25" xr3:uid="{C50AB815-2AFA-4403-8B1B-DCE15FE8324C}" name="Month 24">
      <calculatedColumnFormula>($C3*AE3+IF(OR(AE$18=6,AE$18=12),$C3,0))*(1+$C$19*AE$17)</calculatedColumnFormula>
    </tableColumn>
    <tableColumn id="26" xr3:uid="{AE9C154B-AF47-47E4-BACF-25E3F7902F20}" name="Month 25">
      <calculatedColumnFormula>($C3*AF3+IF(OR(AF$18=6,AF$18=12),$C3,0))*(1+$C$19*AF$17)</calculatedColumnFormula>
    </tableColumn>
    <tableColumn id="27" xr3:uid="{E4BA60B7-BB34-4782-9AD3-48138761CBA1}" name="Month 26">
      <calculatedColumnFormula>($C3*AG3+IF(OR(AG$18=6,AG$18=12),$C3,0))*(1+$C$19*AG$17)</calculatedColumnFormula>
    </tableColumn>
    <tableColumn id="28" xr3:uid="{F5344395-853B-44CC-A563-BAEC508C8448}" name="Month 27">
      <calculatedColumnFormula>($C3*AH3+IF(OR(AH$18=6,AH$18=12),$C3,0))*(1+$C$19*AH$17)</calculatedColumnFormula>
    </tableColumn>
    <tableColumn id="29" xr3:uid="{D455D7BE-ADAD-4085-95D6-8C212FD9617C}" name="Month 28">
      <calculatedColumnFormula>($C3*AI3+IF(OR(AI$18=6,AI$18=12),$C3,0))*(1+$C$19*AI$17)</calculatedColumnFormula>
    </tableColumn>
    <tableColumn id="30" xr3:uid="{2DF80DE5-C76C-4E1B-BEC9-73264F6786AB}" name="Month 29">
      <calculatedColumnFormula>($C3*AJ3+IF(OR(AJ$18=6,AJ$18=12),$C3,0))*(1+$C$19*AJ$17)</calculatedColumnFormula>
    </tableColumn>
    <tableColumn id="31" xr3:uid="{EC754EC8-9D34-46E1-B53D-76191C5C2D0C}" name="Month 30">
      <calculatedColumnFormula>($C3*AK3+IF(OR(AK$18=6,AK$18=12),$C3,0))*(1+$C$19*AK$17)</calculatedColumnFormula>
    </tableColumn>
    <tableColumn id="32" xr3:uid="{00F2680F-B7F0-4171-A1F1-3781D3A204F9}" name="Month 31">
      <calculatedColumnFormula>($C3*AL3+IF(OR(AL$18=6,AL$18=12),$C3,0))*(1+$C$19*AL$17)</calculatedColumnFormula>
    </tableColumn>
    <tableColumn id="33" xr3:uid="{C328D991-9139-47AF-83E5-8C6EB4049AAA}" name="Month 32">
      <calculatedColumnFormula>($C3*AM3+IF(OR(AM$18=6,AM$18=12),$C3,0))*(1+$C$19*AM$17)</calculatedColumnFormula>
    </tableColumn>
    <tableColumn id="34" xr3:uid="{8672F285-4629-40CA-8AD9-50E4F17D2A7E}" name="Month 33">
      <calculatedColumnFormula>($C3*AN3+IF(OR(AN$18=6,AN$18=12),$C3,0))*(1+$C$19*AN$17)</calculatedColumnFormula>
    </tableColumn>
    <tableColumn id="35" xr3:uid="{89A541CD-304E-47F3-9B77-1E49CB4D1726}" name="Month 34">
      <calculatedColumnFormula>($C3*AO3+IF(OR(AO$18=6,AO$18=12),$C3,0))*(1+$C$19*AO$17)</calculatedColumnFormula>
    </tableColumn>
    <tableColumn id="36" xr3:uid="{4F79AA16-CA13-47ED-83BE-E7024DB6FA97}" name="Month 35">
      <calculatedColumnFormula>($C3*AP3+IF(OR(AP$18=6,AP$18=12),$C3,0))*(1+$C$19*AP$17)</calculatedColumnFormula>
    </tableColumn>
    <tableColumn id="37" xr3:uid="{945CB01C-FA60-4ED8-B71D-5EA2C2229049}" name="Month 36">
      <calculatedColumnFormula>($C3*AQ3+IF(OR(AQ$18=6,AQ$18=12),$C3,0))*(1+$C$19*AQ$17)</calculatedColumnFormula>
    </tableColumn>
    <tableColumn id="38" xr3:uid="{93B67441-4A1F-4C61-BFAF-B3B4E64C0414}" name="Month 37" dataDxfId="17">
      <calculatedColumnFormula>($C3*AR3+IF(OR(AR$18=6,AR$18=12),$C3,0))*(1+$C$19*AR$17)</calculatedColumnFormula>
    </tableColumn>
    <tableColumn id="39" xr3:uid="{264B1B50-D01C-4290-A2F0-8DB4115B90B6}" name="Month 38" dataDxfId="16">
      <calculatedColumnFormula>($C3*AS3+IF(OR(AS$18=6,AS$18=12),$C3,0))*(1+$C$19*AS$17)</calculatedColumnFormula>
    </tableColumn>
    <tableColumn id="40" xr3:uid="{9368CF9F-A004-4C6E-9A9D-9B607AF71234}" name="Month 39" dataDxfId="15">
      <calculatedColumnFormula>($C3*AT3+IF(OR(AT$18=6,AT$18=12),$C3,0))*(1+$C$19*AT$17)</calculatedColumnFormula>
    </tableColumn>
    <tableColumn id="41" xr3:uid="{598A3CA3-7436-4B99-A3A0-8AA8AD0F65DA}" name="Month 40" dataDxfId="14">
      <calculatedColumnFormula>($C3*AU3+IF(OR(AU$18=6,AU$18=12),$C3,0))*(1+$C$19*AU$17)</calculatedColumnFormula>
    </tableColumn>
    <tableColumn id="42" xr3:uid="{7A3D585C-0D23-4B34-9ABC-E8A2D255E4AF}" name="Month 41" dataDxfId="13">
      <calculatedColumnFormula>($C3*AV3+IF(OR(AV$18=6,AV$18=12),$C3,0))*(1+$C$19*AV$17)</calculatedColumnFormula>
    </tableColumn>
    <tableColumn id="43" xr3:uid="{8718E680-A904-4F7A-9373-E62200D19883}" name="Month 42" dataDxfId="12">
      <calculatedColumnFormula>($C3*AW3+IF(OR(AW$18=6,AW$18=12),$C3,0))*(1+$C$19*AW$17)</calculatedColumnFormula>
    </tableColumn>
    <tableColumn id="44" xr3:uid="{30C9BF30-F961-495B-AB73-BEB768D5B0A2}" name="Month 43" dataDxfId="11">
      <calculatedColumnFormula>($C3*AX3+IF(OR(AX$18=6,AX$18=12),$C3,0))*(1+$C$19*AX$17)</calculatedColumnFormula>
    </tableColumn>
    <tableColumn id="45" xr3:uid="{BB7280C8-817D-4E88-A0C5-B7216BEA44C7}" name="Month 44" dataDxfId="10">
      <calculatedColumnFormula>($C3*AY3+IF(OR(AY$18=6,AY$18=12),$C3,0))*(1+$C$19*AY$17)</calculatedColumnFormula>
    </tableColumn>
    <tableColumn id="46" xr3:uid="{AE19985E-17C4-4488-BF01-519F46009AE0}" name="Month 45" dataDxfId="9">
      <calculatedColumnFormula>($C3*AZ3+IF(OR(AZ$18=6,AZ$18=12),$C3,0))*(1+$C$19*AZ$17)</calculatedColumnFormula>
    </tableColumn>
    <tableColumn id="47" xr3:uid="{0419E3DF-F32C-4EA8-8973-FFB71C1936AF}" name="Month 46" dataDxfId="8">
      <calculatedColumnFormula>($C3*BA3+IF(OR(BA$18=6,BA$18=12),$C3,0))*(1+$C$19*BA$17)</calculatedColumnFormula>
    </tableColumn>
    <tableColumn id="48" xr3:uid="{3B425EA2-DE8F-4BB8-9509-7BC6974A4D3B}" name="Month 47" dataDxfId="7">
      <calculatedColumnFormula>($C3*BB3+IF(OR(BB$18=6,BB$18=12),$C3,0))*(1+$C$19*BB$17)</calculatedColumnFormula>
    </tableColumn>
    <tableColumn id="49" xr3:uid="{602EC894-7BFD-4EC8-ABF1-5CC3BC9E504F}" name="Month 48">
      <calculatedColumnFormula>($C3*BC3+IF(OR(BC$18=6,BC$18=12),$C3,0))*(1+$C$19*BC$17)</calculatedColumnFormula>
    </tableColumn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A1DB8D-CC30-4723-B306-8B8A236FF9DD}" name="Tabla5" displayName="Tabla5" ref="G33:BC37" totalsRowCount="1">
  <autoFilter ref="G33:BC36" xr:uid="{7FA1DB8D-CC30-4723-B306-8B8A236FF9DD}"/>
  <tableColumns count="49">
    <tableColumn id="1" xr3:uid="{4CD0A025-5D37-44BF-91CB-0F5BBCCC3B5B}" name="Department cost:" totalsRowLabel="TOTAL"/>
    <tableColumn id="2" xr3:uid="{7DC3BEE1-E5AD-4249-841C-92ED6B5E4A8E}" name="Month 1" totalsRowFunction="custom">
      <totalsRowFormula>SUBTOTAL(109,H34:H36)</totalsRowFormula>
    </tableColumn>
    <tableColumn id="3" xr3:uid="{89A1B9CE-79B9-4123-AC99-4C4A1C0BF0A6}" name="Month 2" totalsRowFunction="custom">
      <totalsRowFormula>SUBTOTAL(109,I34:I36)</totalsRowFormula>
    </tableColumn>
    <tableColumn id="4" xr3:uid="{F1E80F4D-DA65-48A6-B57A-48A7690614F5}" name="Month 3" totalsRowFunction="custom">
      <totalsRowFormula>SUBTOTAL(109,J34:J36)</totalsRowFormula>
    </tableColumn>
    <tableColumn id="5" xr3:uid="{45CEE071-DD13-4EE3-B7A8-6EC134D8D977}" name="Month 4" totalsRowFunction="custom">
      <totalsRowFormula>SUBTOTAL(109,K34:K36)</totalsRowFormula>
    </tableColumn>
    <tableColumn id="6" xr3:uid="{8C5EAFF7-8410-4E62-9CD7-341C36996A21}" name="Month 5" totalsRowFunction="custom">
      <totalsRowFormula>SUBTOTAL(109,L34:L36)</totalsRowFormula>
    </tableColumn>
    <tableColumn id="7" xr3:uid="{4ECFBB6B-D184-4A4E-908F-3E2A24904BD2}" name="Month 6" totalsRowFunction="custom">
      <totalsRowFormula>SUBTOTAL(109,M34:M36)</totalsRowFormula>
    </tableColumn>
    <tableColumn id="8" xr3:uid="{9A7A48D6-655A-414F-9E76-3A5DD66FB38F}" name="Month 7" totalsRowFunction="custom">
      <totalsRowFormula>SUBTOTAL(109,N34:N36)</totalsRowFormula>
    </tableColumn>
    <tableColumn id="9" xr3:uid="{FA8C64C6-FDBC-46DA-AE6F-BA949EC91F4D}" name="Month 8" totalsRowFunction="custom">
      <totalsRowFormula>SUBTOTAL(109,O34:O36)</totalsRowFormula>
    </tableColumn>
    <tableColumn id="10" xr3:uid="{5A4ED8BF-F27F-49FD-92D5-BD3FBE2BC4B5}" name="Month 9" totalsRowFunction="custom">
      <totalsRowFormula>SUBTOTAL(109,P34:P36)</totalsRowFormula>
    </tableColumn>
    <tableColumn id="11" xr3:uid="{7DBBA51A-16B0-42B0-93D4-AAAD96BE516F}" name="Month 10" totalsRowFunction="custom">
      <totalsRowFormula>SUBTOTAL(109,Q34:Q36)</totalsRowFormula>
    </tableColumn>
    <tableColumn id="12" xr3:uid="{0405C588-45E4-458F-832E-C3A8E7F66EE4}" name="Month 11" totalsRowFunction="custom">
      <totalsRowFormula>SUBTOTAL(109,R34:R36)</totalsRowFormula>
    </tableColumn>
    <tableColumn id="13" xr3:uid="{EF6FC7DC-5425-4334-B7BA-2D538D90EFFA}" name="Month 12" totalsRowFunction="custom">
      <totalsRowFormula>SUBTOTAL(109,S34:S36)</totalsRowFormula>
    </tableColumn>
    <tableColumn id="14" xr3:uid="{CDEDA8CB-4495-4BD3-BBAF-BAB1916B68DA}" name="Month 13" totalsRowFunction="custom">
      <totalsRowFormula>SUBTOTAL(109,T34:T36)</totalsRowFormula>
    </tableColumn>
    <tableColumn id="15" xr3:uid="{29461A40-FD16-489A-8586-0443384C1065}" name="Month 14" totalsRowFunction="custom">
      <totalsRowFormula>SUBTOTAL(109,U34:U36)</totalsRowFormula>
    </tableColumn>
    <tableColumn id="16" xr3:uid="{9819BC6B-E435-4ECA-A770-5C1013354F8D}" name="Month 15" totalsRowFunction="custom">
      <totalsRowFormula>SUBTOTAL(109,V34:V36)</totalsRowFormula>
    </tableColumn>
    <tableColumn id="17" xr3:uid="{A06E7333-4955-4D1C-9ADE-6AF36EA712AB}" name="Month 16" totalsRowFunction="custom">
      <totalsRowFormula>SUBTOTAL(109,W34:W36)</totalsRowFormula>
    </tableColumn>
    <tableColumn id="18" xr3:uid="{3CF015E5-05B8-4D04-997E-E55049D5E78F}" name="Month 17" totalsRowFunction="custom">
      <totalsRowFormula>SUBTOTAL(109,X34:X36)</totalsRowFormula>
    </tableColumn>
    <tableColumn id="19" xr3:uid="{39092122-EB89-40E0-B908-F79F00534DE6}" name="Month 18" totalsRowFunction="custom">
      <totalsRowFormula>SUBTOTAL(109,Y34:Y36)</totalsRowFormula>
    </tableColumn>
    <tableColumn id="20" xr3:uid="{9ACC7E76-A2C1-4C1C-8E32-E7130A02D870}" name="Month 19" totalsRowFunction="custom">
      <totalsRowFormula>SUBTOTAL(109,Z34:Z36)</totalsRowFormula>
    </tableColumn>
    <tableColumn id="21" xr3:uid="{5162F495-12F9-4278-81BF-F72606895798}" name="Month 20" totalsRowFunction="custom">
      <totalsRowFormula>SUBTOTAL(109,AA34:AA36)</totalsRowFormula>
    </tableColumn>
    <tableColumn id="22" xr3:uid="{1E02A626-0059-4615-92E1-1BD17A8FA04A}" name="Month 21" totalsRowFunction="custom">
      <totalsRowFormula>SUBTOTAL(109,AB34:AB36)</totalsRowFormula>
    </tableColumn>
    <tableColumn id="23" xr3:uid="{90098FD8-BAEF-4342-86B0-A830FA457D1E}" name="Month 22" totalsRowFunction="custom">
      <totalsRowFormula>SUBTOTAL(109,AC34:AC36)</totalsRowFormula>
    </tableColumn>
    <tableColumn id="24" xr3:uid="{0189DDC7-E3D5-4D7E-9C0C-F38F78E78458}" name="Month 23" totalsRowFunction="custom">
      <totalsRowFormula>SUBTOTAL(109,AD34:AD36)</totalsRowFormula>
    </tableColumn>
    <tableColumn id="25" xr3:uid="{1C6F4517-466C-4581-B94A-C213821C0904}" name="Month 24" totalsRowFunction="custom">
      <totalsRowFormula>SUBTOTAL(109,AE34:AE36)</totalsRowFormula>
    </tableColumn>
    <tableColumn id="26" xr3:uid="{60C977AA-8582-46AA-8066-79D1A7643C95}" name="Month 25" totalsRowFunction="custom">
      <totalsRowFormula>SUBTOTAL(109,AF34:AF36)</totalsRowFormula>
    </tableColumn>
    <tableColumn id="27" xr3:uid="{02F2AD49-5234-4EC3-9113-AA69BEAF5B6A}" name="Month 26" totalsRowFunction="custom">
      <totalsRowFormula>SUBTOTAL(109,AG34:AG36)</totalsRowFormula>
    </tableColumn>
    <tableColumn id="28" xr3:uid="{52EE81E2-0318-4793-9F8C-47FEE7F7DAAE}" name="Month 27" totalsRowFunction="custom">
      <totalsRowFormula>SUBTOTAL(109,AH34:AH36)</totalsRowFormula>
    </tableColumn>
    <tableColumn id="29" xr3:uid="{41092E5B-0C3C-47E5-AB95-0CEAB067DEF0}" name="Month 28" totalsRowFunction="custom">
      <totalsRowFormula>SUBTOTAL(109,AI34:AI36)</totalsRowFormula>
    </tableColumn>
    <tableColumn id="30" xr3:uid="{2857B3B4-BA65-46F3-8DC4-7D5BBA56B5FF}" name="Month 29" totalsRowFunction="custom">
      <totalsRowFormula>SUBTOTAL(109,AJ34:AJ36)</totalsRowFormula>
    </tableColumn>
    <tableColumn id="31" xr3:uid="{3ECDF2D0-97F7-44B3-9091-46C4A3240F6E}" name="Month 30" totalsRowFunction="custom">
      <totalsRowFormula>SUBTOTAL(109,AK34:AK36)</totalsRowFormula>
    </tableColumn>
    <tableColumn id="32" xr3:uid="{88B25C4B-60ED-4C93-80A8-00A61D26E104}" name="Month 31" totalsRowFunction="custom">
      <totalsRowFormula>SUBTOTAL(109,AL34:AL36)</totalsRowFormula>
    </tableColumn>
    <tableColumn id="33" xr3:uid="{46E00FB2-4D25-4D11-A4B5-AC75BAB27AF3}" name="Month 32" totalsRowFunction="custom">
      <totalsRowFormula>SUBTOTAL(109,AM34:AM36)</totalsRowFormula>
    </tableColumn>
    <tableColumn id="34" xr3:uid="{BDF64985-D7EA-41FF-A17A-BFA64C9B5D2E}" name="Month 33" totalsRowFunction="custom">
      <totalsRowFormula>SUBTOTAL(109,AN34:AN36)</totalsRowFormula>
    </tableColumn>
    <tableColumn id="35" xr3:uid="{96BDCAB8-CE5A-45A0-AB85-215F0A509DFC}" name="Month 34" totalsRowFunction="custom">
      <totalsRowFormula>SUBTOTAL(109,AO34:AO36)</totalsRowFormula>
    </tableColumn>
    <tableColumn id="36" xr3:uid="{57463D42-9BFD-4819-BB71-6966DC28C1D3}" name="Month 35" totalsRowFunction="custom">
      <totalsRowFormula>SUBTOTAL(109,AP34:AP36)</totalsRowFormula>
    </tableColumn>
    <tableColumn id="37" xr3:uid="{DCFD7AED-8095-4DCD-8E5F-6466EC627FE7}" name="Month 36" totalsRowFunction="custom">
      <totalsRowFormula>SUBTOTAL(109,AQ34:AQ36)</totalsRowFormula>
    </tableColumn>
    <tableColumn id="38" xr3:uid="{C15D95D5-644D-4F3C-86B7-BD30703827A1}" name="Month 37" totalsRowFunction="custom">
      <totalsRowFormula>SUBTOTAL(109,AR34:AR36)</totalsRowFormula>
    </tableColumn>
    <tableColumn id="39" xr3:uid="{277C461D-5C48-40C0-8468-A76C37F746C8}" name="Month 38" totalsRowFunction="custom">
      <totalsRowFormula>SUBTOTAL(109,AS34:AS36)</totalsRowFormula>
    </tableColumn>
    <tableColumn id="40" xr3:uid="{9094ADCB-8829-42EC-89BB-070B43CF7152}" name="Month 39" totalsRowFunction="custom">
      <totalsRowFormula>SUBTOTAL(109,AT34:AT36)</totalsRowFormula>
    </tableColumn>
    <tableColumn id="41" xr3:uid="{FFFB4B4A-6D14-4108-9448-A07BB4062643}" name="Month 40" totalsRowFunction="custom">
      <totalsRowFormula>SUBTOTAL(109,AU34:AU36)</totalsRowFormula>
    </tableColumn>
    <tableColumn id="42" xr3:uid="{7E2C991C-AEC3-4309-9756-9CA6A42E7AD0}" name="Month 41" totalsRowFunction="custom">
      <totalsRowFormula>SUBTOTAL(109,AV34:AV36)</totalsRowFormula>
    </tableColumn>
    <tableColumn id="43" xr3:uid="{53BE147D-71AB-4645-9C3E-73221C47F68F}" name="Month 42" totalsRowFunction="custom">
      <totalsRowFormula>SUBTOTAL(109,AW34:AW36)</totalsRowFormula>
    </tableColumn>
    <tableColumn id="44" xr3:uid="{18A6F41A-7186-408A-BA38-AC11DB884E94}" name="Month 43" totalsRowFunction="custom">
      <totalsRowFormula>SUBTOTAL(109,AX34:AX36)</totalsRowFormula>
    </tableColumn>
    <tableColumn id="45" xr3:uid="{EB0530A4-416C-4BFE-A80E-BAEC58EF80AB}" name="Month 44" totalsRowFunction="custom">
      <totalsRowFormula>SUBTOTAL(109,AY34:AY36)</totalsRowFormula>
    </tableColumn>
    <tableColumn id="46" xr3:uid="{88E6D946-DCDE-4A12-B003-7874CBFB70B2}" name="Month 45" totalsRowFunction="custom">
      <totalsRowFormula>SUBTOTAL(109,AZ34:AZ36)</totalsRowFormula>
    </tableColumn>
    <tableColumn id="47" xr3:uid="{D80F603A-D5BA-45D1-B9C4-F96160CA71A5}" name="Month 46" totalsRowFunction="custom">
      <totalsRowFormula>SUBTOTAL(109,BA34:BA36)</totalsRowFormula>
    </tableColumn>
    <tableColumn id="48" xr3:uid="{257066ED-869E-4EF6-8DD0-E28E0E977BD8}" name="Month 47" totalsRowFunction="custom">
      <totalsRowFormula>SUBTOTAL(109,BB34:BB36)</totalsRowFormula>
    </tableColumn>
    <tableColumn id="49" xr3:uid="{F42C8C7C-4C39-489B-A735-A891F8C5766F}" name="Month 48" totalsRowFunction="custom">
      <totalsRowFormula>SUBTOTAL(109,BC34:BC36)</totalsRowFormula>
    </tableColumn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41C6BD2-789A-49A1-9926-28A109CBBE5D}" name="Tabla13" displayName="Tabla13" ref="T42:AE53" totalsRowShown="0" headerRowBorderDxfId="6" tableBorderDxfId="5" totalsRowBorderDxfId="4">
  <autoFilter ref="T42:AE53" xr:uid="{B41C6BD2-789A-49A1-9926-28A109CBBE5D}"/>
  <tableColumns count="12">
    <tableColumn id="1" xr3:uid="{D67ACC7A-C911-41B6-AE1B-2390AE401671}" name="Employee" dataDxfId="3"/>
    <tableColumn id="2" xr3:uid="{48D1B312-4125-43EC-A0AA-E8D4C9529527}" name="Year 0" dataDxfId="2" dataCellStyle="Moneda"/>
    <tableColumn id="3" xr3:uid="{22970D5D-B074-4066-8220-516165B22687}" name="Year 1" dataDxfId="1">
      <calculatedColumnFormula>Tabla13[[#This Row],[Year 0]]*(1+$C$19)</calculatedColumnFormula>
    </tableColumn>
    <tableColumn id="4" xr3:uid="{98FEA10B-7C1E-4BDF-8BB3-2383A1A2701E}" name="Year 2">
      <calculatedColumnFormula>Tabla13[[#This Row],[Year 1]]*(1+$C$19)</calculatedColumnFormula>
    </tableColumn>
    <tableColumn id="5" xr3:uid="{64C28C75-976D-4773-9492-F3ED5A2D1F42}" name="Year 3">
      <calculatedColumnFormula>Tabla13[[#This Row],[Year 2]]*(1+$C$19)</calculatedColumnFormula>
    </tableColumn>
    <tableColumn id="6" xr3:uid="{01B7C660-0E6F-4E99-9F08-47E0671FC674}" name="Year 4">
      <calculatedColumnFormula>Tabla13[[#This Row],[Year 3]]*(1+$C$19)</calculatedColumnFormula>
    </tableColumn>
    <tableColumn id="7" xr3:uid="{54CC86C8-6C56-46E6-B119-A3AD42CA2048}" name="Year 5">
      <calculatedColumnFormula>Tabla13[[#This Row],[Year 4]]*(1+$C$19)</calculatedColumnFormula>
    </tableColumn>
    <tableColumn id="8" xr3:uid="{62C751BD-E5E7-4324-AE96-7D4CA734B946}" name="Year 6">
      <calculatedColumnFormula>Tabla13[[#This Row],[Year 5]]*(1+$C$19)</calculatedColumnFormula>
    </tableColumn>
    <tableColumn id="9" xr3:uid="{6A13AA48-88DF-4657-AA05-30B15AF50A8C}" name="Year 7">
      <calculatedColumnFormula>Tabla13[[#This Row],[Year 6]]*(1+$C$19)</calculatedColumnFormula>
    </tableColumn>
    <tableColumn id="10" xr3:uid="{3945E709-43C5-4223-BED7-D0F934AC48C4}" name="Year 8">
      <calculatedColumnFormula>Tabla13[[#This Row],[Year 7]]*(1+$C$19)</calculatedColumnFormula>
    </tableColumn>
    <tableColumn id="11" xr3:uid="{B8CF8A0B-A8EC-4B0B-B0F1-2653A146F03C}" name="Year 9">
      <calculatedColumnFormula>Tabla13[[#This Row],[Year 8]]*(1+$C$19)</calculatedColumnFormula>
    </tableColumn>
    <tableColumn id="12" xr3:uid="{6BD66411-75D3-4E46-A328-595252F02E2A}" name="Year 10">
      <calculatedColumnFormula>Tabla13[[#This Row],[Year 9]]*(1+$C$19)</calculatedColumnFormula>
    </tableColumn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5B1F74-8606-4EDD-A38E-E2F597965D8F}" name="Tabla8" displayName="Tabla8" ref="B2:AY6" totalsRowShown="0">
  <autoFilter ref="B2:AY6" xr:uid="{045B1F74-8606-4EDD-A38E-E2F597965D8F}"/>
  <tableColumns count="50">
    <tableColumn id="1" xr3:uid="{E8334DFC-4A6D-45FD-AA74-393558F1EF8D}" name="Month "/>
    <tableColumn id="2" xr3:uid="{37209AD3-F5C7-49D8-A5D7-8397B533E5D0}" name="Month 1">
      <calculatedColumnFormula>GEOMEAN(Cashflow!$D$54:$E$54)*C2</calculatedColumnFormula>
    </tableColumn>
    <tableColumn id="3" xr3:uid="{45A4D89A-881E-463A-BDC5-F80525FBD682}" name="Month 2">
      <calculatedColumnFormula>GEOMEAN(Cashflow!$D$54:$E$54)*D2</calculatedColumnFormula>
    </tableColumn>
    <tableColumn id="4" xr3:uid="{F7F723EB-2680-4840-908E-9FB3A4CC9C68}" name="Month 3">
      <calculatedColumnFormula>GEOMEAN(Cashflow!$D$54:$E$54)*E2</calculatedColumnFormula>
    </tableColumn>
    <tableColumn id="5" xr3:uid="{6A9C6E1C-AE2E-4228-9E2D-9E6494103559}" name="Month 4">
      <calculatedColumnFormula>GEOMEAN(Cashflow!$D$54:$E$54)*F2</calculatedColumnFormula>
    </tableColumn>
    <tableColumn id="6" xr3:uid="{E1C29F11-D55F-42F9-B06D-29E4037A49F9}" name="Month 5">
      <calculatedColumnFormula>GEOMEAN(Cashflow!$D$54:$E$54)*G2</calculatedColumnFormula>
    </tableColumn>
    <tableColumn id="7" xr3:uid="{806D1EA7-D83A-4AE5-A351-BDCD54BAF333}" name="Month 6">
      <calculatedColumnFormula>GEOMEAN(Cashflow!$D$54:$E$54)*H2</calculatedColumnFormula>
    </tableColumn>
    <tableColumn id="8" xr3:uid="{4FC31AA1-FFC6-44A1-AD72-71378FC5820C}" name="Month 7" dataDxfId="0">
      <calculatedColumnFormula>SUM(Cashflow!$D$51:$E$51)*Cashflow!$D$52-Sales!P7</calculatedColumnFormula>
    </tableColumn>
    <tableColumn id="9" xr3:uid="{970DB126-70E6-434C-B9CB-B78D9F33E2C3}" name="Month 8">
      <calculatedColumnFormula>GEOMEAN(Cashflow!$D$54:$E$54)*J2</calculatedColumnFormula>
    </tableColumn>
    <tableColumn id="10" xr3:uid="{8586CE22-CCBC-4532-855A-2481B9914BE5}" name="Month 9">
      <calculatedColumnFormula>GEOMEAN(Cashflow!$D$54:$E$54)*K2</calculatedColumnFormula>
    </tableColumn>
    <tableColumn id="11" xr3:uid="{6391A7CB-FBA2-4A3F-86F2-31E7122FE560}" name="Month 10">
      <calculatedColumnFormula>GEOMEAN(Cashflow!$D$54:$E$54)*L2</calculatedColumnFormula>
    </tableColumn>
    <tableColumn id="12" xr3:uid="{CAEB509C-6F07-4311-AD93-E521635DBD18}" name="Month 11">
      <calculatedColumnFormula>GEOMEAN(Cashflow!$D$54:$E$54)*M2</calculatedColumnFormula>
    </tableColumn>
    <tableColumn id="13" xr3:uid="{811BAF74-DAAB-476B-AA40-AC8F4EB26C33}" name="Month 12">
      <calculatedColumnFormula>GEOMEAN(Cashflow!$D$54:$E$54)*N2</calculatedColumnFormula>
    </tableColumn>
    <tableColumn id="14" xr3:uid="{6B453632-33E9-46CE-9359-5023FE309A8E}" name="Month 13">
      <calculatedColumnFormula>GEOMEAN(Cashflow!$D$54:$E$54)*O2</calculatedColumnFormula>
    </tableColumn>
    <tableColumn id="15" xr3:uid="{DD590C68-55BC-4EFB-B6F7-044A5D02833A}" name="Month 14">
      <calculatedColumnFormula>GEOMEAN(Cashflow!$D$54:$E$54)*P2</calculatedColumnFormula>
    </tableColumn>
    <tableColumn id="16" xr3:uid="{C2D3AA64-7FF0-4707-8B83-8D18B5CAF1E0}" name="Month 15">
      <calculatedColumnFormula>GEOMEAN(Cashflow!$D$54:$E$54)*Q2</calculatedColumnFormula>
    </tableColumn>
    <tableColumn id="17" xr3:uid="{B7FDA404-829A-4BB5-8A34-31D7597172F5}" name="Month 16">
      <calculatedColumnFormula>GEOMEAN(Cashflow!$D$54:$E$54)*R2</calculatedColumnFormula>
    </tableColumn>
    <tableColumn id="18" xr3:uid="{3E02F167-C99B-49A4-9818-18F34D4F1BBB}" name="Month 17">
      <calculatedColumnFormula>GEOMEAN(Cashflow!$D$54:$E$54)*S2</calculatedColumnFormula>
    </tableColumn>
    <tableColumn id="19" xr3:uid="{0983FC72-CBCD-4D62-905D-08F1868695F8}" name="Month 18">
      <calculatedColumnFormula>GEOMEAN(Cashflow!$D$54:$E$54)*T2</calculatedColumnFormula>
    </tableColumn>
    <tableColumn id="20" xr3:uid="{3FEC4BE1-D7D2-4AC5-8F6E-4FAF55B721BF}" name="Month 19">
      <calculatedColumnFormula>GEOMEAN(Cashflow!$D$54:$E$54)*U2</calculatedColumnFormula>
    </tableColumn>
    <tableColumn id="21" xr3:uid="{EEA0A375-264F-432A-A957-698A4E852FD2}" name="Month 20">
      <calculatedColumnFormula>GEOMEAN(Cashflow!$D$54:$E$54)*V2</calculatedColumnFormula>
    </tableColumn>
    <tableColumn id="22" xr3:uid="{051060B2-DEE5-43ED-85D1-2D2AD6B623CA}" name="Month 21">
      <calculatedColumnFormula>GEOMEAN(Cashflow!$D$54:$E$54)*W2</calculatedColumnFormula>
    </tableColumn>
    <tableColumn id="23" xr3:uid="{D26332DA-A07A-485B-98ED-4CD698DBEC8C}" name="Month 22">
      <calculatedColumnFormula>GEOMEAN(Cashflow!$D$54:$E$54)*X2</calculatedColumnFormula>
    </tableColumn>
    <tableColumn id="24" xr3:uid="{FEEF47DA-3CB1-4AF6-B43C-8ABE6F64DC59}" name="Month 23">
      <calculatedColumnFormula>GEOMEAN(Cashflow!$D$54:$E$54)*Y2</calculatedColumnFormula>
    </tableColumn>
    <tableColumn id="25" xr3:uid="{76DF5530-CEF1-4843-AB40-C057DB99B791}" name="Month 24">
      <calculatedColumnFormula>GEOMEAN(Cashflow!$D$54:$E$54)*Z2</calculatedColumnFormula>
    </tableColumn>
    <tableColumn id="26" xr3:uid="{D5A681EF-4926-4B7C-816C-01482045171B}" name="Month 25">
      <calculatedColumnFormula>GEOMEAN(Cashflow!$D$54:$E$54)*AA2</calculatedColumnFormula>
    </tableColumn>
    <tableColumn id="27" xr3:uid="{4E95FA0D-E841-43CB-B098-676028158169}" name="Month 26">
      <calculatedColumnFormula>GEOMEAN(Cashflow!$D$54:$E$54)*AB2</calculatedColumnFormula>
    </tableColumn>
    <tableColumn id="28" xr3:uid="{735A6951-E17C-4E20-B893-536012BDB3F6}" name="Month 27">
      <calculatedColumnFormula>GEOMEAN(Cashflow!$D$54:$E$54)*AC2</calculatedColumnFormula>
    </tableColumn>
    <tableColumn id="29" xr3:uid="{5471625C-9AE8-45B9-97B8-6DDA6C613146}" name="Month 28">
      <calculatedColumnFormula>GEOMEAN(Cashflow!$D$54:$E$54)*AD2</calculatedColumnFormula>
    </tableColumn>
    <tableColumn id="30" xr3:uid="{3E738908-1049-4287-A635-57154AFE1F96}" name="Month 29">
      <calculatedColumnFormula>GEOMEAN(Cashflow!$D$54:$E$54)*AE2</calculatedColumnFormula>
    </tableColumn>
    <tableColumn id="31" xr3:uid="{60DD0699-CA9B-476E-B372-2ECE6365A294}" name="Month 30">
      <calculatedColumnFormula>GEOMEAN(Cashflow!$D$54:$E$54)*AF2</calculatedColumnFormula>
    </tableColumn>
    <tableColumn id="32" xr3:uid="{93FC90A3-46B0-44B6-91E8-59B6685023F0}" name="Month 31">
      <calculatedColumnFormula>GEOMEAN(Cashflow!$D$54:$E$54)*AG2</calculatedColumnFormula>
    </tableColumn>
    <tableColumn id="33" xr3:uid="{0166AA6A-3201-44AF-8308-9260641AAAA2}" name="Month 32">
      <calculatedColumnFormula>GEOMEAN(Cashflow!$D$54:$E$54)*AH2</calculatedColumnFormula>
    </tableColumn>
    <tableColumn id="34" xr3:uid="{A3E2501F-F7DA-47F2-B9F3-426059E01954}" name="Month 33">
      <calculatedColumnFormula>GEOMEAN(Cashflow!$D$54:$E$54)*AI2</calculatedColumnFormula>
    </tableColumn>
    <tableColumn id="35" xr3:uid="{170A66E4-873B-408C-A040-839DC482CFED}" name="Month 34">
      <calculatedColumnFormula>GEOMEAN(Cashflow!$D$54:$E$54)*AJ2</calculatedColumnFormula>
    </tableColumn>
    <tableColumn id="36" xr3:uid="{271D3527-6612-4133-9B56-59C7EF81E747}" name="Month 35">
      <calculatedColumnFormula>GEOMEAN(Cashflow!$D$54:$E$54)*AK2</calculatedColumnFormula>
    </tableColumn>
    <tableColumn id="37" xr3:uid="{4D986D49-7DE0-434D-85FC-3C43C30D5F50}" name="Month 36">
      <calculatedColumnFormula>GEOMEAN(Cashflow!$D$54:$E$54)*AL2</calculatedColumnFormula>
    </tableColumn>
    <tableColumn id="38" xr3:uid="{B2DEADD0-86A5-4BB1-A459-D0FE37F88D36}" name="Month 37">
      <calculatedColumnFormula>GEOMEAN(Cashflow!$D$54:$E$54)*AM2</calculatedColumnFormula>
    </tableColumn>
    <tableColumn id="39" xr3:uid="{5470F32D-AB7D-46D1-9B63-38D6329B513F}" name="Month 38">
      <calculatedColumnFormula>GEOMEAN(Cashflow!$D$54:$E$54)*AN2</calculatedColumnFormula>
    </tableColumn>
    <tableColumn id="40" xr3:uid="{3E0523A4-7642-4D5C-94F9-7AA1DFC9F60A}" name="Month 39">
      <calculatedColumnFormula>GEOMEAN(Cashflow!$D$54:$E$54)*AO2</calculatedColumnFormula>
    </tableColumn>
    <tableColumn id="41" xr3:uid="{CD3DA12D-27FB-4A5C-BD5A-74DA1F5F2178}" name="Month 40">
      <calculatedColumnFormula>GEOMEAN(Cashflow!$D$54:$E$54)*AP2</calculatedColumnFormula>
    </tableColumn>
    <tableColumn id="42" xr3:uid="{AA919B0F-17F1-4FCC-ACFE-65569C1B63A5}" name="Month 41">
      <calculatedColumnFormula>GEOMEAN(Cashflow!$D$54:$E$54)*AQ2</calculatedColumnFormula>
    </tableColumn>
    <tableColumn id="43" xr3:uid="{96AB9A3F-B159-42FF-8FDF-887B1D6E6D52}" name="Month 42">
      <calculatedColumnFormula>GEOMEAN(Cashflow!$D$54:$E$54)*AR2</calculatedColumnFormula>
    </tableColumn>
    <tableColumn id="44" xr3:uid="{B4AA9C88-DE48-459C-A3BE-25BF0C25C4BF}" name="Month 43">
      <calculatedColumnFormula>GEOMEAN(Cashflow!$D$54:$E$54)*AS2</calculatedColumnFormula>
    </tableColumn>
    <tableColumn id="45" xr3:uid="{E23C7648-85E4-4471-8A4A-024FD6356CBA}" name="Month 44">
      <calculatedColumnFormula>GEOMEAN(Cashflow!$D$54:$E$54)*AT2</calculatedColumnFormula>
    </tableColumn>
    <tableColumn id="46" xr3:uid="{34E73013-043A-4A65-89E5-729E642001E4}" name="Month 45">
      <calculatedColumnFormula>GEOMEAN(Cashflow!$D$54:$E$54)*AU2</calculatedColumnFormula>
    </tableColumn>
    <tableColumn id="47" xr3:uid="{2EEB97DF-611D-49AE-BF32-4540EBDA8C53}" name="Month 46">
      <calculatedColumnFormula>GEOMEAN(Cashflow!$D$54:$E$54)*AV2</calculatedColumnFormula>
    </tableColumn>
    <tableColumn id="48" xr3:uid="{F2E4C5C5-D728-4369-A122-C84307B1CF0A}" name="Month 47">
      <calculatedColumnFormula>GEOMEAN(Cashflow!$D$54:$E$54)*AW2</calculatedColumnFormula>
    </tableColumn>
    <tableColumn id="49" xr3:uid="{8874874D-6459-4016-B4D8-8D6143274D20}" name="Month 48">
      <calculatedColumnFormula>GEOMEAN(Cashflow!$D$54:$E$54)*AX2</calculatedColumnFormula>
    </tableColumn>
    <tableColumn id="50" xr3:uid="{B8E1AFA5-7F25-4B6E-A2E7-03AE73A58282}" name="Month 49">
      <calculatedColumnFormula>GEOMEAN(Cashflow!$D$54:$E$54)*AY2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9A70-9A6B-4CBB-BA11-54F54F8FB94C}">
  <dimension ref="B1:BV461"/>
  <sheetViews>
    <sheetView tabSelected="1" topLeftCell="A58" zoomScale="86" zoomScaleNormal="82" workbookViewId="0">
      <selection activeCell="C12" sqref="C12:G56"/>
    </sheetView>
  </sheetViews>
  <sheetFormatPr baseColWidth="10" defaultColWidth="10.7265625" defaultRowHeight="14.5" x14ac:dyDescent="0.35"/>
  <cols>
    <col min="3" max="3" width="33.81640625" customWidth="1"/>
    <col min="4" max="4" width="18.1796875" customWidth="1"/>
    <col min="5" max="5" width="13.453125" customWidth="1"/>
    <col min="6" max="6" width="33.81640625" customWidth="1"/>
    <col min="7" max="7" width="13.81640625" customWidth="1"/>
    <col min="12" max="12" width="11.54296875" bestFit="1" customWidth="1"/>
    <col min="18" max="18" width="28.26953125" customWidth="1"/>
    <col min="19" max="67" width="17.54296875" customWidth="1"/>
    <col min="68" max="69" width="20.1796875" customWidth="1"/>
    <col min="71" max="71" width="15.1796875" customWidth="1"/>
    <col min="73" max="73" width="29.81640625" customWidth="1"/>
    <col min="74" max="74" width="15.08984375" bestFit="1" customWidth="1"/>
  </cols>
  <sheetData>
    <row r="1" spans="2:71" ht="15" thickBot="1" x14ac:dyDescent="0.4"/>
    <row r="2" spans="2:71" ht="15" thickBot="1" x14ac:dyDescent="0.4">
      <c r="B2" s="264"/>
      <c r="C2" s="235"/>
      <c r="D2" s="265"/>
      <c r="F2" t="s">
        <v>391</v>
      </c>
    </row>
    <row r="3" spans="2:71" ht="15" customHeight="1" x14ac:dyDescent="0.35">
      <c r="B3" s="266"/>
      <c r="C3" s="156" t="s">
        <v>369</v>
      </c>
      <c r="D3" s="267"/>
      <c r="F3" t="s">
        <v>392</v>
      </c>
      <c r="R3" s="216" t="s">
        <v>342</v>
      </c>
      <c r="S3" s="221" t="s">
        <v>88</v>
      </c>
      <c r="T3" s="219" t="s">
        <v>91</v>
      </c>
      <c r="U3" s="219"/>
      <c r="V3" s="219"/>
      <c r="W3" s="219"/>
      <c r="X3" s="219"/>
      <c r="Y3" s="219"/>
      <c r="Z3" s="219"/>
      <c r="AA3" s="219"/>
      <c r="AB3" s="219"/>
      <c r="AC3" s="219"/>
      <c r="AD3" s="219"/>
      <c r="AE3" s="219"/>
      <c r="AF3" s="219" t="s">
        <v>92</v>
      </c>
      <c r="AG3" s="219"/>
      <c r="AH3" s="219"/>
      <c r="AI3" s="219"/>
      <c r="AJ3" s="219"/>
      <c r="AK3" s="219"/>
      <c r="AL3" s="219"/>
      <c r="AM3" s="219"/>
      <c r="AN3" s="219"/>
      <c r="AO3" s="219"/>
      <c r="AP3" s="219"/>
      <c r="AQ3" s="219"/>
      <c r="AR3" s="219" t="s">
        <v>93</v>
      </c>
      <c r="AS3" s="219"/>
      <c r="AT3" s="219"/>
      <c r="AU3" s="219"/>
      <c r="AV3" s="219"/>
      <c r="AW3" s="219"/>
      <c r="AX3" s="219"/>
      <c r="AY3" s="219"/>
      <c r="AZ3" s="219"/>
      <c r="BA3" s="219"/>
      <c r="BB3" s="219"/>
      <c r="BC3" s="219"/>
      <c r="BD3" s="219" t="s">
        <v>94</v>
      </c>
      <c r="BE3" s="219"/>
      <c r="BF3" s="219"/>
      <c r="BG3" s="219"/>
      <c r="BH3" s="219"/>
      <c r="BI3" s="219"/>
      <c r="BJ3" s="219"/>
      <c r="BK3" s="219"/>
      <c r="BL3" s="219"/>
      <c r="BM3" s="219"/>
      <c r="BN3" s="219"/>
      <c r="BO3" s="219"/>
      <c r="BP3" s="152"/>
    </row>
    <row r="4" spans="2:71" ht="15" thickBot="1" x14ac:dyDescent="0.4">
      <c r="B4" s="266"/>
      <c r="D4" s="267"/>
      <c r="F4" t="s">
        <v>393</v>
      </c>
      <c r="R4" s="217"/>
      <c r="S4" s="222"/>
      <c r="T4" s="87" t="s">
        <v>86</v>
      </c>
      <c r="U4" s="220" t="s">
        <v>87</v>
      </c>
      <c r="V4" s="220"/>
      <c r="W4" s="220"/>
      <c r="X4" s="220"/>
      <c r="Y4" s="220"/>
      <c r="Z4" s="220" t="s">
        <v>89</v>
      </c>
      <c r="AA4" s="220"/>
      <c r="AB4" s="220"/>
      <c r="AC4" s="220" t="s">
        <v>90</v>
      </c>
      <c r="AD4" s="220"/>
      <c r="AE4" s="220"/>
      <c r="AF4" s="220"/>
      <c r="AG4" s="220"/>
      <c r="AH4" s="220"/>
      <c r="AI4" s="220"/>
      <c r="AJ4" s="220"/>
      <c r="AK4" s="220"/>
      <c r="AL4" s="220"/>
      <c r="AM4" s="220"/>
      <c r="AN4" s="220"/>
      <c r="AO4" s="220"/>
      <c r="AP4" s="220"/>
      <c r="AQ4" s="220"/>
      <c r="AR4" s="220"/>
      <c r="AS4" s="220"/>
      <c r="AT4" s="220"/>
      <c r="AU4" s="220"/>
      <c r="AV4" s="220"/>
      <c r="AW4" s="220"/>
      <c r="AX4" s="220"/>
      <c r="AY4" s="220"/>
      <c r="AZ4" s="220"/>
      <c r="BA4" s="220"/>
      <c r="BB4" s="220"/>
      <c r="BC4" s="220"/>
      <c r="BD4" s="220"/>
      <c r="BE4" s="220"/>
      <c r="BF4" s="220"/>
      <c r="BG4" s="220"/>
      <c r="BH4" s="220"/>
      <c r="BI4" s="220"/>
      <c r="BJ4" s="220"/>
      <c r="BK4" s="220"/>
      <c r="BL4" s="220"/>
      <c r="BM4" s="220"/>
      <c r="BN4" s="220"/>
      <c r="BO4" s="220"/>
      <c r="BP4" s="153"/>
    </row>
    <row r="5" spans="2:71" ht="15" thickBot="1" x14ac:dyDescent="0.4">
      <c r="B5" s="266"/>
      <c r="C5" s="157" t="s">
        <v>370</v>
      </c>
      <c r="D5" s="267"/>
      <c r="F5" t="s">
        <v>394</v>
      </c>
      <c r="R5" s="218"/>
      <c r="S5" t="s">
        <v>1</v>
      </c>
      <c r="T5" t="s">
        <v>2</v>
      </c>
      <c r="U5" t="s">
        <v>3</v>
      </c>
      <c r="V5" t="s">
        <v>4</v>
      </c>
      <c r="W5" t="s">
        <v>5</v>
      </c>
      <c r="X5" t="s">
        <v>6</v>
      </c>
      <c r="Y5" t="s">
        <v>7</v>
      </c>
      <c r="Z5" t="s">
        <v>8</v>
      </c>
      <c r="AA5" t="s">
        <v>9</v>
      </c>
      <c r="AB5" t="s">
        <v>10</v>
      </c>
      <c r="AC5" t="s">
        <v>11</v>
      </c>
      <c r="AD5" t="s">
        <v>12</v>
      </c>
      <c r="AE5" t="s">
        <v>13</v>
      </c>
      <c r="AF5" t="s">
        <v>14</v>
      </c>
      <c r="AG5" t="s">
        <v>15</v>
      </c>
      <c r="AH5" t="s">
        <v>16</v>
      </c>
      <c r="AI5" t="s">
        <v>17</v>
      </c>
      <c r="AJ5" t="s">
        <v>18</v>
      </c>
      <c r="AK5" t="s">
        <v>19</v>
      </c>
      <c r="AL5" t="s">
        <v>20</v>
      </c>
      <c r="AM5" t="s">
        <v>21</v>
      </c>
      <c r="AN5" t="s">
        <v>22</v>
      </c>
      <c r="AO5" t="s">
        <v>23</v>
      </c>
      <c r="AP5" t="s">
        <v>24</v>
      </c>
      <c r="AQ5" t="s">
        <v>25</v>
      </c>
      <c r="AR5" t="s">
        <v>27</v>
      </c>
      <c r="AS5" t="s">
        <v>28</v>
      </c>
      <c r="AT5" t="s">
        <v>29</v>
      </c>
      <c r="AU5" t="s">
        <v>30</v>
      </c>
      <c r="AV5" t="s">
        <v>31</v>
      </c>
      <c r="AW5" t="s">
        <v>32</v>
      </c>
      <c r="AX5" t="s">
        <v>33</v>
      </c>
      <c r="AY5" t="s">
        <v>34</v>
      </c>
      <c r="AZ5" t="s">
        <v>35</v>
      </c>
      <c r="BA5" t="s">
        <v>36</v>
      </c>
      <c r="BB5" t="s">
        <v>37</v>
      </c>
      <c r="BC5" t="s">
        <v>38</v>
      </c>
      <c r="BD5" t="s">
        <v>95</v>
      </c>
      <c r="BE5" t="s">
        <v>96</v>
      </c>
      <c r="BF5" t="s">
        <v>97</v>
      </c>
      <c r="BG5" t="s">
        <v>98</v>
      </c>
      <c r="BH5" t="s">
        <v>99</v>
      </c>
      <c r="BI5" t="s">
        <v>100</v>
      </c>
      <c r="BJ5" t="s">
        <v>101</v>
      </c>
      <c r="BK5" t="s">
        <v>102</v>
      </c>
      <c r="BL5" t="s">
        <v>103</v>
      </c>
      <c r="BM5" t="s">
        <v>104</v>
      </c>
      <c r="BN5" t="s">
        <v>105</v>
      </c>
      <c r="BO5" s="5" t="s">
        <v>106</v>
      </c>
      <c r="BP5" t="s">
        <v>295</v>
      </c>
      <c r="BR5" s="61" t="s">
        <v>1</v>
      </c>
      <c r="BS5" s="60" t="s">
        <v>350</v>
      </c>
    </row>
    <row r="6" spans="2:71" ht="15" thickBot="1" x14ac:dyDescent="0.4">
      <c r="B6" s="266"/>
      <c r="C6" s="23" t="s">
        <v>371</v>
      </c>
      <c r="D6" s="267"/>
      <c r="F6" t="s">
        <v>395</v>
      </c>
      <c r="R6" s="223" t="s">
        <v>112</v>
      </c>
      <c r="S6" s="2" t="s">
        <v>173</v>
      </c>
      <c r="T6" s="26">
        <f>SUM(D14:D16)</f>
        <v>300000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  <c r="AW6" s="26">
        <v>0</v>
      </c>
      <c r="AX6" s="26">
        <v>0</v>
      </c>
      <c r="AY6" s="26">
        <v>0</v>
      </c>
      <c r="AZ6" s="26">
        <v>0</v>
      </c>
      <c r="BA6" s="26">
        <v>0</v>
      </c>
      <c r="BB6" s="26">
        <v>0</v>
      </c>
      <c r="BC6" s="26">
        <v>0</v>
      </c>
      <c r="BD6" s="26">
        <v>0</v>
      </c>
      <c r="BE6" s="26">
        <v>0</v>
      </c>
      <c r="BF6" s="26">
        <v>0</v>
      </c>
      <c r="BG6" s="26">
        <v>0</v>
      </c>
      <c r="BH6" s="26">
        <v>0</v>
      </c>
      <c r="BI6" s="26">
        <v>0</v>
      </c>
      <c r="BJ6" s="26">
        <v>0</v>
      </c>
      <c r="BK6" s="26">
        <v>0</v>
      </c>
      <c r="BL6" s="26">
        <v>0</v>
      </c>
      <c r="BM6" s="26">
        <v>0</v>
      </c>
      <c r="BN6" s="26">
        <v>0</v>
      </c>
      <c r="BO6" s="26">
        <v>0</v>
      </c>
      <c r="BP6" s="97">
        <v>0</v>
      </c>
      <c r="BR6" s="69" t="s">
        <v>173</v>
      </c>
      <c r="BS6" s="57">
        <f>SUM(Tabla7[[#This Row],[Month 1 ]:[Month 49]])</f>
        <v>300000</v>
      </c>
    </row>
    <row r="7" spans="2:71" ht="15" thickBot="1" x14ac:dyDescent="0.4">
      <c r="B7" s="266"/>
      <c r="C7" s="236"/>
      <c r="D7" s="267"/>
      <c r="R7" s="224"/>
      <c r="S7" s="2" t="s">
        <v>108</v>
      </c>
      <c r="T7" s="26">
        <f ca="1">Loans!T9</f>
        <v>0</v>
      </c>
      <c r="U7" s="26">
        <f ca="1">Loans!U9</f>
        <v>0</v>
      </c>
      <c r="V7" s="26">
        <f ca="1">Loans!V9</f>
        <v>0</v>
      </c>
      <c r="W7" s="26">
        <f ca="1">Loans!W9</f>
        <v>0</v>
      </c>
      <c r="X7" s="26">
        <f ca="1">Loans!X9</f>
        <v>0</v>
      </c>
      <c r="Y7" s="26">
        <f ca="1">Loans!Y9</f>
        <v>436000</v>
      </c>
      <c r="Z7" s="26">
        <f ca="1">Loans!Z9</f>
        <v>0</v>
      </c>
      <c r="AA7" s="26">
        <f ca="1">Loans!AA9</f>
        <v>0</v>
      </c>
      <c r="AB7" s="26">
        <f ca="1">Loans!AB9</f>
        <v>0</v>
      </c>
      <c r="AC7" s="26">
        <f ca="1">Loans!AC9</f>
        <v>0</v>
      </c>
      <c r="AD7" s="26">
        <f ca="1">Loans!AD9</f>
        <v>0</v>
      </c>
      <c r="AE7" s="26">
        <f ca="1">Loans!AE9</f>
        <v>0</v>
      </c>
      <c r="AF7" s="26">
        <f ca="1">Loans!AF9</f>
        <v>0</v>
      </c>
      <c r="AG7" s="26">
        <f ca="1">Loans!AG9</f>
        <v>0</v>
      </c>
      <c r="AH7" s="26">
        <f ca="1">Loans!AH9</f>
        <v>0</v>
      </c>
      <c r="AI7" s="26">
        <f ca="1">Loans!AI9</f>
        <v>0</v>
      </c>
      <c r="AJ7" s="26">
        <f ca="1">Loans!AJ9</f>
        <v>0</v>
      </c>
      <c r="AK7" s="26">
        <f ca="1">Loans!AK9</f>
        <v>0</v>
      </c>
      <c r="AL7" s="26">
        <f ca="1">Loans!AL9</f>
        <v>0</v>
      </c>
      <c r="AM7" s="26">
        <f ca="1">Loans!AM9</f>
        <v>0</v>
      </c>
      <c r="AN7" s="26">
        <f ca="1">Loans!AN9</f>
        <v>0</v>
      </c>
      <c r="AO7" s="26">
        <f ca="1">Loans!AO9</f>
        <v>0</v>
      </c>
      <c r="AP7" s="26">
        <f ca="1">Loans!AP9</f>
        <v>0</v>
      </c>
      <c r="AQ7" s="26">
        <f ca="1">Loans!AQ9</f>
        <v>1000</v>
      </c>
      <c r="AR7" s="26">
        <f ca="1">Loans!AR9</f>
        <v>0</v>
      </c>
      <c r="AS7" s="26">
        <f ca="1">Loans!AS9</f>
        <v>0</v>
      </c>
      <c r="AT7" s="26">
        <f ca="1">Loans!AT9</f>
        <v>0</v>
      </c>
      <c r="AU7" s="26">
        <f ca="1">Loans!AU9</f>
        <v>0</v>
      </c>
      <c r="AV7" s="26">
        <f ca="1">Loans!AV9</f>
        <v>0</v>
      </c>
      <c r="AW7" s="26">
        <f ca="1">Loans!AW9</f>
        <v>0</v>
      </c>
      <c r="AX7" s="26">
        <f ca="1">Loans!AX9</f>
        <v>0</v>
      </c>
      <c r="AY7" s="26">
        <f ca="1">Loans!AY9</f>
        <v>0</v>
      </c>
      <c r="AZ7" s="26">
        <f ca="1">Loans!AZ9</f>
        <v>0</v>
      </c>
      <c r="BA7" s="26">
        <f ca="1">Loans!BA9</f>
        <v>0</v>
      </c>
      <c r="BB7" s="26">
        <f ca="1">Loans!BB9</f>
        <v>0</v>
      </c>
      <c r="BC7" s="26">
        <f ca="1">Loans!BC9</f>
        <v>0</v>
      </c>
      <c r="BD7" s="26">
        <f ca="1">Loans!BD9</f>
        <v>0</v>
      </c>
      <c r="BE7" s="26">
        <f ca="1">Loans!BE9</f>
        <v>0</v>
      </c>
      <c r="BF7" s="26">
        <f ca="1">Loans!BF9</f>
        <v>0</v>
      </c>
      <c r="BG7" s="26">
        <f ca="1">Loans!BG9</f>
        <v>0</v>
      </c>
      <c r="BH7" s="26">
        <f ca="1">Loans!BH9</f>
        <v>0</v>
      </c>
      <c r="BI7" s="26">
        <f ca="1">Loans!BI9</f>
        <v>0</v>
      </c>
      <c r="BJ7" s="26">
        <f ca="1">Loans!BJ9</f>
        <v>0</v>
      </c>
      <c r="BK7" s="26">
        <f ca="1">Loans!BK9</f>
        <v>0</v>
      </c>
      <c r="BL7" s="26">
        <f ca="1">Loans!BL9</f>
        <v>0</v>
      </c>
      <c r="BM7" s="26">
        <f ca="1">Loans!BM9</f>
        <v>0</v>
      </c>
      <c r="BN7" s="26">
        <f ca="1">Loans!BN9</f>
        <v>0</v>
      </c>
      <c r="BO7" s="26">
        <f ca="1">Loans!BO9</f>
        <v>0</v>
      </c>
      <c r="BP7" s="97">
        <f>Loans!BP9</f>
        <v>0</v>
      </c>
      <c r="BR7" s="69" t="s">
        <v>108</v>
      </c>
      <c r="BS7" s="55">
        <f ca="1">SUM(Tabla7[[#This Row],[Month 1 ]:[Month 49]])-MIN(Tabla7[[#This Row],[Month 1 ]:[Month 49]])</f>
        <v>437000</v>
      </c>
    </row>
    <row r="8" spans="2:71" x14ac:dyDescent="0.35">
      <c r="B8" s="264"/>
      <c r="C8" s="235"/>
      <c r="D8" s="235"/>
      <c r="E8" s="235"/>
      <c r="F8" s="235"/>
      <c r="G8" s="235"/>
      <c r="H8" s="265"/>
      <c r="R8" s="224"/>
      <c r="S8" s="1" t="s">
        <v>0</v>
      </c>
      <c r="T8" s="26">
        <f>Sales!J12</f>
        <v>0</v>
      </c>
      <c r="U8" s="26">
        <f>Sales!K12</f>
        <v>0</v>
      </c>
      <c r="V8" s="26">
        <f>Sales!L12</f>
        <v>0</v>
      </c>
      <c r="W8" s="26">
        <f>Sales!M12</f>
        <v>0</v>
      </c>
      <c r="X8" s="26">
        <f>Sales!N12</f>
        <v>0</v>
      </c>
      <c r="Y8" s="26">
        <f>Sales!O12</f>
        <v>0</v>
      </c>
      <c r="Z8" s="26">
        <f>Sales!P12</f>
        <v>0</v>
      </c>
      <c r="AA8" s="26">
        <f>Sales!Q12</f>
        <v>0</v>
      </c>
      <c r="AB8" s="26">
        <f ca="1">Sales!R12</f>
        <v>51489</v>
      </c>
      <c r="AC8" s="26">
        <f ca="1">Sales!S12</f>
        <v>59894.149999999994</v>
      </c>
      <c r="AD8" s="26">
        <f ca="1">Sales!T12</f>
        <v>60193.499999999993</v>
      </c>
      <c r="AE8" s="26">
        <f ca="1">Sales!U12</f>
        <v>68233.25</v>
      </c>
      <c r="AF8" s="26">
        <f ca="1">Sales!V12</f>
        <v>76392.45</v>
      </c>
      <c r="AG8" s="26">
        <f ca="1">Sales!W12</f>
        <v>86135.349999999991</v>
      </c>
      <c r="AH8" s="26">
        <f ca="1">Sales!X12</f>
        <v>95299.499999999985</v>
      </c>
      <c r="AI8" s="26">
        <f ca="1">Sales!Y12</f>
        <v>104493.4</v>
      </c>
      <c r="AJ8" s="26">
        <f ca="1">Sales!Z12</f>
        <v>115340.79999999999</v>
      </c>
      <c r="AK8" s="26">
        <f ca="1">Sales!AA12</f>
        <v>125559.59999999999</v>
      </c>
      <c r="AL8" s="26">
        <f ca="1">Sales!AB12</f>
        <v>135848.04999999999</v>
      </c>
      <c r="AM8" s="26">
        <f ca="1">Sales!AC12</f>
        <v>147700.29999999999</v>
      </c>
      <c r="AN8" s="26">
        <f ca="1">Sales!AD12</f>
        <v>158933.94999999998</v>
      </c>
      <c r="AO8" s="26">
        <f ca="1">Sales!AE12</f>
        <v>178056.74999999997</v>
      </c>
      <c r="AP8" s="26">
        <f ca="1">Sales!AF12</f>
        <v>187582.09999999998</v>
      </c>
      <c r="AQ8" s="26">
        <f ca="1">Sales!AG12</f>
        <v>199860.44999999998</v>
      </c>
      <c r="AR8" s="26">
        <f ca="1">Sales!AH12</f>
        <v>212208.5</v>
      </c>
      <c r="AS8" s="26">
        <f ca="1">Sales!AI12</f>
        <v>226259.84999999998</v>
      </c>
      <c r="AT8" s="26">
        <f ca="1">Sales!AJ12</f>
        <v>239582.94999999998</v>
      </c>
      <c r="AU8" s="26">
        <f ca="1">Sales!AK12</f>
        <v>252925.94999999998</v>
      </c>
      <c r="AV8" s="26">
        <f ca="1">Sales!AL12</f>
        <v>267962.3</v>
      </c>
      <c r="AW8" s="26">
        <f ca="1">Sales!AM12</f>
        <v>282270.44999999995</v>
      </c>
      <c r="AX8" s="26">
        <f ca="1">Sales!AN12</f>
        <v>296568.59999999998</v>
      </c>
      <c r="AY8" s="26">
        <f ca="1">Sales!AO12</f>
        <v>312689.64999999997</v>
      </c>
      <c r="AZ8" s="26">
        <f ca="1">Sales!AP12</f>
        <v>327962.84999999998</v>
      </c>
      <c r="BA8" s="26">
        <f ca="1">Sales!AQ12</f>
        <v>350467.85</v>
      </c>
      <c r="BB8" s="26">
        <f ca="1">Sales!AR12</f>
        <v>364252.39999999997</v>
      </c>
      <c r="BC8" s="26">
        <f ca="1">Sales!AS12</f>
        <v>380441</v>
      </c>
      <c r="BD8" s="26">
        <f ca="1">Sales!AT12</f>
        <v>396599.75</v>
      </c>
      <c r="BE8" s="26">
        <f ca="1">Sales!AU12</f>
        <v>414481.8</v>
      </c>
      <c r="BF8" s="26">
        <f ca="1">Sales!AV12</f>
        <v>431516.1</v>
      </c>
      <c r="BG8" s="26">
        <f ca="1">Sales!AW12</f>
        <v>448500.64999999997</v>
      </c>
      <c r="BH8" s="26">
        <f ca="1">Sales!AX12</f>
        <v>451908.25</v>
      </c>
      <c r="BI8" s="26">
        <f ca="1">Sales!AY12</f>
        <v>462775.2</v>
      </c>
      <c r="BJ8" s="26">
        <f ca="1">Sales!AZ12</f>
        <v>473093.44999999995</v>
      </c>
      <c r="BK8" s="26">
        <f ca="1">Sales!BA12</f>
        <v>483461.44999999995</v>
      </c>
      <c r="BL8" s="26">
        <f ca="1">Sales!BB12</f>
        <v>495134.3</v>
      </c>
      <c r="BM8" s="26">
        <f ca="1">Sales!BC12</f>
        <v>512862.64999999997</v>
      </c>
      <c r="BN8" s="26">
        <f ca="1">Sales!BD12</f>
        <v>521044.14999999997</v>
      </c>
      <c r="BO8" s="26">
        <f ca="1">Sales!BE12</f>
        <v>533493.1</v>
      </c>
      <c r="BP8" s="97">
        <f ca="1">Sales!BF12</f>
        <v>545353.5</v>
      </c>
      <c r="BR8" s="1" t="s">
        <v>0</v>
      </c>
      <c r="BS8" s="55">
        <f ca="1">SUM(Tabla7[[#This Row],[Month 1 ]:[Month 49]])</f>
        <v>11534829.299999999</v>
      </c>
    </row>
    <row r="9" spans="2:71" ht="15" thickBot="1" x14ac:dyDescent="0.4">
      <c r="B9" s="266"/>
      <c r="C9" s="236"/>
      <c r="D9" s="236"/>
      <c r="E9" s="236"/>
      <c r="F9" s="236"/>
      <c r="G9" s="236"/>
      <c r="H9" s="267"/>
      <c r="L9" s="39"/>
      <c r="R9" s="224"/>
      <c r="S9" s="4" t="s">
        <v>109</v>
      </c>
      <c r="T9" s="21">
        <f>'Other incomes'!C5</f>
        <v>0</v>
      </c>
      <c r="U9" s="21">
        <f>'Other incomes'!D5</f>
        <v>0</v>
      </c>
      <c r="V9" s="21">
        <f>'Other incomes'!E5</f>
        <v>0</v>
      </c>
      <c r="W9" s="21">
        <f>'Other incomes'!F5</f>
        <v>0</v>
      </c>
      <c r="X9" s="21">
        <f>'Other incomes'!G5</f>
        <v>0</v>
      </c>
      <c r="Y9" s="21">
        <f>'Other incomes'!H5</f>
        <v>0</v>
      </c>
      <c r="Z9" s="21">
        <f>'Other incomes'!I5</f>
        <v>0</v>
      </c>
      <c r="AA9" s="21">
        <f>'Other incomes'!J5</f>
        <v>0</v>
      </c>
      <c r="AB9" s="21">
        <f ca="1">'Other incomes'!K5</f>
        <v>3100.1849999999999</v>
      </c>
      <c r="AC9" s="21">
        <f ca="1">'Other incomes'!L5</f>
        <v>4987.3950000000004</v>
      </c>
      <c r="AD9" s="21">
        <f ca="1">'Other incomes'!M5</f>
        <v>5844.3300000000008</v>
      </c>
      <c r="AE9" s="21">
        <f ca="1">'Other incomes'!N5</f>
        <v>6710.9849999999997</v>
      </c>
      <c r="AF9" s="21">
        <f ca="1">'Other incomes'!O5</f>
        <v>7587.0450000000019</v>
      </c>
      <c r="AG9" s="21">
        <f ca="1">'Other incomes'!P5</f>
        <v>8564.4450000000015</v>
      </c>
      <c r="AH9" s="21">
        <f ca="1">'Other incomes'!Q5</f>
        <v>9550.4850000000024</v>
      </c>
      <c r="AI9" s="21">
        <f ca="1">'Other incomes'!R5</f>
        <v>10545.075000000001</v>
      </c>
      <c r="AJ9" s="21">
        <f ca="1">'Other incomes'!S5</f>
        <v>11639.970000000001</v>
      </c>
      <c r="AK9" s="21">
        <f ca="1">'Other incomes'!T5</f>
        <v>12742.38</v>
      </c>
      <c r="AL9" s="21">
        <f ca="1">'Other incomes'!U5</f>
        <v>13852.17</v>
      </c>
      <c r="AM9" s="21">
        <f ca="1">'Other incomes'!V5</f>
        <v>15061.140000000003</v>
      </c>
      <c r="AN9" s="21">
        <f ca="1">'Other incomes'!W5</f>
        <v>16276.455</v>
      </c>
      <c r="AO9" s="21">
        <f ca="1">'Other incomes'!X5</f>
        <v>17968.41</v>
      </c>
      <c r="AP9" s="21">
        <f ca="1">'Other incomes'!Y5</f>
        <v>19294.560000000001</v>
      </c>
      <c r="AQ9" s="21">
        <f ca="1">'Other incomes'!Z5</f>
        <v>20625.570000000003</v>
      </c>
      <c r="AR9" s="21">
        <f ca="1">'Other incomes'!AA5</f>
        <v>21961.215000000004</v>
      </c>
      <c r="AS9" s="21">
        <f ca="1">'Other incomes'!AB5</f>
        <v>23401.755000000001</v>
      </c>
      <c r="AT9" s="21">
        <f ca="1">'Other incomes'!AC5</f>
        <v>24845.49</v>
      </c>
      <c r="AU9" s="21">
        <f ca="1">'Other incomes'!AD5</f>
        <v>26292.33</v>
      </c>
      <c r="AV9" s="21">
        <f ca="1">'Other incomes'!AE5</f>
        <v>27841.59</v>
      </c>
      <c r="AW9" s="21">
        <f ca="1">'Other incomes'!AF5</f>
        <v>29392.38</v>
      </c>
      <c r="AX9" s="21">
        <f ca="1">'Other incomes'!AG5</f>
        <v>30944.52</v>
      </c>
      <c r="AY9" s="21">
        <f ca="1">'Other incomes'!AH5</f>
        <v>32605.424999999999</v>
      </c>
      <c r="AZ9" s="21">
        <f ca="1">'Other incomes'!AI5</f>
        <v>34265.880000000005</v>
      </c>
      <c r="BA9" s="21">
        <f ca="1">'Other incomes'!AJ5</f>
        <v>36360.269999999997</v>
      </c>
      <c r="BB9" s="21">
        <f ca="1">'Other incomes'!AK5</f>
        <v>38122.155000000006</v>
      </c>
      <c r="BC9" s="21">
        <f ca="1">'Other incomes'!AL5</f>
        <v>39881.474999999999</v>
      </c>
      <c r="BD9" s="21">
        <f ca="1">'Other incomes'!AM5</f>
        <v>41638.050000000003</v>
      </c>
      <c r="BE9" s="21">
        <f ca="1">'Other incomes'!AN5</f>
        <v>43496.01</v>
      </c>
      <c r="BF9" s="21">
        <f ca="1">'Other incomes'!AO5</f>
        <v>45349.2</v>
      </c>
      <c r="BG9" s="21">
        <f ca="1">'Other incomes'!AP5</f>
        <v>47197.35</v>
      </c>
      <c r="BH9" s="21">
        <f ca="1">'Other incomes'!AQ5</f>
        <v>48225.735000000001</v>
      </c>
      <c r="BI9" s="21">
        <f ca="1">'Other incomes'!AR5</f>
        <v>49337.73</v>
      </c>
      <c r="BJ9" s="21">
        <f ca="1">'Other incomes'!AS5</f>
        <v>50454.09</v>
      </c>
      <c r="BK9" s="21">
        <f ca="1">'Other incomes'!AT5</f>
        <v>51574.544999999998</v>
      </c>
      <c r="BL9" s="21">
        <f ca="1">'Other incomes'!AU5</f>
        <v>52777.17</v>
      </c>
      <c r="BM9" s="21">
        <f ca="1">'Other incomes'!AV5</f>
        <v>54380.34</v>
      </c>
      <c r="BN9" s="21">
        <f ca="1">'Other incomes'!AW5</f>
        <v>55586.52</v>
      </c>
      <c r="BO9" s="21">
        <f ca="1">'Other incomes'!AX5</f>
        <v>56872.89</v>
      </c>
      <c r="BP9" s="57">
        <f ca="1">'Other incomes'!AY5</f>
        <v>58160.97</v>
      </c>
      <c r="BR9" s="62" t="s">
        <v>109</v>
      </c>
      <c r="BS9" s="55">
        <f ca="1">SUM(Tabla7[[#This Row],[Month 1 ]:[Month 49]])</f>
        <v>1205315.6849999998</v>
      </c>
    </row>
    <row r="10" spans="2:71" ht="21" customHeight="1" x14ac:dyDescent="0.35">
      <c r="B10" s="266"/>
      <c r="C10" s="268" t="s">
        <v>374</v>
      </c>
      <c r="D10" s="269"/>
      <c r="E10" s="269"/>
      <c r="F10" s="269"/>
      <c r="G10" s="270"/>
      <c r="H10" s="267"/>
      <c r="R10" s="224"/>
      <c r="S10" s="4" t="s">
        <v>111</v>
      </c>
      <c r="T10" s="21">
        <f>'Other incomes'!C10</f>
        <v>0</v>
      </c>
      <c r="U10" s="21">
        <f>'Other incomes'!D10</f>
        <v>0</v>
      </c>
      <c r="V10" s="21">
        <f>'Other incomes'!E10</f>
        <v>0</v>
      </c>
      <c r="W10" s="21">
        <f>'Other incomes'!F10</f>
        <v>0</v>
      </c>
      <c r="X10" s="21">
        <f>'Other incomes'!G10</f>
        <v>0</v>
      </c>
      <c r="Y10" s="21">
        <f>'Other incomes'!H10</f>
        <v>0</v>
      </c>
      <c r="Z10" s="21">
        <f>'Other incomes'!I10</f>
        <v>0</v>
      </c>
      <c r="AA10" s="21">
        <f>'Other incomes'!J10</f>
        <v>0</v>
      </c>
      <c r="AB10" s="21">
        <f ca="1">'Other incomes'!K10</f>
        <v>180</v>
      </c>
      <c r="AC10" s="21">
        <f ca="1">'Other incomes'!L10</f>
        <v>290</v>
      </c>
      <c r="AD10" s="21">
        <f ca="1">'Other incomes'!M10</f>
        <v>340</v>
      </c>
      <c r="AE10" s="21">
        <f ca="1">'Other incomes'!N10</f>
        <v>390</v>
      </c>
      <c r="AF10" s="21">
        <f ca="1">'Other incomes'!O10</f>
        <v>440</v>
      </c>
      <c r="AG10" s="21">
        <f ca="1">'Other incomes'!P10</f>
        <v>497.5</v>
      </c>
      <c r="AH10" s="21">
        <f ca="1">'Other incomes'!Q10</f>
        <v>555</v>
      </c>
      <c r="AI10" s="21">
        <f ca="1">'Other incomes'!R10</f>
        <v>612.5</v>
      </c>
      <c r="AJ10" s="21">
        <f ca="1">'Other incomes'!S10</f>
        <v>675</v>
      </c>
      <c r="AK10" s="21">
        <f ca="1">'Other incomes'!T10</f>
        <v>737.5</v>
      </c>
      <c r="AL10" s="21">
        <f ca="1">'Other incomes'!U10</f>
        <v>802.5</v>
      </c>
      <c r="AM10" s="21">
        <f ca="1">'Other incomes'!V10</f>
        <v>872.5</v>
      </c>
      <c r="AN10" s="21">
        <f ca="1">'Other incomes'!W10</f>
        <v>942.5</v>
      </c>
      <c r="AO10" s="21">
        <f ca="1">'Other incomes'!X10</f>
        <v>1040</v>
      </c>
      <c r="AP10" s="21">
        <f ca="1">'Other incomes'!Y10</f>
        <v>1117.5</v>
      </c>
      <c r="AQ10" s="21">
        <f ca="1">'Other incomes'!Z10</f>
        <v>1195</v>
      </c>
      <c r="AR10" s="21">
        <f ca="1">'Other incomes'!AA10</f>
        <v>1272.5</v>
      </c>
      <c r="AS10" s="21">
        <f ca="1">'Other incomes'!AB10</f>
        <v>1355</v>
      </c>
      <c r="AT10" s="21">
        <f ca="1">'Other incomes'!AC10</f>
        <v>1440</v>
      </c>
      <c r="AU10" s="21">
        <f ca="1">'Other incomes'!AD10</f>
        <v>1522.5</v>
      </c>
      <c r="AV10" s="21">
        <f ca="1">'Other incomes'!AE10</f>
        <v>1612.5</v>
      </c>
      <c r="AW10" s="21">
        <f ca="1">'Other incomes'!AF10</f>
        <v>1702.5</v>
      </c>
      <c r="AX10" s="21">
        <f ca="1">'Other incomes'!AG10</f>
        <v>1792.5</v>
      </c>
      <c r="AY10" s="21">
        <f ca="1">'Other incomes'!AH10</f>
        <v>1887.5</v>
      </c>
      <c r="AZ10" s="21">
        <f ca="1">'Other incomes'!AI10</f>
        <v>1985</v>
      </c>
      <c r="BA10" s="21">
        <f ca="1">'Other incomes'!AJ10</f>
        <v>2105</v>
      </c>
      <c r="BB10" s="21">
        <f ca="1">'Other incomes'!AK10</f>
        <v>2207.5</v>
      </c>
      <c r="BC10" s="21">
        <f ca="1">'Other incomes'!AL10</f>
        <v>2310</v>
      </c>
      <c r="BD10" s="21">
        <f ca="1">'Other incomes'!AM10</f>
        <v>2410</v>
      </c>
      <c r="BE10" s="21">
        <f ca="1">'Other incomes'!AN10</f>
        <v>2517.5</v>
      </c>
      <c r="BF10" s="21">
        <f ca="1">'Other incomes'!AO10</f>
        <v>2625</v>
      </c>
      <c r="BG10" s="21">
        <f ca="1">'Other incomes'!AP10</f>
        <v>2732.5</v>
      </c>
      <c r="BH10" s="21">
        <f ca="1">'Other incomes'!AQ10</f>
        <v>2792.5</v>
      </c>
      <c r="BI10" s="21">
        <f ca="1">'Other incomes'!AR10</f>
        <v>2857.5</v>
      </c>
      <c r="BJ10" s="21">
        <f ca="1">'Other incomes'!AS10</f>
        <v>2920</v>
      </c>
      <c r="BK10" s="21">
        <f ca="1">'Other incomes'!AT10</f>
        <v>2985</v>
      </c>
      <c r="BL10" s="21">
        <f ca="1">'Other incomes'!AU10</f>
        <v>3055</v>
      </c>
      <c r="BM10" s="21">
        <f ca="1">'Other incomes'!AV10</f>
        <v>3147.5</v>
      </c>
      <c r="BN10" s="21">
        <f ca="1">'Other incomes'!AW10</f>
        <v>3217.5</v>
      </c>
      <c r="BO10" s="21">
        <f ca="1">'Other incomes'!AX10</f>
        <v>3292.5</v>
      </c>
      <c r="BP10" s="57">
        <f ca="1">'Other incomes'!AY10</f>
        <v>3367.5</v>
      </c>
      <c r="BR10" s="62" t="s">
        <v>111</v>
      </c>
      <c r="BS10" s="55">
        <f ca="1">SUM(Tabla7[[#This Row],[Month 1 ]:[Month 49]])</f>
        <v>69800</v>
      </c>
    </row>
    <row r="11" spans="2:71" ht="15" customHeight="1" thickBot="1" x14ac:dyDescent="0.4">
      <c r="B11" s="266"/>
      <c r="C11" s="271"/>
      <c r="D11" s="272"/>
      <c r="E11" s="272"/>
      <c r="F11" s="272"/>
      <c r="G11" s="273"/>
      <c r="H11" s="267"/>
      <c r="R11" s="225"/>
      <c r="S11" s="6" t="s">
        <v>110</v>
      </c>
      <c r="T11" s="29">
        <f>'Other incomes'!C16</f>
        <v>0</v>
      </c>
      <c r="U11" s="29">
        <f>'Other incomes'!D16</f>
        <v>0</v>
      </c>
      <c r="V11" s="29">
        <f>'Other incomes'!E16</f>
        <v>0</v>
      </c>
      <c r="W11" s="29">
        <f>'Other incomes'!F16</f>
        <v>0</v>
      </c>
      <c r="X11" s="29">
        <f>'Other incomes'!G16</f>
        <v>0</v>
      </c>
      <c r="Y11" s="29">
        <f>'Other incomes'!H16</f>
        <v>0</v>
      </c>
      <c r="Z11" s="29">
        <f>'Other incomes'!I16</f>
        <v>0</v>
      </c>
      <c r="AA11" s="29">
        <f>'Other incomes'!J16</f>
        <v>0</v>
      </c>
      <c r="AB11" s="29">
        <f ca="1">'Other incomes'!K16</f>
        <v>4306</v>
      </c>
      <c r="AC11" s="29">
        <f ca="1">'Other incomes'!L16</f>
        <v>6928</v>
      </c>
      <c r="AD11" s="29">
        <f ca="1">'Other incomes'!M16</f>
        <v>8118</v>
      </c>
      <c r="AE11" s="29">
        <f ca="1">'Other incomes'!N16</f>
        <v>9322</v>
      </c>
      <c r="AF11" s="29">
        <f ca="1">'Other incomes'!O16</f>
        <v>10538</v>
      </c>
      <c r="AG11" s="29">
        <f ca="1">'Other incomes'!P16</f>
        <v>11896</v>
      </c>
      <c r="AH11" s="29">
        <f ca="1">'Other incomes'!Q16</f>
        <v>13266</v>
      </c>
      <c r="AI11" s="29">
        <f ca="1">'Other incomes'!R16</f>
        <v>14646</v>
      </c>
      <c r="AJ11" s="29">
        <f ca="1">'Other incomes'!S16</f>
        <v>16168</v>
      </c>
      <c r="AK11" s="29">
        <f ca="1">'Other incomes'!T16</f>
        <v>17698</v>
      </c>
      <c r="AL11" s="29">
        <f ca="1">'Other incomes'!U16</f>
        <v>19240</v>
      </c>
      <c r="AM11" s="29">
        <f ca="1">'Other incomes'!V16</f>
        <v>20920</v>
      </c>
      <c r="AN11" s="29">
        <f ca="1">'Other incomes'!W16</f>
        <v>22608</v>
      </c>
      <c r="AO11" s="29">
        <f ca="1">'Other incomes'!X16</f>
        <v>24958</v>
      </c>
      <c r="AP11" s="29">
        <f ca="1">'Other incomes'!Y16</f>
        <v>26800</v>
      </c>
      <c r="AQ11" s="29">
        <f ca="1">'Other incomes'!Z16</f>
        <v>28648</v>
      </c>
      <c r="AR11" s="29">
        <f ca="1">'Other incomes'!AA16</f>
        <v>30502</v>
      </c>
      <c r="AS11" s="29">
        <f ca="1">'Other incomes'!AB16</f>
        <v>32504</v>
      </c>
      <c r="AT11" s="29">
        <f ca="1">'Other incomes'!AC16</f>
        <v>34508</v>
      </c>
      <c r="AU11" s="29">
        <f ca="1">'Other incomes'!AD16</f>
        <v>36518</v>
      </c>
      <c r="AV11" s="29">
        <f ca="1">'Other incomes'!AE16</f>
        <v>38670</v>
      </c>
      <c r="AW11" s="29">
        <f ca="1">'Other incomes'!AF16</f>
        <v>40824</v>
      </c>
      <c r="AX11" s="29">
        <f ca="1">'Other incomes'!AG16</f>
        <v>42980</v>
      </c>
      <c r="AY11" s="29">
        <f ca="1">'Other incomes'!AH16</f>
        <v>45286</v>
      </c>
      <c r="AZ11" s="29">
        <f ca="1">'Other incomes'!AI16</f>
        <v>47592</v>
      </c>
      <c r="BA11" s="29">
        <f ca="1">'Other incomes'!AJ16</f>
        <v>50502</v>
      </c>
      <c r="BB11" s="29">
        <f ca="1">'Other incomes'!AK16</f>
        <v>52948</v>
      </c>
      <c r="BC11" s="29">
        <f ca="1">'Other incomes'!AL16</f>
        <v>55392</v>
      </c>
      <c r="BD11" s="29">
        <f ca="1">'Other incomes'!AM16</f>
        <v>57832</v>
      </c>
      <c r="BE11" s="29">
        <f ca="1">'Other incomes'!AN16</f>
        <v>60412</v>
      </c>
      <c r="BF11" s="29">
        <f ca="1">'Other incomes'!AO16</f>
        <v>62986</v>
      </c>
      <c r="BG11" s="29">
        <f ca="1">'Other incomes'!AP16</f>
        <v>65552</v>
      </c>
      <c r="BH11" s="29">
        <f ca="1">'Other incomes'!AQ16</f>
        <v>66982</v>
      </c>
      <c r="BI11" s="29">
        <f ca="1">'Other incomes'!AR16</f>
        <v>68526</v>
      </c>
      <c r="BJ11" s="29">
        <f ca="1">'Other incomes'!AS16</f>
        <v>70076</v>
      </c>
      <c r="BK11" s="29">
        <f ca="1">'Other incomes'!AT16</f>
        <v>71632</v>
      </c>
      <c r="BL11" s="29">
        <f ca="1">'Other incomes'!AU16</f>
        <v>73302</v>
      </c>
      <c r="BM11" s="29">
        <f ca="1">'Other incomes'!AV16</f>
        <v>75530</v>
      </c>
      <c r="BN11" s="29">
        <f ca="1">'Other incomes'!AW16</f>
        <v>77204</v>
      </c>
      <c r="BO11" s="29">
        <f ca="1">'Other incomes'!AX16</f>
        <v>78992</v>
      </c>
      <c r="BP11" s="98">
        <f ca="1">'Other incomes'!AY16</f>
        <v>80780</v>
      </c>
      <c r="BR11" s="63" t="s">
        <v>110</v>
      </c>
      <c r="BS11" s="55">
        <f ca="1">SUM(Tabla7[[#This Row],[Month 1 ]:[Month 49]])</f>
        <v>1674092</v>
      </c>
    </row>
    <row r="12" spans="2:71" ht="15" customHeight="1" thickBot="1" x14ac:dyDescent="0.4">
      <c r="B12" s="266"/>
      <c r="C12" s="244"/>
      <c r="D12" s="244"/>
      <c r="E12" s="244"/>
      <c r="F12" s="244"/>
      <c r="G12" s="244"/>
      <c r="H12" s="267"/>
      <c r="L12" s="39"/>
      <c r="R12" s="227" t="s">
        <v>117</v>
      </c>
      <c r="S12" t="s">
        <v>39</v>
      </c>
      <c r="T12" s="21">
        <f>-Tabla5[[#Totals],[Month 1]]</f>
        <v>-5093</v>
      </c>
      <c r="U12" s="21">
        <f>-Tabla5[[#Totals],[Month 2]]</f>
        <v>-33201</v>
      </c>
      <c r="V12" s="21">
        <f>-Tabla5[[#Totals],[Month 3]]</f>
        <v>-33201</v>
      </c>
      <c r="W12" s="21">
        <f>-Tabla5[[#Totals],[Month 4]]</f>
        <v>-36308</v>
      </c>
      <c r="X12" s="21">
        <f>-Tabla5[[#Totals],[Month 5]]</f>
        <v>-36308</v>
      </c>
      <c r="Y12" s="21">
        <f>-Tabla5[[#Totals],[Month 6]]</f>
        <v>-58655</v>
      </c>
      <c r="Z12" s="21">
        <f>-Tabla5[[#Totals],[Month 7]]</f>
        <v>-36509</v>
      </c>
      <c r="AA12" s="21">
        <f>-Tabla5[[#Totals],[Month 8]]</f>
        <v>-36509</v>
      </c>
      <c r="AB12" s="21">
        <f>-Tabla5[[#Totals],[Month 9]]</f>
        <v>-40947</v>
      </c>
      <c r="AC12" s="21">
        <f>-Tabla5[[#Totals],[Month 10]]</f>
        <v>-40947</v>
      </c>
      <c r="AD12" s="21">
        <f>-Tabla5[[#Totals],[Month 11]]</f>
        <v>-40947</v>
      </c>
      <c r="AE12" s="21">
        <f>-Tabla5[[#Totals],[Month 12]]</f>
        <v>-63093</v>
      </c>
      <c r="AF12" s="21">
        <f>-Tabla5[[#Totals],[Month 13]]</f>
        <v>-45424.05</v>
      </c>
      <c r="AG12" s="21">
        <f>-Tabla5[[#Totals],[Month 14]]</f>
        <v>-45424.05</v>
      </c>
      <c r="AH12" s="21">
        <f>-Tabla5[[#Totals],[Month 15]]</f>
        <v>-45424.05</v>
      </c>
      <c r="AI12" s="21">
        <f>-Tabla5[[#Totals],[Month 16]]</f>
        <v>-45424.05</v>
      </c>
      <c r="AJ12" s="21">
        <f>-Tabla5[[#Totals],[Month 17]]</f>
        <v>-48460.649999999994</v>
      </c>
      <c r="AK12" s="21">
        <f>-Tabla5[[#Totals],[Month 18]]</f>
        <v>-71713.950000000012</v>
      </c>
      <c r="AL12" s="21">
        <f>-Tabla5[[#Totals],[Month 19]]</f>
        <v>-48460.649999999994</v>
      </c>
      <c r="AM12" s="21">
        <f>-Tabla5[[#Totals],[Month 20]]</f>
        <v>-48460.649999999994</v>
      </c>
      <c r="AN12" s="21">
        <f>-Tabla5[[#Totals],[Month 21]]</f>
        <v>-48460.649999999994</v>
      </c>
      <c r="AO12" s="21">
        <f>-Tabla5[[#Totals],[Month 22]]</f>
        <v>-48460.649999999994</v>
      </c>
      <c r="AP12" s="21">
        <f>-Tabla5[[#Totals],[Month 23]]</f>
        <v>-48460.649999999994</v>
      </c>
      <c r="AQ12" s="21">
        <f>-Tabla5[[#Totals],[Month 24]]</f>
        <v>-71713.950000000012</v>
      </c>
      <c r="AR12" s="21">
        <f>-Tabla5[[#Totals],[Month 25]]</f>
        <v>-50768.3</v>
      </c>
      <c r="AS12" s="21">
        <f>-Tabla5[[#Totals],[Month 26]]</f>
        <v>-50768.3</v>
      </c>
      <c r="AT12" s="21">
        <f>-Tabla5[[#Totals],[Month 27]]</f>
        <v>-50768.3</v>
      </c>
      <c r="AU12" s="21">
        <f>-Tabla5[[#Totals],[Month 28]]</f>
        <v>-50768.3</v>
      </c>
      <c r="AV12" s="21">
        <f>-Tabla5[[#Totals],[Month 29]]</f>
        <v>-50768.3</v>
      </c>
      <c r="AW12" s="21">
        <f>-Tabla5[[#Totals],[Month 30]]</f>
        <v>-75128.900000000009</v>
      </c>
      <c r="AX12" s="21">
        <f>-Tabla5[[#Totals],[Month 31]]</f>
        <v>-50768.3</v>
      </c>
      <c r="AY12" s="21">
        <f>-Tabla5[[#Totals],[Month 32]]</f>
        <v>-50768.3</v>
      </c>
      <c r="AZ12" s="21">
        <f>-Tabla5[[#Totals],[Month 33]]</f>
        <v>-50768.3</v>
      </c>
      <c r="BA12" s="21">
        <f>-Tabla5[[#Totals],[Month 34]]</f>
        <v>-50768.3</v>
      </c>
      <c r="BB12" s="21">
        <f>-Tabla5[[#Totals],[Month 35]]</f>
        <v>-50768.3</v>
      </c>
      <c r="BC12" s="21">
        <f>-Tabla5[[#Totals],[Month 36]]</f>
        <v>-75128.900000000009</v>
      </c>
      <c r="BD12" s="21">
        <f>-Tabla5[[#Totals],[Month 37]]</f>
        <v>-53075.95</v>
      </c>
      <c r="BE12" s="21">
        <f>-Tabla5[[#Totals],[Month 38]]</f>
        <v>-53075.95</v>
      </c>
      <c r="BF12" s="21">
        <f>-Tabla5[[#Totals],[Month 39]]</f>
        <v>-53075.95</v>
      </c>
      <c r="BG12" s="21">
        <f>-Tabla5[[#Totals],[Month 40]]</f>
        <v>-53075.95</v>
      </c>
      <c r="BH12" s="21">
        <f>-Tabla5[[#Totals],[Month 41]]</f>
        <v>-53075.95</v>
      </c>
      <c r="BI12" s="21">
        <f>-Tabla5[[#Totals],[Month 42]]</f>
        <v>-78543.850000000006</v>
      </c>
      <c r="BJ12" s="21">
        <f>-Tabla5[[#Totals],[Month 43]]</f>
        <v>-53075.95</v>
      </c>
      <c r="BK12" s="21">
        <f>-Tabla5[[#Totals],[Month 44]]</f>
        <v>-53075.95</v>
      </c>
      <c r="BL12" s="21">
        <f>-Tabla5[[#Totals],[Month 45]]</f>
        <v>-53075.95</v>
      </c>
      <c r="BM12" s="21">
        <f>-Tabla5[[#Totals],[Month 46]]</f>
        <v>-53075.95</v>
      </c>
      <c r="BN12" s="21">
        <f>-Tabla5[[#Totals],[Month 47]]</f>
        <v>-53075.95</v>
      </c>
      <c r="BO12" s="21">
        <f>-Tabla5[[#Totals],[Month 48]]</f>
        <v>-78543.850000000006</v>
      </c>
      <c r="BP12" s="97">
        <f>Tabla7[[#This Row],[Month 48]]</f>
        <v>-78543.850000000006</v>
      </c>
      <c r="BR12" s="17" t="s">
        <v>39</v>
      </c>
      <c r="BS12" s="55">
        <f>SUM(Tabla7[[#This Row],[Month 1 ]:[Month 49]])</f>
        <v>-2501937.8500000015</v>
      </c>
    </row>
    <row r="13" spans="2:71" ht="16" thickBot="1" x14ac:dyDescent="0.4">
      <c r="B13" s="266"/>
      <c r="C13" s="108" t="s">
        <v>302</v>
      </c>
      <c r="D13" s="109"/>
      <c r="E13" s="236"/>
      <c r="F13" s="108" t="s">
        <v>306</v>
      </c>
      <c r="G13" s="109"/>
      <c r="H13" s="267"/>
      <c r="L13" s="39"/>
      <c r="R13" s="228"/>
      <c r="S13" s="7" t="s">
        <v>116</v>
      </c>
      <c r="T13" s="41">
        <f>-Sales!J21</f>
        <v>0</v>
      </c>
      <c r="U13" s="41">
        <f>-Sales!K21</f>
        <v>0</v>
      </c>
      <c r="V13" s="41">
        <f>-Sales!L21</f>
        <v>0</v>
      </c>
      <c r="W13" s="41">
        <f>-Sales!M21</f>
        <v>0</v>
      </c>
      <c r="X13" s="41">
        <f>-Sales!N21</f>
        <v>0</v>
      </c>
      <c r="Y13" s="41">
        <f>-Sales!O21</f>
        <v>0</v>
      </c>
      <c r="Z13" s="41">
        <f>-Sales!P21</f>
        <v>0</v>
      </c>
      <c r="AA13" s="41">
        <f>-Sales!Q21</f>
        <v>0</v>
      </c>
      <c r="AB13" s="41">
        <f ca="1">-Sales!R21</f>
        <v>-6894</v>
      </c>
      <c r="AC13" s="41">
        <f ca="1">-Sales!S21</f>
        <v>-4194</v>
      </c>
      <c r="AD13" s="41">
        <f ca="1">-Sales!T21</f>
        <v>-1908</v>
      </c>
      <c r="AE13" s="41">
        <f ca="1">-Sales!U21</f>
        <v>-1926</v>
      </c>
      <c r="AF13" s="41">
        <f ca="1">-Sales!V21</f>
        <v>-1950</v>
      </c>
      <c r="AG13" s="41">
        <f ca="1">-Sales!W21</f>
        <v>-2172</v>
      </c>
      <c r="AH13" s="41">
        <f ca="1">-Sales!X21</f>
        <v>-2196</v>
      </c>
      <c r="AI13" s="41">
        <f ca="1">-Sales!Y21</f>
        <v>-2208</v>
      </c>
      <c r="AJ13" s="41">
        <f ca="1">-Sales!Z21</f>
        <v>-2436</v>
      </c>
      <c r="AK13" s="41">
        <f ca="1">-Sales!AA21</f>
        <v>-2454</v>
      </c>
      <c r="AL13" s="41">
        <f ca="1">-Sales!AB21</f>
        <v>-2472</v>
      </c>
      <c r="AM13" s="41">
        <f ca="1">-Sales!AC21</f>
        <v>-2688</v>
      </c>
      <c r="AN13" s="41">
        <f ca="1">-Sales!AD21</f>
        <v>-2700</v>
      </c>
      <c r="AO13" s="41">
        <f ca="1">-Sales!AE21</f>
        <v>-3762</v>
      </c>
      <c r="AP13" s="41">
        <f ca="1">-Sales!AF21</f>
        <v>-2952</v>
      </c>
      <c r="AQ13" s="41">
        <f ca="1">-Sales!AG21</f>
        <v>-2958</v>
      </c>
      <c r="AR13" s="41">
        <f ca="1">-Sales!AH21</f>
        <v>-2970</v>
      </c>
      <c r="AS13" s="41">
        <f ca="1">-Sales!AI21</f>
        <v>-3204</v>
      </c>
      <c r="AT13" s="41">
        <f ca="1">-Sales!AJ21</f>
        <v>-3210</v>
      </c>
      <c r="AU13" s="41">
        <f ca="1">-Sales!AK21</f>
        <v>-3216</v>
      </c>
      <c r="AV13" s="41">
        <f ca="1">-Sales!AL21</f>
        <v>-3444</v>
      </c>
      <c r="AW13" s="41">
        <f ca="1">-Sales!AM21</f>
        <v>-3450</v>
      </c>
      <c r="AX13" s="41">
        <f ca="1">-Sales!AN21</f>
        <v>-3450</v>
      </c>
      <c r="AY13" s="41">
        <f ca="1">-Sales!AO21</f>
        <v>-3696</v>
      </c>
      <c r="AZ13" s="41">
        <f ca="1">-Sales!AP21</f>
        <v>-3690</v>
      </c>
      <c r="BA13" s="41">
        <f ca="1">-Sales!AQ21</f>
        <v>-4656</v>
      </c>
      <c r="BB13" s="41">
        <f ca="1">-Sales!AR21</f>
        <v>-3918</v>
      </c>
      <c r="BC13" s="41">
        <f ca="1">-Sales!AS21</f>
        <v>-3912</v>
      </c>
      <c r="BD13" s="41">
        <f ca="1">-Sales!AT21</f>
        <v>-3906</v>
      </c>
      <c r="BE13" s="41">
        <f ca="1">-Sales!AU21</f>
        <v>-4134</v>
      </c>
      <c r="BF13" s="41">
        <f ca="1">-Sales!AV21</f>
        <v>-4122</v>
      </c>
      <c r="BG13" s="41">
        <f ca="1">-Sales!AW21</f>
        <v>-4110</v>
      </c>
      <c r="BH13" s="41">
        <f ca="1">-Sales!AX21</f>
        <v>-2286</v>
      </c>
      <c r="BI13" s="41">
        <f ca="1">-Sales!AY21</f>
        <v>-2472</v>
      </c>
      <c r="BJ13" s="41">
        <f ca="1">-Sales!AZ21</f>
        <v>-2484</v>
      </c>
      <c r="BK13" s="41">
        <f ca="1">-Sales!BA21</f>
        <v>-2496</v>
      </c>
      <c r="BL13" s="41">
        <f ca="1">-Sales!BB21</f>
        <v>-2676</v>
      </c>
      <c r="BM13" s="41">
        <f ca="1">-Sales!BC21</f>
        <v>-3564</v>
      </c>
      <c r="BN13" s="41">
        <f ca="1">-Sales!BD21</f>
        <v>-2682</v>
      </c>
      <c r="BO13" s="41">
        <f ca="1">-Sales!BE21</f>
        <v>-2862</v>
      </c>
      <c r="BP13" s="200">
        <f ca="1">-Sales!BF21</f>
        <v>-2862</v>
      </c>
      <c r="BR13" s="70" t="s">
        <v>116</v>
      </c>
      <c r="BS13" s="55">
        <f ca="1">SUM(Tabla7[[#This Row],[Month 1 ]:[Month 49]])</f>
        <v>-129342</v>
      </c>
    </row>
    <row r="14" spans="2:71" ht="15" thickBot="1" x14ac:dyDescent="0.4">
      <c r="B14" s="266"/>
      <c r="C14" s="104" t="s">
        <v>176</v>
      </c>
      <c r="D14" s="120">
        <v>150000</v>
      </c>
      <c r="E14" s="236"/>
      <c r="F14" s="114" t="s">
        <v>304</v>
      </c>
      <c r="G14" s="115"/>
      <c r="H14" s="267"/>
      <c r="L14" s="39"/>
      <c r="R14" s="228"/>
      <c r="S14" s="2" t="s">
        <v>115</v>
      </c>
      <c r="T14" s="26">
        <f>Sales!J19</f>
        <v>0</v>
      </c>
      <c r="U14" s="26">
        <f>Sales!K19</f>
        <v>0</v>
      </c>
      <c r="V14" s="26">
        <f>Sales!L19</f>
        <v>0</v>
      </c>
      <c r="W14" s="26">
        <f>Sales!M19</f>
        <v>0</v>
      </c>
      <c r="X14" s="26">
        <f>Sales!N19</f>
        <v>0</v>
      </c>
      <c r="Y14" s="26">
        <f>Sales!O19</f>
        <v>0</v>
      </c>
      <c r="Z14" s="26">
        <f>Sales!P19</f>
        <v>0</v>
      </c>
      <c r="AA14" s="26">
        <f>Sales!Q19</f>
        <v>0</v>
      </c>
      <c r="AB14" s="26">
        <f ca="1">Sales!R19</f>
        <v>-832.32</v>
      </c>
      <c r="AC14" s="26">
        <f ca="1">Sales!S19</f>
        <v>-1248.48</v>
      </c>
      <c r="AD14" s="26">
        <f ca="1">Sales!T19</f>
        <v>-1456.5600000000002</v>
      </c>
      <c r="AE14" s="26">
        <f ca="1">Sales!U19</f>
        <v>-1664.64</v>
      </c>
      <c r="AF14" s="26">
        <f ca="1">Sales!V19</f>
        <v>-1872.72</v>
      </c>
      <c r="AG14" s="26">
        <f ca="1">Sales!W19</f>
        <v>-2080.8000000000002</v>
      </c>
      <c r="AH14" s="26">
        <f ca="1">Sales!X19</f>
        <v>-2392.92</v>
      </c>
      <c r="AI14" s="26">
        <f ca="1">Sales!Y19</f>
        <v>-2601</v>
      </c>
      <c r="AJ14" s="26">
        <f ca="1">Sales!Z19</f>
        <v>-2809.0800000000004</v>
      </c>
      <c r="AK14" s="26">
        <f ca="1">Sales!AA19</f>
        <v>-3121.2000000000003</v>
      </c>
      <c r="AL14" s="26">
        <f ca="1">Sales!AB19</f>
        <v>-3433.32</v>
      </c>
      <c r="AM14" s="26">
        <f ca="1">Sales!AC19</f>
        <v>-3641.4</v>
      </c>
      <c r="AN14" s="26">
        <f ca="1">Sales!AD19</f>
        <v>-3953.5200000000004</v>
      </c>
      <c r="AO14" s="26">
        <f ca="1">Sales!AE19</f>
        <v>-4369.68</v>
      </c>
      <c r="AP14" s="26">
        <f ca="1">Sales!AF19</f>
        <v>-4681.8</v>
      </c>
      <c r="AQ14" s="26">
        <f ca="1">Sales!AG19</f>
        <v>-4993.92</v>
      </c>
      <c r="AR14" s="26">
        <f ca="1">Sales!AH19</f>
        <v>-5306.04</v>
      </c>
      <c r="AS14" s="26">
        <f ca="1">Sales!AI19</f>
        <v>-5722.2000000000007</v>
      </c>
      <c r="AT14" s="26">
        <f ca="1">Sales!AJ19</f>
        <v>-6034.3200000000006</v>
      </c>
      <c r="AU14" s="26">
        <f ca="1">Sales!AK19</f>
        <v>-6346.4400000000005</v>
      </c>
      <c r="AV14" s="26">
        <f ca="1">Sales!AL19</f>
        <v>-6762.6</v>
      </c>
      <c r="AW14" s="26">
        <f ca="1">Sales!AM19</f>
        <v>-7178.76</v>
      </c>
      <c r="AX14" s="26">
        <f ca="1">Sales!AN19</f>
        <v>-7490.88</v>
      </c>
      <c r="AY14" s="26">
        <f ca="1">Sales!AO19</f>
        <v>-7907.0400000000009</v>
      </c>
      <c r="AZ14" s="26">
        <f ca="1">Sales!AP19</f>
        <v>-8323.2000000000007</v>
      </c>
      <c r="BA14" s="26">
        <f ca="1">Sales!AQ19</f>
        <v>-8843.4</v>
      </c>
      <c r="BB14" s="26">
        <f ca="1">Sales!AR19</f>
        <v>-9259.5600000000013</v>
      </c>
      <c r="BC14" s="26">
        <f ca="1">Sales!AS19</f>
        <v>-9675.7200000000012</v>
      </c>
      <c r="BD14" s="26">
        <f ca="1">Sales!AT19</f>
        <v>-10091.880000000001</v>
      </c>
      <c r="BE14" s="26">
        <f ca="1">Sales!AU19</f>
        <v>-10508.04</v>
      </c>
      <c r="BF14" s="26">
        <f ca="1">Sales!AV19</f>
        <v>-10924.2</v>
      </c>
      <c r="BG14" s="26">
        <f ca="1">Sales!AW19</f>
        <v>-11444.400000000001</v>
      </c>
      <c r="BH14" s="26">
        <f ca="1">Sales!AX19</f>
        <v>-11652.480000000001</v>
      </c>
      <c r="BI14" s="26">
        <f ca="1">Sales!AY19</f>
        <v>-11964.6</v>
      </c>
      <c r="BJ14" s="26">
        <f ca="1">Sales!AZ19</f>
        <v>-12172.68</v>
      </c>
      <c r="BK14" s="26">
        <f ca="1">Sales!BA19</f>
        <v>-12484.800000000001</v>
      </c>
      <c r="BL14" s="26">
        <f ca="1">Sales!BB19</f>
        <v>-12796.92</v>
      </c>
      <c r="BM14" s="26">
        <f ca="1">Sales!BC19</f>
        <v>-13109.04</v>
      </c>
      <c r="BN14" s="26">
        <f ca="1">Sales!BD19</f>
        <v>-13421.160000000002</v>
      </c>
      <c r="BO14" s="26">
        <f ca="1">Sales!BE19</f>
        <v>-13733.28</v>
      </c>
      <c r="BP14" s="97">
        <f ca="1">Sales!BF19</f>
        <v>-14045.400000000001</v>
      </c>
      <c r="BR14" s="69" t="s">
        <v>115</v>
      </c>
      <c r="BS14" s="55">
        <f ca="1">SUM(Tabla7[[#This Row],[Month 1 ]:[Month 49]])</f>
        <v>-292352.40000000008</v>
      </c>
    </row>
    <row r="15" spans="2:71" x14ac:dyDescent="0.35">
      <c r="B15" s="266"/>
      <c r="C15" s="105" t="s">
        <v>175</v>
      </c>
      <c r="D15" s="120">
        <v>100000</v>
      </c>
      <c r="E15" s="236"/>
      <c r="F15" s="104" t="s">
        <v>138</v>
      </c>
      <c r="G15" s="123">
        <v>104.04</v>
      </c>
      <c r="H15" s="267"/>
      <c r="L15" s="39"/>
      <c r="R15" s="228"/>
      <c r="S15" t="s">
        <v>41</v>
      </c>
      <c r="T15" s="21">
        <f>-Marketing!C6</f>
        <v>0</v>
      </c>
      <c r="U15" s="21">
        <f>-Marketing!D6</f>
        <v>0</v>
      </c>
      <c r="V15" s="21">
        <f>-Marketing!E6</f>
        <v>0</v>
      </c>
      <c r="W15" s="21">
        <f>-Marketing!F6</f>
        <v>0</v>
      </c>
      <c r="X15" s="21">
        <f>-Marketing!G6</f>
        <v>0</v>
      </c>
      <c r="Y15" s="21">
        <f>-Marketing!H6</f>
        <v>0</v>
      </c>
      <c r="Z15" s="21">
        <f>-Marketing!I6</f>
        <v>-105698.80623946873</v>
      </c>
      <c r="AA15" s="21">
        <f>-Marketing!J6</f>
        <v>-106572.35009268748</v>
      </c>
      <c r="AB15" s="21">
        <f ca="1">-Marketing!K6</f>
        <v>-106121.84814590623</v>
      </c>
      <c r="AC15" s="21">
        <f ca="1">-Marketing!L6</f>
        <v>-20549.436077250004</v>
      </c>
      <c r="AD15" s="21">
        <f ca="1">-Marketing!M6</f>
        <v>-21331.273830468752</v>
      </c>
      <c r="AE15" s="21">
        <f ca="1">-Marketing!N6</f>
        <v>-22106.286883687502</v>
      </c>
      <c r="AF15" s="21">
        <f ca="1">-Marketing!O6</f>
        <v>-22874.394686906253</v>
      </c>
      <c r="AG15" s="21">
        <f ca="1">-Marketing!P6</f>
        <v>-23626.569490125003</v>
      </c>
      <c r="AH15" s="21">
        <f ca="1">-Marketing!Q6</f>
        <v>-24371.086793343755</v>
      </c>
      <c r="AI15" s="21">
        <f ca="1">-Marketing!R6</f>
        <v>-25107.870096562507</v>
      </c>
      <c r="AJ15" s="21">
        <f ca="1">-Marketing!S6</f>
        <v>-25826.944849781255</v>
      </c>
      <c r="AK15" s="21">
        <f ca="1">-Marketing!T6</f>
        <v>-26537.580903000005</v>
      </c>
      <c r="AL15" s="21">
        <f ca="1">-Marketing!U6</f>
        <v>-27239.714806218755</v>
      </c>
      <c r="AM15" s="21">
        <f ca="1">-Marketing!V6</f>
        <v>-27922.437209437507</v>
      </c>
      <c r="AN15" s="21">
        <f ca="1">-Marketing!W6</f>
        <v>-61277.126491406263</v>
      </c>
      <c r="AO15" s="21">
        <f ca="1">-Marketing!X6</f>
        <v>-29201.524315875009</v>
      </c>
      <c r="AP15" s="21">
        <f ca="1">-Marketing!Y6</f>
        <v>-29842.303869093757</v>
      </c>
      <c r="AQ15" s="21">
        <f ca="1">-Marketing!Z6</f>
        <v>-30473.23562231251</v>
      </c>
      <c r="AR15" s="21">
        <f ca="1">-Marketing!AA6</f>
        <v>-31094.292575531257</v>
      </c>
      <c r="AS15" s="21">
        <f ca="1">-Marketing!AB6</f>
        <v>-31691.50612875001</v>
      </c>
      <c r="AT15" s="21">
        <f ca="1">-Marketing!AC6</f>
        <v>-32278.260781968762</v>
      </c>
      <c r="AU15" s="21">
        <f ca="1">-Marketing!AD6</f>
        <v>-32854.542135187512</v>
      </c>
      <c r="AV15" s="21">
        <f ca="1">-Marketing!AE6</f>
        <v>-33405.47678840626</v>
      </c>
      <c r="AW15" s="21">
        <f ca="1">-Marketing!AF6</f>
        <v>-33945.421541625015</v>
      </c>
      <c r="AX15" s="21">
        <f ca="1">-Marketing!AG6</f>
        <v>-34474.387644843766</v>
      </c>
      <c r="AY15" s="21">
        <f ca="1">-Marketing!AH6</f>
        <v>-34975.200848062515</v>
      </c>
      <c r="AZ15" s="21">
        <f ca="1">-Marketing!AI6</f>
        <v>-65647.159630031267</v>
      </c>
      <c r="BA15" s="21">
        <f ca="1">-Marketing!AJ6</f>
        <v>-35870.059354500016</v>
      </c>
      <c r="BB15" s="21">
        <f ca="1">-Marketing!AK6</f>
        <v>-36317.582507718762</v>
      </c>
      <c r="BC15" s="21">
        <f ca="1">-Marketing!AL6</f>
        <v>-36753.32016093751</v>
      </c>
      <c r="BD15" s="21">
        <f ca="1">-Marketing!AM6</f>
        <v>-37177.32991415626</v>
      </c>
      <c r="BE15" s="21">
        <f ca="1">-Marketing!AN6</f>
        <v>-37570.826967375011</v>
      </c>
      <c r="BF15" s="21">
        <f ca="1">-Marketing!AO6</f>
        <v>-37952.303770593768</v>
      </c>
      <c r="BG15" s="21">
        <f ca="1">-Marketing!AP6</f>
        <v>-38321.858873812518</v>
      </c>
      <c r="BH15" s="21">
        <f ca="1">-Marketing!AQ6</f>
        <v>-38835.131677031262</v>
      </c>
      <c r="BI15" s="21">
        <f ca="1">-Marketing!AR6</f>
        <v>-39325.000580250009</v>
      </c>
      <c r="BJ15" s="21">
        <f ca="1">-Marketing!AS6</f>
        <v>-39806.292183468766</v>
      </c>
      <c r="BK15" s="21">
        <f ca="1">-Marketing!AT6</f>
        <v>-40278.996286687514</v>
      </c>
      <c r="BL15" s="21">
        <f ca="1">-Marketing!AU6</f>
        <v>-68338.685568656263</v>
      </c>
      <c r="BM15" s="21">
        <f ca="1">-Marketing!AV6</f>
        <v>-41083.386193125014</v>
      </c>
      <c r="BN15" s="21">
        <f ca="1">-Marketing!AW6</f>
        <v>-41512.632146343763</v>
      </c>
      <c r="BO15" s="21">
        <f ca="1">-Marketing!AX6</f>
        <v>-41916.240999562513</v>
      </c>
      <c r="BP15" s="57">
        <f ca="1">-Marketing!AY6</f>
        <v>-42310.548202781269</v>
      </c>
      <c r="BR15" s="17" t="s">
        <v>41</v>
      </c>
      <c r="BS15" s="55">
        <f ca="1">SUM(Tabla7[[#This Row],[Month 1 ]:[Month 49]])</f>
        <v>-1720417.2338649381</v>
      </c>
    </row>
    <row r="16" spans="2:71" ht="15" thickBot="1" x14ac:dyDescent="0.4">
      <c r="B16" s="266"/>
      <c r="C16" s="106" t="s">
        <v>230</v>
      </c>
      <c r="D16" s="122">
        <v>50000</v>
      </c>
      <c r="E16" s="236"/>
      <c r="F16" s="106" t="s">
        <v>133</v>
      </c>
      <c r="G16" s="117">
        <v>0.1</v>
      </c>
      <c r="H16" s="267"/>
      <c r="L16" s="39"/>
      <c r="R16" s="228"/>
      <c r="S16" t="s">
        <v>172</v>
      </c>
      <c r="T16" s="21">
        <v>0</v>
      </c>
      <c r="U16" s="21">
        <v>-4800</v>
      </c>
      <c r="V16" s="21">
        <v>-4800</v>
      </c>
      <c r="W16" s="21">
        <v>-4800</v>
      </c>
      <c r="X16" s="21">
        <v>-4800</v>
      </c>
      <c r="Y16" s="21">
        <v>-4800</v>
      </c>
      <c r="Z16" s="21">
        <v>-4800</v>
      </c>
      <c r="AA16" s="21">
        <v>-4800</v>
      </c>
      <c r="AB16" s="21">
        <v>-4800</v>
      </c>
      <c r="AC16" s="21">
        <v>-4800</v>
      </c>
      <c r="AD16" s="21">
        <v>-4800</v>
      </c>
      <c r="AE16" s="21">
        <v>-4800</v>
      </c>
      <c r="AF16" s="21">
        <v>-4800</v>
      </c>
      <c r="AG16" s="21">
        <v>-4800</v>
      </c>
      <c r="AH16" s="21">
        <v>-4800</v>
      </c>
      <c r="AI16" s="21">
        <v>-4800</v>
      </c>
      <c r="AJ16" s="21">
        <v>-4800</v>
      </c>
      <c r="AK16" s="21">
        <v>-4800</v>
      </c>
      <c r="AL16" s="21">
        <v>-4800</v>
      </c>
      <c r="AM16" s="21">
        <v>-4800</v>
      </c>
      <c r="AN16" s="21">
        <v>-4800</v>
      </c>
      <c r="AO16" s="21">
        <v>-4800</v>
      </c>
      <c r="AP16" s="21">
        <v>-4800</v>
      </c>
      <c r="AQ16" s="21">
        <v>-4800</v>
      </c>
      <c r="AR16" s="21">
        <v>-4800</v>
      </c>
      <c r="AS16" s="21">
        <v>-4800</v>
      </c>
      <c r="AT16" s="21">
        <v>-4800</v>
      </c>
      <c r="AU16" s="21">
        <v>-4800</v>
      </c>
      <c r="AV16" s="21">
        <v>-4800</v>
      </c>
      <c r="AW16" s="21">
        <v>-4800</v>
      </c>
      <c r="AX16" s="21">
        <v>-4800</v>
      </c>
      <c r="AY16" s="21">
        <v>-4800</v>
      </c>
      <c r="AZ16" s="21">
        <v>-4800</v>
      </c>
      <c r="BA16" s="21">
        <v>-4800</v>
      </c>
      <c r="BB16" s="21">
        <v>-4800</v>
      </c>
      <c r="BC16" s="21">
        <v>-4800</v>
      </c>
      <c r="BD16" s="21">
        <v>-4800</v>
      </c>
      <c r="BE16" s="21">
        <v>-4800</v>
      </c>
      <c r="BF16" s="21">
        <v>-4800</v>
      </c>
      <c r="BG16" s="21">
        <v>-4800</v>
      </c>
      <c r="BH16" s="21">
        <v>-4800</v>
      </c>
      <c r="BI16" s="21">
        <v>-4800</v>
      </c>
      <c r="BJ16" s="21">
        <v>-4800</v>
      </c>
      <c r="BK16" s="21">
        <v>-4800</v>
      </c>
      <c r="BL16" s="21">
        <v>-4800</v>
      </c>
      <c r="BM16" s="21">
        <v>-4800</v>
      </c>
      <c r="BN16" s="21">
        <v>-4800</v>
      </c>
      <c r="BO16" s="21">
        <v>-4800</v>
      </c>
      <c r="BP16" s="57">
        <v>-4799</v>
      </c>
      <c r="BR16" s="17" t="s">
        <v>172</v>
      </c>
      <c r="BS16" s="55">
        <f>SUM(Tabla7[[#This Row],[Month 1 ]:[Month 49]])</f>
        <v>-230399</v>
      </c>
    </row>
    <row r="17" spans="2:71" ht="15" thickBot="1" x14ac:dyDescent="0.4">
      <c r="B17" s="266"/>
      <c r="C17" s="263"/>
      <c r="D17" s="263"/>
      <c r="E17" s="236"/>
      <c r="F17" s="114" t="s">
        <v>305</v>
      </c>
      <c r="G17" s="115"/>
      <c r="H17" s="267"/>
      <c r="L17" s="39"/>
      <c r="R17" s="228"/>
      <c r="S17" t="s">
        <v>357</v>
      </c>
      <c r="T17" s="74" cm="1">
        <f t="array" ref="T17">-Distributors[Month 1]</f>
        <v>0</v>
      </c>
      <c r="U17" s="74" cm="1">
        <f t="array" ref="U17">-Distributors[Month 2]</f>
        <v>0</v>
      </c>
      <c r="V17" s="74" cm="1">
        <f t="array" ref="V17">-Distributors[Month 3]</f>
        <v>0</v>
      </c>
      <c r="W17" s="74" cm="1">
        <f t="array" ref="W17">-Distributors[Month 4]</f>
        <v>0</v>
      </c>
      <c r="X17" s="74" cm="1">
        <f t="array" ref="X17">-Distributors[Month 5]</f>
        <v>0</v>
      </c>
      <c r="Y17" s="74" cm="1">
        <f t="array" ref="Y17">-Distributors[Month 6]</f>
        <v>0</v>
      </c>
      <c r="Z17" s="74" cm="1">
        <f t="array" ref="Z17">-Distributors[Month 7]</f>
        <v>0</v>
      </c>
      <c r="AA17" s="74" cm="1">
        <f t="array" ref="AA17">-Distributors[Month 8]</f>
        <v>0</v>
      </c>
      <c r="AB17" s="75" cm="1">
        <f t="array" aca="1" ref="AB17" ca="1">-Distributors[Month 9]</f>
        <v>-7723.3499999999995</v>
      </c>
      <c r="AC17" s="75" cm="1">
        <f t="array" aca="1" ref="AC17" ca="1">-Distributors[Month 10]</f>
        <v>-8984.1224999999995</v>
      </c>
      <c r="AD17" s="75" cm="1">
        <f t="array" aca="1" ref="AD17" ca="1">-Distributors[Month 11]</f>
        <v>-9029.0249999999978</v>
      </c>
      <c r="AE17" s="75" cm="1">
        <f t="array" aca="1" ref="AE17" ca="1">-Distributors[Month 12]</f>
        <v>-10234.987499999999</v>
      </c>
      <c r="AF17" s="75" cm="1">
        <f t="array" aca="1" ref="AF17" ca="1">-Distributors[Month 13]</f>
        <v>-11458.867499999998</v>
      </c>
      <c r="AG17" s="75" cm="1">
        <f t="array" aca="1" ref="AG17" ca="1">-Distributors[Month 14]</f>
        <v>-12920.302499999998</v>
      </c>
      <c r="AH17" s="75" cm="1">
        <f t="array" aca="1" ref="AH17" ca="1">-Distributors[Month 15]</f>
        <v>-14294.924999999997</v>
      </c>
      <c r="AI17" s="75" cm="1">
        <f t="array" aca="1" ref="AI17" ca="1">-Distributors[Month 16]</f>
        <v>-15674.009999999998</v>
      </c>
      <c r="AJ17" s="75" cm="1">
        <f t="array" aca="1" ref="AJ17" ca="1">-Distributors[Month 17]</f>
        <v>-17301.12</v>
      </c>
      <c r="AK17" s="75" cm="1">
        <f t="array" aca="1" ref="AK17" ca="1">-Distributors[Month 18]</f>
        <v>-18833.939999999999</v>
      </c>
      <c r="AL17" s="75" cm="1">
        <f t="array" aca="1" ref="AL17" ca="1">-Distributors[Month 19]</f>
        <v>-20377.207499999997</v>
      </c>
      <c r="AM17" s="75" cm="1">
        <f t="array" aca="1" ref="AM17" ca="1">-Distributors[Month 20]</f>
        <v>-22155.044999999998</v>
      </c>
      <c r="AN17" s="75" cm="1">
        <f t="array" aca="1" ref="AN17" ca="1">-Distributors[Month 21]</f>
        <v>-23840.092499999995</v>
      </c>
      <c r="AO17" s="75" cm="1">
        <f t="array" aca="1" ref="AO17" ca="1">-Distributors[Month 22]</f>
        <v>-26708.512499999993</v>
      </c>
      <c r="AP17" s="75" cm="1">
        <f t="array" aca="1" ref="AP17" ca="1">-Distributors[Month 23]</f>
        <v>-28137.314999999995</v>
      </c>
      <c r="AQ17" s="75" cm="1">
        <f t="array" aca="1" ref="AQ17" ca="1">-Distributors[Month 24]</f>
        <v>-29979.067499999997</v>
      </c>
      <c r="AR17" s="75" cm="1">
        <f t="array" aca="1" ref="AR17" ca="1">-Distributors[Month 25]</f>
        <v>-31831.274999999998</v>
      </c>
      <c r="AS17" s="75" cm="1">
        <f t="array" aca="1" ref="AS17" ca="1">-Distributors[Month 26]</f>
        <v>-33938.977499999994</v>
      </c>
      <c r="AT17" s="75" cm="1">
        <f t="array" aca="1" ref="AT17" ca="1">-Distributors[Month 27]</f>
        <v>-35937.442499999997</v>
      </c>
      <c r="AU17" s="75" cm="1">
        <f t="array" aca="1" ref="AU17" ca="1">-Distributors[Month 28]</f>
        <v>-37938.892499999994</v>
      </c>
      <c r="AV17" s="75" cm="1">
        <f t="array" aca="1" ref="AV17" ca="1">-Distributors[Month 29]</f>
        <v>-40194.344999999994</v>
      </c>
      <c r="AW17" s="75" cm="1">
        <f t="array" aca="1" ref="AW17" ca="1">-Distributors[Month 30]</f>
        <v>-42340.56749999999</v>
      </c>
      <c r="AX17" s="75" cm="1">
        <f t="array" aca="1" ref="AX17" ca="1">-Distributors[Month 31]</f>
        <v>-44485.289999999994</v>
      </c>
      <c r="AY17" s="75" cm="1">
        <f t="array" aca="1" ref="AY17" ca="1">-Distributors[Month 32]</f>
        <v>-46903.447499999995</v>
      </c>
      <c r="AZ17" s="75" cm="1">
        <f t="array" aca="1" ref="AZ17" ca="1">-Distributors[Month 33]</f>
        <v>-49194.427499999998</v>
      </c>
      <c r="BA17" s="75" cm="1">
        <f t="array" aca="1" ref="BA17" ca="1">-Distributors[Month 34]</f>
        <v>-52570.177499999998</v>
      </c>
      <c r="BB17" s="75" cm="1">
        <f t="array" aca="1" ref="BB17" ca="1">-Distributors[Month 35]</f>
        <v>-54637.859999999993</v>
      </c>
      <c r="BC17" s="75" cm="1">
        <f t="array" aca="1" ref="BC17" ca="1">-Distributors[Month 36]</f>
        <v>-57066.15</v>
      </c>
      <c r="BD17" s="75" cm="1">
        <f t="array" aca="1" ref="BD17" ca="1">-Distributors[Month 37]</f>
        <v>-59489.962499999994</v>
      </c>
      <c r="BE17" s="75" cm="1">
        <f t="array" aca="1" ref="BE17" ca="1">-Distributors[Month 38]</f>
        <v>-62172.27</v>
      </c>
      <c r="BF17" s="75" cm="1">
        <f t="array" aca="1" ref="BF17" ca="1">-Distributors[Month 39]</f>
        <v>-64727.414999999994</v>
      </c>
      <c r="BG17" s="75" cm="1">
        <f t="array" aca="1" ref="BG17" ca="1">-Distributors[Month 40]</f>
        <v>-67275.097499999989</v>
      </c>
      <c r="BH17" s="75" cm="1">
        <f t="array" aca="1" ref="BH17" ca="1">-Distributors[Month 41]</f>
        <v>-67786.237500000003</v>
      </c>
      <c r="BI17" s="75" cm="1">
        <f t="array" aca="1" ref="BI17" ca="1">-Distributors[Month 42]</f>
        <v>-69416.28</v>
      </c>
      <c r="BJ17" s="75" cm="1">
        <f t="array" aca="1" ref="BJ17" ca="1">-Distributors[Month 43]</f>
        <v>-70964.017499999987</v>
      </c>
      <c r="BK17" s="75" cm="1">
        <f t="array" aca="1" ref="BK17" ca="1">-Distributors[Month 44]</f>
        <v>-72519.217499999984</v>
      </c>
      <c r="BL17" s="75" cm="1">
        <f t="array" aca="1" ref="BL17" ca="1">-Distributors[Month 45]</f>
        <v>-74270.14499999999</v>
      </c>
      <c r="BM17" s="75" cm="1">
        <f t="array" aca="1" ref="BM17" ca="1">-Distributors[Month 46]</f>
        <v>-76929.397499999992</v>
      </c>
      <c r="BN17" s="75" cm="1">
        <f t="array" aca="1" ref="BN17" ca="1">-Distributors[Month 47]</f>
        <v>-78156.622499999998</v>
      </c>
      <c r="BO17" s="75" cm="1">
        <f t="array" aca="1" ref="BO17" ca="1">-Distributors[Month 48]</f>
        <v>-80023.964999999997</v>
      </c>
      <c r="BP17" s="201" cm="1">
        <f t="array" aca="1" ref="BP17" ca="1">-Distributors[Month 49]</f>
        <v>-81803.024999999994</v>
      </c>
      <c r="BR17" s="101" t="s">
        <v>363</v>
      </c>
      <c r="BS17" s="55">
        <f ca="1">SUM(Tabla7[[#This Row],[Month 1 ]:[Month 49]])</f>
        <v>-1730224.3950000003</v>
      </c>
    </row>
    <row r="18" spans="2:71" ht="16" thickBot="1" x14ac:dyDescent="0.4">
      <c r="B18" s="266"/>
      <c r="C18" s="108" t="s">
        <v>303</v>
      </c>
      <c r="D18" s="109"/>
      <c r="E18" s="236"/>
      <c r="F18" s="103" t="s">
        <v>140</v>
      </c>
      <c r="G18" s="122">
        <v>6</v>
      </c>
      <c r="H18" s="267"/>
      <c r="L18" s="39"/>
      <c r="R18" s="228"/>
      <c r="S18" s="7" t="s">
        <v>174</v>
      </c>
      <c r="T18" s="29">
        <f ca="1">Loans!T31</f>
        <v>0</v>
      </c>
      <c r="U18" s="29">
        <f ca="1">Loans!U31</f>
        <v>0</v>
      </c>
      <c r="V18" s="29">
        <f ca="1">Loans!V31</f>
        <v>0</v>
      </c>
      <c r="W18" s="29">
        <f ca="1">Loans!W31</f>
        <v>0</v>
      </c>
      <c r="X18" s="29">
        <f ca="1">Loans!X31</f>
        <v>0</v>
      </c>
      <c r="Y18" s="29">
        <f ca="1">Loans!Y31</f>
        <v>-5190.4761904761899</v>
      </c>
      <c r="Z18" s="29">
        <f ca="1">Loans!Z31</f>
        <v>-5190.4761904761899</v>
      </c>
      <c r="AA18" s="29">
        <f ca="1">Loans!AA31</f>
        <v>-5190.4761904761899</v>
      </c>
      <c r="AB18" s="29">
        <f ca="1">Loans!AB31</f>
        <v>-5190.4761904761899</v>
      </c>
      <c r="AC18" s="29">
        <f ca="1">Loans!AC31</f>
        <v>-5190.4761904761899</v>
      </c>
      <c r="AD18" s="29">
        <f ca="1">Loans!AD31</f>
        <v>-5190.4761904761899</v>
      </c>
      <c r="AE18" s="29">
        <f ca="1">Loans!AE31</f>
        <v>-5190.4761904761899</v>
      </c>
      <c r="AF18" s="29">
        <f ca="1">Loans!AF31</f>
        <v>-5190.4761904761899</v>
      </c>
      <c r="AG18" s="29">
        <f ca="1">Loans!AG31</f>
        <v>-5190.4761904761899</v>
      </c>
      <c r="AH18" s="29">
        <f ca="1">Loans!AH31</f>
        <v>-5190.4761904761899</v>
      </c>
      <c r="AI18" s="29">
        <f ca="1">Loans!AI31</f>
        <v>-5190.4761904761899</v>
      </c>
      <c r="AJ18" s="29">
        <f ca="1">Loans!AJ31</f>
        <v>-5190.4761904761899</v>
      </c>
      <c r="AK18" s="29">
        <f ca="1">Loans!AK31</f>
        <v>-5190.4761904761899</v>
      </c>
      <c r="AL18" s="29">
        <f ca="1">Loans!AL31</f>
        <v>-5190.4761904761899</v>
      </c>
      <c r="AM18" s="29">
        <f ca="1">Loans!AM31</f>
        <v>-5190.4761904761899</v>
      </c>
      <c r="AN18" s="29">
        <f ca="1">Loans!AN31</f>
        <v>-5190.4761904761899</v>
      </c>
      <c r="AO18" s="29">
        <f ca="1">Loans!AO31</f>
        <v>-5190.4761904761899</v>
      </c>
      <c r="AP18" s="29">
        <f ca="1">Loans!AP31</f>
        <v>-5190.4761904761899</v>
      </c>
      <c r="AQ18" s="29">
        <f ca="1">Loans!AQ31</f>
        <v>-5190.4761904761899</v>
      </c>
      <c r="AR18" s="29">
        <f ca="1">Loans!AR31</f>
        <v>-5190.4761904761899</v>
      </c>
      <c r="AS18" s="29">
        <f ca="1">Loans!AS31</f>
        <v>-5190.4761904761899</v>
      </c>
      <c r="AT18" s="29">
        <f ca="1">Loans!AT31</f>
        <v>-5190.4761904761899</v>
      </c>
      <c r="AU18" s="29">
        <f ca="1">Loans!AU31</f>
        <v>-5190.4761904761899</v>
      </c>
      <c r="AV18" s="29">
        <f ca="1">Loans!AV31</f>
        <v>-5190.4761904761899</v>
      </c>
      <c r="AW18" s="29">
        <f ca="1">Loans!AW31</f>
        <v>-5190.4761904761899</v>
      </c>
      <c r="AX18" s="29">
        <f ca="1">Loans!AX31</f>
        <v>-5190.4761904761899</v>
      </c>
      <c r="AY18" s="29">
        <f ca="1">Loans!AY31</f>
        <v>-5190.4761904761899</v>
      </c>
      <c r="AZ18" s="29">
        <f ca="1">Loans!AZ31</f>
        <v>-5190.4761904761899</v>
      </c>
      <c r="BA18" s="29">
        <f ca="1">Loans!BA31</f>
        <v>-5190.4761904761899</v>
      </c>
      <c r="BB18" s="29">
        <f ca="1">Loans!BB31</f>
        <v>-5190.4761904761899</v>
      </c>
      <c r="BC18" s="29">
        <f ca="1">Loans!BC31</f>
        <v>-5190.4761904761899</v>
      </c>
      <c r="BD18" s="29">
        <f ca="1">Loans!BD31</f>
        <v>-5190.4761904761899</v>
      </c>
      <c r="BE18" s="29">
        <f ca="1">Loans!BE31</f>
        <v>-5190.4761904761899</v>
      </c>
      <c r="BF18" s="29">
        <f ca="1">Loans!BF31</f>
        <v>-5190.4761904761899</v>
      </c>
      <c r="BG18" s="29">
        <f ca="1">Loans!BG31</f>
        <v>-5190.4761904761899</v>
      </c>
      <c r="BH18" s="29">
        <f ca="1">Loans!BH31</f>
        <v>-5190.4761904761899</v>
      </c>
      <c r="BI18" s="29">
        <f ca="1">Loans!BI31</f>
        <v>-5190.4761904761899</v>
      </c>
      <c r="BJ18" s="29">
        <f ca="1">Loans!BJ31</f>
        <v>-5190.4761904761899</v>
      </c>
      <c r="BK18" s="29">
        <f ca="1">Loans!BK31</f>
        <v>-5190.4761904761899</v>
      </c>
      <c r="BL18" s="29">
        <f ca="1">Loans!BL31</f>
        <v>-5190.4761904761899</v>
      </c>
      <c r="BM18" s="29">
        <f ca="1">Loans!BM31</f>
        <v>-5190.4761904761899</v>
      </c>
      <c r="BN18" s="29">
        <f ca="1">Loans!BN31</f>
        <v>-5190.4761904761899</v>
      </c>
      <c r="BO18" s="29">
        <f ca="1">Loans!BO31</f>
        <v>-5190.4761904761899</v>
      </c>
      <c r="BP18" s="98">
        <f ca="1">Tabla7[[#This Row],[Month 48]]</f>
        <v>-5190.4761904761899</v>
      </c>
      <c r="BR18" s="70" t="s">
        <v>174</v>
      </c>
      <c r="BS18" s="55">
        <f ca="1">SUM(Tabla7[[#This Row],[Month 1 ]:[Month 49]])</f>
        <v>-228380.95238095216</v>
      </c>
    </row>
    <row r="19" spans="2:71" ht="15" thickBot="1" x14ac:dyDescent="0.4">
      <c r="B19" s="266"/>
      <c r="C19" s="104" t="s">
        <v>293</v>
      </c>
      <c r="D19" s="119">
        <v>0.75</v>
      </c>
      <c r="E19" s="236"/>
      <c r="F19" s="263"/>
      <c r="G19" s="263"/>
      <c r="H19" s="267"/>
      <c r="L19" s="39"/>
      <c r="R19" s="228"/>
      <c r="S19" s="10" t="s">
        <v>344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f>-Amortization!C12</f>
        <v>-4600</v>
      </c>
      <c r="AG19" s="26">
        <f>-Amortization!T6</f>
        <v>0</v>
      </c>
      <c r="AH19" s="26">
        <f>-Amortization!U6</f>
        <v>0</v>
      </c>
      <c r="AI19" s="26">
        <f>-Amortization!V6</f>
        <v>0</v>
      </c>
      <c r="AJ19" s="26">
        <f>-Amortization!W6</f>
        <v>0</v>
      </c>
      <c r="AK19" s="26">
        <f>-Amortization!X6</f>
        <v>0</v>
      </c>
      <c r="AL19" s="26">
        <f>-Amortization!Y6</f>
        <v>0</v>
      </c>
      <c r="AM19" s="26">
        <f>-Amortization!Z6</f>
        <v>0</v>
      </c>
      <c r="AN19" s="26">
        <f>-Amortization!AA6</f>
        <v>0</v>
      </c>
      <c r="AO19" s="26">
        <f>-Amortization!AB6</f>
        <v>0</v>
      </c>
      <c r="AP19" s="26">
        <f>-Amortization!AC6</f>
        <v>0</v>
      </c>
      <c r="AQ19" s="26">
        <f>-Amortization!AD6</f>
        <v>0</v>
      </c>
      <c r="AR19" s="26">
        <f>-Amortization!D12</f>
        <v>-5400</v>
      </c>
      <c r="AS19" s="26">
        <f>-Amortization!AF6</f>
        <v>0</v>
      </c>
      <c r="AT19" s="26">
        <f>-Amortization!AG6</f>
        <v>0</v>
      </c>
      <c r="AU19" s="26">
        <f>-Amortization!AH6</f>
        <v>0</v>
      </c>
      <c r="AV19" s="26">
        <f>-Amortization!AI6</f>
        <v>0</v>
      </c>
      <c r="AW19" s="26">
        <f>-Amortization!AJ6</f>
        <v>0</v>
      </c>
      <c r="AX19" s="26">
        <f>-Amortization!AK6</f>
        <v>0</v>
      </c>
      <c r="AY19" s="26">
        <f>-Amortization!AL6</f>
        <v>0</v>
      </c>
      <c r="AZ19" s="26">
        <f>-Amortization!AM6</f>
        <v>0</v>
      </c>
      <c r="BA19" s="26">
        <f>-Amortization!AN6</f>
        <v>0</v>
      </c>
      <c r="BB19" s="26">
        <f>-Amortization!AO6</f>
        <v>0</v>
      </c>
      <c r="BC19" s="26">
        <f>-Amortization!AP6</f>
        <v>0</v>
      </c>
      <c r="BD19" s="26">
        <f>-Amortization!E12</f>
        <v>-5400</v>
      </c>
      <c r="BE19" s="26">
        <f>-Amortization!AR6</f>
        <v>0</v>
      </c>
      <c r="BF19" s="26">
        <f>-Amortization!AS6</f>
        <v>0</v>
      </c>
      <c r="BG19" s="26">
        <f>-Amortization!AT6</f>
        <v>0</v>
      </c>
      <c r="BH19" s="26">
        <f>-Amortization!AU6</f>
        <v>0</v>
      </c>
      <c r="BI19" s="26">
        <f>-Amortization!AV6</f>
        <v>0</v>
      </c>
      <c r="BJ19" s="26">
        <f>-Amortization!AW6</f>
        <v>0</v>
      </c>
      <c r="BK19" s="26">
        <f>-Amortization!AX6</f>
        <v>0</v>
      </c>
      <c r="BL19" s="26">
        <f>-Amortization!AY6</f>
        <v>0</v>
      </c>
      <c r="BM19" s="26">
        <f>-Amortization!AZ6</f>
        <v>0</v>
      </c>
      <c r="BN19" s="26">
        <f>-Amortization!BA6</f>
        <v>0</v>
      </c>
      <c r="BO19" s="26">
        <f>-Amortization!BB6</f>
        <v>0</v>
      </c>
      <c r="BP19" s="99">
        <v>-5400</v>
      </c>
      <c r="BR19" s="71" t="s">
        <v>344</v>
      </c>
      <c r="BS19" s="55">
        <f>SUM(Tabla7[[#This Row],[Month 1 ]:[Month 49]])</f>
        <v>-20800</v>
      </c>
    </row>
    <row r="20" spans="2:71" ht="16" thickBot="1" x14ac:dyDescent="0.4">
      <c r="B20" s="266"/>
      <c r="C20" s="105" t="s">
        <v>294</v>
      </c>
      <c r="D20" s="120">
        <v>70000</v>
      </c>
      <c r="E20" s="236"/>
      <c r="F20" s="108" t="s">
        <v>307</v>
      </c>
      <c r="G20" s="109"/>
      <c r="H20" s="267"/>
      <c r="L20" s="39"/>
      <c r="R20" s="228"/>
      <c r="S20" s="10" t="s">
        <v>114</v>
      </c>
      <c r="T20" s="21">
        <f ca="1">Loans!T30</f>
        <v>0</v>
      </c>
      <c r="U20" s="21">
        <f ca="1">Loans!U30</f>
        <v>0</v>
      </c>
      <c r="V20" s="21">
        <f ca="1">Loans!V30</f>
        <v>0</v>
      </c>
      <c r="W20" s="21">
        <f ca="1">Loans!W30</f>
        <v>0</v>
      </c>
      <c r="X20" s="21">
        <f ca="1">Loans!X30</f>
        <v>0</v>
      </c>
      <c r="Y20" s="21">
        <f ca="1">Loans!Y30</f>
        <v>-2273.5263600460207</v>
      </c>
      <c r="Z20" s="21">
        <f ca="1">Loans!Z30</f>
        <v>-2273.5263600460207</v>
      </c>
      <c r="AA20" s="21">
        <f ca="1">Loans!AA30</f>
        <v>-2273.5263600460207</v>
      </c>
      <c r="AB20" s="21">
        <f ca="1">Loans!AB30</f>
        <v>-2273.5263600460207</v>
      </c>
      <c r="AC20" s="21">
        <f ca="1">Loans!AC30</f>
        <v>-2273.5263600460207</v>
      </c>
      <c r="AD20" s="21">
        <f ca="1">Loans!AD30</f>
        <v>-2273.5263600460207</v>
      </c>
      <c r="AE20" s="21">
        <f ca="1">Loans!AE30</f>
        <v>-2273.5263600460207</v>
      </c>
      <c r="AF20" s="21">
        <f ca="1">Loans!AF30</f>
        <v>-2273.5263600460207</v>
      </c>
      <c r="AG20" s="21">
        <f ca="1">Loans!AG30</f>
        <v>-2273.5263600460207</v>
      </c>
      <c r="AH20" s="21">
        <f ca="1">Loans!AH30</f>
        <v>-2273.5263600460207</v>
      </c>
      <c r="AI20" s="21">
        <f ca="1">Loans!AI30</f>
        <v>-2273.5263600460207</v>
      </c>
      <c r="AJ20" s="21">
        <f ca="1">Loans!AJ30</f>
        <v>-2273.5263600460207</v>
      </c>
      <c r="AK20" s="21">
        <f ca="1">Loans!AK30</f>
        <v>-2273.5263600460207</v>
      </c>
      <c r="AL20" s="21">
        <f ca="1">Loans!AL30</f>
        <v>-2273.5263600460207</v>
      </c>
      <c r="AM20" s="21">
        <f ca="1">Loans!AM30</f>
        <v>-2273.5263600460207</v>
      </c>
      <c r="AN20" s="21">
        <f ca="1">Loans!AN30</f>
        <v>-2273.5263600460207</v>
      </c>
      <c r="AO20" s="21">
        <f ca="1">Loans!AO30</f>
        <v>-2273.5263600460207</v>
      </c>
      <c r="AP20" s="21">
        <f ca="1">Loans!AP30</f>
        <v>-2273.5263600460207</v>
      </c>
      <c r="AQ20" s="21">
        <f ca="1">Loans!AQ30</f>
        <v>-2273.5263600460207</v>
      </c>
      <c r="AR20" s="21">
        <f ca="1">Loans!AR30</f>
        <v>-2273.5263600460207</v>
      </c>
      <c r="AS20" s="21">
        <f ca="1">Loans!AS30</f>
        <v>-2273.5263600460207</v>
      </c>
      <c r="AT20" s="21">
        <f ca="1">Loans!AT30</f>
        <v>-2273.5263600460207</v>
      </c>
      <c r="AU20" s="21">
        <f ca="1">Loans!AU30</f>
        <v>-2273.5263600460207</v>
      </c>
      <c r="AV20" s="21">
        <f ca="1">Loans!AV30</f>
        <v>-2273.5263600460207</v>
      </c>
      <c r="AW20" s="21">
        <f ca="1">Loans!AW30</f>
        <v>-2273.5263600460207</v>
      </c>
      <c r="AX20" s="21">
        <f ca="1">Loans!AX30</f>
        <v>-2273.5263600460207</v>
      </c>
      <c r="AY20" s="21">
        <f ca="1">Loans!AY30</f>
        <v>-2273.5263600460207</v>
      </c>
      <c r="AZ20" s="21">
        <f ca="1">Loans!AZ30</f>
        <v>-2273.5263600460207</v>
      </c>
      <c r="BA20" s="21">
        <f ca="1">Loans!BA30</f>
        <v>-2273.5263600460207</v>
      </c>
      <c r="BB20" s="21">
        <f ca="1">Loans!BB30</f>
        <v>-2273.5263600460207</v>
      </c>
      <c r="BC20" s="21">
        <f ca="1">Loans!BC30</f>
        <v>-2273.5263600460207</v>
      </c>
      <c r="BD20" s="21">
        <f ca="1">Loans!BD30</f>
        <v>-2273.5263600460207</v>
      </c>
      <c r="BE20" s="21">
        <f ca="1">Loans!BE30</f>
        <v>-2273.5263600460207</v>
      </c>
      <c r="BF20" s="21">
        <f ca="1">Loans!BF30</f>
        <v>-2273.5263600460207</v>
      </c>
      <c r="BG20" s="21">
        <f ca="1">Loans!BG30</f>
        <v>-2273.5263600460207</v>
      </c>
      <c r="BH20" s="21">
        <f ca="1">Loans!BH30</f>
        <v>-2273.5263600460207</v>
      </c>
      <c r="BI20" s="21">
        <f ca="1">Loans!BI30</f>
        <v>-2273.5263600460207</v>
      </c>
      <c r="BJ20" s="21">
        <f ca="1">Loans!BJ30</f>
        <v>-2273.5263600460207</v>
      </c>
      <c r="BK20" s="21">
        <f ca="1">Loans!BK30</f>
        <v>-2273.5263600460207</v>
      </c>
      <c r="BL20" s="21">
        <f ca="1">Loans!BL30</f>
        <v>-2273.5263600460207</v>
      </c>
      <c r="BM20" s="21">
        <f ca="1">Loans!BM30</f>
        <v>-2273.5263600460207</v>
      </c>
      <c r="BN20" s="21">
        <f ca="1">Loans!BN30</f>
        <v>-2273.5263600460207</v>
      </c>
      <c r="BO20" s="21">
        <f ca="1">Loans!BO30</f>
        <v>-2273.5263600460207</v>
      </c>
      <c r="BP20" s="57">
        <f ca="1">Tabla7[[#This Row],[Month 48]]</f>
        <v>-2273.5263600460207</v>
      </c>
      <c r="BR20" s="71" t="s">
        <v>114</v>
      </c>
      <c r="BS20" s="56">
        <f ca="1">SUM(Tabla7[[#This Row],[Month 1 ]:[Month 49]])</f>
        <v>-100035.15984202489</v>
      </c>
    </row>
    <row r="21" spans="2:71" ht="15" thickBot="1" x14ac:dyDescent="0.4">
      <c r="B21" s="266"/>
      <c r="C21" s="105" t="s">
        <v>296</v>
      </c>
      <c r="D21" s="107">
        <f ca="1">-SUM($T$23:$BP$23)</f>
        <v>2969935.0416193455</v>
      </c>
      <c r="E21" s="236"/>
      <c r="F21" s="104" t="s">
        <v>124</v>
      </c>
      <c r="G21" s="124">
        <v>3.3369999999999997E-2</v>
      </c>
      <c r="H21" s="267"/>
      <c r="L21" s="39"/>
      <c r="R21" s="228"/>
      <c r="S21" s="7" t="s">
        <v>372</v>
      </c>
      <c r="T21" s="29">
        <v>0</v>
      </c>
      <c r="U21" s="29">
        <v>0</v>
      </c>
      <c r="V21" s="29">
        <v>0</v>
      </c>
      <c r="W21" s="29">
        <f>IF(SUM(T45:V45)&gt;0,-0.21*SUM(T33:V33),0)</f>
        <v>0</v>
      </c>
      <c r="X21" s="29">
        <v>0</v>
      </c>
      <c r="Y21" s="29">
        <v>0</v>
      </c>
      <c r="Z21" s="29">
        <f>IF(SUM(W45:Y45)&gt;0,-0.21*SUM(W33:Y33),0)</f>
        <v>0</v>
      </c>
      <c r="AA21" s="29">
        <v>0</v>
      </c>
      <c r="AB21" s="29">
        <v>0</v>
      </c>
      <c r="AC21" s="29">
        <f ca="1">IF(SUM(Z45:AB45)&gt;0,-0.21*SUM(Z33:AB33),0)</f>
        <v>0</v>
      </c>
      <c r="AD21" s="29">
        <v>0</v>
      </c>
      <c r="AE21" s="29">
        <v>0</v>
      </c>
      <c r="AF21" s="29">
        <f ca="1">IF(SUM(AC45:AE45)&gt;0,-0.21*SUM(AC33:AE33),0)+IF(SUM(T45:AE45)&gt;0,-0.15*SUM(T45:AE45),0)</f>
        <v>0</v>
      </c>
      <c r="AG21" s="29">
        <v>0</v>
      </c>
      <c r="AH21" s="29">
        <v>0</v>
      </c>
      <c r="AI21" s="29">
        <f ca="1">IF(SUM(AF45:AH45)&gt;0,-0.21*SUM(AF33:AH33),0)</f>
        <v>-54143.732999999993</v>
      </c>
      <c r="AJ21" s="29">
        <v>0</v>
      </c>
      <c r="AK21" s="29">
        <v>0</v>
      </c>
      <c r="AL21" s="29">
        <f ca="1">IF(SUM(AI45:AK45)&gt;0,-0.21*SUM(AI33:AK33),0)</f>
        <v>-72532.697999999989</v>
      </c>
      <c r="AM21" s="29">
        <v>0</v>
      </c>
      <c r="AN21" s="29">
        <v>0</v>
      </c>
      <c r="AO21" s="29">
        <f ca="1">IF(SUM(AL45:AN45)&gt;0,-0.21*SUM(AL33:AN33),0)</f>
        <v>-92921.282999999981</v>
      </c>
      <c r="AP21" s="29">
        <v>0</v>
      </c>
      <c r="AQ21" s="29">
        <v>0</v>
      </c>
      <c r="AR21" s="29">
        <f ca="1">IF(SUM(AF45:AQ45)&gt;0,-0.15*SUM(AF45:AQ45),0)+IF(SUM(AO45:AQ45)&gt;0,-0.21*SUM(AO33:AQ33),0)</f>
        <v>-218777.15562989056</v>
      </c>
      <c r="AS21" s="29">
        <v>0</v>
      </c>
      <c r="AT21" s="29">
        <v>0</v>
      </c>
      <c r="AU21" s="29">
        <f ca="1">IF(SUM(AR45:AT45)&gt;0,-0.21*SUM(AR33:AT33),0)</f>
        <v>-142390.77299999999</v>
      </c>
      <c r="AV21" s="29">
        <v>0</v>
      </c>
      <c r="AW21" s="29">
        <v>0</v>
      </c>
      <c r="AX21" s="29">
        <f ca="1">IF(SUM(AU45:AW45)&gt;0,-0.21*SUM(AU33:AW33),0)</f>
        <v>-168663.32699999999</v>
      </c>
      <c r="AY21" s="29">
        <v>0</v>
      </c>
      <c r="AZ21" s="29">
        <v>0</v>
      </c>
      <c r="BA21" s="29">
        <f ca="1">IF(SUM(AX45:AZ45)&gt;0,-0.21*SUM(AX33:AZ33),0)</f>
        <v>-196816.43099999998</v>
      </c>
      <c r="BB21" s="29">
        <v>0</v>
      </c>
      <c r="BC21" s="29">
        <v>0</v>
      </c>
      <c r="BD21" s="29">
        <f ca="1">IF(SUM(AR45:BC45)&gt;0,-0.25*SUM(AR45:BC45),0)+IF(SUM(BA45:BC45)&gt;0,-0.21*SUM(BA33:BC33),0)</f>
        <v>-877476.94060060917</v>
      </c>
      <c r="BE21" s="29">
        <v>0</v>
      </c>
      <c r="BF21" s="29">
        <v>0</v>
      </c>
      <c r="BG21" s="29">
        <f ca="1">IF(SUM(BD45:BF45)&gt;0,-0.21*SUM(BD33:BF33),0)</f>
        <v>-260945.50649999996</v>
      </c>
      <c r="BH21" s="29">
        <v>0</v>
      </c>
      <c r="BI21" s="29">
        <v>0</v>
      </c>
      <c r="BJ21" s="29">
        <f ca="1">IF(SUM(BG45:BI45)&gt;0,-0.21*SUM(BG33:BI33),0)</f>
        <v>-286268.66099999996</v>
      </c>
      <c r="BK21" s="29">
        <v>0</v>
      </c>
      <c r="BL21" s="29">
        <v>0</v>
      </c>
      <c r="BM21" s="29">
        <f ca="1">IF(SUM(BJ45:BL45)&gt;0,-0.21*SUM(BJ33:BL33),0)</f>
        <v>-304854.73199999996</v>
      </c>
      <c r="BN21" s="29">
        <v>0</v>
      </c>
      <c r="BO21" s="29">
        <v>0</v>
      </c>
      <c r="BP21" s="98">
        <f ca="1">IF(SUM(BD45:BO45)&gt;0,-0.25*SUM(BD45:BO45),0)+IF(SUM(BM33:BO33)&gt;0,-0.21*SUM(BM33:BO33),0)</f>
        <v>-1530790.2258347343</v>
      </c>
      <c r="BR21" s="154"/>
      <c r="BS21" s="56"/>
    </row>
    <row r="22" spans="2:71" ht="15" thickBot="1" x14ac:dyDescent="0.4">
      <c r="B22" s="266"/>
      <c r="C22" s="106" t="s">
        <v>297</v>
      </c>
      <c r="D22" s="139">
        <f ca="1">ROUNDUP(D21/$T$6,2)</f>
        <v>9.9</v>
      </c>
      <c r="E22" s="236"/>
      <c r="F22" s="106" t="s">
        <v>319</v>
      </c>
      <c r="G22" s="118">
        <v>7</v>
      </c>
      <c r="H22" s="267"/>
      <c r="L22" s="39"/>
      <c r="R22" s="228"/>
      <c r="S22" s="7" t="s">
        <v>113</v>
      </c>
      <c r="T22" s="29">
        <f>T48</f>
        <v>0</v>
      </c>
      <c r="U22" s="29">
        <f t="shared" ref="U22:BO22" si="0">U48</f>
        <v>0</v>
      </c>
      <c r="V22" s="29">
        <f t="shared" si="0"/>
        <v>0</v>
      </c>
      <c r="W22" s="29">
        <f ca="1">IF(SUM(T47:V47)&gt;0,-0.21*SUM(T33:V33),0)</f>
        <v>0</v>
      </c>
      <c r="X22" s="29">
        <f t="shared" si="0"/>
        <v>0</v>
      </c>
      <c r="Y22" s="29">
        <f t="shared" si="0"/>
        <v>0</v>
      </c>
      <c r="Z22" s="29">
        <f ca="1">IF(SUM(W47:Y47)&gt;0,-0.21*SUM(W33:Y33),0)</f>
        <v>0</v>
      </c>
      <c r="AA22" s="29">
        <f t="shared" si="0"/>
        <v>0</v>
      </c>
      <c r="AB22" s="29">
        <f t="shared" si="0"/>
        <v>0</v>
      </c>
      <c r="AC22" s="29">
        <f ca="1">IF(SUM(Z47:AB47)&gt;0,-0.21*SUM(Z33:AB33),0)</f>
        <v>0</v>
      </c>
      <c r="AD22" s="29">
        <f t="shared" si="0"/>
        <v>0</v>
      </c>
      <c r="AE22" s="29">
        <f t="shared" si="0"/>
        <v>0</v>
      </c>
      <c r="AF22" s="29">
        <f ca="1">IF(SUM(AC47:AE47)&gt;0,-0.21*SUM(AC33:AE33),0)+AF48</f>
        <v>0</v>
      </c>
      <c r="AG22" s="29">
        <f t="shared" si="0"/>
        <v>0</v>
      </c>
      <c r="AH22" s="29">
        <f t="shared" si="0"/>
        <v>0</v>
      </c>
      <c r="AI22" s="29">
        <f ca="1">IF(SUM(AF47:AH47)&gt;0,-0.21*SUM(AF33:AH33),0)</f>
        <v>-54143.732999999993</v>
      </c>
      <c r="AJ22" s="29">
        <f t="shared" si="0"/>
        <v>0</v>
      </c>
      <c r="AK22" s="29">
        <f t="shared" si="0"/>
        <v>0</v>
      </c>
      <c r="AL22" s="29">
        <f ca="1">IF(SUM(AI47:AK47)&gt;0,-0.21*SUM(AI33:AK33),0)</f>
        <v>-72532.697999999989</v>
      </c>
      <c r="AM22" s="29">
        <f t="shared" si="0"/>
        <v>0</v>
      </c>
      <c r="AN22" s="29">
        <f t="shared" si="0"/>
        <v>0</v>
      </c>
      <c r="AO22" s="29">
        <f ca="1">IF(SUM(AL47:AN47)&gt;0,-0.21*SUM(AL33:AN33),0)</f>
        <v>-92921.282999999981</v>
      </c>
      <c r="AP22" s="29">
        <f t="shared" si="0"/>
        <v>0</v>
      </c>
      <c r="AQ22" s="29">
        <f t="shared" si="0"/>
        <v>0</v>
      </c>
      <c r="AR22" s="29">
        <f ca="1">IF(SUM(AF45:AQ45)&gt;0,AR48,0)+IF(SUM(AO45:AQ45)&gt;0,-0.21*SUM(AO33:AQ33),0)</f>
        <v>-214684.80818180775</v>
      </c>
      <c r="AS22" s="29">
        <f>AS48</f>
        <v>0</v>
      </c>
      <c r="AT22" s="29">
        <f t="shared" si="0"/>
        <v>0</v>
      </c>
      <c r="AU22" s="29">
        <f ca="1">IF(SUM(AR47:AT47)&gt;0,-0.21*SUM(AR33:AT33),0)</f>
        <v>-142390.77299999999</v>
      </c>
      <c r="AV22" s="29">
        <f t="shared" si="0"/>
        <v>0</v>
      </c>
      <c r="AW22" s="29">
        <f t="shared" si="0"/>
        <v>0</v>
      </c>
      <c r="AX22" s="29">
        <f ca="1">IF(SUM(AU47:AW47)&gt;0,-0.21*SUM(AU33:AW33),0)</f>
        <v>-168663.32699999999</v>
      </c>
      <c r="AY22" s="29">
        <f t="shared" si="0"/>
        <v>0</v>
      </c>
      <c r="AZ22" s="29">
        <f t="shared" si="0"/>
        <v>0</v>
      </c>
      <c r="BA22" s="29">
        <f ca="1">IF(SUM(AX47:AZ47)&gt;0,-0.21*SUM(AX33:AZ33),0)</f>
        <v>-196816.43099999998</v>
      </c>
      <c r="BB22" s="29">
        <f t="shared" si="0"/>
        <v>0</v>
      </c>
      <c r="BC22" s="29">
        <f t="shared" si="0"/>
        <v>0</v>
      </c>
      <c r="BD22" s="29">
        <f ca="1">BD48+IF(SUM(BA47:BC47)&gt;0,-0.21*SUM(BA33:BC33),0)</f>
        <v>-870656.36152047128</v>
      </c>
      <c r="BE22" s="29">
        <f t="shared" si="0"/>
        <v>0</v>
      </c>
      <c r="BF22" s="29">
        <f t="shared" si="0"/>
        <v>0</v>
      </c>
      <c r="BG22" s="29">
        <f ca="1">IF(SUM(BD47:BF47)&gt;0,-0.21*SUM(BD33:BF33),0)</f>
        <v>-260945.50649999996</v>
      </c>
      <c r="BH22" s="29">
        <v>0</v>
      </c>
      <c r="BI22" s="29">
        <f t="shared" si="0"/>
        <v>0</v>
      </c>
      <c r="BJ22" s="29">
        <f ca="1">IF(SUM(BG47:BI47)&gt;0,-0.21*SUM(BG33:BI33),0)</f>
        <v>-286268.66099999996</v>
      </c>
      <c r="BK22" s="29">
        <v>0</v>
      </c>
      <c r="BL22" s="29">
        <f t="shared" si="0"/>
        <v>0</v>
      </c>
      <c r="BM22" s="29">
        <f ca="1">IF(SUM(BJ47:BL47)&gt;0,-0.21*SUM(BJ33:BL33),0)</f>
        <v>-304854.73199999996</v>
      </c>
      <c r="BN22" s="29">
        <f t="shared" si="0"/>
        <v>0</v>
      </c>
      <c r="BO22" s="29">
        <f t="shared" si="0"/>
        <v>0</v>
      </c>
      <c r="BP22" s="98">
        <f ca="1">BP48+IF(SUM(BM47:BO47)&gt;0,-0.21*SUM(BM33:BO33),0)</f>
        <v>-1523969.6467545964</v>
      </c>
      <c r="BR22" s="70" t="s">
        <v>113</v>
      </c>
      <c r="BS22" s="56">
        <f ca="1">SUM(Tabla7[[#This Row],[Month 1 ]:[Month 49]])</f>
        <v>-4188847.9609568752</v>
      </c>
    </row>
    <row r="23" spans="2:71" ht="15" thickBot="1" x14ac:dyDescent="0.4">
      <c r="B23" s="266"/>
      <c r="C23" s="263"/>
      <c r="D23" s="263"/>
      <c r="E23" s="236"/>
      <c r="F23" s="263"/>
      <c r="G23" s="263"/>
      <c r="H23" s="267"/>
      <c r="L23" s="39"/>
      <c r="R23" s="228"/>
      <c r="S23" s="7" t="s">
        <v>292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f ca="1">IF(AQ24+AR22&gt;$D$20,-(AQ24+AR22)*$D$19,0)</f>
        <v>-123787.56671605415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9">
        <f ca="1">IF(BC24+BD22&gt;$D$20,-(BC24+BD22)*$D$19,0)</f>
        <v>-872354.93363578815</v>
      </c>
      <c r="BE23" s="29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29">
        <v>0</v>
      </c>
      <c r="BO23" s="29">
        <v>0</v>
      </c>
      <c r="BP23" s="98">
        <f ca="1">IF(BO24+BP22&gt;$D$20,-(BO24+BP22)*$D$19,0)</f>
        <v>-1973792.5412675031</v>
      </c>
      <c r="BR23" s="70" t="s">
        <v>292</v>
      </c>
      <c r="BS23" s="59">
        <f ca="1">SUM(Tabla7[[#This Row],[Month 1 ]:[Month 49]])</f>
        <v>-2969935.0416193455</v>
      </c>
    </row>
    <row r="24" spans="2:71" ht="16" thickBot="1" x14ac:dyDescent="0.4">
      <c r="B24" s="266"/>
      <c r="C24" s="108" t="s">
        <v>301</v>
      </c>
      <c r="D24" s="109"/>
      <c r="E24" s="236"/>
      <c r="F24" s="108" t="s">
        <v>308</v>
      </c>
      <c r="G24" s="109"/>
      <c r="H24" s="267"/>
      <c r="L24" s="39"/>
      <c r="R24" s="228"/>
      <c r="S24" s="24" t="s">
        <v>290</v>
      </c>
      <c r="T24" s="31">
        <f ca="1">SUM(T6:T20,T22:T23)</f>
        <v>294907</v>
      </c>
      <c r="U24" s="31">
        <f ca="1">Tabla7[[#This Row],[Month 1 ]]+SUM(U6:U20,U22:U23)</f>
        <v>256906</v>
      </c>
      <c r="V24" s="31">
        <f ca="1">Tabla7[[#This Row],[Month 2]]+SUM(V6:V20,V22:V23)</f>
        <v>218905</v>
      </c>
      <c r="W24" s="31">
        <f ca="1">Tabla7[[#This Row],[Month 3]]+SUM(W6:W20,W22:W23)</f>
        <v>177797</v>
      </c>
      <c r="X24" s="31">
        <f ca="1">Tabla7[[#This Row],[Month 4]]+SUM(X6:X20,X22:X23)</f>
        <v>136689</v>
      </c>
      <c r="Y24" s="31">
        <f ca="1">Tabla7[[#This Row],[Month 5]]+SUM(Y6:Y20,Y22:Y23)</f>
        <v>501769.99744947779</v>
      </c>
      <c r="Z24" s="31">
        <f ca="1">Tabla7[[#This Row],[Month 6]]+SUM(Z6:Z20,Z22:Z23)</f>
        <v>347298.18865948683</v>
      </c>
      <c r="AA24" s="31">
        <f ca="1">Tabla7[[#This Row],[Month 7]]+SUM(AA6:AA20,AA22:AA23)</f>
        <v>191952.83601627714</v>
      </c>
      <c r="AB24" s="31">
        <f ca="1">Tabla7[[#This Row],[Month 8]]+SUM(AB6:AB20,AB22:AB23)</f>
        <v>76245.500319848696</v>
      </c>
      <c r="AC24" s="31">
        <f ca="1">Tabla7[[#This Row],[Month 9]]+SUM(AC6:AC20,AC22:AC23)</f>
        <v>60158.004192076478</v>
      </c>
      <c r="AD24" s="31">
        <f ca="1">Tabla7[[#This Row],[Month 10]]+SUM(AD6:AD20,AD22:AD23)</f>
        <v>47717.972811085507</v>
      </c>
      <c r="AE24" s="31">
        <f ca="1">Tabla7[[#This Row],[Month 11]]+SUM(AE6:AE20,AE22:AE23)</f>
        <v>21085.290876875795</v>
      </c>
      <c r="AF24" s="31">
        <f ca="1">Tabla7[[#This Row],[Month 12]]+SUM(AF6:AF20,AF22:AF23)</f>
        <v>15598.751139447324</v>
      </c>
      <c r="AG24" s="31">
        <f ca="1">Tabla7[[#This Row],[Month 13]]+SUM(AG6:AG20,AG22:AG23)</f>
        <v>24204.321598800103</v>
      </c>
      <c r="AH24" s="31">
        <f ca="1">Tabla7[[#This Row],[Month 14]]+SUM(AH6:AH20,AH22:AH23)</f>
        <v>41932.32225493413</v>
      </c>
      <c r="AI24" s="31">
        <f ca="1">Tabla7[[#This Row],[Month 15]]+SUM(AI6:AI20,AI22:AI23)</f>
        <v>14806.631607849416</v>
      </c>
      <c r="AJ24" s="31">
        <f ca="1">Tabla7[[#This Row],[Month 16]]+SUM(AJ6:AJ20,AJ22:AJ23)</f>
        <v>49532.604207545941</v>
      </c>
      <c r="AK24" s="31">
        <f ca="1">Tabla7[[#This Row],[Month 17]]+SUM(AK6:AK20,AK22:AK23)</f>
        <v>71345.410754023702</v>
      </c>
      <c r="AL24" s="31">
        <f ca="1">Tabla7[[#This Row],[Month 18]]+SUM(AL6:AL20,AL22:AL23)</f>
        <v>54308.537897282753</v>
      </c>
      <c r="AM24" s="31">
        <f ca="1">Tabla7[[#This Row],[Month 19]]+SUM(AM6:AM20,AM22:AM23)</f>
        <v>121730.94313732305</v>
      </c>
      <c r="AN24" s="31">
        <f ca="1">Tabla7[[#This Row],[Month 20]]+SUM(AN6:AN20,AN22:AN23)</f>
        <v>167996.45659539456</v>
      </c>
      <c r="AO24" s="31">
        <f ca="1">Tabla7[[#This Row],[Month 21]]+SUM(AO6:AO20,AO22:AO23)</f>
        <v>172331.96422899736</v>
      </c>
      <c r="AP24" s="31">
        <f ca="1">Tabla7[[#This Row],[Month 22]]+SUM(AP6:AP20,AP22:AP23)</f>
        <v>280788.05280938139</v>
      </c>
      <c r="AQ24" s="31">
        <f ca="1">Tabla7[[#This Row],[Month 23]]+SUM(AQ6:AQ20,AQ22:AQ23)</f>
        <v>379734.89713654661</v>
      </c>
      <c r="AR24" s="31">
        <f ca="1">Tabla7[[#This Row],[Month 24]]+SUM(AR6:AR20,AR22:AR23)</f>
        <v>167572.82711263123</v>
      </c>
      <c r="AS24" s="31">
        <f ca="1">Tabla7[[#This Row],[Month 25]]+SUM(AS6:AS20,AS22:AS23)</f>
        <v>313504.44593335898</v>
      </c>
      <c r="AT24" s="31">
        <f ca="1">Tabla7[[#This Row],[Month 26]]+SUM(AT6:AT20,AT22:AT23)</f>
        <v>473388.560100868</v>
      </c>
      <c r="AU24" s="31">
        <f ca="1">Tabla7[[#This Row],[Month 27]]+SUM(AU6:AU20,AU22:AU23)</f>
        <v>504868.38991515827</v>
      </c>
      <c r="AV24" s="31">
        <f ca="1">Tabla7[[#This Row],[Month 28]]+SUM(AV6:AV20,AV22:AV23)</f>
        <v>694116.05557622982</v>
      </c>
      <c r="AW24" s="31">
        <f ca="1">Tabla7[[#This Row],[Month 29]]+SUM(AW6:AW20,AW22:AW23)</f>
        <v>873997.73398408247</v>
      </c>
      <c r="AX24" s="31">
        <f ca="1">Tabla7[[#This Row],[Month 30]]+SUM(AX6:AX20,AX22:AX23)</f>
        <v>924687.16678871657</v>
      </c>
      <c r="AY24" s="31">
        <f ca="1">Tabla7[[#This Row],[Month 31]]+SUM(AY6:AY20,AY22:AY23)</f>
        <v>1160641.7508901318</v>
      </c>
      <c r="AZ24" s="31">
        <f ca="1">Tabla7[[#This Row],[Month 32]]+SUM(AZ6:AZ20,AZ22:AZ23)</f>
        <v>1382560.3912095784</v>
      </c>
      <c r="BA24" s="31">
        <f ca="1">Tabla7[[#This Row],[Month 33]]+SUM(BA6:BA20,BA22:BA23)</f>
        <v>1460207.1408045562</v>
      </c>
      <c r="BB24" s="31">
        <f ca="1">Tabla7[[#This Row],[Month 34]]+SUM(BB6:BB20,BB22:BB23)</f>
        <v>1750571.8907463152</v>
      </c>
      <c r="BC24" s="31">
        <f ca="1">Tabla7[[#This Row],[Month 35]]+SUM(BC6:BC20,BC22:BC23)</f>
        <v>2033796.2730348555</v>
      </c>
      <c r="BD24" s="31">
        <f ca="1">Tabla7[[#This Row],[Month 36]]+SUM(BD6:BD20,BD22:BD23)</f>
        <v>607859.65291391755</v>
      </c>
      <c r="BE24" s="31">
        <f ca="1">Tabla7[[#This Row],[Month 37]]+SUM(BE6:BE20,BE22:BE23)</f>
        <v>949041.87339602038</v>
      </c>
      <c r="BF24" s="31">
        <f ca="1">Tabla7[[#This Row],[Month 38]]+SUM(BF6:BF20,BF22:BF23)</f>
        <v>1308452.3020749046</v>
      </c>
      <c r="BG24" s="31">
        <f ca="1">Tabla7[[#This Row],[Month 39]]+SUM(BG6:BG20,BG22:BG23)</f>
        <v>1424997.9866505698</v>
      </c>
      <c r="BH24" s="31">
        <f ca="1">Tabla7[[#This Row],[Month 40]]+SUM(BH6:BH20,BH22:BH23)</f>
        <v>1809006.6699230163</v>
      </c>
      <c r="BI24" s="31">
        <f ca="1">Tabla7[[#This Row],[Month 41]]+SUM(BI6:BI20,BI22:BI23)</f>
        <v>2178517.3667922439</v>
      </c>
      <c r="BJ24" s="31">
        <f ca="1">Tabla7[[#This Row],[Month 42]]+SUM(BJ6:BJ20,BJ22:BJ23)</f>
        <v>2298025.3035582528</v>
      </c>
      <c r="BK24" s="31">
        <f ca="1">Tabla7[[#This Row],[Month 43]]+SUM(BK6:BK20,BK22:BK23)</f>
        <v>2714559.3322210433</v>
      </c>
      <c r="BL24" s="31">
        <f ca="1">Tabla7[[#This Row],[Month 44]]+SUM(BL6:BL20,BL22:BL23)</f>
        <v>3115406.0991018647</v>
      </c>
      <c r="BM24" s="31">
        <f ca="1">Tabla7[[#This Row],[Month 45]]+SUM(BM6:BM20,BM22:BM23)</f>
        <v>3256446.0808582176</v>
      </c>
      <c r="BN24" s="31">
        <f ca="1">Tabla7[[#This Row],[Month 46]]+SUM(BN6:BN20,BN22:BN23)</f>
        <v>3712385.8836613516</v>
      </c>
      <c r="BO24" s="31">
        <f ca="1">Tabla7[[#This Row],[Month 47]]+SUM(BO6:BO20,BO22:BO23)</f>
        <v>4155693.0351112671</v>
      </c>
      <c r="BP24" s="202">
        <f ca="1">Tabla7[[#This Row],[Month 48]]+SUM(BP6:BP20,BP22:BP23)</f>
        <v>1108364.9913358642</v>
      </c>
      <c r="BR24" s="72" t="s">
        <v>290</v>
      </c>
      <c r="BS24" s="21">
        <f ca="1">SUM(BS6:BS23)</f>
        <v>1108364.9913358614</v>
      </c>
    </row>
    <row r="25" spans="2:71" ht="15" thickBot="1" x14ac:dyDescent="0.4">
      <c r="B25" s="266"/>
      <c r="C25" s="104" t="s">
        <v>321</v>
      </c>
      <c r="D25" s="149">
        <f ca="1">AVERAGE(Sales!$I$4:$BF$4)</f>
        <v>433.46938775510205</v>
      </c>
      <c r="E25" s="236"/>
      <c r="F25" s="114" t="s">
        <v>158</v>
      </c>
      <c r="G25" s="115"/>
      <c r="H25" s="267"/>
      <c r="L25" s="39"/>
      <c r="R25" s="228"/>
      <c r="S25" s="32" t="s">
        <v>373</v>
      </c>
      <c r="T25" s="33">
        <f>SUM(T8:T17,T19,T21,T6,T23)</f>
        <v>294907</v>
      </c>
      <c r="U25" s="33">
        <f>SUM(U8:U17,U19,U21,U6)+Tabla7[[#Totals],[Month 1 ]]</f>
        <v>256906</v>
      </c>
      <c r="V25" s="33">
        <f>SUM(V8:V17,V19,V21,V6)+Tabla7[[#Totals],[Month 2]]</f>
        <v>218905</v>
      </c>
      <c r="W25" s="33">
        <f>SUM(W8:W17,W19,W21,W6)+Tabla7[[#Totals],[Month 3]]</f>
        <v>177797</v>
      </c>
      <c r="X25" s="33">
        <f>SUM(X8:X17,X19,X21,X6)+Tabla7[[#Totals],[Month 4]]</f>
        <v>136689</v>
      </c>
      <c r="Y25" s="33">
        <f>SUM(Y8:Y17,Y19,Y21,Y6)+Tabla7[[#Totals],[Month 5]]</f>
        <v>73234</v>
      </c>
      <c r="Z25" s="33">
        <f>SUM(Z8:Z17,Z19,Z21,Z6)+Tabla7[[#Totals],[Month 6]]</f>
        <v>-73773.806239468744</v>
      </c>
      <c r="AA25" s="33">
        <f>SUM(AA8:AA17,AA19,AA21,AA6)+Tabla7[[#Totals],[Month 7]]</f>
        <v>-221655.15633215621</v>
      </c>
      <c r="AB25" s="33">
        <f ca="1">SUM(AB8:AB17,AB19,AB21,AB6)+Tabla7[[#Totals],[Month 8]]</f>
        <v>-329898.48947806249</v>
      </c>
      <c r="AC25" s="33">
        <f ca="1">SUM(AC8:AC17,AC19,AC21,AC6)+Tabla7[[#Totals],[Month 9]]</f>
        <v>-338521.98305531248</v>
      </c>
      <c r="AD25" s="33">
        <f ca="1">SUM(AD8:AD17,AD19,AD21,AD6)+Tabla7[[#Totals],[Month 10]]</f>
        <v>-343498.01188578125</v>
      </c>
      <c r="AE25" s="33">
        <f ca="1">SUM(AE8:AE17,AE19,AE21,AE6)+Tabla7[[#Totals],[Month 11]]</f>
        <v>-362666.69126946875</v>
      </c>
      <c r="AF25" s="33">
        <f ca="1">SUM(AF8:AF17,AF19,AF21,AF6)+Tabla7[[#Totals],[Month 12]]</f>
        <v>-360689.22845637501</v>
      </c>
      <c r="AG25" s="33">
        <f ca="1">SUM(AG8:AG17,AG19,AG21,AG6)+Tabla7[[#Totals],[Month 13]]</f>
        <v>-344619.65544650005</v>
      </c>
      <c r="AH25" s="33">
        <f ca="1">SUM(AH8:AH17,AH19,AH21,AH6)+Tabla7[[#Totals],[Month 14]]</f>
        <v>-319427.6522398438</v>
      </c>
      <c r="AI25" s="33">
        <f ca="1">SUM(AI8:AI17,AI19,AI21,AI6)+Tabla7[[#Totals],[Month 15]]</f>
        <v>-339089.34033640631</v>
      </c>
      <c r="AJ25" s="33">
        <f ca="1">SUM(AJ8:AJ17,AJ19,AJ21,AJ6)+Tabla7[[#Totals],[Month 16]]</f>
        <v>-296899.36518618756</v>
      </c>
      <c r="AK25" s="33">
        <f ca="1">SUM(AK8:AK17,AK19,AK21,AK6)+Tabla7[[#Totals],[Month 17]]</f>
        <v>-267622.55608918756</v>
      </c>
      <c r="AL25" s="33">
        <f ca="1">SUM(AL8:AL17,AL19,AL21,AL6)+Tabla7[[#Totals],[Month 18]]</f>
        <v>-277195.42639540631</v>
      </c>
      <c r="AM25" s="33">
        <f ca="1">SUM(AM8:AM17,AM19,AM21,AM6)+Tabla7[[#Totals],[Month 19]]</f>
        <v>-202309.01860484382</v>
      </c>
      <c r="AN25" s="33">
        <f ca="1">SUM(AN8:AN17,AN19,AN21,AN6)+Tabla7[[#Totals],[Month 20]]</f>
        <v>-148579.50259625009</v>
      </c>
      <c r="AO25" s="33">
        <f ca="1">SUM(AO8:AO17,AO19,AO21,AO6)+Tabla7[[#Totals],[Month 21]]</f>
        <v>-136779.99241212508</v>
      </c>
      <c r="AP25" s="33">
        <f ca="1">SUM(AP8:AP17,AP19,AP21,AP6)+Tabla7[[#Totals],[Month 22]]</f>
        <v>-20859.901281218859</v>
      </c>
      <c r="AQ25" s="33">
        <f ca="1">SUM(AQ8:AQ17,AQ19,AQ21,AQ6)+Tabla7[[#Totals],[Month 23]]</f>
        <v>84550.945596468577</v>
      </c>
      <c r="AR25" s="33">
        <f ca="1">SUM(AR8:AR17,AR19,AR21,AR6)+Tabla7[[#Totals],[Month 24]]</f>
        <v>-451.90260895327083</v>
      </c>
      <c r="AS25" s="33">
        <f ca="1">SUM(AS8:AS17,AS19,AS21,AS6)+Tabla7[[#Totals],[Month 25]]</f>
        <v>152943.71876229669</v>
      </c>
      <c r="AT25" s="33">
        <f ca="1">SUM(AT8:AT17,AT19,AT21,AT6)+Tabla7[[#Totals],[Month 26]]</f>
        <v>320291.83548032795</v>
      </c>
      <c r="AU25" s="33">
        <f ca="1">SUM(AU8:AU17,AU19,AU21,AU6)+Tabla7[[#Totals],[Month 27]]</f>
        <v>359235.66784514044</v>
      </c>
      <c r="AV25" s="33">
        <f ca="1">SUM(AV8:AV17,AV19,AV21,AV6)+Tabla7[[#Totals],[Month 28]]</f>
        <v>555947.3360567342</v>
      </c>
      <c r="AW25" s="33">
        <f ca="1">SUM(AW8:AW17,AW19,AW21,AW6)+Tabla7[[#Totals],[Month 29]]</f>
        <v>743293.01701510907</v>
      </c>
      <c r="AX25" s="33">
        <f ca="1">SUM(AX8:AX17,AX19,AX21,AX6)+Tabla7[[#Totals],[Month 30]]</f>
        <v>801446.45237026527</v>
      </c>
      <c r="AY25" s="33">
        <f ca="1">SUM(AY8:AY17,AY19,AY21,AY6)+Tabla7[[#Totals],[Month 31]]</f>
        <v>1044865.0390222027</v>
      </c>
      <c r="AZ25" s="33">
        <f ca="1">SUM(AZ8:AZ17,AZ19,AZ21,AZ6)+Tabla7[[#Totals],[Month 32]]</f>
        <v>1274247.6818921715</v>
      </c>
      <c r="BA25" s="33">
        <f ca="1">SUM(BA8:BA17,BA19,BA21,BA6)+Tabla7[[#Totals],[Month 33]]</f>
        <v>1359358.4340376714</v>
      </c>
      <c r="BB25" s="33">
        <f ca="1">SUM(BB8:BB17,BB19,BB21,BB6)+Tabla7[[#Totals],[Month 34]]</f>
        <v>1657187.1865299526</v>
      </c>
      <c r="BC25" s="33">
        <f ca="1">SUM(BC8:BC17,BC19,BC21,BC6)+Tabla7[[#Totals],[Month 35]]</f>
        <v>1947875.5713690151</v>
      </c>
      <c r="BD25" s="33">
        <f ca="1">SUM(BD8:BD17,BD19,BD21,BD6)+Tabla7[[#Totals],[Month 36]]</f>
        <v>1394937.3083542497</v>
      </c>
      <c r="BE25" s="33">
        <f ca="1">SUM(BE8:BE17,BE19,BE21,BE6)+Tabla7[[#Totals],[Month 37]]</f>
        <v>1743583.5313868746</v>
      </c>
      <c r="BF25" s="33">
        <f ca="1">SUM(BF8:BF17,BF19,BF21,BF6)+Tabla7[[#Totals],[Month 38]]</f>
        <v>2110457.9626162807</v>
      </c>
      <c r="BG25" s="33">
        <f ca="1">SUM(BG8:BG17,BG19,BG21,BG6)+Tabla7[[#Totals],[Month 39]]</f>
        <v>2234467.6497424683</v>
      </c>
      <c r="BH25" s="33">
        <f ca="1">SUM(BH8:BH17,BH19,BH21,BH6)+Tabla7[[#Totals],[Month 40]]</f>
        <v>2625940.3355654371</v>
      </c>
      <c r="BI25" s="33">
        <f ca="1">SUM(BI8:BI17,BI19,BI21,BI6)+Tabla7[[#Totals],[Month 41]]</f>
        <v>3002915.034985187</v>
      </c>
      <c r="BJ25" s="33">
        <f ca="1">SUM(BJ8:BJ17,BJ19,BJ21,BJ6)+Tabla7[[#Totals],[Month 42]]</f>
        <v>3129886.9743017182</v>
      </c>
      <c r="BK25" s="33">
        <f ca="1">SUM(BK8:BK17,BK19,BK21,BK6)+Tabla7[[#Totals],[Month 43]]</f>
        <v>3553885.0055150306</v>
      </c>
      <c r="BL25" s="33">
        <f ca="1">SUM(BL8:BL17,BL19,BL21,BL6)+Tabla7[[#Totals],[Month 44]]</f>
        <v>3962195.7749463744</v>
      </c>
      <c r="BM25" s="33">
        <f ca="1">SUM(BM8:BM17,BM19,BM21,BM6)+Tabla7[[#Totals],[Month 45]]</f>
        <v>4110699.7592532495</v>
      </c>
      <c r="BN25" s="33">
        <f ca="1">SUM(BN8:BN17,BN19,BN21,BN6)+Tabla7[[#Totals],[Month 46]]</f>
        <v>4574103.5646069059</v>
      </c>
      <c r="BO25" s="33">
        <f ca="1">SUM(BO8:BO17,BO19,BO21,BO6)+Tabla7[[#Totals],[Month 47]]</f>
        <v>5024874.7186073437</v>
      </c>
      <c r="BP25" s="203">
        <f ca="1">SUM(BP8:BP17,BP19,BP21,BP6)+Tabla7[[#Totals],[Month 48]]</f>
        <v>3951982.6395698283</v>
      </c>
    </row>
    <row r="26" spans="2:71" ht="15" thickBot="1" x14ac:dyDescent="0.4">
      <c r="B26" s="266"/>
      <c r="C26" s="105" t="s">
        <v>322</v>
      </c>
      <c r="D26" s="165">
        <v>8.0000000000000007E-5</v>
      </c>
      <c r="E26" s="236"/>
      <c r="F26" s="104" t="s">
        <v>156</v>
      </c>
      <c r="G26" s="117">
        <v>5</v>
      </c>
      <c r="H26" s="267"/>
      <c r="L26" s="39"/>
      <c r="R26" s="229"/>
      <c r="S26" s="24" t="s">
        <v>349</v>
      </c>
      <c r="T26" s="53">
        <f ca="1">T24</f>
        <v>294907</v>
      </c>
      <c r="U26" s="53">
        <f ca="1">U24-T24</f>
        <v>-38001</v>
      </c>
      <c r="V26" s="53">
        <f t="shared" ref="V26:BP26" ca="1" si="1">V24-U24</f>
        <v>-38001</v>
      </c>
      <c r="W26" s="53">
        <f t="shared" ca="1" si="1"/>
        <v>-41108</v>
      </c>
      <c r="X26" s="53">
        <f t="shared" ca="1" si="1"/>
        <v>-41108</v>
      </c>
      <c r="Y26" s="53">
        <f t="shared" ca="1" si="1"/>
        <v>365080.99744947779</v>
      </c>
      <c r="Z26" s="53">
        <f t="shared" ca="1" si="1"/>
        <v>-154471.80878999096</v>
      </c>
      <c r="AA26" s="53">
        <f t="shared" ca="1" si="1"/>
        <v>-155345.35264320968</v>
      </c>
      <c r="AB26" s="53">
        <f t="shared" ca="1" si="1"/>
        <v>-115707.33569642845</v>
      </c>
      <c r="AC26" s="53">
        <f t="shared" ca="1" si="1"/>
        <v>-16087.496127772218</v>
      </c>
      <c r="AD26" s="53">
        <f t="shared" ca="1" si="1"/>
        <v>-12440.031380990971</v>
      </c>
      <c r="AE26" s="53">
        <f t="shared" ca="1" si="1"/>
        <v>-26632.681934209711</v>
      </c>
      <c r="AF26" s="53">
        <f t="shared" ca="1" si="1"/>
        <v>-5486.5397374284712</v>
      </c>
      <c r="AG26" s="53">
        <f t="shared" ca="1" si="1"/>
        <v>8605.5704593527789</v>
      </c>
      <c r="AH26" s="53">
        <f t="shared" ca="1" si="1"/>
        <v>17728.000656134027</v>
      </c>
      <c r="AI26" s="53">
        <f t="shared" ca="1" si="1"/>
        <v>-27125.690647084713</v>
      </c>
      <c r="AJ26" s="53">
        <f t="shared" ca="1" si="1"/>
        <v>34725.972599696528</v>
      </c>
      <c r="AK26" s="53">
        <f t="shared" ca="1" si="1"/>
        <v>21812.806546477761</v>
      </c>
      <c r="AL26" s="53">
        <f t="shared" ca="1" si="1"/>
        <v>-17036.872856740949</v>
      </c>
      <c r="AM26" s="53">
        <f t="shared" ca="1" si="1"/>
        <v>67422.405240040302</v>
      </c>
      <c r="AN26" s="53">
        <f t="shared" ca="1" si="1"/>
        <v>46265.513458071509</v>
      </c>
      <c r="AO26" s="53">
        <f t="shared" ca="1" si="1"/>
        <v>4335.5076336027996</v>
      </c>
      <c r="AP26" s="53">
        <f t="shared" ca="1" si="1"/>
        <v>108456.08858038404</v>
      </c>
      <c r="AQ26" s="53">
        <f t="shared" ca="1" si="1"/>
        <v>98946.844327165221</v>
      </c>
      <c r="AR26" s="53">
        <f t="shared" ca="1" si="1"/>
        <v>-212162.07002391538</v>
      </c>
      <c r="AS26" s="53">
        <f t="shared" ca="1" si="1"/>
        <v>145931.61882072774</v>
      </c>
      <c r="AT26" s="53">
        <f t="shared" ca="1" si="1"/>
        <v>159884.11416750902</v>
      </c>
      <c r="AU26" s="53">
        <f t="shared" ca="1" si="1"/>
        <v>31479.829814290279</v>
      </c>
      <c r="AV26" s="53">
        <f t="shared" ca="1" si="1"/>
        <v>189247.66566107154</v>
      </c>
      <c r="AW26" s="53">
        <f t="shared" ca="1" si="1"/>
        <v>179881.67840785265</v>
      </c>
      <c r="AX26" s="53">
        <f t="shared" ca="1" si="1"/>
        <v>50689.432804634096</v>
      </c>
      <c r="AY26" s="53">
        <f t="shared" ca="1" si="1"/>
        <v>235954.58410141524</v>
      </c>
      <c r="AZ26" s="53">
        <f t="shared" ca="1" si="1"/>
        <v>221918.64031944657</v>
      </c>
      <c r="BA26" s="53">
        <f t="shared" ca="1" si="1"/>
        <v>77646.749594977824</v>
      </c>
      <c r="BB26" s="53">
        <f t="shared" ca="1" si="1"/>
        <v>290364.74994175904</v>
      </c>
      <c r="BC26" s="53">
        <f t="shared" ca="1" si="1"/>
        <v>283224.38228854025</v>
      </c>
      <c r="BD26" s="53">
        <f t="shared" ca="1" si="1"/>
        <v>-1425936.6201209379</v>
      </c>
      <c r="BE26" s="53">
        <f t="shared" ca="1" si="1"/>
        <v>341182.22048210283</v>
      </c>
      <c r="BF26" s="53">
        <f t="shared" ca="1" si="1"/>
        <v>359410.42867888417</v>
      </c>
      <c r="BG26" s="53">
        <f t="shared" ca="1" si="1"/>
        <v>116545.68457566528</v>
      </c>
      <c r="BH26" s="53">
        <f t="shared" ca="1" si="1"/>
        <v>384008.68327244651</v>
      </c>
      <c r="BI26" s="53">
        <f t="shared" ca="1" si="1"/>
        <v>369510.69686922757</v>
      </c>
      <c r="BJ26" s="53">
        <f t="shared" ca="1" si="1"/>
        <v>119507.93676600885</v>
      </c>
      <c r="BK26" s="53">
        <f t="shared" ca="1" si="1"/>
        <v>416534.02866279054</v>
      </c>
      <c r="BL26" s="53">
        <f t="shared" ca="1" si="1"/>
        <v>400846.76688082144</v>
      </c>
      <c r="BM26" s="53">
        <f t="shared" ca="1" si="1"/>
        <v>141039.98175635282</v>
      </c>
      <c r="BN26" s="53">
        <f t="shared" ca="1" si="1"/>
        <v>455939.80280313408</v>
      </c>
      <c r="BO26" s="53">
        <f t="shared" ca="1" si="1"/>
        <v>443307.15144991549</v>
      </c>
      <c r="BP26" s="59">
        <f t="shared" ca="1" si="1"/>
        <v>-3047328.0437754029</v>
      </c>
    </row>
    <row r="27" spans="2:71" x14ac:dyDescent="0.35">
      <c r="B27" s="266"/>
      <c r="C27" s="105" t="s">
        <v>323</v>
      </c>
      <c r="D27" s="165">
        <v>1E-4</v>
      </c>
      <c r="E27" s="236"/>
      <c r="F27" s="105" t="s">
        <v>153</v>
      </c>
      <c r="G27" s="119">
        <v>0.2</v>
      </c>
      <c r="H27" s="267"/>
      <c r="L27" s="39"/>
    </row>
    <row r="28" spans="2:71" ht="15" thickBot="1" x14ac:dyDescent="0.4">
      <c r="B28" s="266"/>
      <c r="C28" s="105" t="s">
        <v>77</v>
      </c>
      <c r="D28" s="121">
        <v>0.12</v>
      </c>
      <c r="E28" s="236"/>
      <c r="F28" s="106" t="s">
        <v>154</v>
      </c>
      <c r="G28" s="120">
        <v>1.5</v>
      </c>
      <c r="H28" s="267"/>
      <c r="L28" s="39"/>
    </row>
    <row r="29" spans="2:71" ht="15" thickBot="1" x14ac:dyDescent="0.4">
      <c r="B29" s="266"/>
      <c r="C29" s="105" t="s">
        <v>107</v>
      </c>
      <c r="D29" s="121">
        <v>0.04</v>
      </c>
      <c r="E29" s="236"/>
      <c r="F29" s="114" t="s">
        <v>111</v>
      </c>
      <c r="G29" s="115"/>
      <c r="H29" s="267"/>
      <c r="L29" s="39"/>
    </row>
    <row r="30" spans="2:71" ht="15" thickBot="1" x14ac:dyDescent="0.4">
      <c r="B30" s="266"/>
      <c r="C30" s="105" t="s">
        <v>74</v>
      </c>
      <c r="D30" s="121">
        <v>0.01</v>
      </c>
      <c r="E30" s="236"/>
      <c r="F30" s="104" t="s">
        <v>160</v>
      </c>
      <c r="G30" s="117">
        <v>10</v>
      </c>
      <c r="H30" s="267"/>
      <c r="L30" s="39"/>
      <c r="R30" s="216" t="s">
        <v>300</v>
      </c>
      <c r="S30" s="230" t="s">
        <v>88</v>
      </c>
      <c r="T30" s="221" t="s">
        <v>91</v>
      </c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33"/>
      <c r="AF30" s="221" t="s">
        <v>92</v>
      </c>
      <c r="AG30" s="219"/>
      <c r="AH30" s="219"/>
      <c r="AI30" s="219"/>
      <c r="AJ30" s="219"/>
      <c r="AK30" s="219"/>
      <c r="AL30" s="219"/>
      <c r="AM30" s="219"/>
      <c r="AN30" s="219"/>
      <c r="AO30" s="219"/>
      <c r="AP30" s="219"/>
      <c r="AQ30" s="233"/>
      <c r="AR30" s="221" t="s">
        <v>93</v>
      </c>
      <c r="AS30" s="219"/>
      <c r="AT30" s="219"/>
      <c r="AU30" s="219"/>
      <c r="AV30" s="219"/>
      <c r="AW30" s="219"/>
      <c r="AX30" s="219"/>
      <c r="AY30" s="219"/>
      <c r="AZ30" s="219"/>
      <c r="BA30" s="219"/>
      <c r="BB30" s="219"/>
      <c r="BC30" s="233"/>
      <c r="BD30" s="221" t="s">
        <v>94</v>
      </c>
      <c r="BE30" s="219"/>
      <c r="BF30" s="219"/>
      <c r="BG30" s="219"/>
      <c r="BH30" s="219"/>
      <c r="BI30" s="219"/>
      <c r="BJ30" s="219"/>
      <c r="BK30" s="219"/>
      <c r="BL30" s="219"/>
      <c r="BM30" s="219"/>
      <c r="BN30" s="219"/>
      <c r="BO30" s="233"/>
      <c r="BP30" s="230"/>
    </row>
    <row r="31" spans="2:71" ht="16.5" customHeight="1" thickBot="1" x14ac:dyDescent="0.4">
      <c r="B31" s="266"/>
      <c r="C31" s="105" t="s">
        <v>75</v>
      </c>
      <c r="D31" s="151">
        <f>G43</f>
        <v>5064022.3374999994</v>
      </c>
      <c r="E31" s="236"/>
      <c r="F31" s="105" t="s">
        <v>161</v>
      </c>
      <c r="G31" s="120">
        <v>50</v>
      </c>
      <c r="H31" s="267"/>
      <c r="L31" s="39"/>
      <c r="R31" s="217"/>
      <c r="S31" s="231"/>
      <c r="T31" s="86" t="s">
        <v>86</v>
      </c>
      <c r="U31" s="220" t="s">
        <v>87</v>
      </c>
      <c r="V31" s="220"/>
      <c r="W31" s="220"/>
      <c r="X31" s="220"/>
      <c r="Y31" s="220"/>
      <c r="Z31" s="220" t="s">
        <v>89</v>
      </c>
      <c r="AA31" s="220"/>
      <c r="AB31" s="220"/>
      <c r="AC31" s="220" t="s">
        <v>90</v>
      </c>
      <c r="AD31" s="220"/>
      <c r="AE31" s="234"/>
      <c r="AF31" s="222"/>
      <c r="AG31" s="220"/>
      <c r="AH31" s="220"/>
      <c r="AI31" s="220"/>
      <c r="AJ31" s="220"/>
      <c r="AK31" s="220"/>
      <c r="AL31" s="220"/>
      <c r="AM31" s="220"/>
      <c r="AN31" s="220"/>
      <c r="AO31" s="220"/>
      <c r="AP31" s="220"/>
      <c r="AQ31" s="234"/>
      <c r="AR31" s="222"/>
      <c r="AS31" s="220"/>
      <c r="AT31" s="220"/>
      <c r="AU31" s="220"/>
      <c r="AV31" s="220"/>
      <c r="AW31" s="220"/>
      <c r="AX31" s="220"/>
      <c r="AY31" s="220"/>
      <c r="AZ31" s="220"/>
      <c r="BA31" s="220"/>
      <c r="BB31" s="220"/>
      <c r="BC31" s="234"/>
      <c r="BD31" s="222"/>
      <c r="BE31" s="220"/>
      <c r="BF31" s="220"/>
      <c r="BG31" s="220"/>
      <c r="BH31" s="220"/>
      <c r="BI31" s="220"/>
      <c r="BJ31" s="220"/>
      <c r="BK31" s="220"/>
      <c r="BL31" s="220"/>
      <c r="BM31" s="220"/>
      <c r="BN31" s="220"/>
      <c r="BO31" s="234"/>
      <c r="BP31" s="232"/>
    </row>
    <row r="32" spans="2:71" ht="15" thickBot="1" x14ac:dyDescent="0.4">
      <c r="B32" s="266"/>
      <c r="C32" s="105" t="s">
        <v>78</v>
      </c>
      <c r="D32" s="121">
        <v>0.4</v>
      </c>
      <c r="E32" s="236"/>
      <c r="F32" s="106" t="s">
        <v>167</v>
      </c>
      <c r="G32" s="119">
        <v>0.05</v>
      </c>
      <c r="H32" s="267"/>
      <c r="L32" s="39"/>
      <c r="R32" s="218"/>
      <c r="S32" s="65" t="s">
        <v>1</v>
      </c>
      <c r="T32" s="1" t="s">
        <v>2</v>
      </c>
      <c r="U32" s="2" t="s">
        <v>3</v>
      </c>
      <c r="V32" s="2" t="s">
        <v>4</v>
      </c>
      <c r="W32" s="2" t="s">
        <v>5</v>
      </c>
      <c r="X32" s="2" t="s">
        <v>6</v>
      </c>
      <c r="Y32" s="2" t="s">
        <v>7</v>
      </c>
      <c r="Z32" s="2" t="s">
        <v>8</v>
      </c>
      <c r="AA32" s="2" t="s">
        <v>9</v>
      </c>
      <c r="AB32" s="2" t="s">
        <v>10</v>
      </c>
      <c r="AC32" s="2" t="s">
        <v>11</v>
      </c>
      <c r="AD32" s="2" t="s">
        <v>12</v>
      </c>
      <c r="AE32" s="3" t="s">
        <v>13</v>
      </c>
      <c r="AF32" s="1" t="s">
        <v>14</v>
      </c>
      <c r="AG32" s="2" t="s">
        <v>15</v>
      </c>
      <c r="AH32" s="2" t="s">
        <v>16</v>
      </c>
      <c r="AI32" s="2" t="s">
        <v>17</v>
      </c>
      <c r="AJ32" s="2" t="s">
        <v>18</v>
      </c>
      <c r="AK32" s="2" t="s">
        <v>19</v>
      </c>
      <c r="AL32" s="2" t="s">
        <v>20</v>
      </c>
      <c r="AM32" s="2" t="s">
        <v>21</v>
      </c>
      <c r="AN32" s="2" t="s">
        <v>22</v>
      </c>
      <c r="AO32" s="2" t="s">
        <v>23</v>
      </c>
      <c r="AP32" s="2" t="s">
        <v>24</v>
      </c>
      <c r="AQ32" s="3" t="s">
        <v>25</v>
      </c>
      <c r="AR32" s="1" t="s">
        <v>27</v>
      </c>
      <c r="AS32" s="2" t="s">
        <v>28</v>
      </c>
      <c r="AT32" s="2" t="s">
        <v>29</v>
      </c>
      <c r="AU32" s="2" t="s">
        <v>30</v>
      </c>
      <c r="AV32" s="2" t="s">
        <v>31</v>
      </c>
      <c r="AW32" s="2" t="s">
        <v>32</v>
      </c>
      <c r="AX32" s="2" t="s">
        <v>33</v>
      </c>
      <c r="AY32" s="2" t="s">
        <v>34</v>
      </c>
      <c r="AZ32" s="2" t="s">
        <v>35</v>
      </c>
      <c r="BA32" s="2" t="s">
        <v>36</v>
      </c>
      <c r="BB32" s="2" t="s">
        <v>37</v>
      </c>
      <c r="BC32" s="3" t="s">
        <v>38</v>
      </c>
      <c r="BD32" s="1" t="s">
        <v>95</v>
      </c>
      <c r="BE32" s="2" t="s">
        <v>96</v>
      </c>
      <c r="BF32" s="2" t="s">
        <v>97</v>
      </c>
      <c r="BG32" s="2" t="s">
        <v>98</v>
      </c>
      <c r="BH32" s="2" t="s">
        <v>99</v>
      </c>
      <c r="BI32" s="2" t="s">
        <v>100</v>
      </c>
      <c r="BJ32" s="2" t="s">
        <v>101</v>
      </c>
      <c r="BK32" s="2" t="s">
        <v>102</v>
      </c>
      <c r="BL32" s="2" t="s">
        <v>103</v>
      </c>
      <c r="BM32" s="2" t="s">
        <v>104</v>
      </c>
      <c r="BN32" s="2" t="s">
        <v>105</v>
      </c>
      <c r="BO32" s="2" t="s">
        <v>106</v>
      </c>
      <c r="BP32" s="88" t="s">
        <v>295</v>
      </c>
      <c r="BR32" s="64" t="s">
        <v>1</v>
      </c>
      <c r="BS32" s="60" t="s">
        <v>299</v>
      </c>
    </row>
    <row r="33" spans="2:74" ht="15" thickBot="1" x14ac:dyDescent="0.4">
      <c r="B33" s="266"/>
      <c r="C33" s="105" t="s">
        <v>80</v>
      </c>
      <c r="D33" s="120">
        <v>19.95</v>
      </c>
      <c r="E33" s="236"/>
      <c r="F33" s="114" t="s">
        <v>110</v>
      </c>
      <c r="G33" s="115"/>
      <c r="H33" s="267"/>
      <c r="L33" s="39"/>
      <c r="R33" s="223" t="s">
        <v>112</v>
      </c>
      <c r="S33" s="65" t="s">
        <v>0</v>
      </c>
      <c r="T33" s="26">
        <f>Sales!J12</f>
        <v>0</v>
      </c>
      <c r="U33" s="26">
        <f>Sales!K12</f>
        <v>0</v>
      </c>
      <c r="V33" s="26">
        <f>Sales!L12</f>
        <v>0</v>
      </c>
      <c r="W33" s="26">
        <f>Sales!M12</f>
        <v>0</v>
      </c>
      <c r="X33" s="26">
        <f>Sales!N12</f>
        <v>0</v>
      </c>
      <c r="Y33" s="26">
        <f>Sales!O12</f>
        <v>0</v>
      </c>
      <c r="Z33" s="26">
        <f>Sales!P12</f>
        <v>0</v>
      </c>
      <c r="AA33" s="26">
        <f>Sales!Q12</f>
        <v>0</v>
      </c>
      <c r="AB33" s="26">
        <f ca="1">Sales!R12</f>
        <v>51489</v>
      </c>
      <c r="AC33" s="26">
        <f ca="1">Sales!S12</f>
        <v>59894.149999999994</v>
      </c>
      <c r="AD33" s="26">
        <f ca="1">Sales!T12</f>
        <v>60193.499999999993</v>
      </c>
      <c r="AE33" s="27">
        <f ca="1">Sales!U12</f>
        <v>68233.25</v>
      </c>
      <c r="AF33" s="90">
        <f ca="1">Sales!V12</f>
        <v>76392.45</v>
      </c>
      <c r="AG33" s="26">
        <f ca="1">Sales!W12</f>
        <v>86135.349999999991</v>
      </c>
      <c r="AH33" s="26">
        <f ca="1">Sales!X12</f>
        <v>95299.499999999985</v>
      </c>
      <c r="AI33" s="26">
        <f ca="1">Sales!Y12</f>
        <v>104493.4</v>
      </c>
      <c r="AJ33" s="26">
        <f ca="1">Sales!Z12</f>
        <v>115340.79999999999</v>
      </c>
      <c r="AK33" s="26">
        <f ca="1">Sales!AA12</f>
        <v>125559.59999999999</v>
      </c>
      <c r="AL33" s="26">
        <f ca="1">Sales!AB12</f>
        <v>135848.04999999999</v>
      </c>
      <c r="AM33" s="26">
        <f ca="1">Sales!AC12</f>
        <v>147700.29999999999</v>
      </c>
      <c r="AN33" s="26">
        <f ca="1">Sales!AD12</f>
        <v>158933.94999999998</v>
      </c>
      <c r="AO33" s="26">
        <f ca="1">Sales!AE12</f>
        <v>178056.74999999997</v>
      </c>
      <c r="AP33" s="26">
        <f ca="1">Sales!AF12</f>
        <v>187582.09999999998</v>
      </c>
      <c r="AQ33" s="27">
        <f ca="1">Sales!AG12</f>
        <v>199860.44999999998</v>
      </c>
      <c r="AR33" s="90">
        <f ca="1">Sales!AH12</f>
        <v>212208.5</v>
      </c>
      <c r="AS33" s="26">
        <f ca="1">Sales!AI12</f>
        <v>226259.84999999998</v>
      </c>
      <c r="AT33" s="26">
        <f ca="1">Sales!AJ12</f>
        <v>239582.94999999998</v>
      </c>
      <c r="AU33" s="26">
        <f ca="1">Sales!AK12</f>
        <v>252925.94999999998</v>
      </c>
      <c r="AV33" s="26">
        <f ca="1">Sales!AL12</f>
        <v>267962.3</v>
      </c>
      <c r="AW33" s="26">
        <f ca="1">Sales!AM12</f>
        <v>282270.44999999995</v>
      </c>
      <c r="AX33" s="26">
        <f ca="1">Sales!AN12</f>
        <v>296568.59999999998</v>
      </c>
      <c r="AY33" s="26">
        <f ca="1">Sales!AO12</f>
        <v>312689.64999999997</v>
      </c>
      <c r="AZ33" s="26">
        <f ca="1">Sales!AP12</f>
        <v>327962.84999999998</v>
      </c>
      <c r="BA33" s="26">
        <f ca="1">Sales!AQ12</f>
        <v>350467.85</v>
      </c>
      <c r="BB33" s="26">
        <f ca="1">Sales!AR12</f>
        <v>364252.39999999997</v>
      </c>
      <c r="BC33" s="27">
        <f ca="1">Sales!AS12</f>
        <v>380441</v>
      </c>
      <c r="BD33" s="90">
        <f ca="1">Sales!AT12</f>
        <v>396599.75</v>
      </c>
      <c r="BE33" s="26">
        <f ca="1">Sales!AU12</f>
        <v>414481.8</v>
      </c>
      <c r="BF33" s="26">
        <f ca="1">Sales!AV12</f>
        <v>431516.1</v>
      </c>
      <c r="BG33" s="26">
        <f ca="1">Sales!AW12</f>
        <v>448500.64999999997</v>
      </c>
      <c r="BH33" s="26">
        <f ca="1">Sales!AX12</f>
        <v>451908.25</v>
      </c>
      <c r="BI33" s="26">
        <f ca="1">Sales!AY12</f>
        <v>462775.2</v>
      </c>
      <c r="BJ33" s="26">
        <f ca="1">Sales!AZ12</f>
        <v>473093.44999999995</v>
      </c>
      <c r="BK33" s="26">
        <f ca="1">Sales!BA12</f>
        <v>483461.44999999995</v>
      </c>
      <c r="BL33" s="26">
        <f ca="1">Sales!BB12</f>
        <v>495134.3</v>
      </c>
      <c r="BM33" s="26">
        <f ca="1">Sales!BC12</f>
        <v>512862.64999999997</v>
      </c>
      <c r="BN33" s="26">
        <f ca="1">Sales!BD12</f>
        <v>521044.14999999997</v>
      </c>
      <c r="BO33" s="26">
        <f ca="1">Sales!BE12</f>
        <v>533493.1</v>
      </c>
      <c r="BP33" s="97">
        <f ca="1">Sales!BF12</f>
        <v>545353.5</v>
      </c>
      <c r="BR33" s="65" t="s">
        <v>0</v>
      </c>
      <c r="BS33" s="57">
        <f ca="1">SUM(Tabla712[[#This Row],[Month 1 ]:[Month 49]])</f>
        <v>11534829.299999999</v>
      </c>
      <c r="BU33" s="294" t="s">
        <v>384</v>
      </c>
      <c r="BV33" s="295"/>
    </row>
    <row r="34" spans="2:74" ht="15" thickBot="1" x14ac:dyDescent="0.4">
      <c r="B34" s="266"/>
      <c r="C34" s="106" t="s">
        <v>81</v>
      </c>
      <c r="D34" s="122">
        <v>9.9499999999999993</v>
      </c>
      <c r="E34" s="236"/>
      <c r="F34" s="104" t="s">
        <v>159</v>
      </c>
      <c r="G34" s="117">
        <v>30</v>
      </c>
      <c r="H34" s="267"/>
      <c r="L34" s="39"/>
      <c r="R34" s="224"/>
      <c r="S34" s="88" t="s">
        <v>109</v>
      </c>
      <c r="T34" s="21">
        <f>'Other incomes'!C5</f>
        <v>0</v>
      </c>
      <c r="U34" s="21">
        <f>'Other incomes'!D5</f>
        <v>0</v>
      </c>
      <c r="V34" s="21">
        <f>'Other incomes'!E5</f>
        <v>0</v>
      </c>
      <c r="W34" s="21">
        <f>'Other incomes'!F5</f>
        <v>0</v>
      </c>
      <c r="X34" s="21">
        <f>'Other incomes'!G5</f>
        <v>0</v>
      </c>
      <c r="Y34" s="21">
        <f>'Other incomes'!H5</f>
        <v>0</v>
      </c>
      <c r="Z34" s="21">
        <f>'Other incomes'!I5</f>
        <v>0</v>
      </c>
      <c r="AA34" s="21">
        <f>'Other incomes'!J5</f>
        <v>0</v>
      </c>
      <c r="AB34" s="21">
        <f ca="1">'Other incomes'!K5</f>
        <v>3100.1849999999999</v>
      </c>
      <c r="AC34" s="21">
        <f ca="1">'Other incomes'!L5</f>
        <v>4987.3950000000004</v>
      </c>
      <c r="AD34" s="21">
        <f ca="1">'Other incomes'!M5</f>
        <v>5844.3300000000008</v>
      </c>
      <c r="AE34" s="28">
        <f ca="1">'Other incomes'!N5</f>
        <v>6710.9849999999997</v>
      </c>
      <c r="AF34" s="91">
        <f ca="1">'Other incomes'!O5</f>
        <v>7587.0450000000019</v>
      </c>
      <c r="AG34" s="21">
        <f ca="1">'Other incomes'!P5</f>
        <v>8564.4450000000015</v>
      </c>
      <c r="AH34" s="21">
        <f ca="1">'Other incomes'!Q5</f>
        <v>9550.4850000000024</v>
      </c>
      <c r="AI34" s="21">
        <f ca="1">'Other incomes'!R5</f>
        <v>10545.075000000001</v>
      </c>
      <c r="AJ34" s="21">
        <f ca="1">'Other incomes'!S5</f>
        <v>11639.970000000001</v>
      </c>
      <c r="AK34" s="21">
        <f ca="1">'Other incomes'!T5</f>
        <v>12742.38</v>
      </c>
      <c r="AL34" s="21">
        <f ca="1">'Other incomes'!U5</f>
        <v>13852.17</v>
      </c>
      <c r="AM34" s="21">
        <f ca="1">'Other incomes'!V5</f>
        <v>15061.140000000003</v>
      </c>
      <c r="AN34" s="21">
        <f ca="1">'Other incomes'!W5</f>
        <v>16276.455</v>
      </c>
      <c r="AO34" s="21">
        <f ca="1">'Other incomes'!X5</f>
        <v>17968.41</v>
      </c>
      <c r="AP34" s="21">
        <f ca="1">'Other incomes'!Y5</f>
        <v>19294.560000000001</v>
      </c>
      <c r="AQ34" s="28">
        <f ca="1">'Other incomes'!Z5</f>
        <v>20625.570000000003</v>
      </c>
      <c r="AR34" s="91">
        <f ca="1">'Other incomes'!AA5</f>
        <v>21961.215000000004</v>
      </c>
      <c r="AS34" s="21">
        <f ca="1">'Other incomes'!AB5</f>
        <v>23401.755000000001</v>
      </c>
      <c r="AT34" s="21">
        <f ca="1">'Other incomes'!AC5</f>
        <v>24845.49</v>
      </c>
      <c r="AU34" s="21">
        <f ca="1">'Other incomes'!AD5</f>
        <v>26292.33</v>
      </c>
      <c r="AV34" s="21">
        <f ca="1">'Other incomes'!AE5</f>
        <v>27841.59</v>
      </c>
      <c r="AW34" s="21">
        <f ca="1">'Other incomes'!AF5</f>
        <v>29392.38</v>
      </c>
      <c r="AX34" s="21">
        <f ca="1">'Other incomes'!AG5</f>
        <v>30944.52</v>
      </c>
      <c r="AY34" s="21">
        <f ca="1">'Other incomes'!AH5</f>
        <v>32605.424999999999</v>
      </c>
      <c r="AZ34" s="21">
        <f ca="1">'Other incomes'!AI5</f>
        <v>34265.880000000005</v>
      </c>
      <c r="BA34" s="21">
        <f ca="1">'Other incomes'!AJ5</f>
        <v>36360.269999999997</v>
      </c>
      <c r="BB34" s="21">
        <f ca="1">'Other incomes'!AK5</f>
        <v>38122.155000000006</v>
      </c>
      <c r="BC34" s="28">
        <f ca="1">'Other incomes'!AL5</f>
        <v>39881.474999999999</v>
      </c>
      <c r="BD34" s="91">
        <f ca="1">'Other incomes'!AM5</f>
        <v>41638.050000000003</v>
      </c>
      <c r="BE34" s="21">
        <f ca="1">'Other incomes'!AN5</f>
        <v>43496.01</v>
      </c>
      <c r="BF34" s="21">
        <f ca="1">'Other incomes'!AO5</f>
        <v>45349.2</v>
      </c>
      <c r="BG34" s="21">
        <f ca="1">'Other incomes'!AP5</f>
        <v>47197.35</v>
      </c>
      <c r="BH34" s="21">
        <f ca="1">'Other incomes'!AQ5</f>
        <v>48225.735000000001</v>
      </c>
      <c r="BI34" s="21">
        <f ca="1">'Other incomes'!AR5</f>
        <v>49337.73</v>
      </c>
      <c r="BJ34" s="21">
        <f ca="1">'Other incomes'!AS5</f>
        <v>50454.09</v>
      </c>
      <c r="BK34" s="21">
        <f ca="1">'Other incomes'!AT5</f>
        <v>51574.544999999998</v>
      </c>
      <c r="BL34" s="21">
        <f ca="1">'Other incomes'!AU5</f>
        <v>52777.17</v>
      </c>
      <c r="BM34" s="21">
        <f ca="1">'Other incomes'!AV5</f>
        <v>54380.34</v>
      </c>
      <c r="BN34" s="21">
        <f ca="1">'Other incomes'!AW5</f>
        <v>55586.52</v>
      </c>
      <c r="BO34" s="21">
        <f ca="1">'Other incomes'!AX5</f>
        <v>56872.89</v>
      </c>
      <c r="BP34" s="57">
        <f ca="1">'Other incomes'!AY5</f>
        <v>58160.97</v>
      </c>
      <c r="BR34" s="66" t="s">
        <v>109</v>
      </c>
      <c r="BS34" s="55">
        <f ca="1">SUM(Tabla712[[#This Row],[Month 1 ]:[Month 49]])</f>
        <v>1205315.6849999998</v>
      </c>
      <c r="BU34" s="189" t="s">
        <v>0</v>
      </c>
      <c r="BV34" s="192">
        <f ca="1">BS33</f>
        <v>11534829.299999999</v>
      </c>
    </row>
    <row r="35" spans="2:74" ht="15" thickBot="1" x14ac:dyDescent="0.4">
      <c r="B35" s="266"/>
      <c r="C35" s="235"/>
      <c r="D35" s="235"/>
      <c r="E35" s="236"/>
      <c r="F35" s="105" t="s">
        <v>162</v>
      </c>
      <c r="G35" s="120">
        <v>25</v>
      </c>
      <c r="H35" s="267"/>
      <c r="L35" s="39"/>
      <c r="R35" s="224"/>
      <c r="S35" s="88" t="s">
        <v>111</v>
      </c>
      <c r="T35" s="21">
        <f>'Other incomes'!C10</f>
        <v>0</v>
      </c>
      <c r="U35" s="21">
        <f>'Other incomes'!D10</f>
        <v>0</v>
      </c>
      <c r="V35" s="21">
        <f>'Other incomes'!E10</f>
        <v>0</v>
      </c>
      <c r="W35" s="21">
        <f>'Other incomes'!F10</f>
        <v>0</v>
      </c>
      <c r="X35" s="21">
        <f>'Other incomes'!G10</f>
        <v>0</v>
      </c>
      <c r="Y35" s="21">
        <f>'Other incomes'!H10</f>
        <v>0</v>
      </c>
      <c r="Z35" s="21">
        <f>'Other incomes'!I10</f>
        <v>0</v>
      </c>
      <c r="AA35" s="21">
        <f>'Other incomes'!J10</f>
        <v>0</v>
      </c>
      <c r="AB35" s="21">
        <f ca="1">'Other incomes'!K10</f>
        <v>180</v>
      </c>
      <c r="AC35" s="21">
        <f ca="1">'Other incomes'!L10</f>
        <v>290</v>
      </c>
      <c r="AD35" s="21">
        <f ca="1">'Other incomes'!M10</f>
        <v>340</v>
      </c>
      <c r="AE35" s="28">
        <f ca="1">'Other incomes'!N10</f>
        <v>390</v>
      </c>
      <c r="AF35" s="91">
        <f ca="1">'Other incomes'!O10</f>
        <v>440</v>
      </c>
      <c r="AG35" s="21">
        <f ca="1">'Other incomes'!P10</f>
        <v>497.5</v>
      </c>
      <c r="AH35" s="21">
        <f ca="1">'Other incomes'!Q10</f>
        <v>555</v>
      </c>
      <c r="AI35" s="21">
        <f ca="1">'Other incomes'!R10</f>
        <v>612.5</v>
      </c>
      <c r="AJ35" s="21">
        <f ca="1">'Other incomes'!S10</f>
        <v>675</v>
      </c>
      <c r="AK35" s="21">
        <f ca="1">'Other incomes'!T10</f>
        <v>737.5</v>
      </c>
      <c r="AL35" s="21">
        <f ca="1">'Other incomes'!U10</f>
        <v>802.5</v>
      </c>
      <c r="AM35" s="21">
        <f ca="1">'Other incomes'!V10</f>
        <v>872.5</v>
      </c>
      <c r="AN35" s="21">
        <f ca="1">'Other incomes'!W10</f>
        <v>942.5</v>
      </c>
      <c r="AO35" s="21">
        <f ca="1">'Other incomes'!X10</f>
        <v>1040</v>
      </c>
      <c r="AP35" s="21">
        <f ca="1">'Other incomes'!Y10</f>
        <v>1117.5</v>
      </c>
      <c r="AQ35" s="28">
        <f ca="1">'Other incomes'!Z10</f>
        <v>1195</v>
      </c>
      <c r="AR35" s="91">
        <f ca="1">'Other incomes'!AA10</f>
        <v>1272.5</v>
      </c>
      <c r="AS35" s="21">
        <f ca="1">'Other incomes'!AB10</f>
        <v>1355</v>
      </c>
      <c r="AT35" s="21">
        <f ca="1">'Other incomes'!AC10</f>
        <v>1440</v>
      </c>
      <c r="AU35" s="21">
        <f ca="1">'Other incomes'!AD10</f>
        <v>1522.5</v>
      </c>
      <c r="AV35" s="21">
        <f ca="1">'Other incomes'!AE10</f>
        <v>1612.5</v>
      </c>
      <c r="AW35" s="21">
        <f ca="1">'Other incomes'!AF10</f>
        <v>1702.5</v>
      </c>
      <c r="AX35" s="21">
        <f ca="1">'Other incomes'!AG10</f>
        <v>1792.5</v>
      </c>
      <c r="AY35" s="21">
        <f ca="1">'Other incomes'!AH10</f>
        <v>1887.5</v>
      </c>
      <c r="AZ35" s="21">
        <f ca="1">'Other incomes'!AI10</f>
        <v>1985</v>
      </c>
      <c r="BA35" s="21">
        <f ca="1">'Other incomes'!AJ10</f>
        <v>2105</v>
      </c>
      <c r="BB35" s="21">
        <f ca="1">'Other incomes'!AK10</f>
        <v>2207.5</v>
      </c>
      <c r="BC35" s="28">
        <f ca="1">'Other incomes'!AL10</f>
        <v>2310</v>
      </c>
      <c r="BD35" s="91">
        <f ca="1">'Other incomes'!AM10</f>
        <v>2410</v>
      </c>
      <c r="BE35" s="21">
        <f ca="1">'Other incomes'!AN10</f>
        <v>2517.5</v>
      </c>
      <c r="BF35" s="21">
        <f ca="1">'Other incomes'!AO10</f>
        <v>2625</v>
      </c>
      <c r="BG35" s="21">
        <f ca="1">'Other incomes'!AP10</f>
        <v>2732.5</v>
      </c>
      <c r="BH35" s="21">
        <f ca="1">'Other incomes'!AQ10</f>
        <v>2792.5</v>
      </c>
      <c r="BI35" s="21">
        <f ca="1">'Other incomes'!AR10</f>
        <v>2857.5</v>
      </c>
      <c r="BJ35" s="21">
        <f ca="1">'Other incomes'!AS10</f>
        <v>2920</v>
      </c>
      <c r="BK35" s="21">
        <f ca="1">'Other incomes'!AT10</f>
        <v>2985</v>
      </c>
      <c r="BL35" s="21">
        <f ca="1">'Other incomes'!AU10</f>
        <v>3055</v>
      </c>
      <c r="BM35" s="21">
        <f ca="1">'Other incomes'!AV10</f>
        <v>3147.5</v>
      </c>
      <c r="BN35" s="21">
        <f ca="1">'Other incomes'!AW10</f>
        <v>3217.5</v>
      </c>
      <c r="BO35" s="21">
        <f ca="1">'Other incomes'!AX10</f>
        <v>3292.5</v>
      </c>
      <c r="BP35" s="57">
        <f ca="1">'Other incomes'!AY10</f>
        <v>3367.5</v>
      </c>
      <c r="BR35" s="66" t="s">
        <v>111</v>
      </c>
      <c r="BS35" s="55">
        <f ca="1">SUM(Tabla712[[#This Row],[Month 1 ]:[Month 49]])</f>
        <v>69800</v>
      </c>
      <c r="BU35" s="190" t="s">
        <v>385</v>
      </c>
      <c r="BV35" s="192">
        <f t="shared" ref="BV35:BV37" ca="1" si="2">BS34</f>
        <v>1205315.6849999998</v>
      </c>
    </row>
    <row r="36" spans="2:74" ht="15" thickBot="1" x14ac:dyDescent="0.4">
      <c r="B36" s="266"/>
      <c r="C36" s="309"/>
      <c r="D36" s="309"/>
      <c r="E36" s="236"/>
      <c r="F36" s="106" t="s">
        <v>168</v>
      </c>
      <c r="G36" s="125">
        <v>0.08</v>
      </c>
      <c r="H36" s="267"/>
      <c r="L36" s="39"/>
      <c r="R36" s="225"/>
      <c r="S36" s="88" t="s">
        <v>110</v>
      </c>
      <c r="T36" s="21">
        <f>'Other incomes'!C16</f>
        <v>0</v>
      </c>
      <c r="U36" s="21">
        <f>'Other incomes'!D16</f>
        <v>0</v>
      </c>
      <c r="V36" s="21">
        <f>'Other incomes'!E16</f>
        <v>0</v>
      </c>
      <c r="W36" s="21">
        <f>'Other incomes'!F16</f>
        <v>0</v>
      </c>
      <c r="X36" s="21">
        <f>'Other incomes'!G16</f>
        <v>0</v>
      </c>
      <c r="Y36" s="21">
        <f>'Other incomes'!H16</f>
        <v>0</v>
      </c>
      <c r="Z36" s="21">
        <f>'Other incomes'!I16</f>
        <v>0</v>
      </c>
      <c r="AA36" s="21">
        <f>'Other incomes'!J16</f>
        <v>0</v>
      </c>
      <c r="AB36" s="21">
        <f ca="1">'Other incomes'!K16</f>
        <v>4306</v>
      </c>
      <c r="AC36" s="21">
        <f ca="1">'Other incomes'!L16</f>
        <v>6928</v>
      </c>
      <c r="AD36" s="21">
        <f ca="1">'Other incomes'!M16</f>
        <v>8118</v>
      </c>
      <c r="AE36" s="28">
        <f ca="1">'Other incomes'!N16</f>
        <v>9322</v>
      </c>
      <c r="AF36" s="91">
        <f ca="1">'Other incomes'!O16</f>
        <v>10538</v>
      </c>
      <c r="AG36" s="21">
        <f ca="1">'Other incomes'!P16</f>
        <v>11896</v>
      </c>
      <c r="AH36" s="21">
        <f ca="1">'Other incomes'!Q16</f>
        <v>13266</v>
      </c>
      <c r="AI36" s="21">
        <f ca="1">'Other incomes'!R16</f>
        <v>14646</v>
      </c>
      <c r="AJ36" s="21">
        <f ca="1">'Other incomes'!S16</f>
        <v>16168</v>
      </c>
      <c r="AK36" s="21">
        <f ca="1">'Other incomes'!T16</f>
        <v>17698</v>
      </c>
      <c r="AL36" s="21">
        <f ca="1">'Other incomes'!U16</f>
        <v>19240</v>
      </c>
      <c r="AM36" s="21">
        <f ca="1">'Other incomes'!V16</f>
        <v>20920</v>
      </c>
      <c r="AN36" s="21">
        <f ca="1">'Other incomes'!W16</f>
        <v>22608</v>
      </c>
      <c r="AO36" s="21">
        <f ca="1">'Other incomes'!X16</f>
        <v>24958</v>
      </c>
      <c r="AP36" s="21">
        <f ca="1">'Other incomes'!Y16</f>
        <v>26800</v>
      </c>
      <c r="AQ36" s="28">
        <f ca="1">'Other incomes'!Z16</f>
        <v>28648</v>
      </c>
      <c r="AR36" s="91">
        <f ca="1">'Other incomes'!AA16</f>
        <v>30502</v>
      </c>
      <c r="AS36" s="21">
        <f ca="1">'Other incomes'!AB16</f>
        <v>32504</v>
      </c>
      <c r="AT36" s="21">
        <f ca="1">'Other incomes'!AC16</f>
        <v>34508</v>
      </c>
      <c r="AU36" s="21">
        <f ca="1">'Other incomes'!AD16</f>
        <v>36518</v>
      </c>
      <c r="AV36" s="21">
        <f ca="1">'Other incomes'!AE16</f>
        <v>38670</v>
      </c>
      <c r="AW36" s="21">
        <f ca="1">'Other incomes'!AF16</f>
        <v>40824</v>
      </c>
      <c r="AX36" s="21">
        <f ca="1">'Other incomes'!AG16</f>
        <v>42980</v>
      </c>
      <c r="AY36" s="21">
        <f ca="1">'Other incomes'!AH16</f>
        <v>45286</v>
      </c>
      <c r="AZ36" s="21">
        <f ca="1">'Other incomes'!AI16</f>
        <v>47592</v>
      </c>
      <c r="BA36" s="21">
        <f ca="1">'Other incomes'!AJ16</f>
        <v>50502</v>
      </c>
      <c r="BB36" s="21">
        <f ca="1">'Other incomes'!AK16</f>
        <v>52948</v>
      </c>
      <c r="BC36" s="28">
        <f ca="1">'Other incomes'!AL16</f>
        <v>55392</v>
      </c>
      <c r="BD36" s="91">
        <f ca="1">'Other incomes'!AM16</f>
        <v>57832</v>
      </c>
      <c r="BE36" s="21">
        <f ca="1">'Other incomes'!AN16</f>
        <v>60412</v>
      </c>
      <c r="BF36" s="21">
        <f ca="1">'Other incomes'!AO16</f>
        <v>62986</v>
      </c>
      <c r="BG36" s="21">
        <f ca="1">'Other incomes'!AP16</f>
        <v>65552</v>
      </c>
      <c r="BH36" s="21">
        <f ca="1">'Other incomes'!AQ16</f>
        <v>66982</v>
      </c>
      <c r="BI36" s="21">
        <f ca="1">'Other incomes'!AR16</f>
        <v>68526</v>
      </c>
      <c r="BJ36" s="21">
        <f ca="1">'Other incomes'!AS16</f>
        <v>70076</v>
      </c>
      <c r="BK36" s="21">
        <f ca="1">'Other incomes'!AT16</f>
        <v>71632</v>
      </c>
      <c r="BL36" s="21">
        <f ca="1">'Other incomes'!AU16</f>
        <v>73302</v>
      </c>
      <c r="BM36" s="21">
        <f ca="1">'Other incomes'!AV16</f>
        <v>75530</v>
      </c>
      <c r="BN36" s="21">
        <f ca="1">'Other incomes'!AW16</f>
        <v>77204</v>
      </c>
      <c r="BO36" s="21">
        <f ca="1">'Other incomes'!AX16</f>
        <v>78992</v>
      </c>
      <c r="BP36" s="57">
        <f ca="1">'Other incomes'!AY16</f>
        <v>80780</v>
      </c>
      <c r="BR36" s="66" t="s">
        <v>110</v>
      </c>
      <c r="BS36" s="55">
        <f ca="1">SUM(Tabla712[[#This Row],[Month 1 ]:[Month 49]])</f>
        <v>1674092</v>
      </c>
      <c r="BU36" s="190" t="s">
        <v>111</v>
      </c>
      <c r="BV36" s="192">
        <f t="shared" ca="1" si="2"/>
        <v>69800</v>
      </c>
    </row>
    <row r="37" spans="2:74" ht="15" thickBot="1" x14ac:dyDescent="0.4">
      <c r="B37" s="266"/>
      <c r="C37" s="309"/>
      <c r="D37" s="309"/>
      <c r="E37" s="236"/>
      <c r="F37" s="235"/>
      <c r="G37" s="235"/>
      <c r="H37" s="267"/>
      <c r="L37" s="39"/>
      <c r="R37" s="227" t="s">
        <v>117</v>
      </c>
      <c r="S37" s="88" t="s">
        <v>39</v>
      </c>
      <c r="T37" s="21">
        <f>-Tabla5[[#Totals],[Month 1]]</f>
        <v>-5093</v>
      </c>
      <c r="U37" s="21">
        <f>-Tabla5[[#Totals],[Month 2]]</f>
        <v>-33201</v>
      </c>
      <c r="V37" s="21">
        <f>-Tabla5[[#Totals],[Month 3]]</f>
        <v>-33201</v>
      </c>
      <c r="W37" s="21">
        <f>-Tabla5[[#Totals],[Month 4]]</f>
        <v>-36308</v>
      </c>
      <c r="X37" s="21">
        <f>-Tabla5[[#Totals],[Month 5]]</f>
        <v>-36308</v>
      </c>
      <c r="Y37" s="21">
        <f>-Tabla5[[#Totals],[Month 6]]</f>
        <v>-58655</v>
      </c>
      <c r="Z37" s="21">
        <f>-Tabla5[[#Totals],[Month 7]]</f>
        <v>-36509</v>
      </c>
      <c r="AA37" s="21">
        <f>-Tabla5[[#Totals],[Month 8]]</f>
        <v>-36509</v>
      </c>
      <c r="AB37" s="21">
        <f>-Tabla5[[#Totals],[Month 9]]</f>
        <v>-40947</v>
      </c>
      <c r="AC37" s="21">
        <f>-Tabla5[[#Totals],[Month 10]]</f>
        <v>-40947</v>
      </c>
      <c r="AD37" s="21">
        <f>-Tabla5[[#Totals],[Month 11]]</f>
        <v>-40947</v>
      </c>
      <c r="AE37" s="28">
        <f>-Tabla5[[#Totals],[Month 12]]</f>
        <v>-63093</v>
      </c>
      <c r="AF37" s="91">
        <f>-Tabla5[[#Totals],[Month 13]]</f>
        <v>-45424.05</v>
      </c>
      <c r="AG37" s="21">
        <f>-Tabla5[[#Totals],[Month 14]]</f>
        <v>-45424.05</v>
      </c>
      <c r="AH37" s="21">
        <f>-Tabla5[[#Totals],[Month 15]]</f>
        <v>-45424.05</v>
      </c>
      <c r="AI37" s="21">
        <f>-Tabla5[[#Totals],[Month 16]]</f>
        <v>-45424.05</v>
      </c>
      <c r="AJ37" s="21">
        <f>-Tabla5[[#Totals],[Month 17]]</f>
        <v>-48460.649999999994</v>
      </c>
      <c r="AK37" s="21">
        <f>-Tabla5[[#Totals],[Month 18]]</f>
        <v>-71713.950000000012</v>
      </c>
      <c r="AL37" s="21">
        <f>-Tabla5[[#Totals],[Month 19]]</f>
        <v>-48460.649999999994</v>
      </c>
      <c r="AM37" s="21">
        <f>-Tabla5[[#Totals],[Month 20]]</f>
        <v>-48460.649999999994</v>
      </c>
      <c r="AN37" s="21">
        <f>-Tabla5[[#Totals],[Month 21]]</f>
        <v>-48460.649999999994</v>
      </c>
      <c r="AO37" s="21">
        <f>-Tabla5[[#Totals],[Month 22]]</f>
        <v>-48460.649999999994</v>
      </c>
      <c r="AP37" s="21">
        <f>-Tabla5[[#Totals],[Month 23]]</f>
        <v>-48460.649999999994</v>
      </c>
      <c r="AQ37" s="28">
        <f>-Tabla5[[#Totals],[Month 24]]</f>
        <v>-71713.950000000012</v>
      </c>
      <c r="AR37" s="91">
        <f>-Tabla5[[#Totals],[Month 25]]</f>
        <v>-50768.3</v>
      </c>
      <c r="AS37" s="21">
        <f>-Tabla5[[#Totals],[Month 26]]</f>
        <v>-50768.3</v>
      </c>
      <c r="AT37" s="21">
        <f>-Tabla5[[#Totals],[Month 27]]</f>
        <v>-50768.3</v>
      </c>
      <c r="AU37" s="21">
        <f>-Tabla5[[#Totals],[Month 28]]</f>
        <v>-50768.3</v>
      </c>
      <c r="AV37" s="21">
        <f>-Tabla5[[#Totals],[Month 29]]</f>
        <v>-50768.3</v>
      </c>
      <c r="AW37" s="21">
        <f>-Tabla5[[#Totals],[Month 30]]</f>
        <v>-75128.900000000009</v>
      </c>
      <c r="AX37" s="21">
        <f>-Tabla5[[#Totals],[Month 31]]</f>
        <v>-50768.3</v>
      </c>
      <c r="AY37" s="21">
        <f>-Tabla5[[#Totals],[Month 32]]</f>
        <v>-50768.3</v>
      </c>
      <c r="AZ37" s="21">
        <f>-Tabla5[[#Totals],[Month 33]]</f>
        <v>-50768.3</v>
      </c>
      <c r="BA37" s="21">
        <f>-Tabla5[[#Totals],[Month 34]]</f>
        <v>-50768.3</v>
      </c>
      <c r="BB37" s="21">
        <f>-Tabla5[[#Totals],[Month 35]]</f>
        <v>-50768.3</v>
      </c>
      <c r="BC37" s="28">
        <f>-Tabla5[[#Totals],[Month 36]]</f>
        <v>-75128.900000000009</v>
      </c>
      <c r="BD37" s="91">
        <f>-Tabla5[[#Totals],[Month 37]]</f>
        <v>-53075.95</v>
      </c>
      <c r="BE37" s="21">
        <f>-Tabla5[[#Totals],[Month 38]]</f>
        <v>-53075.95</v>
      </c>
      <c r="BF37" s="21">
        <f>-Tabla5[[#Totals],[Month 39]]</f>
        <v>-53075.95</v>
      </c>
      <c r="BG37" s="21">
        <f>-Tabla5[[#Totals],[Month 40]]</f>
        <v>-53075.95</v>
      </c>
      <c r="BH37" s="21">
        <f>-Tabla5[[#Totals],[Month 41]]</f>
        <v>-53075.95</v>
      </c>
      <c r="BI37" s="21">
        <f>-Tabla5[[#Totals],[Month 42]]</f>
        <v>-78543.850000000006</v>
      </c>
      <c r="BJ37" s="21">
        <f>-Tabla5[[#Totals],[Month 43]]</f>
        <v>-53075.95</v>
      </c>
      <c r="BK37" s="21">
        <f>-Tabla5[[#Totals],[Month 44]]</f>
        <v>-53075.95</v>
      </c>
      <c r="BL37" s="21">
        <f>-Tabla5[[#Totals],[Month 45]]</f>
        <v>-53075.95</v>
      </c>
      <c r="BM37" s="21">
        <f>-Tabla5[[#Totals],[Month 46]]</f>
        <v>-53075.95</v>
      </c>
      <c r="BN37" s="21">
        <f>-Tabla5[[#Totals],[Month 47]]</f>
        <v>-53075.95</v>
      </c>
      <c r="BO37" s="21">
        <f>-Tabla5[[#Totals],[Month 48]]</f>
        <v>-78543.850000000006</v>
      </c>
      <c r="BP37" s="57">
        <f>Tabla712[[#This Row],[Month 47]]</f>
        <v>-53075.95</v>
      </c>
      <c r="BR37" s="66" t="s">
        <v>39</v>
      </c>
      <c r="BS37" s="55">
        <f>SUM(Tabla712[[#This Row],[Month 1 ]:[Month 49]])</f>
        <v>-2476469.9500000016</v>
      </c>
      <c r="BU37" s="191" t="s">
        <v>110</v>
      </c>
      <c r="BV37" s="192">
        <f t="shared" ca="1" si="2"/>
        <v>1674092</v>
      </c>
    </row>
    <row r="38" spans="2:74" ht="15" thickBot="1" x14ac:dyDescent="0.4">
      <c r="B38" s="266"/>
      <c r="C38" s="237"/>
      <c r="D38" s="237"/>
      <c r="E38" s="237"/>
      <c r="F38" s="237"/>
      <c r="G38" s="237"/>
      <c r="H38" s="267"/>
      <c r="L38" s="39"/>
      <c r="R38" s="228"/>
      <c r="S38" s="88" t="s">
        <v>116</v>
      </c>
      <c r="T38" s="21">
        <f>-Sales!J21</f>
        <v>0</v>
      </c>
      <c r="U38" s="21">
        <f>-Sales!K21</f>
        <v>0</v>
      </c>
      <c r="V38" s="21">
        <f>-Sales!L21</f>
        <v>0</v>
      </c>
      <c r="W38" s="21">
        <f>-Sales!M21</f>
        <v>0</v>
      </c>
      <c r="X38" s="21">
        <f>-Sales!N21</f>
        <v>0</v>
      </c>
      <c r="Y38" s="21">
        <f>-Sales!O21</f>
        <v>0</v>
      </c>
      <c r="Z38" s="21">
        <f>-Sales!P21</f>
        <v>0</v>
      </c>
      <c r="AA38" s="21">
        <f>-Sales!Q21</f>
        <v>0</v>
      </c>
      <c r="AB38" s="21">
        <f ca="1">-Sales!R21</f>
        <v>-6894</v>
      </c>
      <c r="AC38" s="21">
        <f ca="1">-Sales!S21</f>
        <v>-4194</v>
      </c>
      <c r="AD38" s="21">
        <f ca="1">-Sales!T21</f>
        <v>-1908</v>
      </c>
      <c r="AE38" s="21">
        <f ca="1">-Sales!U21</f>
        <v>-1926</v>
      </c>
      <c r="AF38" s="21">
        <f ca="1">-Sales!V21</f>
        <v>-1950</v>
      </c>
      <c r="AG38" s="21">
        <f ca="1">-Sales!W21</f>
        <v>-2172</v>
      </c>
      <c r="AH38" s="21">
        <f ca="1">-Sales!X21</f>
        <v>-2196</v>
      </c>
      <c r="AI38" s="21">
        <f ca="1">-Sales!Y21</f>
        <v>-2208</v>
      </c>
      <c r="AJ38" s="21">
        <f ca="1">-Sales!Z21</f>
        <v>-2436</v>
      </c>
      <c r="AK38" s="21">
        <f ca="1">-Sales!AA21</f>
        <v>-2454</v>
      </c>
      <c r="AL38" s="21">
        <f ca="1">-Sales!AB21</f>
        <v>-2472</v>
      </c>
      <c r="AM38" s="21">
        <f ca="1">-Sales!AC21</f>
        <v>-2688</v>
      </c>
      <c r="AN38" s="21">
        <f ca="1">-Sales!AD21</f>
        <v>-2700</v>
      </c>
      <c r="AO38" s="21">
        <f ca="1">-Sales!AE21</f>
        <v>-3762</v>
      </c>
      <c r="AP38" s="21">
        <f ca="1">-Sales!AF21</f>
        <v>-2952</v>
      </c>
      <c r="AQ38" s="21">
        <f ca="1">-Sales!AG21</f>
        <v>-2958</v>
      </c>
      <c r="AR38" s="21">
        <f ca="1">-Sales!AH21</f>
        <v>-2970</v>
      </c>
      <c r="AS38" s="21">
        <f ca="1">-Sales!AI21</f>
        <v>-3204</v>
      </c>
      <c r="AT38" s="21">
        <f ca="1">-Sales!AJ21</f>
        <v>-3210</v>
      </c>
      <c r="AU38" s="21">
        <f ca="1">-Sales!AK21</f>
        <v>-3216</v>
      </c>
      <c r="AV38" s="21">
        <f ca="1">-Sales!AL21</f>
        <v>-3444</v>
      </c>
      <c r="AW38" s="21">
        <f ca="1">-Sales!AM21</f>
        <v>-3450</v>
      </c>
      <c r="AX38" s="21">
        <f ca="1">-Sales!AN21</f>
        <v>-3450</v>
      </c>
      <c r="AY38" s="21">
        <f ca="1">-Sales!AO21</f>
        <v>-3696</v>
      </c>
      <c r="AZ38" s="21">
        <f ca="1">-Sales!AP21</f>
        <v>-3690</v>
      </c>
      <c r="BA38" s="21">
        <f ca="1">-Sales!AQ21</f>
        <v>-4656</v>
      </c>
      <c r="BB38" s="21">
        <f ca="1">-Sales!AR21</f>
        <v>-3918</v>
      </c>
      <c r="BC38" s="21">
        <f ca="1">-Sales!AS21</f>
        <v>-3912</v>
      </c>
      <c r="BD38" s="21">
        <f ca="1">-Sales!AT21</f>
        <v>-3906</v>
      </c>
      <c r="BE38" s="21">
        <f ca="1">-Sales!AU21</f>
        <v>-4134</v>
      </c>
      <c r="BF38" s="21">
        <f ca="1">-Sales!AV21</f>
        <v>-4122</v>
      </c>
      <c r="BG38" s="21">
        <f ca="1">-Sales!AW21</f>
        <v>-4110</v>
      </c>
      <c r="BH38" s="21">
        <f ca="1">-Sales!AX21</f>
        <v>-2286</v>
      </c>
      <c r="BI38" s="21">
        <f ca="1">-Sales!AY21</f>
        <v>-2472</v>
      </c>
      <c r="BJ38" s="21">
        <f ca="1">-Sales!AZ21</f>
        <v>-2484</v>
      </c>
      <c r="BK38" s="21">
        <f ca="1">-Sales!BA21</f>
        <v>-2496</v>
      </c>
      <c r="BL38" s="21">
        <f ca="1">-Sales!BB21</f>
        <v>-2676</v>
      </c>
      <c r="BM38" s="21">
        <f ca="1">-Sales!BC21</f>
        <v>-3564</v>
      </c>
      <c r="BN38" s="21">
        <f ca="1">-Sales!BD21</f>
        <v>-2682</v>
      </c>
      <c r="BO38" s="21">
        <f ca="1">-Sales!BE21</f>
        <v>-2862</v>
      </c>
      <c r="BP38" s="57">
        <f ca="1">-Sales!BF21</f>
        <v>-2862</v>
      </c>
      <c r="BR38" s="66" t="s">
        <v>116</v>
      </c>
      <c r="BS38" s="55">
        <f ca="1">SUM(Tabla712[[#This Row],[Month 1 ]:[Month 49]])</f>
        <v>-129342</v>
      </c>
    </row>
    <row r="39" spans="2:74" ht="16" thickBot="1" x14ac:dyDescent="0.4">
      <c r="B39" s="266"/>
      <c r="C39" s="110" t="s">
        <v>43</v>
      </c>
      <c r="D39" s="111" t="s">
        <v>73</v>
      </c>
      <c r="E39" s="110" t="s">
        <v>71</v>
      </c>
      <c r="F39" s="116" t="s">
        <v>72</v>
      </c>
      <c r="G39" s="112" t="s">
        <v>69</v>
      </c>
      <c r="H39" s="267"/>
      <c r="L39" s="39"/>
      <c r="R39" s="228"/>
      <c r="S39" s="88" t="s">
        <v>115</v>
      </c>
      <c r="T39" s="21">
        <f>Sales!J19</f>
        <v>0</v>
      </c>
      <c r="U39" s="21">
        <f>Sales!K19</f>
        <v>0</v>
      </c>
      <c r="V39" s="21">
        <f>Sales!L19</f>
        <v>0</v>
      </c>
      <c r="W39" s="21">
        <f>Sales!M19</f>
        <v>0</v>
      </c>
      <c r="X39" s="21">
        <f>Sales!N19</f>
        <v>0</v>
      </c>
      <c r="Y39" s="21">
        <f>Sales!O19</f>
        <v>0</v>
      </c>
      <c r="Z39" s="21">
        <f>Sales!P19</f>
        <v>0</v>
      </c>
      <c r="AA39" s="21">
        <f>Sales!Q19</f>
        <v>0</v>
      </c>
      <c r="AB39" s="21">
        <f ca="1">Sales!R19</f>
        <v>-832.32</v>
      </c>
      <c r="AC39" s="21">
        <f ca="1">Sales!S19</f>
        <v>-1248.48</v>
      </c>
      <c r="AD39" s="21">
        <f ca="1">Sales!T19</f>
        <v>-1456.5600000000002</v>
      </c>
      <c r="AE39" s="28">
        <f ca="1">Sales!U19</f>
        <v>-1664.64</v>
      </c>
      <c r="AF39" s="91">
        <f ca="1">Sales!V19</f>
        <v>-1872.72</v>
      </c>
      <c r="AG39" s="21">
        <f ca="1">Sales!W19</f>
        <v>-2080.8000000000002</v>
      </c>
      <c r="AH39" s="21">
        <f ca="1">Sales!X19</f>
        <v>-2392.92</v>
      </c>
      <c r="AI39" s="21">
        <f ca="1">Sales!Y19</f>
        <v>-2601</v>
      </c>
      <c r="AJ39" s="21">
        <f ca="1">Sales!Z19</f>
        <v>-2809.0800000000004</v>
      </c>
      <c r="AK39" s="21">
        <f ca="1">Sales!AA19</f>
        <v>-3121.2000000000003</v>
      </c>
      <c r="AL39" s="21">
        <f ca="1">Sales!AB19</f>
        <v>-3433.32</v>
      </c>
      <c r="AM39" s="21">
        <f ca="1">Sales!AC19</f>
        <v>-3641.4</v>
      </c>
      <c r="AN39" s="21">
        <f ca="1">Sales!AD19</f>
        <v>-3953.5200000000004</v>
      </c>
      <c r="AO39" s="21">
        <f ca="1">Sales!AE19</f>
        <v>-4369.68</v>
      </c>
      <c r="AP39" s="21">
        <f ca="1">Sales!AF19</f>
        <v>-4681.8</v>
      </c>
      <c r="AQ39" s="28">
        <f ca="1">Sales!AG19</f>
        <v>-4993.92</v>
      </c>
      <c r="AR39" s="91">
        <f ca="1">Sales!AH19</f>
        <v>-5306.04</v>
      </c>
      <c r="AS39" s="21">
        <f ca="1">Sales!AI19</f>
        <v>-5722.2000000000007</v>
      </c>
      <c r="AT39" s="21">
        <f ca="1">Sales!AJ19</f>
        <v>-6034.3200000000006</v>
      </c>
      <c r="AU39" s="21">
        <f ca="1">Sales!AK19</f>
        <v>-6346.4400000000005</v>
      </c>
      <c r="AV39" s="21">
        <f ca="1">Sales!AL19</f>
        <v>-6762.6</v>
      </c>
      <c r="AW39" s="21">
        <f ca="1">Sales!AM19</f>
        <v>-7178.76</v>
      </c>
      <c r="AX39" s="21">
        <f ca="1">Sales!AN19</f>
        <v>-7490.88</v>
      </c>
      <c r="AY39" s="21">
        <f ca="1">Sales!AO19</f>
        <v>-7907.0400000000009</v>
      </c>
      <c r="AZ39" s="21">
        <f ca="1">Sales!AP19</f>
        <v>-8323.2000000000007</v>
      </c>
      <c r="BA39" s="21">
        <f ca="1">Sales!AQ19</f>
        <v>-8843.4</v>
      </c>
      <c r="BB39" s="21">
        <f ca="1">Sales!AR19</f>
        <v>-9259.5600000000013</v>
      </c>
      <c r="BC39" s="28">
        <f ca="1">Sales!AS19</f>
        <v>-9675.7200000000012</v>
      </c>
      <c r="BD39" s="91">
        <f ca="1">Sales!AT19</f>
        <v>-10091.880000000001</v>
      </c>
      <c r="BE39" s="21">
        <f ca="1">Sales!AU19</f>
        <v>-10508.04</v>
      </c>
      <c r="BF39" s="21">
        <f ca="1">Sales!AV19</f>
        <v>-10924.2</v>
      </c>
      <c r="BG39" s="21">
        <f ca="1">Sales!AW19</f>
        <v>-11444.400000000001</v>
      </c>
      <c r="BH39" s="21">
        <f ca="1">Sales!AX19</f>
        <v>-11652.480000000001</v>
      </c>
      <c r="BI39" s="21">
        <f ca="1">Sales!AY19</f>
        <v>-11964.6</v>
      </c>
      <c r="BJ39" s="21">
        <f ca="1">Sales!AZ19</f>
        <v>-12172.68</v>
      </c>
      <c r="BK39" s="21">
        <f ca="1">Sales!BA19</f>
        <v>-12484.800000000001</v>
      </c>
      <c r="BL39" s="21">
        <f ca="1">Sales!BB19</f>
        <v>-12796.92</v>
      </c>
      <c r="BM39" s="21">
        <f ca="1">Sales!BC19</f>
        <v>-13109.04</v>
      </c>
      <c r="BN39" s="21">
        <f ca="1">Sales!BD19</f>
        <v>-13421.160000000002</v>
      </c>
      <c r="BO39" s="21">
        <f ca="1">Sales!BE19</f>
        <v>-13733.28</v>
      </c>
      <c r="BP39" s="57">
        <f ca="1">Sales!BF19</f>
        <v>-14045.400000000001</v>
      </c>
      <c r="BR39" s="66" t="s">
        <v>115</v>
      </c>
      <c r="BS39" s="55">
        <f ca="1">SUM(Tabla712[[#This Row],[Month 1 ]:[Month 49]])</f>
        <v>-292352.40000000008</v>
      </c>
      <c r="BU39" s="294" t="s">
        <v>360</v>
      </c>
      <c r="BV39" s="295"/>
    </row>
    <row r="40" spans="2:74" ht="15" thickBot="1" x14ac:dyDescent="0.4">
      <c r="B40" s="266"/>
      <c r="C40" s="102" t="s">
        <v>44</v>
      </c>
      <c r="D40" s="126">
        <v>1</v>
      </c>
      <c r="E40" s="143">
        <v>47615034</v>
      </c>
      <c r="F40" s="146">
        <v>10259507</v>
      </c>
      <c r="G40" s="147">
        <f>F40+E40</f>
        <v>57874541</v>
      </c>
      <c r="H40" s="267"/>
      <c r="L40" s="39"/>
      <c r="R40" s="228"/>
      <c r="S40" s="88" t="s">
        <v>41</v>
      </c>
      <c r="T40" s="21">
        <f>-Marketing!C6</f>
        <v>0</v>
      </c>
      <c r="U40" s="21">
        <f>-Marketing!D6</f>
        <v>0</v>
      </c>
      <c r="V40" s="21">
        <f>-Marketing!E6</f>
        <v>0</v>
      </c>
      <c r="W40" s="21">
        <f>-Marketing!F6</f>
        <v>0</v>
      </c>
      <c r="X40" s="21">
        <f>-Marketing!G6</f>
        <v>0</v>
      </c>
      <c r="Y40" s="21">
        <f>-Marketing!H6</f>
        <v>0</v>
      </c>
      <c r="Z40" s="21">
        <f>-Marketing!I6</f>
        <v>-105698.80623946873</v>
      </c>
      <c r="AA40" s="21">
        <f>-Marketing!J6</f>
        <v>-106572.35009268748</v>
      </c>
      <c r="AB40" s="21">
        <f ca="1">-Marketing!K6</f>
        <v>-106121.84814590623</v>
      </c>
      <c r="AC40" s="21">
        <f ca="1">-Marketing!L6</f>
        <v>-20549.436077250004</v>
      </c>
      <c r="AD40" s="21">
        <f ca="1">-Marketing!M6</f>
        <v>-21331.273830468752</v>
      </c>
      <c r="AE40" s="28">
        <f ca="1">-Marketing!N6</f>
        <v>-22106.286883687502</v>
      </c>
      <c r="AF40" s="91">
        <f ca="1">-Marketing!O6</f>
        <v>-22874.394686906253</v>
      </c>
      <c r="AG40" s="21">
        <f ca="1">-Marketing!P6</f>
        <v>-23626.569490125003</v>
      </c>
      <c r="AH40" s="21">
        <f ca="1">-Marketing!Q6</f>
        <v>-24371.086793343755</v>
      </c>
      <c r="AI40" s="21">
        <f ca="1">-Marketing!R6</f>
        <v>-25107.870096562507</v>
      </c>
      <c r="AJ40" s="21">
        <f ca="1">-Marketing!S6</f>
        <v>-25826.944849781255</v>
      </c>
      <c r="AK40" s="21">
        <f ca="1">-Marketing!T6</f>
        <v>-26537.580903000005</v>
      </c>
      <c r="AL40" s="21">
        <f ca="1">-Marketing!U6</f>
        <v>-27239.714806218755</v>
      </c>
      <c r="AM40" s="21">
        <f ca="1">-Marketing!V6</f>
        <v>-27922.437209437507</v>
      </c>
      <c r="AN40" s="21">
        <f ca="1">-Marketing!W6</f>
        <v>-61277.126491406263</v>
      </c>
      <c r="AO40" s="21">
        <f ca="1">-Marketing!X6</f>
        <v>-29201.524315875009</v>
      </c>
      <c r="AP40" s="21">
        <f ca="1">-Marketing!Y6</f>
        <v>-29842.303869093757</v>
      </c>
      <c r="AQ40" s="28">
        <f ca="1">-Marketing!Z6</f>
        <v>-30473.23562231251</v>
      </c>
      <c r="AR40" s="91">
        <f ca="1">-Marketing!AA6</f>
        <v>-31094.292575531257</v>
      </c>
      <c r="AS40" s="21">
        <f ca="1">-Marketing!AB6</f>
        <v>-31691.50612875001</v>
      </c>
      <c r="AT40" s="21">
        <f ca="1">-Marketing!AC6</f>
        <v>-32278.260781968762</v>
      </c>
      <c r="AU40" s="21">
        <f ca="1">-Marketing!AD6</f>
        <v>-32854.542135187512</v>
      </c>
      <c r="AV40" s="21">
        <f ca="1">-Marketing!AE6</f>
        <v>-33405.47678840626</v>
      </c>
      <c r="AW40" s="21">
        <f ca="1">-Marketing!AF6</f>
        <v>-33945.421541625015</v>
      </c>
      <c r="AX40" s="21">
        <f ca="1">-Marketing!AG6</f>
        <v>-34474.387644843766</v>
      </c>
      <c r="AY40" s="21">
        <f ca="1">-Marketing!AH6</f>
        <v>-34975.200848062515</v>
      </c>
      <c r="AZ40" s="21">
        <f ca="1">-Marketing!AI6</f>
        <v>-65647.159630031267</v>
      </c>
      <c r="BA40" s="21">
        <f ca="1">-Marketing!AJ6</f>
        <v>-35870.059354500016</v>
      </c>
      <c r="BB40" s="21">
        <f ca="1">-Marketing!AK6</f>
        <v>-36317.582507718762</v>
      </c>
      <c r="BC40" s="28">
        <f ca="1">-Marketing!AL6</f>
        <v>-36753.32016093751</v>
      </c>
      <c r="BD40" s="91">
        <f ca="1">-Marketing!AM6</f>
        <v>-37177.32991415626</v>
      </c>
      <c r="BE40" s="21">
        <f ca="1">-Marketing!AN6</f>
        <v>-37570.826967375011</v>
      </c>
      <c r="BF40" s="21">
        <f ca="1">-Marketing!AO6</f>
        <v>-37952.303770593768</v>
      </c>
      <c r="BG40" s="21">
        <f ca="1">-Marketing!AP6</f>
        <v>-38321.858873812518</v>
      </c>
      <c r="BH40" s="21">
        <f ca="1">-Marketing!AQ6</f>
        <v>-38835.131677031262</v>
      </c>
      <c r="BI40" s="21">
        <f ca="1">-Marketing!AR6</f>
        <v>-39325.000580250009</v>
      </c>
      <c r="BJ40" s="21">
        <f ca="1">-Marketing!AS6</f>
        <v>-39806.292183468766</v>
      </c>
      <c r="BK40" s="21">
        <f ca="1">-Marketing!AT6</f>
        <v>-40278.996286687514</v>
      </c>
      <c r="BL40" s="21">
        <f ca="1">-Marketing!AU6</f>
        <v>-68338.685568656263</v>
      </c>
      <c r="BM40" s="21">
        <f ca="1">-Marketing!AV6</f>
        <v>-41083.386193125014</v>
      </c>
      <c r="BN40" s="21">
        <f ca="1">-Marketing!AW6</f>
        <v>-41512.632146343763</v>
      </c>
      <c r="BO40" s="21">
        <f ca="1">-Marketing!AX6</f>
        <v>-41916.240999562513</v>
      </c>
      <c r="BP40" s="57">
        <f ca="1">-Marketing!AY6</f>
        <v>-42310.548202781269</v>
      </c>
      <c r="BR40" s="66" t="s">
        <v>41</v>
      </c>
      <c r="BS40" s="55">
        <f ca="1">SUM(Tabla712[[#This Row],[Month 1 ]:[Month 49]])</f>
        <v>-1720417.2338649381</v>
      </c>
      <c r="BU40" s="189" t="s">
        <v>39</v>
      </c>
      <c r="BV40" s="192">
        <f t="shared" ref="BV40:BV45" si="3">-BS37</f>
        <v>2476469.9500000016</v>
      </c>
    </row>
    <row r="41" spans="2:74" ht="15" thickBot="1" x14ac:dyDescent="0.4">
      <c r="B41" s="266"/>
      <c r="C41" s="102" t="s">
        <v>70</v>
      </c>
      <c r="D41" s="126">
        <v>0.5</v>
      </c>
      <c r="E41" s="144">
        <f t="shared" ref="E41:F41" si="4">$D41*E40</f>
        <v>23807517</v>
      </c>
      <c r="F41" s="144">
        <f t="shared" si="4"/>
        <v>5129753.5</v>
      </c>
      <c r="G41" s="147">
        <f>F41+E41</f>
        <v>28937270.5</v>
      </c>
      <c r="H41" s="267"/>
      <c r="L41" s="39"/>
      <c r="R41" s="228"/>
      <c r="S41" s="88" t="s">
        <v>172</v>
      </c>
      <c r="T41" s="21">
        <v>0</v>
      </c>
      <c r="U41" s="21">
        <v>-4800</v>
      </c>
      <c r="V41" s="21">
        <v>-4800</v>
      </c>
      <c r="W41" s="21">
        <v>-4800</v>
      </c>
      <c r="X41" s="21">
        <v>-4800</v>
      </c>
      <c r="Y41" s="21">
        <v>-4800</v>
      </c>
      <c r="Z41" s="21">
        <v>-4800</v>
      </c>
      <c r="AA41" s="21">
        <v>-4800</v>
      </c>
      <c r="AB41" s="21">
        <v>-4800</v>
      </c>
      <c r="AC41" s="21">
        <v>-4800</v>
      </c>
      <c r="AD41" s="21">
        <v>-4800</v>
      </c>
      <c r="AE41" s="21">
        <v>-4800</v>
      </c>
      <c r="AF41" s="21">
        <v>-4800</v>
      </c>
      <c r="AG41" s="21">
        <v>-4800</v>
      </c>
      <c r="AH41" s="21">
        <v>-4800</v>
      </c>
      <c r="AI41" s="21">
        <v>-4800</v>
      </c>
      <c r="AJ41" s="21">
        <v>-4800</v>
      </c>
      <c r="AK41" s="21">
        <v>-4800</v>
      </c>
      <c r="AL41" s="21">
        <v>-4800</v>
      </c>
      <c r="AM41" s="21">
        <v>-4800</v>
      </c>
      <c r="AN41" s="21">
        <v>-4800</v>
      </c>
      <c r="AO41" s="21">
        <v>-4800</v>
      </c>
      <c r="AP41" s="21">
        <v>-4800</v>
      </c>
      <c r="AQ41" s="21">
        <v>-4800</v>
      </c>
      <c r="AR41" s="21">
        <v>-4800</v>
      </c>
      <c r="AS41" s="21">
        <v>-4800</v>
      </c>
      <c r="AT41" s="21">
        <v>-4800</v>
      </c>
      <c r="AU41" s="21">
        <v>-4800</v>
      </c>
      <c r="AV41" s="21">
        <v>-4800</v>
      </c>
      <c r="AW41" s="21">
        <v>-4800</v>
      </c>
      <c r="AX41" s="21">
        <v>-4800</v>
      </c>
      <c r="AY41" s="21">
        <v>-4800</v>
      </c>
      <c r="AZ41" s="21">
        <v>-4800</v>
      </c>
      <c r="BA41" s="21">
        <v>-4800</v>
      </c>
      <c r="BB41" s="21">
        <v>-4800</v>
      </c>
      <c r="BC41" s="21">
        <v>-4800</v>
      </c>
      <c r="BD41" s="21">
        <v>-4800</v>
      </c>
      <c r="BE41" s="21">
        <v>-4800</v>
      </c>
      <c r="BF41" s="21">
        <v>-4800</v>
      </c>
      <c r="BG41" s="21">
        <v>-4800</v>
      </c>
      <c r="BH41" s="21">
        <v>-4800</v>
      </c>
      <c r="BI41" s="21">
        <v>-4800</v>
      </c>
      <c r="BJ41" s="21">
        <v>-4800</v>
      </c>
      <c r="BK41" s="21">
        <v>-4800</v>
      </c>
      <c r="BL41" s="21">
        <v>-4800</v>
      </c>
      <c r="BM41" s="21">
        <v>-4800</v>
      </c>
      <c r="BN41" s="21">
        <v>-4800</v>
      </c>
      <c r="BO41" s="21">
        <v>-4800</v>
      </c>
      <c r="BP41" s="57">
        <v>-4800</v>
      </c>
      <c r="BR41" s="66" t="s">
        <v>172</v>
      </c>
      <c r="BS41" s="55">
        <f>SUM(Tabla712[[#This Row],[Month 1 ]:[Month 49]])</f>
        <v>-230400</v>
      </c>
      <c r="BU41" s="190" t="s">
        <v>116</v>
      </c>
      <c r="BV41" s="193">
        <f t="shared" ca="1" si="3"/>
        <v>129342</v>
      </c>
    </row>
    <row r="42" spans="2:74" ht="15" thickBot="1" x14ac:dyDescent="0.4">
      <c r="B42" s="266"/>
      <c r="C42" s="102" t="s">
        <v>76</v>
      </c>
      <c r="D42" s="126">
        <v>0.7</v>
      </c>
      <c r="E42" s="144">
        <f t="shared" ref="E42:F42" si="5">$D42*E41</f>
        <v>16665261.899999999</v>
      </c>
      <c r="F42" s="144">
        <f t="shared" si="5"/>
        <v>3590827.4499999997</v>
      </c>
      <c r="G42" s="147">
        <f>F42+E42</f>
        <v>20256089.349999998</v>
      </c>
      <c r="H42" s="267"/>
      <c r="L42" s="39"/>
      <c r="R42" s="228"/>
      <c r="S42" s="77" t="s">
        <v>358</v>
      </c>
      <c r="T42" s="21" cm="1">
        <f t="array" ref="T42">-Distributors[Month 1]</f>
        <v>0</v>
      </c>
      <c r="U42" s="21" cm="1">
        <f t="array" ref="U42">-Distributors[Month 2]</f>
        <v>0</v>
      </c>
      <c r="V42" s="21" cm="1">
        <f t="array" ref="V42">-Distributors[Month 3]</f>
        <v>0</v>
      </c>
      <c r="W42" s="21" cm="1">
        <f t="array" ref="W42">-Distributors[Month 4]</f>
        <v>0</v>
      </c>
      <c r="X42" s="21" cm="1">
        <f t="array" ref="X42">-Distributors[Month 5]</f>
        <v>0</v>
      </c>
      <c r="Y42" s="21" cm="1">
        <f t="array" ref="Y42">-Distributors[Month 6]</f>
        <v>0</v>
      </c>
      <c r="Z42" s="21" cm="1">
        <f t="array" ref="Z42">-Distributors[Month 7]</f>
        <v>0</v>
      </c>
      <c r="AA42" s="21" cm="1">
        <f t="array" ref="AA42">-Distributors[Month 8]</f>
        <v>0</v>
      </c>
      <c r="AB42" s="21" cm="1">
        <f t="array" aca="1" ref="AB42" ca="1">-Distributors[Month 9]</f>
        <v>-7723.3499999999995</v>
      </c>
      <c r="AC42" s="21" cm="1">
        <f t="array" aca="1" ref="AC42" ca="1">-Distributors[Month 10]</f>
        <v>-8984.1224999999995</v>
      </c>
      <c r="AD42" s="21" cm="1">
        <f t="array" aca="1" ref="AD42" ca="1">-Distributors[Month 11]</f>
        <v>-9029.0249999999978</v>
      </c>
      <c r="AE42" s="28" cm="1">
        <f t="array" aca="1" ref="AE42" ca="1">-Distributors[Month 12]</f>
        <v>-10234.987499999999</v>
      </c>
      <c r="AF42" s="91" cm="1">
        <f t="array" aca="1" ref="AF42" ca="1">-Distributors[Month 13]</f>
        <v>-11458.867499999998</v>
      </c>
      <c r="AG42" s="21" cm="1">
        <f t="array" aca="1" ref="AG42" ca="1">-Distributors[Month 14]</f>
        <v>-12920.302499999998</v>
      </c>
      <c r="AH42" s="21" cm="1">
        <f t="array" aca="1" ref="AH42" ca="1">-Distributors[Month 15]</f>
        <v>-14294.924999999997</v>
      </c>
      <c r="AI42" s="21" cm="1">
        <f t="array" aca="1" ref="AI42" ca="1">-Distributors[Month 16]</f>
        <v>-15674.009999999998</v>
      </c>
      <c r="AJ42" s="21" cm="1">
        <f t="array" aca="1" ref="AJ42" ca="1">-Distributors[Month 17]</f>
        <v>-17301.12</v>
      </c>
      <c r="AK42" s="21" cm="1">
        <f t="array" aca="1" ref="AK42" ca="1">-Distributors[Month 18]</f>
        <v>-18833.939999999999</v>
      </c>
      <c r="AL42" s="21" cm="1">
        <f t="array" aca="1" ref="AL42" ca="1">-Distributors[Month 19]</f>
        <v>-20377.207499999997</v>
      </c>
      <c r="AM42" s="21" cm="1">
        <f t="array" aca="1" ref="AM42" ca="1">-Distributors[Month 20]</f>
        <v>-22155.044999999998</v>
      </c>
      <c r="AN42" s="21" cm="1">
        <f t="array" aca="1" ref="AN42" ca="1">-Distributors[Month 21]</f>
        <v>-23840.092499999995</v>
      </c>
      <c r="AO42" s="21" cm="1">
        <f t="array" aca="1" ref="AO42" ca="1">-Distributors[Month 22]</f>
        <v>-26708.512499999993</v>
      </c>
      <c r="AP42" s="21" cm="1">
        <f t="array" aca="1" ref="AP42" ca="1">-Distributors[Month 23]</f>
        <v>-28137.314999999995</v>
      </c>
      <c r="AQ42" s="28" cm="1">
        <f t="array" aca="1" ref="AQ42" ca="1">-Distributors[Month 24]</f>
        <v>-29979.067499999997</v>
      </c>
      <c r="AR42" s="91" cm="1">
        <f t="array" aca="1" ref="AR42" ca="1">-Distributors[Month 25]</f>
        <v>-31831.274999999998</v>
      </c>
      <c r="AS42" s="21" cm="1">
        <f t="array" aca="1" ref="AS42" ca="1">-Distributors[Month 26]</f>
        <v>-33938.977499999994</v>
      </c>
      <c r="AT42" s="21" cm="1">
        <f t="array" aca="1" ref="AT42" ca="1">-Distributors[Month 27]</f>
        <v>-35937.442499999997</v>
      </c>
      <c r="AU42" s="21" cm="1">
        <f t="array" aca="1" ref="AU42" ca="1">-Distributors[Month 28]</f>
        <v>-37938.892499999994</v>
      </c>
      <c r="AV42" s="21" cm="1">
        <f t="array" aca="1" ref="AV42" ca="1">-Distributors[Month 29]</f>
        <v>-40194.344999999994</v>
      </c>
      <c r="AW42" s="21" cm="1">
        <f t="array" aca="1" ref="AW42" ca="1">-Distributors[Month 30]</f>
        <v>-42340.56749999999</v>
      </c>
      <c r="AX42" s="21" cm="1">
        <f t="array" aca="1" ref="AX42" ca="1">-Distributors[Month 31]</f>
        <v>-44485.289999999994</v>
      </c>
      <c r="AY42" s="21" cm="1">
        <f t="array" aca="1" ref="AY42" ca="1">-Distributors[Month 32]</f>
        <v>-46903.447499999995</v>
      </c>
      <c r="AZ42" s="21" cm="1">
        <f t="array" aca="1" ref="AZ42" ca="1">-Distributors[Month 33]</f>
        <v>-49194.427499999998</v>
      </c>
      <c r="BA42" s="21" cm="1">
        <f t="array" aca="1" ref="BA42" ca="1">-Distributors[Month 34]</f>
        <v>-52570.177499999998</v>
      </c>
      <c r="BB42" s="21" cm="1">
        <f t="array" aca="1" ref="BB42" ca="1">-Distributors[Month 35]</f>
        <v>-54637.859999999993</v>
      </c>
      <c r="BC42" s="28" cm="1">
        <f t="array" aca="1" ref="BC42" ca="1">-Distributors[Month 36]</f>
        <v>-57066.15</v>
      </c>
      <c r="BD42" s="91" cm="1">
        <f t="array" aca="1" ref="BD42" ca="1">-Distributors[Month 37]</f>
        <v>-59489.962499999994</v>
      </c>
      <c r="BE42" s="21" cm="1">
        <f t="array" aca="1" ref="BE42" ca="1">-Distributors[Month 38]</f>
        <v>-62172.27</v>
      </c>
      <c r="BF42" s="21" cm="1">
        <f t="array" aca="1" ref="BF42" ca="1">-Distributors[Month 39]</f>
        <v>-64727.414999999994</v>
      </c>
      <c r="BG42" s="21" cm="1">
        <f t="array" aca="1" ref="BG42" ca="1">-Distributors[Month 40]</f>
        <v>-67275.097499999989</v>
      </c>
      <c r="BH42" s="21" cm="1">
        <f t="array" aca="1" ref="BH42" ca="1">-Distributors[Month 41]</f>
        <v>-67786.237500000003</v>
      </c>
      <c r="BI42" s="21" cm="1">
        <f t="array" aca="1" ref="BI42" ca="1">-Distributors[Month 42]</f>
        <v>-69416.28</v>
      </c>
      <c r="BJ42" s="21" cm="1">
        <f t="array" aca="1" ref="BJ42" ca="1">-Distributors[Month 43]</f>
        <v>-70964.017499999987</v>
      </c>
      <c r="BK42" s="21" cm="1">
        <f t="array" aca="1" ref="BK42" ca="1">-Distributors[Month 44]</f>
        <v>-72519.217499999984</v>
      </c>
      <c r="BL42" s="21" cm="1">
        <f t="array" aca="1" ref="BL42" ca="1">-Distributors[Month 45]</f>
        <v>-74270.14499999999</v>
      </c>
      <c r="BM42" s="21" cm="1">
        <f t="array" aca="1" ref="BM42" ca="1">-Distributors[Month 46]</f>
        <v>-76929.397499999992</v>
      </c>
      <c r="BN42" s="21" cm="1">
        <f t="array" aca="1" ref="BN42" ca="1">-Distributors[Month 47]</f>
        <v>-78156.622499999998</v>
      </c>
      <c r="BO42" s="21" cm="1">
        <f t="array" aca="1" ref="BO42" ca="1">-Distributors[Month 48]</f>
        <v>-80023.964999999997</v>
      </c>
      <c r="BP42" s="57" cm="1">
        <f t="array" aca="1" ref="BP42" ca="1">-Distributors[Month 49]</f>
        <v>-81803.024999999994</v>
      </c>
      <c r="BR42" s="77" t="s">
        <v>357</v>
      </c>
      <c r="BS42" s="55">
        <f ca="1">SUM(Tabla712[[#This Row],[Month 1 ]:[Month 49]])</f>
        <v>-1730224.3950000003</v>
      </c>
      <c r="BU42" s="190" t="s">
        <v>115</v>
      </c>
      <c r="BV42" s="193">
        <f t="shared" ca="1" si="3"/>
        <v>292352.40000000008</v>
      </c>
    </row>
    <row r="43" spans="2:74" ht="15" thickBot="1" x14ac:dyDescent="0.4">
      <c r="B43" s="266"/>
      <c r="C43" s="37" t="s">
        <v>45</v>
      </c>
      <c r="D43" s="127">
        <v>0.25</v>
      </c>
      <c r="E43" s="145">
        <f t="shared" ref="E43:F43" si="6">$D43*E42</f>
        <v>4166315.4749999996</v>
      </c>
      <c r="F43" s="145">
        <f t="shared" si="6"/>
        <v>897706.86249999993</v>
      </c>
      <c r="G43" s="148">
        <f>F43+E43</f>
        <v>5064022.3374999994</v>
      </c>
      <c r="H43" s="267"/>
      <c r="L43" s="39"/>
      <c r="R43" s="228"/>
      <c r="S43" s="76" t="s">
        <v>343</v>
      </c>
      <c r="T43" s="92">
        <f t="shared" ref="T43:AY43" si="7">SUM(T33:T42)</f>
        <v>-5093</v>
      </c>
      <c r="U43" s="29">
        <f t="shared" si="7"/>
        <v>-38001</v>
      </c>
      <c r="V43" s="29">
        <f t="shared" si="7"/>
        <v>-38001</v>
      </c>
      <c r="W43" s="29">
        <f t="shared" si="7"/>
        <v>-41108</v>
      </c>
      <c r="X43" s="29">
        <f t="shared" si="7"/>
        <v>-41108</v>
      </c>
      <c r="Y43" s="29">
        <f t="shared" si="7"/>
        <v>-63455</v>
      </c>
      <c r="Z43" s="29">
        <f t="shared" si="7"/>
        <v>-147007.80623946874</v>
      </c>
      <c r="AA43" s="29">
        <f t="shared" si="7"/>
        <v>-147881.35009268747</v>
      </c>
      <c r="AB43" s="29">
        <f t="shared" ca="1" si="7"/>
        <v>-108243.33314590625</v>
      </c>
      <c r="AC43" s="29">
        <f t="shared" ca="1" si="7"/>
        <v>-8623.4935772500048</v>
      </c>
      <c r="AD43" s="29">
        <f t="shared" ca="1" si="7"/>
        <v>-4976.0288304687638</v>
      </c>
      <c r="AE43" s="30">
        <f t="shared" ca="1" si="7"/>
        <v>-19168.6793836875</v>
      </c>
      <c r="AF43" s="92">
        <f t="shared" ca="1" si="7"/>
        <v>6577.4628130937399</v>
      </c>
      <c r="AG43" s="29">
        <f t="shared" ca="1" si="7"/>
        <v>16069.573009874992</v>
      </c>
      <c r="AH43" s="29">
        <f t="shared" ca="1" si="7"/>
        <v>25192.003206656234</v>
      </c>
      <c r="AI43" s="29">
        <f t="shared" ca="1" si="7"/>
        <v>34482.044903437491</v>
      </c>
      <c r="AJ43" s="29">
        <f t="shared" ca="1" si="7"/>
        <v>42189.975150218743</v>
      </c>
      <c r="AK43" s="29">
        <f t="shared" ca="1" si="7"/>
        <v>29276.809096999965</v>
      </c>
      <c r="AL43" s="29">
        <f t="shared" ca="1" si="7"/>
        <v>62959.827693781255</v>
      </c>
      <c r="AM43" s="29">
        <f t="shared" ca="1" si="7"/>
        <v>74886.407790562502</v>
      </c>
      <c r="AN43" s="29">
        <f t="shared" ca="1" si="7"/>
        <v>53729.516008593724</v>
      </c>
      <c r="AO43" s="29">
        <f t="shared" ca="1" si="7"/>
        <v>104720.793184125</v>
      </c>
      <c r="AP43" s="29">
        <f t="shared" ca="1" si="7"/>
        <v>115920.09113090622</v>
      </c>
      <c r="AQ43" s="30">
        <f t="shared" ca="1" si="7"/>
        <v>105410.84687768744</v>
      </c>
      <c r="AR43" s="92">
        <f t="shared" ca="1" si="7"/>
        <v>139174.30742446872</v>
      </c>
      <c r="AS43" s="29">
        <f t="shared" ca="1" si="7"/>
        <v>153395.62137124996</v>
      </c>
      <c r="AT43" s="29">
        <f t="shared" ca="1" si="7"/>
        <v>167348.11671803123</v>
      </c>
      <c r="AU43" s="29">
        <f t="shared" ca="1" si="7"/>
        <v>181334.60536481248</v>
      </c>
      <c r="AV43" s="29">
        <f t="shared" ca="1" si="7"/>
        <v>196711.66821159379</v>
      </c>
      <c r="AW43" s="29">
        <f t="shared" ca="1" si="7"/>
        <v>187345.68095837493</v>
      </c>
      <c r="AX43" s="29">
        <f t="shared" ca="1" si="7"/>
        <v>226816.76235515624</v>
      </c>
      <c r="AY43" s="29">
        <f t="shared" ca="1" si="7"/>
        <v>243418.58665193745</v>
      </c>
      <c r="AZ43" s="29">
        <f t="shared" ref="AZ43:BP43" ca="1" si="8">SUM(AZ33:AZ42)</f>
        <v>229382.64286996872</v>
      </c>
      <c r="BA43" s="29">
        <f t="shared" ca="1" si="8"/>
        <v>281927.18314549996</v>
      </c>
      <c r="BB43" s="29">
        <f t="shared" ca="1" si="8"/>
        <v>297828.75249228126</v>
      </c>
      <c r="BC43" s="30">
        <f t="shared" ca="1" si="8"/>
        <v>290688.38483906246</v>
      </c>
      <c r="BD43" s="92">
        <f t="shared" ca="1" si="8"/>
        <v>329938.67758584372</v>
      </c>
      <c r="BE43" s="29">
        <f t="shared" ca="1" si="8"/>
        <v>348646.22303262498</v>
      </c>
      <c r="BF43" s="29">
        <f t="shared" ca="1" si="8"/>
        <v>366874.43122940627</v>
      </c>
      <c r="BG43" s="29">
        <f t="shared" ca="1" si="8"/>
        <v>384955.19362618745</v>
      </c>
      <c r="BH43" s="29">
        <f t="shared" ca="1" si="8"/>
        <v>391472.68582296872</v>
      </c>
      <c r="BI43" s="29">
        <f t="shared" ca="1" si="8"/>
        <v>376974.69941975002</v>
      </c>
      <c r="BJ43" s="29">
        <f t="shared" ca="1" si="8"/>
        <v>413240.60031653114</v>
      </c>
      <c r="BK43" s="29">
        <f t="shared" ca="1" si="8"/>
        <v>423998.03121331253</v>
      </c>
      <c r="BL43" s="29">
        <f t="shared" ca="1" si="8"/>
        <v>408310.76943134377</v>
      </c>
      <c r="BM43" s="29">
        <f t="shared" ca="1" si="8"/>
        <v>453358.71630687499</v>
      </c>
      <c r="BN43" s="29">
        <f t="shared" ca="1" si="8"/>
        <v>463403.80535365624</v>
      </c>
      <c r="BO43" s="29">
        <f t="shared" ca="1" si="8"/>
        <v>450771.15400043747</v>
      </c>
      <c r="BP43" s="98">
        <f t="shared" ca="1" si="8"/>
        <v>488765.04679721873</v>
      </c>
      <c r="BR43" s="76" t="s">
        <v>343</v>
      </c>
      <c r="BS43" s="55"/>
      <c r="BU43" s="190" t="s">
        <v>41</v>
      </c>
      <c r="BV43" s="193">
        <f t="shared" ca="1" si="3"/>
        <v>1720417.2338649381</v>
      </c>
    </row>
    <row r="44" spans="2:74" ht="15" thickBot="1" x14ac:dyDescent="0.4">
      <c r="B44" s="266"/>
      <c r="C44" s="235"/>
      <c r="D44" s="235"/>
      <c r="E44" s="235"/>
      <c r="F44" s="235"/>
      <c r="G44" s="235"/>
      <c r="H44" s="267"/>
      <c r="L44" s="39"/>
      <c r="R44" s="228"/>
      <c r="S44" s="68" t="s">
        <v>344</v>
      </c>
      <c r="T44" s="93">
        <v>0</v>
      </c>
      <c r="U44" s="36">
        <v>0</v>
      </c>
      <c r="V44" s="36">
        <v>0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36">
        <v>0</v>
      </c>
      <c r="AD44" s="36">
        <v>0</v>
      </c>
      <c r="AE44" s="94">
        <v>0</v>
      </c>
      <c r="AF44" s="93">
        <f>-Amortization!C12</f>
        <v>-4600</v>
      </c>
      <c r="AG44" s="36">
        <v>0</v>
      </c>
      <c r="AH44" s="36">
        <v>0</v>
      </c>
      <c r="AI44" s="36">
        <v>0</v>
      </c>
      <c r="AJ44" s="36">
        <v>0</v>
      </c>
      <c r="AK44" s="36">
        <v>0</v>
      </c>
      <c r="AL44" s="36">
        <v>0</v>
      </c>
      <c r="AM44" s="36">
        <v>0</v>
      </c>
      <c r="AN44" s="36">
        <v>0</v>
      </c>
      <c r="AO44" s="36">
        <v>0</v>
      </c>
      <c r="AP44" s="36">
        <v>0</v>
      </c>
      <c r="AQ44" s="94">
        <v>0</v>
      </c>
      <c r="AR44" s="93">
        <f>-Amortization!D12</f>
        <v>-5400</v>
      </c>
      <c r="AS44" s="36">
        <v>0</v>
      </c>
      <c r="AT44" s="36">
        <v>0</v>
      </c>
      <c r="AU44" s="36">
        <v>0</v>
      </c>
      <c r="AV44" s="36">
        <v>0</v>
      </c>
      <c r="AW44" s="36">
        <v>0</v>
      </c>
      <c r="AX44" s="36">
        <v>0</v>
      </c>
      <c r="AY44" s="36">
        <v>0</v>
      </c>
      <c r="AZ44" s="36">
        <v>0</v>
      </c>
      <c r="BA44" s="36">
        <v>0</v>
      </c>
      <c r="BB44" s="36">
        <v>0</v>
      </c>
      <c r="BC44" s="94">
        <v>0</v>
      </c>
      <c r="BD44" s="93">
        <f>-Amortization!E12</f>
        <v>-5400</v>
      </c>
      <c r="BE44" s="36">
        <v>0</v>
      </c>
      <c r="BF44" s="36">
        <v>0</v>
      </c>
      <c r="BG44" s="36">
        <v>0</v>
      </c>
      <c r="BH44" s="36">
        <v>0</v>
      </c>
      <c r="BI44" s="36">
        <v>0</v>
      </c>
      <c r="BJ44" s="36">
        <v>0</v>
      </c>
      <c r="BK44" s="36">
        <v>0</v>
      </c>
      <c r="BL44" s="36">
        <v>0</v>
      </c>
      <c r="BM44" s="36">
        <v>0</v>
      </c>
      <c r="BN44" s="36">
        <v>0</v>
      </c>
      <c r="BO44" s="36">
        <v>0</v>
      </c>
      <c r="BP44" s="99">
        <v>-5400</v>
      </c>
      <c r="BR44" s="68" t="s">
        <v>344</v>
      </c>
      <c r="BS44" s="55">
        <f>SUM(Tabla712[[#This Row],[Month 1 ]:[Month 49]])</f>
        <v>-20800</v>
      </c>
      <c r="BU44" s="190" t="s">
        <v>383</v>
      </c>
      <c r="BV44" s="193">
        <f t="shared" si="3"/>
        <v>230400</v>
      </c>
    </row>
    <row r="45" spans="2:74" ht="15" thickBot="1" x14ac:dyDescent="0.4">
      <c r="B45" s="266"/>
      <c r="C45" s="309"/>
      <c r="D45" s="309"/>
      <c r="E45" s="309"/>
      <c r="F45" s="309"/>
      <c r="G45" s="309"/>
      <c r="H45" s="267"/>
      <c r="L45" s="39"/>
      <c r="R45" s="228"/>
      <c r="S45" s="58" t="s">
        <v>345</v>
      </c>
      <c r="T45" s="93">
        <f>SUM(T43:T44)</f>
        <v>-5093</v>
      </c>
      <c r="U45" s="36">
        <f t="shared" ref="U45:BP45" si="9">SUM(U43:U44)</f>
        <v>-38001</v>
      </c>
      <c r="V45" s="36">
        <f t="shared" si="9"/>
        <v>-38001</v>
      </c>
      <c r="W45" s="36">
        <f t="shared" si="9"/>
        <v>-41108</v>
      </c>
      <c r="X45" s="36">
        <f t="shared" si="9"/>
        <v>-41108</v>
      </c>
      <c r="Y45" s="36">
        <f t="shared" si="9"/>
        <v>-63455</v>
      </c>
      <c r="Z45" s="36">
        <f t="shared" si="9"/>
        <v>-147007.80623946874</v>
      </c>
      <c r="AA45" s="36">
        <f t="shared" si="9"/>
        <v>-147881.35009268747</v>
      </c>
      <c r="AB45" s="36">
        <f t="shared" ca="1" si="9"/>
        <v>-108243.33314590625</v>
      </c>
      <c r="AC45" s="36">
        <f t="shared" ca="1" si="9"/>
        <v>-8623.4935772500048</v>
      </c>
      <c r="AD45" s="36">
        <f t="shared" ca="1" si="9"/>
        <v>-4976.0288304687638</v>
      </c>
      <c r="AE45" s="94">
        <f t="shared" ca="1" si="9"/>
        <v>-19168.6793836875</v>
      </c>
      <c r="AF45" s="93">
        <f t="shared" ca="1" si="9"/>
        <v>1977.4628130937399</v>
      </c>
      <c r="AG45" s="36">
        <f t="shared" ca="1" si="9"/>
        <v>16069.573009874992</v>
      </c>
      <c r="AH45" s="36">
        <f t="shared" ca="1" si="9"/>
        <v>25192.003206656234</v>
      </c>
      <c r="AI45" s="36">
        <f t="shared" ca="1" si="9"/>
        <v>34482.044903437491</v>
      </c>
      <c r="AJ45" s="36">
        <f t="shared" ca="1" si="9"/>
        <v>42189.975150218743</v>
      </c>
      <c r="AK45" s="36">
        <f t="shared" ca="1" si="9"/>
        <v>29276.809096999965</v>
      </c>
      <c r="AL45" s="36">
        <f t="shared" ca="1" si="9"/>
        <v>62959.827693781255</v>
      </c>
      <c r="AM45" s="36">
        <f t="shared" ca="1" si="9"/>
        <v>74886.407790562502</v>
      </c>
      <c r="AN45" s="36">
        <f t="shared" ca="1" si="9"/>
        <v>53729.516008593724</v>
      </c>
      <c r="AO45" s="36">
        <f t="shared" ca="1" si="9"/>
        <v>104720.793184125</v>
      </c>
      <c r="AP45" s="36">
        <f t="shared" ca="1" si="9"/>
        <v>115920.09113090622</v>
      </c>
      <c r="AQ45" s="94">
        <f t="shared" ca="1" si="9"/>
        <v>105410.84687768744</v>
      </c>
      <c r="AR45" s="93">
        <f t="shared" ca="1" si="9"/>
        <v>133774.30742446872</v>
      </c>
      <c r="AS45" s="36">
        <f t="shared" ca="1" si="9"/>
        <v>153395.62137124996</v>
      </c>
      <c r="AT45" s="36">
        <f t="shared" ca="1" si="9"/>
        <v>167348.11671803123</v>
      </c>
      <c r="AU45" s="36">
        <f t="shared" ca="1" si="9"/>
        <v>181334.60536481248</v>
      </c>
      <c r="AV45" s="36">
        <f t="shared" ca="1" si="9"/>
        <v>196711.66821159379</v>
      </c>
      <c r="AW45" s="36">
        <f t="shared" ca="1" si="9"/>
        <v>187345.68095837493</v>
      </c>
      <c r="AX45" s="36">
        <f t="shared" ca="1" si="9"/>
        <v>226816.76235515624</v>
      </c>
      <c r="AY45" s="36">
        <f t="shared" ca="1" si="9"/>
        <v>243418.58665193745</v>
      </c>
      <c r="AZ45" s="36">
        <f t="shared" ca="1" si="9"/>
        <v>229382.64286996872</v>
      </c>
      <c r="BA45" s="36">
        <f t="shared" ca="1" si="9"/>
        <v>281927.18314549996</v>
      </c>
      <c r="BB45" s="36">
        <f t="shared" ca="1" si="9"/>
        <v>297828.75249228126</v>
      </c>
      <c r="BC45" s="94">
        <f t="shared" ca="1" si="9"/>
        <v>290688.38483906246</v>
      </c>
      <c r="BD45" s="93">
        <f t="shared" ca="1" si="9"/>
        <v>324538.67758584372</v>
      </c>
      <c r="BE45" s="36">
        <f t="shared" ca="1" si="9"/>
        <v>348646.22303262498</v>
      </c>
      <c r="BF45" s="36">
        <f t="shared" ca="1" si="9"/>
        <v>366874.43122940627</v>
      </c>
      <c r="BG45" s="36">
        <f t="shared" ca="1" si="9"/>
        <v>384955.19362618745</v>
      </c>
      <c r="BH45" s="36">
        <f t="shared" ca="1" si="9"/>
        <v>391472.68582296872</v>
      </c>
      <c r="BI45" s="36">
        <f t="shared" ca="1" si="9"/>
        <v>376974.69941975002</v>
      </c>
      <c r="BJ45" s="36">
        <f t="shared" ca="1" si="9"/>
        <v>413240.60031653114</v>
      </c>
      <c r="BK45" s="36">
        <f t="shared" ca="1" si="9"/>
        <v>423998.03121331253</v>
      </c>
      <c r="BL45" s="36">
        <f t="shared" ca="1" si="9"/>
        <v>408310.76943134377</v>
      </c>
      <c r="BM45" s="36">
        <f t="shared" ca="1" si="9"/>
        <v>453358.71630687499</v>
      </c>
      <c r="BN45" s="36">
        <f t="shared" ca="1" si="9"/>
        <v>463403.80535365624</v>
      </c>
      <c r="BO45" s="36">
        <f t="shared" ca="1" si="9"/>
        <v>450771.15400043747</v>
      </c>
      <c r="BP45" s="99">
        <f t="shared" ca="1" si="9"/>
        <v>483365.04679721873</v>
      </c>
      <c r="BR45" s="58" t="s">
        <v>345</v>
      </c>
      <c r="BS45" s="55"/>
      <c r="BU45" s="190" t="s">
        <v>363</v>
      </c>
      <c r="BV45" s="193">
        <f t="shared" ca="1" si="3"/>
        <v>1730224.3950000003</v>
      </c>
    </row>
    <row r="46" spans="2:74" ht="15" thickBot="1" x14ac:dyDescent="0.4">
      <c r="B46" s="266"/>
      <c r="C46" s="237"/>
      <c r="D46" s="237"/>
      <c r="E46" s="237"/>
      <c r="F46" s="237"/>
      <c r="G46" s="237"/>
      <c r="H46" s="267"/>
      <c r="R46" s="228"/>
      <c r="S46" s="68" t="s">
        <v>114</v>
      </c>
      <c r="T46" s="93">
        <f t="shared" ref="T46:AY46" ca="1" si="10">T20</f>
        <v>0</v>
      </c>
      <c r="U46" s="93">
        <f t="shared" ca="1" si="10"/>
        <v>0</v>
      </c>
      <c r="V46" s="93">
        <f t="shared" ca="1" si="10"/>
        <v>0</v>
      </c>
      <c r="W46" s="93">
        <f t="shared" ca="1" si="10"/>
        <v>0</v>
      </c>
      <c r="X46" s="93">
        <f t="shared" ca="1" si="10"/>
        <v>0</v>
      </c>
      <c r="Y46" s="93">
        <f t="shared" ca="1" si="10"/>
        <v>-2273.5263600460207</v>
      </c>
      <c r="Z46" s="93">
        <f t="shared" ca="1" si="10"/>
        <v>-2273.5263600460207</v>
      </c>
      <c r="AA46" s="93">
        <f t="shared" ca="1" si="10"/>
        <v>-2273.5263600460207</v>
      </c>
      <c r="AB46" s="93">
        <f t="shared" ca="1" si="10"/>
        <v>-2273.5263600460207</v>
      </c>
      <c r="AC46" s="93">
        <f t="shared" ca="1" si="10"/>
        <v>-2273.5263600460207</v>
      </c>
      <c r="AD46" s="93">
        <f t="shared" ca="1" si="10"/>
        <v>-2273.5263600460207</v>
      </c>
      <c r="AE46" s="93">
        <f t="shared" ca="1" si="10"/>
        <v>-2273.5263600460207</v>
      </c>
      <c r="AF46" s="93">
        <f t="shared" ca="1" si="10"/>
        <v>-2273.5263600460207</v>
      </c>
      <c r="AG46" s="93">
        <f t="shared" ca="1" si="10"/>
        <v>-2273.5263600460207</v>
      </c>
      <c r="AH46" s="93">
        <f t="shared" ca="1" si="10"/>
        <v>-2273.5263600460207</v>
      </c>
      <c r="AI46" s="93">
        <f t="shared" ca="1" si="10"/>
        <v>-2273.5263600460207</v>
      </c>
      <c r="AJ46" s="93">
        <f t="shared" ca="1" si="10"/>
        <v>-2273.5263600460207</v>
      </c>
      <c r="AK46" s="93">
        <f t="shared" ca="1" si="10"/>
        <v>-2273.5263600460207</v>
      </c>
      <c r="AL46" s="93">
        <f t="shared" ca="1" si="10"/>
        <v>-2273.5263600460207</v>
      </c>
      <c r="AM46" s="93">
        <f t="shared" ca="1" si="10"/>
        <v>-2273.5263600460207</v>
      </c>
      <c r="AN46" s="93">
        <f t="shared" ca="1" si="10"/>
        <v>-2273.5263600460207</v>
      </c>
      <c r="AO46" s="93">
        <f t="shared" ca="1" si="10"/>
        <v>-2273.5263600460207</v>
      </c>
      <c r="AP46" s="93">
        <f t="shared" ca="1" si="10"/>
        <v>-2273.5263600460207</v>
      </c>
      <c r="AQ46" s="93">
        <f t="shared" ca="1" si="10"/>
        <v>-2273.5263600460207</v>
      </c>
      <c r="AR46" s="93">
        <f t="shared" ca="1" si="10"/>
        <v>-2273.5263600460207</v>
      </c>
      <c r="AS46" s="93">
        <f t="shared" ca="1" si="10"/>
        <v>-2273.5263600460207</v>
      </c>
      <c r="AT46" s="93">
        <f t="shared" ca="1" si="10"/>
        <v>-2273.5263600460207</v>
      </c>
      <c r="AU46" s="93">
        <f t="shared" ca="1" si="10"/>
        <v>-2273.5263600460207</v>
      </c>
      <c r="AV46" s="93">
        <f t="shared" ca="1" si="10"/>
        <v>-2273.5263600460207</v>
      </c>
      <c r="AW46" s="93">
        <f t="shared" ca="1" si="10"/>
        <v>-2273.5263600460207</v>
      </c>
      <c r="AX46" s="93">
        <f t="shared" ca="1" si="10"/>
        <v>-2273.5263600460207</v>
      </c>
      <c r="AY46" s="93">
        <f t="shared" ca="1" si="10"/>
        <v>-2273.5263600460207</v>
      </c>
      <c r="AZ46" s="93">
        <f t="shared" ref="AZ46:BP46" ca="1" si="11">AZ20</f>
        <v>-2273.5263600460207</v>
      </c>
      <c r="BA46" s="93">
        <f t="shared" ca="1" si="11"/>
        <v>-2273.5263600460207</v>
      </c>
      <c r="BB46" s="93">
        <f t="shared" ca="1" si="11"/>
        <v>-2273.5263600460207</v>
      </c>
      <c r="BC46" s="93">
        <f t="shared" ca="1" si="11"/>
        <v>-2273.5263600460207</v>
      </c>
      <c r="BD46" s="93">
        <f t="shared" ca="1" si="11"/>
        <v>-2273.5263600460207</v>
      </c>
      <c r="BE46" s="93">
        <f t="shared" ca="1" si="11"/>
        <v>-2273.5263600460207</v>
      </c>
      <c r="BF46" s="93">
        <f t="shared" ca="1" si="11"/>
        <v>-2273.5263600460207</v>
      </c>
      <c r="BG46" s="93">
        <f t="shared" ca="1" si="11"/>
        <v>-2273.5263600460207</v>
      </c>
      <c r="BH46" s="93">
        <f t="shared" ca="1" si="11"/>
        <v>-2273.5263600460207</v>
      </c>
      <c r="BI46" s="93">
        <f t="shared" ca="1" si="11"/>
        <v>-2273.5263600460207</v>
      </c>
      <c r="BJ46" s="93">
        <f t="shared" ca="1" si="11"/>
        <v>-2273.5263600460207</v>
      </c>
      <c r="BK46" s="93">
        <f t="shared" ca="1" si="11"/>
        <v>-2273.5263600460207</v>
      </c>
      <c r="BL46" s="93">
        <f t="shared" ca="1" si="11"/>
        <v>-2273.5263600460207</v>
      </c>
      <c r="BM46" s="93">
        <f t="shared" ca="1" si="11"/>
        <v>-2273.5263600460207</v>
      </c>
      <c r="BN46" s="93">
        <f t="shared" ca="1" si="11"/>
        <v>-2273.5263600460207</v>
      </c>
      <c r="BO46" s="93">
        <f t="shared" ca="1" si="11"/>
        <v>-2273.5263600460207</v>
      </c>
      <c r="BP46" s="99">
        <f t="shared" ca="1" si="11"/>
        <v>-2273.5263600460207</v>
      </c>
      <c r="BR46" s="68" t="s">
        <v>114</v>
      </c>
      <c r="BS46" s="55">
        <f ca="1">SUM(Tabla712[[#This Row],[Month 1 ]:[Month 49]])</f>
        <v>-100035.15984202489</v>
      </c>
      <c r="BU46" s="190" t="s">
        <v>344</v>
      </c>
      <c r="BV46" s="193">
        <f>-BS44</f>
        <v>20800</v>
      </c>
    </row>
    <row r="47" spans="2:74" ht="16" thickBot="1" x14ac:dyDescent="0.4">
      <c r="B47" s="266"/>
      <c r="C47" s="108" t="s">
        <v>367</v>
      </c>
      <c r="D47" s="109"/>
      <c r="E47" s="113">
        <f>G43</f>
        <v>5064022.3374999994</v>
      </c>
      <c r="F47" s="108" t="s">
        <v>366</v>
      </c>
      <c r="G47" s="109"/>
      <c r="H47" s="267"/>
      <c r="R47" s="228"/>
      <c r="S47" s="58" t="s">
        <v>346</v>
      </c>
      <c r="T47" s="93">
        <f ca="1">SUM(T45:T46)</f>
        <v>-5093</v>
      </c>
      <c r="U47" s="36">
        <f t="shared" ref="U47:BP47" ca="1" si="12">SUM(U45:U46)</f>
        <v>-38001</v>
      </c>
      <c r="V47" s="36">
        <f t="shared" ca="1" si="12"/>
        <v>-38001</v>
      </c>
      <c r="W47" s="36">
        <f t="shared" ca="1" si="12"/>
        <v>-41108</v>
      </c>
      <c r="X47" s="36">
        <f t="shared" ca="1" si="12"/>
        <v>-41108</v>
      </c>
      <c r="Y47" s="36">
        <f t="shared" ca="1" si="12"/>
        <v>-65728.526360046017</v>
      </c>
      <c r="Z47" s="36">
        <f t="shared" ca="1" si="12"/>
        <v>-149281.33259951478</v>
      </c>
      <c r="AA47" s="36">
        <f t="shared" ca="1" si="12"/>
        <v>-150154.8764527335</v>
      </c>
      <c r="AB47" s="36">
        <f t="shared" ca="1" si="12"/>
        <v>-110516.85950595226</v>
      </c>
      <c r="AC47" s="36">
        <f t="shared" ca="1" si="12"/>
        <v>-10897.019937296025</v>
      </c>
      <c r="AD47" s="36">
        <f t="shared" ca="1" si="12"/>
        <v>-7249.555190514784</v>
      </c>
      <c r="AE47" s="94">
        <f t="shared" ca="1" si="12"/>
        <v>-21442.205743733521</v>
      </c>
      <c r="AF47" s="93">
        <f t="shared" ca="1" si="12"/>
        <v>-296.06354695228083</v>
      </c>
      <c r="AG47" s="36">
        <f t="shared" ca="1" si="12"/>
        <v>13796.046649828972</v>
      </c>
      <c r="AH47" s="36">
        <f t="shared" ca="1" si="12"/>
        <v>22918.476846610214</v>
      </c>
      <c r="AI47" s="36">
        <f t="shared" ca="1" si="12"/>
        <v>32208.51854339147</v>
      </c>
      <c r="AJ47" s="36">
        <f t="shared" ca="1" si="12"/>
        <v>39916.448790172719</v>
      </c>
      <c r="AK47" s="36">
        <f t="shared" ca="1" si="12"/>
        <v>27003.282736953945</v>
      </c>
      <c r="AL47" s="36">
        <f t="shared" ca="1" si="12"/>
        <v>60686.301333735231</v>
      </c>
      <c r="AM47" s="36">
        <f t="shared" ca="1" si="12"/>
        <v>72612.881430516485</v>
      </c>
      <c r="AN47" s="36">
        <f t="shared" ca="1" si="12"/>
        <v>51455.9896485477</v>
      </c>
      <c r="AO47" s="36">
        <f t="shared" ca="1" si="12"/>
        <v>102447.26682407898</v>
      </c>
      <c r="AP47" s="36">
        <f t="shared" ca="1" si="12"/>
        <v>113646.5647708602</v>
      </c>
      <c r="AQ47" s="94">
        <f t="shared" ca="1" si="12"/>
        <v>103137.32051764142</v>
      </c>
      <c r="AR47" s="93">
        <f t="shared" ca="1" si="12"/>
        <v>131500.78106442268</v>
      </c>
      <c r="AS47" s="36">
        <f t="shared" ca="1" si="12"/>
        <v>151122.09501120393</v>
      </c>
      <c r="AT47" s="36">
        <f t="shared" ca="1" si="12"/>
        <v>165074.5903579852</v>
      </c>
      <c r="AU47" s="36">
        <f t="shared" ca="1" si="12"/>
        <v>179061.07900476645</v>
      </c>
      <c r="AV47" s="36">
        <f t="shared" ca="1" si="12"/>
        <v>194438.14185154776</v>
      </c>
      <c r="AW47" s="36">
        <f t="shared" ca="1" si="12"/>
        <v>185072.1545983289</v>
      </c>
      <c r="AX47" s="36">
        <f t="shared" ca="1" si="12"/>
        <v>224543.23599511021</v>
      </c>
      <c r="AY47" s="36">
        <f t="shared" ca="1" si="12"/>
        <v>241145.06029189142</v>
      </c>
      <c r="AZ47" s="36">
        <f t="shared" ca="1" si="12"/>
        <v>227109.11650992269</v>
      </c>
      <c r="BA47" s="36">
        <f t="shared" ca="1" si="12"/>
        <v>279653.65678545396</v>
      </c>
      <c r="BB47" s="36">
        <f t="shared" ca="1" si="12"/>
        <v>295555.22613223526</v>
      </c>
      <c r="BC47" s="94">
        <f t="shared" ca="1" si="12"/>
        <v>288414.85847901646</v>
      </c>
      <c r="BD47" s="93">
        <f t="shared" ca="1" si="12"/>
        <v>322265.15122579772</v>
      </c>
      <c r="BE47" s="36">
        <f t="shared" ca="1" si="12"/>
        <v>346372.69667257898</v>
      </c>
      <c r="BF47" s="36">
        <f t="shared" ca="1" si="12"/>
        <v>364600.90486936027</v>
      </c>
      <c r="BG47" s="36">
        <f t="shared" ca="1" si="12"/>
        <v>382681.66726614145</v>
      </c>
      <c r="BH47" s="36">
        <f t="shared" ca="1" si="12"/>
        <v>389199.15946292272</v>
      </c>
      <c r="BI47" s="36">
        <f t="shared" ca="1" si="12"/>
        <v>374701.17305970402</v>
      </c>
      <c r="BJ47" s="36">
        <f t="shared" ca="1" si="12"/>
        <v>410967.07395648514</v>
      </c>
      <c r="BK47" s="36">
        <f t="shared" ca="1" si="12"/>
        <v>421724.50485326652</v>
      </c>
      <c r="BL47" s="36">
        <f t="shared" ca="1" si="12"/>
        <v>406037.24307129777</v>
      </c>
      <c r="BM47" s="36">
        <f t="shared" ca="1" si="12"/>
        <v>451085.18994682899</v>
      </c>
      <c r="BN47" s="36">
        <f t="shared" ca="1" si="12"/>
        <v>461130.27899361023</v>
      </c>
      <c r="BO47" s="36">
        <f t="shared" ca="1" si="12"/>
        <v>448497.62764039147</v>
      </c>
      <c r="BP47" s="99">
        <f t="shared" ca="1" si="12"/>
        <v>481091.52043717273</v>
      </c>
      <c r="BR47" s="58" t="s">
        <v>346</v>
      </c>
      <c r="BS47" s="55"/>
      <c r="BU47" s="190" t="s">
        <v>114</v>
      </c>
      <c r="BV47" s="193">
        <f ca="1">-BS46</f>
        <v>100035.15984202489</v>
      </c>
    </row>
    <row r="48" spans="2:74" ht="15" thickBot="1" x14ac:dyDescent="0.4">
      <c r="B48" s="266"/>
      <c r="C48" s="132" t="s">
        <v>368</v>
      </c>
      <c r="D48" s="130" t="s">
        <v>141</v>
      </c>
      <c r="E48" s="131" t="s">
        <v>142</v>
      </c>
      <c r="F48" s="104" t="s">
        <v>311</v>
      </c>
      <c r="G48" s="140">
        <v>0.01</v>
      </c>
      <c r="H48" s="267"/>
      <c r="R48" s="228"/>
      <c r="S48" s="68" t="s">
        <v>113</v>
      </c>
      <c r="T48" s="93">
        <v>0</v>
      </c>
      <c r="U48" s="93">
        <v>0</v>
      </c>
      <c r="V48" s="93">
        <v>0</v>
      </c>
      <c r="W48" s="93">
        <v>0</v>
      </c>
      <c r="X48" s="93">
        <v>0</v>
      </c>
      <c r="Y48" s="93">
        <v>0</v>
      </c>
      <c r="Z48" s="93">
        <v>0</v>
      </c>
      <c r="AA48" s="93">
        <v>0</v>
      </c>
      <c r="AB48" s="93">
        <v>0</v>
      </c>
      <c r="AC48" s="93">
        <v>0</v>
      </c>
      <c r="AD48" s="93">
        <v>0</v>
      </c>
      <c r="AE48" s="93">
        <v>0</v>
      </c>
      <c r="AF48" s="93">
        <f ca="1">IF(SUM(T47:AE47)&gt;0,-0.15*SUM(T47:AE47),0)</f>
        <v>0</v>
      </c>
      <c r="AG48" s="36">
        <v>0</v>
      </c>
      <c r="AH48" s="36">
        <v>0</v>
      </c>
      <c r="AI48" s="36">
        <v>0</v>
      </c>
      <c r="AJ48" s="36">
        <v>0</v>
      </c>
      <c r="AK48" s="36">
        <v>0</v>
      </c>
      <c r="AL48" s="36">
        <v>0</v>
      </c>
      <c r="AM48" s="36">
        <v>0</v>
      </c>
      <c r="AN48" s="36">
        <v>0</v>
      </c>
      <c r="AO48" s="36">
        <v>0</v>
      </c>
      <c r="AP48" s="36">
        <v>0</v>
      </c>
      <c r="AQ48" s="36">
        <v>0</v>
      </c>
      <c r="AR48" s="93">
        <f ca="1">IF(SUM(AF47:AQ47)&gt;0,-0.15*SUM(AF47:AQ47),0)</f>
        <v>-95929.95518180776</v>
      </c>
      <c r="AS48" s="36">
        <v>0</v>
      </c>
      <c r="AT48" s="36">
        <v>0</v>
      </c>
      <c r="AU48" s="36">
        <v>0</v>
      </c>
      <c r="AV48" s="36">
        <v>0</v>
      </c>
      <c r="AW48" s="36">
        <v>0</v>
      </c>
      <c r="AX48" s="36">
        <v>0</v>
      </c>
      <c r="AY48" s="36">
        <v>0</v>
      </c>
      <c r="AZ48" s="36">
        <v>0</v>
      </c>
      <c r="BA48" s="36">
        <v>0</v>
      </c>
      <c r="BB48" s="36">
        <v>0</v>
      </c>
      <c r="BC48" s="36">
        <v>0</v>
      </c>
      <c r="BD48" s="93">
        <f ca="1">IF(SUM(AR47:BC47)&gt;0,-0.25*SUM(AR47:BC47),0)</f>
        <v>-640672.49902047124</v>
      </c>
      <c r="BE48" s="36">
        <v>0</v>
      </c>
      <c r="BF48" s="36">
        <v>0</v>
      </c>
      <c r="BG48" s="36">
        <v>0</v>
      </c>
      <c r="BH48" s="36">
        <v>0</v>
      </c>
      <c r="BI48" s="36">
        <v>0</v>
      </c>
      <c r="BJ48" s="36">
        <v>0</v>
      </c>
      <c r="BK48" s="36">
        <v>0</v>
      </c>
      <c r="BL48" s="36">
        <v>0</v>
      </c>
      <c r="BM48" s="36">
        <v>0</v>
      </c>
      <c r="BN48" s="36">
        <v>0</v>
      </c>
      <c r="BO48" s="36">
        <v>0</v>
      </c>
      <c r="BP48" s="99">
        <f ca="1">IF(SUM(BD47:BO47)&gt;0,-0.25*SUM(BD47:BO47),0)</f>
        <v>-1194815.6677545963</v>
      </c>
      <c r="BR48" s="68" t="s">
        <v>113</v>
      </c>
      <c r="BS48" s="56">
        <f ca="1">SUM(Tabla712[[#This Row],[Month 1 ]:[Month 49]])</f>
        <v>-1931418.1219568753</v>
      </c>
      <c r="BU48" s="191" t="s">
        <v>113</v>
      </c>
      <c r="BV48" s="194">
        <f ca="1">-BS48</f>
        <v>1931418.1219568753</v>
      </c>
    </row>
    <row r="49" spans="2:71" ht="15" thickBot="1" x14ac:dyDescent="0.4">
      <c r="B49" s="266"/>
      <c r="C49" s="132" t="s">
        <v>145</v>
      </c>
      <c r="D49" s="130" t="s">
        <v>143</v>
      </c>
      <c r="E49" s="131" t="s">
        <v>144</v>
      </c>
      <c r="F49" s="105" t="s">
        <v>313</v>
      </c>
      <c r="G49" s="141">
        <v>5.0000000000000001E-3</v>
      </c>
      <c r="H49" s="267"/>
      <c r="R49" s="228"/>
      <c r="S49" s="76" t="s">
        <v>364</v>
      </c>
      <c r="T49" s="92">
        <f ca="1">SUM(T47:T48)</f>
        <v>-5093</v>
      </c>
      <c r="U49" s="29">
        <f t="shared" ref="U49:BP49" ca="1" si="13">SUM(U47:U48)</f>
        <v>-38001</v>
      </c>
      <c r="V49" s="29">
        <f t="shared" ca="1" si="13"/>
        <v>-38001</v>
      </c>
      <c r="W49" s="29">
        <f t="shared" ca="1" si="13"/>
        <v>-41108</v>
      </c>
      <c r="X49" s="29">
        <f t="shared" ca="1" si="13"/>
        <v>-41108</v>
      </c>
      <c r="Y49" s="29">
        <f t="shared" ca="1" si="13"/>
        <v>-65728.526360046017</v>
      </c>
      <c r="Z49" s="29">
        <f t="shared" ca="1" si="13"/>
        <v>-149281.33259951478</v>
      </c>
      <c r="AA49" s="29">
        <f t="shared" ca="1" si="13"/>
        <v>-150154.8764527335</v>
      </c>
      <c r="AB49" s="29">
        <f t="shared" ca="1" si="13"/>
        <v>-110516.85950595226</v>
      </c>
      <c r="AC49" s="29">
        <f t="shared" ca="1" si="13"/>
        <v>-10897.019937296025</v>
      </c>
      <c r="AD49" s="29">
        <f t="shared" ca="1" si="13"/>
        <v>-7249.555190514784</v>
      </c>
      <c r="AE49" s="30">
        <f t="shared" ca="1" si="13"/>
        <v>-21442.205743733521</v>
      </c>
      <c r="AF49" s="92">
        <f t="shared" ca="1" si="13"/>
        <v>-296.06354695228083</v>
      </c>
      <c r="AG49" s="29">
        <f t="shared" ca="1" si="13"/>
        <v>13796.046649828972</v>
      </c>
      <c r="AH49" s="29">
        <f t="shared" ca="1" si="13"/>
        <v>22918.476846610214</v>
      </c>
      <c r="AI49" s="29">
        <f t="shared" ca="1" si="13"/>
        <v>32208.51854339147</v>
      </c>
      <c r="AJ49" s="29">
        <f t="shared" ca="1" si="13"/>
        <v>39916.448790172719</v>
      </c>
      <c r="AK49" s="29">
        <f t="shared" ca="1" si="13"/>
        <v>27003.282736953945</v>
      </c>
      <c r="AL49" s="29">
        <f t="shared" ca="1" si="13"/>
        <v>60686.301333735231</v>
      </c>
      <c r="AM49" s="29">
        <f t="shared" ca="1" si="13"/>
        <v>72612.881430516485</v>
      </c>
      <c r="AN49" s="29">
        <f t="shared" ca="1" si="13"/>
        <v>51455.9896485477</v>
      </c>
      <c r="AO49" s="29">
        <f t="shared" ca="1" si="13"/>
        <v>102447.26682407898</v>
      </c>
      <c r="AP49" s="29">
        <f t="shared" ca="1" si="13"/>
        <v>113646.5647708602</v>
      </c>
      <c r="AQ49" s="30">
        <f t="shared" ca="1" si="13"/>
        <v>103137.32051764142</v>
      </c>
      <c r="AR49" s="92">
        <f t="shared" ca="1" si="13"/>
        <v>35570.825882614925</v>
      </c>
      <c r="AS49" s="29">
        <f t="shared" ca="1" si="13"/>
        <v>151122.09501120393</v>
      </c>
      <c r="AT49" s="29">
        <f t="shared" ca="1" si="13"/>
        <v>165074.5903579852</v>
      </c>
      <c r="AU49" s="29">
        <f t="shared" ca="1" si="13"/>
        <v>179061.07900476645</v>
      </c>
      <c r="AV49" s="29">
        <f t="shared" ca="1" si="13"/>
        <v>194438.14185154776</v>
      </c>
      <c r="AW49" s="29">
        <f t="shared" ca="1" si="13"/>
        <v>185072.1545983289</v>
      </c>
      <c r="AX49" s="29">
        <f t="shared" ca="1" si="13"/>
        <v>224543.23599511021</v>
      </c>
      <c r="AY49" s="29">
        <f t="shared" ca="1" si="13"/>
        <v>241145.06029189142</v>
      </c>
      <c r="AZ49" s="29">
        <f t="shared" ca="1" si="13"/>
        <v>227109.11650992269</v>
      </c>
      <c r="BA49" s="29">
        <f t="shared" ca="1" si="13"/>
        <v>279653.65678545396</v>
      </c>
      <c r="BB49" s="29">
        <f t="shared" ca="1" si="13"/>
        <v>295555.22613223526</v>
      </c>
      <c r="BC49" s="30">
        <f t="shared" ca="1" si="13"/>
        <v>288414.85847901646</v>
      </c>
      <c r="BD49" s="92">
        <f t="shared" ca="1" si="13"/>
        <v>-318407.34779467352</v>
      </c>
      <c r="BE49" s="29">
        <f t="shared" ca="1" si="13"/>
        <v>346372.69667257898</v>
      </c>
      <c r="BF49" s="29">
        <f t="shared" ca="1" si="13"/>
        <v>364600.90486936027</v>
      </c>
      <c r="BG49" s="29">
        <f t="shared" ca="1" si="13"/>
        <v>382681.66726614145</v>
      </c>
      <c r="BH49" s="29">
        <f t="shared" ca="1" si="13"/>
        <v>389199.15946292272</v>
      </c>
      <c r="BI49" s="29">
        <f t="shared" ca="1" si="13"/>
        <v>374701.17305970402</v>
      </c>
      <c r="BJ49" s="29">
        <f t="shared" ca="1" si="13"/>
        <v>410967.07395648514</v>
      </c>
      <c r="BK49" s="29">
        <f t="shared" ca="1" si="13"/>
        <v>421724.50485326652</v>
      </c>
      <c r="BL49" s="29">
        <f t="shared" ca="1" si="13"/>
        <v>406037.24307129777</v>
      </c>
      <c r="BM49" s="29">
        <f t="shared" ca="1" si="13"/>
        <v>451085.18994682899</v>
      </c>
      <c r="BN49" s="29">
        <f t="shared" ca="1" si="13"/>
        <v>461130.27899361023</v>
      </c>
      <c r="BO49" s="29">
        <f t="shared" ca="1" si="13"/>
        <v>448497.62764039147</v>
      </c>
      <c r="BP49" s="98">
        <f t="shared" ca="1" si="13"/>
        <v>-713724.1473174236</v>
      </c>
      <c r="BR49" s="67" t="s">
        <v>347</v>
      </c>
      <c r="BS49" s="59">
        <f ca="1">SUM(BS33:BS48)</f>
        <v>5852577.7243361585</v>
      </c>
    </row>
    <row r="50" spans="2:71" ht="15" thickBot="1" x14ac:dyDescent="0.4">
      <c r="B50" s="266"/>
      <c r="C50" s="104" t="s">
        <v>148</v>
      </c>
      <c r="D50" s="155">
        <v>0.7</v>
      </c>
      <c r="E50" s="129">
        <v>0.45</v>
      </c>
      <c r="F50" s="105" t="s">
        <v>314</v>
      </c>
      <c r="G50" s="141">
        <v>0.5</v>
      </c>
      <c r="H50" s="267"/>
      <c r="R50" s="229"/>
      <c r="S50" s="89" t="s">
        <v>348</v>
      </c>
      <c r="T50" s="95">
        <f ca="1">T49</f>
        <v>-5093</v>
      </c>
      <c r="U50" s="35">
        <f ca="1">Tabla712[[#This Row],[Month 1 ]]+U49</f>
        <v>-43094</v>
      </c>
      <c r="V50" s="35">
        <f ca="1">Tabla712[[#This Row],[Month 2]]+V49</f>
        <v>-81095</v>
      </c>
      <c r="W50" s="35">
        <f ca="1">Tabla712[[#This Row],[Month 3]]+W49</f>
        <v>-122203</v>
      </c>
      <c r="X50" s="35">
        <f ca="1">Tabla712[[#This Row],[Month 4]]+X49</f>
        <v>-163311</v>
      </c>
      <c r="Y50" s="35">
        <f ca="1">Tabla712[[#This Row],[Month 5]]+Y49</f>
        <v>-229039.526360046</v>
      </c>
      <c r="Z50" s="35">
        <f ca="1">Tabla712[[#This Row],[Month 6]]+Z49</f>
        <v>-378320.85895956075</v>
      </c>
      <c r="AA50" s="35">
        <f ca="1">Tabla712[[#This Row],[Month 7]]+AA49</f>
        <v>-528475.73541229428</v>
      </c>
      <c r="AB50" s="35">
        <f ca="1">Tabla712[[#This Row],[Month 8]]+AB49</f>
        <v>-638992.5949182465</v>
      </c>
      <c r="AC50" s="35">
        <f ca="1">Tabla712[[#This Row],[Month 9]]+AC49</f>
        <v>-649889.61485554255</v>
      </c>
      <c r="AD50" s="35">
        <f ca="1">Tabla712[[#This Row],[Month 10]]+AD49</f>
        <v>-657139.17004605732</v>
      </c>
      <c r="AE50" s="96">
        <f ca="1">Tabla712[[#This Row],[Month 11]]+AE49</f>
        <v>-678581.37578979088</v>
      </c>
      <c r="AF50" s="95">
        <f ca="1">Tabla712[[#This Row],[Month 12]]+AF49</f>
        <v>-678877.43933674321</v>
      </c>
      <c r="AG50" s="35">
        <f ca="1">Tabla712[[#This Row],[Month 13]]+AG49</f>
        <v>-665081.39268691419</v>
      </c>
      <c r="AH50" s="35">
        <f ca="1">Tabla712[[#This Row],[Month 14]]+AH49</f>
        <v>-642162.91584030399</v>
      </c>
      <c r="AI50" s="35">
        <f ca="1">Tabla712[[#This Row],[Month 15]]+AI49</f>
        <v>-609954.3972969125</v>
      </c>
      <c r="AJ50" s="35">
        <f ca="1">Tabla712[[#This Row],[Month 16]]+AJ49</f>
        <v>-570037.94850673981</v>
      </c>
      <c r="AK50" s="35">
        <f ca="1">Tabla712[[#This Row],[Month 17]]+AK49</f>
        <v>-543034.66576978588</v>
      </c>
      <c r="AL50" s="35">
        <f ca="1">Tabla712[[#This Row],[Month 18]]+AL49</f>
        <v>-482348.36443605064</v>
      </c>
      <c r="AM50" s="35">
        <f ca="1">Tabla712[[#This Row],[Month 19]]+AM49</f>
        <v>-409735.48300553416</v>
      </c>
      <c r="AN50" s="35">
        <f ca="1">Tabla712[[#This Row],[Month 20]]+AN49</f>
        <v>-358279.49335698644</v>
      </c>
      <c r="AO50" s="35">
        <f ca="1">Tabla712[[#This Row],[Month 21]]+AO49</f>
        <v>-255832.22653290746</v>
      </c>
      <c r="AP50" s="35">
        <f ca="1">Tabla712[[#This Row],[Month 22]]+AP49</f>
        <v>-142185.66176204727</v>
      </c>
      <c r="AQ50" s="96">
        <f ca="1">Tabla712[[#This Row],[Month 23]]+AQ49</f>
        <v>-39048.341244405849</v>
      </c>
      <c r="AR50" s="95">
        <f ca="1">Tabla712[[#This Row],[Month 24]]+AR49</f>
        <v>-3477.5153617909236</v>
      </c>
      <c r="AS50" s="35">
        <f ca="1">Tabla712[[#This Row],[Month 25]]+AS49</f>
        <v>147644.579649413</v>
      </c>
      <c r="AT50" s="35">
        <f ca="1">Tabla712[[#This Row],[Month 26]]+AT49</f>
        <v>312719.17000739824</v>
      </c>
      <c r="AU50" s="35">
        <f ca="1">Tabla712[[#This Row],[Month 27]]+AU49</f>
        <v>491780.24901216466</v>
      </c>
      <c r="AV50" s="35">
        <f ca="1">Tabla712[[#This Row],[Month 28]]+AV49</f>
        <v>686218.39086371241</v>
      </c>
      <c r="AW50" s="35">
        <f ca="1">Tabla712[[#This Row],[Month 29]]+AW49</f>
        <v>871290.54546204128</v>
      </c>
      <c r="AX50" s="35">
        <f ca="1">Tabla712[[#This Row],[Month 30]]+AX49</f>
        <v>1095833.7814571515</v>
      </c>
      <c r="AY50" s="35">
        <f ca="1">Tabla712[[#This Row],[Month 31]]+AY49</f>
        <v>1336978.841749043</v>
      </c>
      <c r="AZ50" s="35">
        <f ca="1">Tabla712[[#This Row],[Month 32]]+AZ49</f>
        <v>1564087.9582589658</v>
      </c>
      <c r="BA50" s="35">
        <f ca="1">Tabla712[[#This Row],[Month 33]]+BA49</f>
        <v>1843741.6150444197</v>
      </c>
      <c r="BB50" s="35">
        <f ca="1">Tabla712[[#This Row],[Month 34]]+BB49</f>
        <v>2139296.8411766551</v>
      </c>
      <c r="BC50" s="96">
        <f ca="1">Tabla712[[#This Row],[Month 35]]+BC49</f>
        <v>2427711.6996556716</v>
      </c>
      <c r="BD50" s="95">
        <f ca="1">Tabla712[[#This Row],[Month 36]]+BD49</f>
        <v>2109304.3518609982</v>
      </c>
      <c r="BE50" s="35">
        <f ca="1">Tabla712[[#This Row],[Month 37]]+BE49</f>
        <v>2455677.048533577</v>
      </c>
      <c r="BF50" s="35">
        <f ca="1">Tabla712[[#This Row],[Month 38]]+BF49</f>
        <v>2820277.9534029374</v>
      </c>
      <c r="BG50" s="35">
        <f ca="1">Tabla712[[#This Row],[Month 39]]+BG49</f>
        <v>3202959.620669079</v>
      </c>
      <c r="BH50" s="35">
        <f ca="1">Tabla712[[#This Row],[Month 40]]+BH49</f>
        <v>3592158.7801320017</v>
      </c>
      <c r="BI50" s="35">
        <f ca="1">Tabla712[[#This Row],[Month 41]]+BI49</f>
        <v>3966859.953191706</v>
      </c>
      <c r="BJ50" s="35">
        <f ca="1">Tabla712[[#This Row],[Month 42]]+BJ49</f>
        <v>4377827.0271481909</v>
      </c>
      <c r="BK50" s="35">
        <f ca="1">Tabla712[[#This Row],[Month 43]]+BK49</f>
        <v>4799551.5320014572</v>
      </c>
      <c r="BL50" s="35">
        <f ca="1">Tabla712[[#This Row],[Month 44]]+BL49</f>
        <v>5205588.7750727553</v>
      </c>
      <c r="BM50" s="35">
        <f ca="1">Tabla712[[#This Row],[Month 45]]+BM49</f>
        <v>5656673.9650195846</v>
      </c>
      <c r="BN50" s="35">
        <f ca="1">Tabla712[[#This Row],[Month 46]]+BN49</f>
        <v>6117804.2440131949</v>
      </c>
      <c r="BO50" s="35">
        <f ca="1">Tabla712[[#This Row],[Month 47]]+BO49</f>
        <v>6566301.8716535866</v>
      </c>
      <c r="BP50" s="100">
        <f ca="1">Tabla712[[#This Row],[Month 48]]+BP49</f>
        <v>5852577.7243361631</v>
      </c>
    </row>
    <row r="51" spans="2:71" ht="15" thickBot="1" x14ac:dyDescent="0.4">
      <c r="B51" s="266"/>
      <c r="C51" s="105" t="s">
        <v>146</v>
      </c>
      <c r="D51" s="149">
        <f>$E$47*D50</f>
        <v>3544815.6362499995</v>
      </c>
      <c r="E51" s="150">
        <f>$E$47*E50</f>
        <v>2278810.0518749999</v>
      </c>
      <c r="F51" s="106" t="s">
        <v>315</v>
      </c>
      <c r="G51" s="142">
        <v>0.2</v>
      </c>
      <c r="H51" s="267"/>
    </row>
    <row r="52" spans="2:71" ht="15" thickBot="1" x14ac:dyDescent="0.4">
      <c r="B52" s="266"/>
      <c r="C52" s="105" t="s">
        <v>149</v>
      </c>
      <c r="D52" s="155">
        <v>0.1</v>
      </c>
      <c r="E52" s="129">
        <v>0.1</v>
      </c>
      <c r="F52" s="235"/>
      <c r="G52" s="235"/>
      <c r="H52" s="267"/>
    </row>
    <row r="53" spans="2:71" ht="15" thickBot="1" x14ac:dyDescent="0.4">
      <c r="B53" s="266"/>
      <c r="C53" s="106" t="s">
        <v>151</v>
      </c>
      <c r="D53" s="149">
        <f>D52*D51</f>
        <v>354481.56362499995</v>
      </c>
      <c r="E53" s="150">
        <f>E52*E51</f>
        <v>227881.00518750001</v>
      </c>
      <c r="F53" s="309"/>
      <c r="G53" s="309"/>
      <c r="H53" s="267"/>
    </row>
    <row r="54" spans="2:71" ht="15" thickBot="1" x14ac:dyDescent="0.4">
      <c r="B54" s="266"/>
      <c r="C54" s="104" t="s">
        <v>147</v>
      </c>
      <c r="D54" s="137">
        <v>0.03</v>
      </c>
      <c r="E54" s="138">
        <v>0.03</v>
      </c>
      <c r="F54" s="309"/>
      <c r="G54" s="309"/>
      <c r="H54" s="267"/>
    </row>
    <row r="55" spans="2:71" ht="15" thickBot="1" x14ac:dyDescent="0.4">
      <c r="B55" s="266"/>
      <c r="C55" s="105" t="s">
        <v>150</v>
      </c>
      <c r="D55" s="136">
        <f>D54*D53</f>
        <v>10634.446908749998</v>
      </c>
      <c r="E55" s="135">
        <f>E54*E53</f>
        <v>6836.4301556250002</v>
      </c>
      <c r="F55" s="309"/>
      <c r="G55" s="309"/>
      <c r="H55" s="267"/>
    </row>
    <row r="56" spans="2:71" ht="15" thickBot="1" x14ac:dyDescent="0.4">
      <c r="B56" s="266"/>
      <c r="C56" s="128" t="s">
        <v>69</v>
      </c>
      <c r="D56" s="133">
        <f>E55+D55</f>
        <v>17470.877064374999</v>
      </c>
      <c r="E56" s="134"/>
      <c r="F56" s="309"/>
      <c r="G56" s="309"/>
      <c r="H56" s="267"/>
      <c r="R56" s="216" t="s">
        <v>341</v>
      </c>
      <c r="S56" s="226" t="s">
        <v>88</v>
      </c>
      <c r="T56" s="226" t="s">
        <v>91</v>
      </c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  <c r="AF56" s="226" t="s">
        <v>92</v>
      </c>
      <c r="AG56" s="226"/>
      <c r="AH56" s="226"/>
      <c r="AI56" s="226"/>
      <c r="AJ56" s="226"/>
      <c r="AK56" s="226"/>
      <c r="AL56" s="226"/>
      <c r="AM56" s="226"/>
      <c r="AN56" s="226"/>
      <c r="AO56" s="226"/>
      <c r="AP56" s="226"/>
      <c r="AQ56" s="226"/>
      <c r="AR56" s="226" t="s">
        <v>93</v>
      </c>
      <c r="AS56" s="226"/>
      <c r="AT56" s="226"/>
      <c r="AU56" s="226"/>
      <c r="AV56" s="226"/>
      <c r="AW56" s="226"/>
      <c r="AX56" s="226"/>
      <c r="AY56" s="226"/>
      <c r="AZ56" s="226"/>
      <c r="BA56" s="226"/>
      <c r="BB56" s="226"/>
      <c r="BC56" s="226"/>
      <c r="BD56" s="226" t="s">
        <v>94</v>
      </c>
      <c r="BE56" s="226"/>
      <c r="BF56" s="226"/>
      <c r="BG56" s="226"/>
      <c r="BH56" s="226"/>
      <c r="BI56" s="226"/>
      <c r="BJ56" s="226"/>
      <c r="BK56" s="226"/>
      <c r="BL56" s="226"/>
      <c r="BM56" s="226"/>
      <c r="BN56" s="226"/>
      <c r="BO56" s="226"/>
      <c r="BP56" s="34"/>
    </row>
    <row r="57" spans="2:71" ht="15" thickBot="1" x14ac:dyDescent="0.4">
      <c r="B57" s="266"/>
      <c r="C57" s="236"/>
      <c r="D57" s="236"/>
      <c r="E57" s="236"/>
      <c r="F57" s="236"/>
      <c r="G57" s="236"/>
      <c r="H57" s="267"/>
      <c r="R57" s="217"/>
      <c r="S57" s="226"/>
      <c r="T57" s="34" t="s">
        <v>86</v>
      </c>
      <c r="U57" s="226" t="s">
        <v>87</v>
      </c>
      <c r="V57" s="226"/>
      <c r="W57" s="226"/>
      <c r="X57" s="226"/>
      <c r="Y57" s="226"/>
      <c r="Z57" s="226" t="s">
        <v>89</v>
      </c>
      <c r="AA57" s="226"/>
      <c r="AB57" s="226"/>
      <c r="AC57" s="226" t="s">
        <v>90</v>
      </c>
      <c r="AD57" s="226"/>
      <c r="AE57" s="226"/>
      <c r="AF57" s="226"/>
      <c r="AG57" s="226"/>
      <c r="AH57" s="226"/>
      <c r="AI57" s="226"/>
      <c r="AJ57" s="226"/>
      <c r="AK57" s="226"/>
      <c r="AL57" s="226"/>
      <c r="AM57" s="226"/>
      <c r="AN57" s="226"/>
      <c r="AO57" s="226"/>
      <c r="AP57" s="226"/>
      <c r="AQ57" s="226"/>
      <c r="AR57" s="226"/>
      <c r="AS57" s="226"/>
      <c r="AT57" s="226"/>
      <c r="AU57" s="226"/>
      <c r="AV57" s="226"/>
      <c r="AW57" s="226"/>
      <c r="AX57" s="226"/>
      <c r="AY57" s="226"/>
      <c r="AZ57" s="226"/>
      <c r="BA57" s="226"/>
      <c r="BB57" s="226"/>
      <c r="BC57" s="226"/>
      <c r="BD57" s="226"/>
      <c r="BE57" s="226"/>
      <c r="BF57" s="226"/>
      <c r="BG57" s="226"/>
      <c r="BH57" s="226"/>
      <c r="BI57" s="226"/>
      <c r="BJ57" s="226"/>
      <c r="BK57" s="226"/>
      <c r="BL57" s="226"/>
      <c r="BM57" s="226"/>
      <c r="BN57" s="226"/>
      <c r="BO57" s="226"/>
      <c r="BP57" s="34"/>
    </row>
    <row r="58" spans="2:71" ht="15" thickBot="1" x14ac:dyDescent="0.4">
      <c r="B58" s="274"/>
      <c r="C58" s="237"/>
      <c r="D58" s="237"/>
      <c r="E58" s="237"/>
      <c r="F58" s="237"/>
      <c r="G58" s="237"/>
      <c r="H58" s="275"/>
      <c r="R58" s="218"/>
      <c r="S58" s="2" t="s">
        <v>1</v>
      </c>
      <c r="T58" s="2" t="s">
        <v>2</v>
      </c>
      <c r="U58" s="2" t="s">
        <v>3</v>
      </c>
      <c r="V58" s="2" t="s">
        <v>4</v>
      </c>
      <c r="W58" s="2" t="s">
        <v>5</v>
      </c>
      <c r="X58" s="2" t="s">
        <v>6</v>
      </c>
      <c r="Y58" s="2" t="s">
        <v>7</v>
      </c>
      <c r="Z58" s="2" t="s">
        <v>8</v>
      </c>
      <c r="AA58" s="2" t="s">
        <v>9</v>
      </c>
      <c r="AB58" s="2" t="s">
        <v>10</v>
      </c>
      <c r="AC58" s="2" t="s">
        <v>11</v>
      </c>
      <c r="AD58" s="2" t="s">
        <v>12</v>
      </c>
      <c r="AE58" s="2" t="s">
        <v>13</v>
      </c>
      <c r="AF58" s="2" t="s">
        <v>14</v>
      </c>
      <c r="AG58" s="2" t="s">
        <v>15</v>
      </c>
      <c r="AH58" s="2" t="s">
        <v>16</v>
      </c>
      <c r="AI58" s="2" t="s">
        <v>17</v>
      </c>
      <c r="AJ58" s="2" t="s">
        <v>18</v>
      </c>
      <c r="AK58" s="2" t="s">
        <v>19</v>
      </c>
      <c r="AL58" s="2" t="s">
        <v>20</v>
      </c>
      <c r="AM58" s="2" t="s">
        <v>21</v>
      </c>
      <c r="AN58" s="2" t="s">
        <v>22</v>
      </c>
      <c r="AO58" s="2" t="s">
        <v>23</v>
      </c>
      <c r="AP58" s="2" t="s">
        <v>24</v>
      </c>
      <c r="AQ58" s="2" t="s">
        <v>25</v>
      </c>
      <c r="AR58" s="2" t="s">
        <v>27</v>
      </c>
      <c r="AS58" s="2" t="s">
        <v>28</v>
      </c>
      <c r="AT58" s="2" t="s">
        <v>29</v>
      </c>
      <c r="AU58" s="2" t="s">
        <v>30</v>
      </c>
      <c r="AV58" s="2" t="s">
        <v>31</v>
      </c>
      <c r="AW58" s="2" t="s">
        <v>32</v>
      </c>
      <c r="AX58" s="2" t="s">
        <v>33</v>
      </c>
      <c r="AY58" s="2" t="s">
        <v>34</v>
      </c>
      <c r="AZ58" s="2" t="s">
        <v>35</v>
      </c>
      <c r="BA58" s="2" t="s">
        <v>36</v>
      </c>
      <c r="BB58" s="2" t="s">
        <v>37</v>
      </c>
      <c r="BC58" s="2" t="s">
        <v>38</v>
      </c>
      <c r="BD58" s="2" t="s">
        <v>95</v>
      </c>
      <c r="BE58" s="2" t="s">
        <v>96</v>
      </c>
      <c r="BF58" s="2" t="s">
        <v>97</v>
      </c>
      <c r="BG58" s="2" t="s">
        <v>98</v>
      </c>
      <c r="BH58" s="2" t="s">
        <v>99</v>
      </c>
      <c r="BI58" s="2" t="s">
        <v>100</v>
      </c>
      <c r="BJ58" s="2" t="s">
        <v>101</v>
      </c>
      <c r="BK58" s="2" t="s">
        <v>102</v>
      </c>
      <c r="BL58" s="2" t="s">
        <v>103</v>
      </c>
      <c r="BM58" s="2" t="s">
        <v>104</v>
      </c>
      <c r="BN58" s="2" t="s">
        <v>105</v>
      </c>
      <c r="BO58" s="3" t="s">
        <v>106</v>
      </c>
      <c r="BP58" t="s">
        <v>295</v>
      </c>
      <c r="BR58" s="61" t="s">
        <v>1</v>
      </c>
      <c r="BS58" s="60" t="s">
        <v>299</v>
      </c>
    </row>
    <row r="59" spans="2:71" ht="15" customHeight="1" thickBot="1" x14ac:dyDescent="0.4">
      <c r="C59" s="245" t="s">
        <v>365</v>
      </c>
      <c r="D59" s="246"/>
      <c r="E59" s="246"/>
      <c r="F59" s="246"/>
      <c r="G59" s="247"/>
      <c r="R59" s="223" t="s">
        <v>112</v>
      </c>
      <c r="S59" s="2" t="s">
        <v>173</v>
      </c>
      <c r="T59" s="26">
        <f t="shared" ref="T59:AY59" si="14">T6</f>
        <v>300000</v>
      </c>
      <c r="U59" s="26">
        <f t="shared" si="14"/>
        <v>0</v>
      </c>
      <c r="V59" s="26">
        <f t="shared" si="14"/>
        <v>0</v>
      </c>
      <c r="W59" s="26">
        <f t="shared" si="14"/>
        <v>0</v>
      </c>
      <c r="X59" s="26">
        <f t="shared" si="14"/>
        <v>0</v>
      </c>
      <c r="Y59" s="26">
        <f t="shared" si="14"/>
        <v>0</v>
      </c>
      <c r="Z59" s="26">
        <f t="shared" si="14"/>
        <v>0</v>
      </c>
      <c r="AA59" s="26">
        <f t="shared" si="14"/>
        <v>0</v>
      </c>
      <c r="AB59" s="26">
        <f t="shared" si="14"/>
        <v>0</v>
      </c>
      <c r="AC59" s="26">
        <f t="shared" si="14"/>
        <v>0</v>
      </c>
      <c r="AD59" s="26">
        <f t="shared" si="14"/>
        <v>0</v>
      </c>
      <c r="AE59" s="26">
        <f t="shared" si="14"/>
        <v>0</v>
      </c>
      <c r="AF59" s="26">
        <f t="shared" si="14"/>
        <v>0</v>
      </c>
      <c r="AG59" s="26">
        <f t="shared" si="14"/>
        <v>0</v>
      </c>
      <c r="AH59" s="26">
        <f t="shared" si="14"/>
        <v>0</v>
      </c>
      <c r="AI59" s="26">
        <f t="shared" si="14"/>
        <v>0</v>
      </c>
      <c r="AJ59" s="26">
        <f t="shared" si="14"/>
        <v>0</v>
      </c>
      <c r="AK59" s="26">
        <f t="shared" si="14"/>
        <v>0</v>
      </c>
      <c r="AL59" s="26">
        <f t="shared" si="14"/>
        <v>0</v>
      </c>
      <c r="AM59" s="26">
        <f t="shared" si="14"/>
        <v>0</v>
      </c>
      <c r="AN59" s="26">
        <f t="shared" si="14"/>
        <v>0</v>
      </c>
      <c r="AO59" s="26">
        <f t="shared" si="14"/>
        <v>0</v>
      </c>
      <c r="AP59" s="26">
        <f t="shared" si="14"/>
        <v>0</v>
      </c>
      <c r="AQ59" s="26">
        <f t="shared" si="14"/>
        <v>0</v>
      </c>
      <c r="AR59" s="26">
        <f t="shared" si="14"/>
        <v>0</v>
      </c>
      <c r="AS59" s="26">
        <f t="shared" si="14"/>
        <v>0</v>
      </c>
      <c r="AT59" s="26">
        <f t="shared" si="14"/>
        <v>0</v>
      </c>
      <c r="AU59" s="26">
        <f t="shared" si="14"/>
        <v>0</v>
      </c>
      <c r="AV59" s="26">
        <f t="shared" si="14"/>
        <v>0</v>
      </c>
      <c r="AW59" s="26">
        <f t="shared" si="14"/>
        <v>0</v>
      </c>
      <c r="AX59" s="26">
        <f t="shared" si="14"/>
        <v>0</v>
      </c>
      <c r="AY59" s="26">
        <f t="shared" si="14"/>
        <v>0</v>
      </c>
      <c r="AZ59" s="26">
        <f t="shared" ref="AZ59:BP59" si="15">AZ6</f>
        <v>0</v>
      </c>
      <c r="BA59" s="26">
        <f t="shared" si="15"/>
        <v>0</v>
      </c>
      <c r="BB59" s="26">
        <f t="shared" si="15"/>
        <v>0</v>
      </c>
      <c r="BC59" s="26">
        <f t="shared" si="15"/>
        <v>0</v>
      </c>
      <c r="BD59" s="26">
        <f t="shared" si="15"/>
        <v>0</v>
      </c>
      <c r="BE59" s="26">
        <f t="shared" si="15"/>
        <v>0</v>
      </c>
      <c r="BF59" s="26">
        <f t="shared" si="15"/>
        <v>0</v>
      </c>
      <c r="BG59" s="26">
        <f t="shared" si="15"/>
        <v>0</v>
      </c>
      <c r="BH59" s="26">
        <f t="shared" si="15"/>
        <v>0</v>
      </c>
      <c r="BI59" s="26">
        <f t="shared" si="15"/>
        <v>0</v>
      </c>
      <c r="BJ59" s="26">
        <f t="shared" si="15"/>
        <v>0</v>
      </c>
      <c r="BK59" s="26">
        <f t="shared" si="15"/>
        <v>0</v>
      </c>
      <c r="BL59" s="26">
        <f t="shared" si="15"/>
        <v>0</v>
      </c>
      <c r="BM59" s="26">
        <f t="shared" si="15"/>
        <v>0</v>
      </c>
      <c r="BN59" s="26">
        <f t="shared" si="15"/>
        <v>0</v>
      </c>
      <c r="BO59" s="26">
        <f t="shared" si="15"/>
        <v>0</v>
      </c>
      <c r="BP59" s="26">
        <f t="shared" si="15"/>
        <v>0</v>
      </c>
      <c r="BR59" s="69" t="s">
        <v>173</v>
      </c>
      <c r="BS59" s="57">
        <f>SUM(Tabla715[[#This Row],[Month 1 ]:[Month 49]])</f>
        <v>300000</v>
      </c>
    </row>
    <row r="60" spans="2:71" ht="15" customHeight="1" thickBot="1" x14ac:dyDescent="0.4">
      <c r="C60" s="245"/>
      <c r="D60" s="246"/>
      <c r="E60" s="246"/>
      <c r="F60" s="246"/>
      <c r="G60" s="247"/>
      <c r="R60" s="224"/>
      <c r="S60" s="2" t="s">
        <v>108</v>
      </c>
      <c r="T60" s="26">
        <f t="shared" ref="T60:AY60" ca="1" si="16">T7</f>
        <v>0</v>
      </c>
      <c r="U60" s="26">
        <f t="shared" ca="1" si="16"/>
        <v>0</v>
      </c>
      <c r="V60" s="26">
        <f t="shared" ca="1" si="16"/>
        <v>0</v>
      </c>
      <c r="W60" s="26">
        <f t="shared" ca="1" si="16"/>
        <v>0</v>
      </c>
      <c r="X60" s="26">
        <f t="shared" ca="1" si="16"/>
        <v>0</v>
      </c>
      <c r="Y60" s="26">
        <f t="shared" ca="1" si="16"/>
        <v>436000</v>
      </c>
      <c r="Z60" s="26">
        <f t="shared" ca="1" si="16"/>
        <v>0</v>
      </c>
      <c r="AA60" s="26">
        <f t="shared" ca="1" si="16"/>
        <v>0</v>
      </c>
      <c r="AB60" s="26">
        <f t="shared" ca="1" si="16"/>
        <v>0</v>
      </c>
      <c r="AC60" s="26">
        <f t="shared" ca="1" si="16"/>
        <v>0</v>
      </c>
      <c r="AD60" s="26">
        <f t="shared" ca="1" si="16"/>
        <v>0</v>
      </c>
      <c r="AE60" s="26">
        <f t="shared" ca="1" si="16"/>
        <v>0</v>
      </c>
      <c r="AF60" s="26">
        <f t="shared" ca="1" si="16"/>
        <v>0</v>
      </c>
      <c r="AG60" s="26">
        <f t="shared" ca="1" si="16"/>
        <v>0</v>
      </c>
      <c r="AH60" s="26">
        <f t="shared" ca="1" si="16"/>
        <v>0</v>
      </c>
      <c r="AI60" s="26">
        <f t="shared" ca="1" si="16"/>
        <v>0</v>
      </c>
      <c r="AJ60" s="26">
        <f t="shared" ca="1" si="16"/>
        <v>0</v>
      </c>
      <c r="AK60" s="26">
        <f t="shared" ca="1" si="16"/>
        <v>0</v>
      </c>
      <c r="AL60" s="26">
        <f t="shared" ca="1" si="16"/>
        <v>0</v>
      </c>
      <c r="AM60" s="26">
        <f t="shared" ca="1" si="16"/>
        <v>0</v>
      </c>
      <c r="AN60" s="26">
        <f t="shared" ca="1" si="16"/>
        <v>0</v>
      </c>
      <c r="AO60" s="26">
        <f t="shared" ca="1" si="16"/>
        <v>0</v>
      </c>
      <c r="AP60" s="26">
        <f t="shared" ca="1" si="16"/>
        <v>0</v>
      </c>
      <c r="AQ60" s="26">
        <f t="shared" ca="1" si="16"/>
        <v>1000</v>
      </c>
      <c r="AR60" s="26">
        <f t="shared" ca="1" si="16"/>
        <v>0</v>
      </c>
      <c r="AS60" s="26">
        <f t="shared" ca="1" si="16"/>
        <v>0</v>
      </c>
      <c r="AT60" s="26">
        <f t="shared" ca="1" si="16"/>
        <v>0</v>
      </c>
      <c r="AU60" s="26">
        <f t="shared" ca="1" si="16"/>
        <v>0</v>
      </c>
      <c r="AV60" s="26">
        <f t="shared" ca="1" si="16"/>
        <v>0</v>
      </c>
      <c r="AW60" s="26">
        <f t="shared" ca="1" si="16"/>
        <v>0</v>
      </c>
      <c r="AX60" s="26">
        <f t="shared" ca="1" si="16"/>
        <v>0</v>
      </c>
      <c r="AY60" s="26">
        <f t="shared" ca="1" si="16"/>
        <v>0</v>
      </c>
      <c r="AZ60" s="26">
        <f t="shared" ref="AZ60:BP60" ca="1" si="17">AZ7</f>
        <v>0</v>
      </c>
      <c r="BA60" s="26">
        <f t="shared" ca="1" si="17"/>
        <v>0</v>
      </c>
      <c r="BB60" s="26">
        <f t="shared" ca="1" si="17"/>
        <v>0</v>
      </c>
      <c r="BC60" s="26">
        <f t="shared" ca="1" si="17"/>
        <v>0</v>
      </c>
      <c r="BD60" s="26">
        <f t="shared" ca="1" si="17"/>
        <v>0</v>
      </c>
      <c r="BE60" s="26">
        <f t="shared" ca="1" si="17"/>
        <v>0</v>
      </c>
      <c r="BF60" s="26">
        <f t="shared" ca="1" si="17"/>
        <v>0</v>
      </c>
      <c r="BG60" s="26">
        <f t="shared" ca="1" si="17"/>
        <v>0</v>
      </c>
      <c r="BH60" s="26">
        <f t="shared" ca="1" si="17"/>
        <v>0</v>
      </c>
      <c r="BI60" s="26">
        <f t="shared" ca="1" si="17"/>
        <v>0</v>
      </c>
      <c r="BJ60" s="26">
        <f t="shared" ca="1" si="17"/>
        <v>0</v>
      </c>
      <c r="BK60" s="26">
        <f t="shared" ca="1" si="17"/>
        <v>0</v>
      </c>
      <c r="BL60" s="26">
        <f t="shared" ca="1" si="17"/>
        <v>0</v>
      </c>
      <c r="BM60" s="26">
        <f t="shared" ca="1" si="17"/>
        <v>0</v>
      </c>
      <c r="BN60" s="26">
        <f t="shared" ca="1" si="17"/>
        <v>0</v>
      </c>
      <c r="BO60" s="26">
        <f t="shared" ca="1" si="17"/>
        <v>0</v>
      </c>
      <c r="BP60" s="26">
        <f t="shared" si="17"/>
        <v>0</v>
      </c>
      <c r="BR60" s="69" t="s">
        <v>108</v>
      </c>
      <c r="BS60" s="55">
        <f ca="1">SUM(Tabla715[[#This Row],[Month 1 ]:[Month 49]])</f>
        <v>437000</v>
      </c>
    </row>
    <row r="61" spans="2:71" ht="15" customHeight="1" thickBot="1" x14ac:dyDescent="0.4">
      <c r="C61" s="245"/>
      <c r="D61" s="246"/>
      <c r="E61" s="246"/>
      <c r="F61" s="246"/>
      <c r="G61" s="247"/>
      <c r="R61" s="224"/>
      <c r="S61" s="1" t="s">
        <v>0</v>
      </c>
      <c r="T61" s="26">
        <f t="shared" ref="T61:AY61" si="18">T8</f>
        <v>0</v>
      </c>
      <c r="U61" s="26">
        <f t="shared" si="18"/>
        <v>0</v>
      </c>
      <c r="V61" s="26">
        <f t="shared" si="18"/>
        <v>0</v>
      </c>
      <c r="W61" s="26">
        <f t="shared" si="18"/>
        <v>0</v>
      </c>
      <c r="X61" s="26">
        <f t="shared" si="18"/>
        <v>0</v>
      </c>
      <c r="Y61" s="26">
        <f t="shared" si="18"/>
        <v>0</v>
      </c>
      <c r="Z61" s="26">
        <f t="shared" si="18"/>
        <v>0</v>
      </c>
      <c r="AA61" s="26">
        <f t="shared" si="18"/>
        <v>0</v>
      </c>
      <c r="AB61" s="26">
        <f t="shared" ca="1" si="18"/>
        <v>51489</v>
      </c>
      <c r="AC61" s="26">
        <f t="shared" ca="1" si="18"/>
        <v>59894.149999999994</v>
      </c>
      <c r="AD61" s="26">
        <f t="shared" ca="1" si="18"/>
        <v>60193.499999999993</v>
      </c>
      <c r="AE61" s="26">
        <f t="shared" ca="1" si="18"/>
        <v>68233.25</v>
      </c>
      <c r="AF61" s="26">
        <f t="shared" ca="1" si="18"/>
        <v>76392.45</v>
      </c>
      <c r="AG61" s="26">
        <f t="shared" ca="1" si="18"/>
        <v>86135.349999999991</v>
      </c>
      <c r="AH61" s="26">
        <f t="shared" ca="1" si="18"/>
        <v>95299.499999999985</v>
      </c>
      <c r="AI61" s="26">
        <f t="shared" ca="1" si="18"/>
        <v>104493.4</v>
      </c>
      <c r="AJ61" s="26">
        <f t="shared" ca="1" si="18"/>
        <v>115340.79999999999</v>
      </c>
      <c r="AK61" s="26">
        <f t="shared" ca="1" si="18"/>
        <v>125559.59999999999</v>
      </c>
      <c r="AL61" s="26">
        <f t="shared" ca="1" si="18"/>
        <v>135848.04999999999</v>
      </c>
      <c r="AM61" s="26">
        <f t="shared" ca="1" si="18"/>
        <v>147700.29999999999</v>
      </c>
      <c r="AN61" s="26">
        <f t="shared" ca="1" si="18"/>
        <v>158933.94999999998</v>
      </c>
      <c r="AO61" s="26">
        <f t="shared" ca="1" si="18"/>
        <v>178056.74999999997</v>
      </c>
      <c r="AP61" s="26">
        <f t="shared" ca="1" si="18"/>
        <v>187582.09999999998</v>
      </c>
      <c r="AQ61" s="26">
        <f t="shared" ca="1" si="18"/>
        <v>199860.44999999998</v>
      </c>
      <c r="AR61" s="26">
        <f t="shared" ca="1" si="18"/>
        <v>212208.5</v>
      </c>
      <c r="AS61" s="26">
        <f t="shared" ca="1" si="18"/>
        <v>226259.84999999998</v>
      </c>
      <c r="AT61" s="26">
        <f t="shared" ca="1" si="18"/>
        <v>239582.94999999998</v>
      </c>
      <c r="AU61" s="26">
        <f t="shared" ca="1" si="18"/>
        <v>252925.94999999998</v>
      </c>
      <c r="AV61" s="26">
        <f t="shared" ca="1" si="18"/>
        <v>267962.3</v>
      </c>
      <c r="AW61" s="26">
        <f t="shared" ca="1" si="18"/>
        <v>282270.44999999995</v>
      </c>
      <c r="AX61" s="26">
        <f t="shared" ca="1" si="18"/>
        <v>296568.59999999998</v>
      </c>
      <c r="AY61" s="26">
        <f t="shared" ca="1" si="18"/>
        <v>312689.64999999997</v>
      </c>
      <c r="AZ61" s="26">
        <f t="shared" ref="AZ61:BP61" ca="1" si="19">AZ8</f>
        <v>327962.84999999998</v>
      </c>
      <c r="BA61" s="26">
        <f t="shared" ca="1" si="19"/>
        <v>350467.85</v>
      </c>
      <c r="BB61" s="26">
        <f t="shared" ca="1" si="19"/>
        <v>364252.39999999997</v>
      </c>
      <c r="BC61" s="26">
        <f t="shared" ca="1" si="19"/>
        <v>380441</v>
      </c>
      <c r="BD61" s="26">
        <f t="shared" ca="1" si="19"/>
        <v>396599.75</v>
      </c>
      <c r="BE61" s="26">
        <f t="shared" ca="1" si="19"/>
        <v>414481.8</v>
      </c>
      <c r="BF61" s="26">
        <f t="shared" ca="1" si="19"/>
        <v>431516.1</v>
      </c>
      <c r="BG61" s="26">
        <f t="shared" ca="1" si="19"/>
        <v>448500.64999999997</v>
      </c>
      <c r="BH61" s="26">
        <f t="shared" ca="1" si="19"/>
        <v>451908.25</v>
      </c>
      <c r="BI61" s="26">
        <f t="shared" ca="1" si="19"/>
        <v>462775.2</v>
      </c>
      <c r="BJ61" s="26">
        <f t="shared" ca="1" si="19"/>
        <v>473093.44999999995</v>
      </c>
      <c r="BK61" s="26">
        <f t="shared" ca="1" si="19"/>
        <v>483461.44999999995</v>
      </c>
      <c r="BL61" s="26">
        <f t="shared" ca="1" si="19"/>
        <v>495134.3</v>
      </c>
      <c r="BM61" s="26">
        <f t="shared" ca="1" si="19"/>
        <v>512862.64999999997</v>
      </c>
      <c r="BN61" s="26">
        <f t="shared" ca="1" si="19"/>
        <v>521044.14999999997</v>
      </c>
      <c r="BO61" s="26">
        <f t="shared" ca="1" si="19"/>
        <v>533493.1</v>
      </c>
      <c r="BP61" s="26">
        <f t="shared" ca="1" si="19"/>
        <v>545353.5</v>
      </c>
      <c r="BR61" s="1" t="s">
        <v>0</v>
      </c>
      <c r="BS61" s="55">
        <f ca="1">SUM(Tabla715[[#This Row],[Month 1 ]:[Month 49]])</f>
        <v>11534829.299999999</v>
      </c>
    </row>
    <row r="62" spans="2:71" ht="15" customHeight="1" thickBot="1" x14ac:dyDescent="0.4">
      <c r="C62" s="248"/>
      <c r="D62" s="249"/>
      <c r="E62" s="249"/>
      <c r="F62" s="249"/>
      <c r="G62" s="250"/>
      <c r="R62" s="224"/>
      <c r="S62" s="4" t="s">
        <v>109</v>
      </c>
      <c r="T62" s="26">
        <f t="shared" ref="T62:AY62" si="20">T9</f>
        <v>0</v>
      </c>
      <c r="U62" s="26">
        <f t="shared" si="20"/>
        <v>0</v>
      </c>
      <c r="V62" s="26">
        <f t="shared" si="20"/>
        <v>0</v>
      </c>
      <c r="W62" s="26">
        <f t="shared" si="20"/>
        <v>0</v>
      </c>
      <c r="X62" s="26">
        <f t="shared" si="20"/>
        <v>0</v>
      </c>
      <c r="Y62" s="26">
        <f t="shared" si="20"/>
        <v>0</v>
      </c>
      <c r="Z62" s="26">
        <f t="shared" si="20"/>
        <v>0</v>
      </c>
      <c r="AA62" s="26">
        <f t="shared" si="20"/>
        <v>0</v>
      </c>
      <c r="AB62" s="26">
        <f t="shared" ca="1" si="20"/>
        <v>3100.1849999999999</v>
      </c>
      <c r="AC62" s="26">
        <f t="shared" ca="1" si="20"/>
        <v>4987.3950000000004</v>
      </c>
      <c r="AD62" s="26">
        <f t="shared" ca="1" si="20"/>
        <v>5844.3300000000008</v>
      </c>
      <c r="AE62" s="26">
        <f t="shared" ca="1" si="20"/>
        <v>6710.9849999999997</v>
      </c>
      <c r="AF62" s="26">
        <f t="shared" ca="1" si="20"/>
        <v>7587.0450000000019</v>
      </c>
      <c r="AG62" s="26">
        <f t="shared" ca="1" si="20"/>
        <v>8564.4450000000015</v>
      </c>
      <c r="AH62" s="26">
        <f t="shared" ca="1" si="20"/>
        <v>9550.4850000000024</v>
      </c>
      <c r="AI62" s="26">
        <f t="shared" ca="1" si="20"/>
        <v>10545.075000000001</v>
      </c>
      <c r="AJ62" s="26">
        <f t="shared" ca="1" si="20"/>
        <v>11639.970000000001</v>
      </c>
      <c r="AK62" s="26">
        <f t="shared" ca="1" si="20"/>
        <v>12742.38</v>
      </c>
      <c r="AL62" s="26">
        <f t="shared" ca="1" si="20"/>
        <v>13852.17</v>
      </c>
      <c r="AM62" s="26">
        <f t="shared" ca="1" si="20"/>
        <v>15061.140000000003</v>
      </c>
      <c r="AN62" s="26">
        <f t="shared" ca="1" si="20"/>
        <v>16276.455</v>
      </c>
      <c r="AO62" s="26">
        <f t="shared" ca="1" si="20"/>
        <v>17968.41</v>
      </c>
      <c r="AP62" s="26">
        <f t="shared" ca="1" si="20"/>
        <v>19294.560000000001</v>
      </c>
      <c r="AQ62" s="26">
        <f t="shared" ca="1" si="20"/>
        <v>20625.570000000003</v>
      </c>
      <c r="AR62" s="26">
        <f t="shared" ca="1" si="20"/>
        <v>21961.215000000004</v>
      </c>
      <c r="AS62" s="26">
        <f t="shared" ca="1" si="20"/>
        <v>23401.755000000001</v>
      </c>
      <c r="AT62" s="26">
        <f t="shared" ca="1" si="20"/>
        <v>24845.49</v>
      </c>
      <c r="AU62" s="26">
        <f t="shared" ca="1" si="20"/>
        <v>26292.33</v>
      </c>
      <c r="AV62" s="26">
        <f t="shared" ca="1" si="20"/>
        <v>27841.59</v>
      </c>
      <c r="AW62" s="26">
        <f t="shared" ca="1" si="20"/>
        <v>29392.38</v>
      </c>
      <c r="AX62" s="26">
        <f t="shared" ca="1" si="20"/>
        <v>30944.52</v>
      </c>
      <c r="AY62" s="26">
        <f t="shared" ca="1" si="20"/>
        <v>32605.424999999999</v>
      </c>
      <c r="AZ62" s="26">
        <f t="shared" ref="AZ62:BP62" ca="1" si="21">AZ9</f>
        <v>34265.880000000005</v>
      </c>
      <c r="BA62" s="26">
        <f t="shared" ca="1" si="21"/>
        <v>36360.269999999997</v>
      </c>
      <c r="BB62" s="26">
        <f t="shared" ca="1" si="21"/>
        <v>38122.155000000006</v>
      </c>
      <c r="BC62" s="26">
        <f t="shared" ca="1" si="21"/>
        <v>39881.474999999999</v>
      </c>
      <c r="BD62" s="26">
        <f t="shared" ca="1" si="21"/>
        <v>41638.050000000003</v>
      </c>
      <c r="BE62" s="26">
        <f t="shared" ca="1" si="21"/>
        <v>43496.01</v>
      </c>
      <c r="BF62" s="26">
        <f t="shared" ca="1" si="21"/>
        <v>45349.2</v>
      </c>
      <c r="BG62" s="26">
        <f t="shared" ca="1" si="21"/>
        <v>47197.35</v>
      </c>
      <c r="BH62" s="26">
        <f t="shared" ca="1" si="21"/>
        <v>48225.735000000001</v>
      </c>
      <c r="BI62" s="26">
        <f t="shared" ca="1" si="21"/>
        <v>49337.73</v>
      </c>
      <c r="BJ62" s="26">
        <f t="shared" ca="1" si="21"/>
        <v>50454.09</v>
      </c>
      <c r="BK62" s="26">
        <f t="shared" ca="1" si="21"/>
        <v>51574.544999999998</v>
      </c>
      <c r="BL62" s="26">
        <f t="shared" ca="1" si="21"/>
        <v>52777.17</v>
      </c>
      <c r="BM62" s="26">
        <f t="shared" ca="1" si="21"/>
        <v>54380.34</v>
      </c>
      <c r="BN62" s="26">
        <f t="shared" ca="1" si="21"/>
        <v>55586.52</v>
      </c>
      <c r="BO62" s="26">
        <f t="shared" ca="1" si="21"/>
        <v>56872.89</v>
      </c>
      <c r="BP62" s="26">
        <f t="shared" ca="1" si="21"/>
        <v>58160.97</v>
      </c>
      <c r="BR62" s="62" t="s">
        <v>109</v>
      </c>
      <c r="BS62" s="55">
        <f ca="1">SUM(Tabla715[[#This Row],[Month 1 ]:[Month 49]])</f>
        <v>1205315.6849999998</v>
      </c>
    </row>
    <row r="63" spans="2:71" ht="15" thickBot="1" x14ac:dyDescent="0.4">
      <c r="R63" s="224"/>
      <c r="S63" s="4" t="s">
        <v>111</v>
      </c>
      <c r="T63" s="26">
        <f t="shared" ref="T63:AY63" si="22">T10</f>
        <v>0</v>
      </c>
      <c r="U63" s="26">
        <f t="shared" si="22"/>
        <v>0</v>
      </c>
      <c r="V63" s="26">
        <f t="shared" si="22"/>
        <v>0</v>
      </c>
      <c r="W63" s="26">
        <f t="shared" si="22"/>
        <v>0</v>
      </c>
      <c r="X63" s="26">
        <f t="shared" si="22"/>
        <v>0</v>
      </c>
      <c r="Y63" s="26">
        <f t="shared" si="22"/>
        <v>0</v>
      </c>
      <c r="Z63" s="26">
        <f t="shared" si="22"/>
        <v>0</v>
      </c>
      <c r="AA63" s="26">
        <f t="shared" si="22"/>
        <v>0</v>
      </c>
      <c r="AB63" s="26">
        <f t="shared" ca="1" si="22"/>
        <v>180</v>
      </c>
      <c r="AC63" s="26">
        <f t="shared" ca="1" si="22"/>
        <v>290</v>
      </c>
      <c r="AD63" s="26">
        <f t="shared" ca="1" si="22"/>
        <v>340</v>
      </c>
      <c r="AE63" s="26">
        <f t="shared" ca="1" si="22"/>
        <v>390</v>
      </c>
      <c r="AF63" s="26">
        <f t="shared" ca="1" si="22"/>
        <v>440</v>
      </c>
      <c r="AG63" s="26">
        <f t="shared" ca="1" si="22"/>
        <v>497.5</v>
      </c>
      <c r="AH63" s="26">
        <f t="shared" ca="1" si="22"/>
        <v>555</v>
      </c>
      <c r="AI63" s="26">
        <f t="shared" ca="1" si="22"/>
        <v>612.5</v>
      </c>
      <c r="AJ63" s="26">
        <f t="shared" ca="1" si="22"/>
        <v>675</v>
      </c>
      <c r="AK63" s="26">
        <f t="shared" ca="1" si="22"/>
        <v>737.5</v>
      </c>
      <c r="AL63" s="26">
        <f t="shared" ca="1" si="22"/>
        <v>802.5</v>
      </c>
      <c r="AM63" s="26">
        <f t="shared" ca="1" si="22"/>
        <v>872.5</v>
      </c>
      <c r="AN63" s="26">
        <f t="shared" ca="1" si="22"/>
        <v>942.5</v>
      </c>
      <c r="AO63" s="26">
        <f t="shared" ca="1" si="22"/>
        <v>1040</v>
      </c>
      <c r="AP63" s="26">
        <f t="shared" ca="1" si="22"/>
        <v>1117.5</v>
      </c>
      <c r="AQ63" s="26">
        <f t="shared" ca="1" si="22"/>
        <v>1195</v>
      </c>
      <c r="AR63" s="26">
        <f t="shared" ca="1" si="22"/>
        <v>1272.5</v>
      </c>
      <c r="AS63" s="26">
        <f t="shared" ca="1" si="22"/>
        <v>1355</v>
      </c>
      <c r="AT63" s="26">
        <f t="shared" ca="1" si="22"/>
        <v>1440</v>
      </c>
      <c r="AU63" s="26">
        <f t="shared" ca="1" si="22"/>
        <v>1522.5</v>
      </c>
      <c r="AV63" s="26">
        <f t="shared" ca="1" si="22"/>
        <v>1612.5</v>
      </c>
      <c r="AW63" s="26">
        <f t="shared" ca="1" si="22"/>
        <v>1702.5</v>
      </c>
      <c r="AX63" s="26">
        <f t="shared" ca="1" si="22"/>
        <v>1792.5</v>
      </c>
      <c r="AY63" s="26">
        <f t="shared" ca="1" si="22"/>
        <v>1887.5</v>
      </c>
      <c r="AZ63" s="26">
        <f t="shared" ref="AZ63:BP63" ca="1" si="23">AZ10</f>
        <v>1985</v>
      </c>
      <c r="BA63" s="26">
        <f t="shared" ca="1" si="23"/>
        <v>2105</v>
      </c>
      <c r="BB63" s="26">
        <f t="shared" ca="1" si="23"/>
        <v>2207.5</v>
      </c>
      <c r="BC63" s="26">
        <f t="shared" ca="1" si="23"/>
        <v>2310</v>
      </c>
      <c r="BD63" s="26">
        <f t="shared" ca="1" si="23"/>
        <v>2410</v>
      </c>
      <c r="BE63" s="26">
        <f t="shared" ca="1" si="23"/>
        <v>2517.5</v>
      </c>
      <c r="BF63" s="26">
        <f t="shared" ca="1" si="23"/>
        <v>2625</v>
      </c>
      <c r="BG63" s="26">
        <f t="shared" ca="1" si="23"/>
        <v>2732.5</v>
      </c>
      <c r="BH63" s="26">
        <f t="shared" ca="1" si="23"/>
        <v>2792.5</v>
      </c>
      <c r="BI63" s="26">
        <f t="shared" ca="1" si="23"/>
        <v>2857.5</v>
      </c>
      <c r="BJ63" s="26">
        <f t="shared" ca="1" si="23"/>
        <v>2920</v>
      </c>
      <c r="BK63" s="26">
        <f t="shared" ca="1" si="23"/>
        <v>2985</v>
      </c>
      <c r="BL63" s="26">
        <f t="shared" ca="1" si="23"/>
        <v>3055</v>
      </c>
      <c r="BM63" s="26">
        <f t="shared" ca="1" si="23"/>
        <v>3147.5</v>
      </c>
      <c r="BN63" s="26">
        <f t="shared" ca="1" si="23"/>
        <v>3217.5</v>
      </c>
      <c r="BO63" s="26">
        <f t="shared" ca="1" si="23"/>
        <v>3292.5</v>
      </c>
      <c r="BP63" s="26">
        <f t="shared" ca="1" si="23"/>
        <v>3367.5</v>
      </c>
      <c r="BR63" s="62" t="s">
        <v>111</v>
      </c>
      <c r="BS63" s="55">
        <f ca="1">SUM(Tabla715[[#This Row],[Month 1 ]:[Month 49]])</f>
        <v>69800</v>
      </c>
    </row>
    <row r="64" spans="2:71" ht="15" thickBot="1" x14ac:dyDescent="0.4">
      <c r="R64" s="225"/>
      <c r="S64" s="6" t="s">
        <v>110</v>
      </c>
      <c r="T64" s="26">
        <f t="shared" ref="T64:AY64" si="24">T11</f>
        <v>0</v>
      </c>
      <c r="U64" s="26">
        <f t="shared" si="24"/>
        <v>0</v>
      </c>
      <c r="V64" s="26">
        <f t="shared" si="24"/>
        <v>0</v>
      </c>
      <c r="W64" s="26">
        <f t="shared" si="24"/>
        <v>0</v>
      </c>
      <c r="X64" s="26">
        <f t="shared" si="24"/>
        <v>0</v>
      </c>
      <c r="Y64" s="26">
        <f t="shared" si="24"/>
        <v>0</v>
      </c>
      <c r="Z64" s="26">
        <f t="shared" si="24"/>
        <v>0</v>
      </c>
      <c r="AA64" s="26">
        <f t="shared" si="24"/>
        <v>0</v>
      </c>
      <c r="AB64" s="26">
        <f t="shared" ca="1" si="24"/>
        <v>4306</v>
      </c>
      <c r="AC64" s="26">
        <f t="shared" ca="1" si="24"/>
        <v>6928</v>
      </c>
      <c r="AD64" s="26">
        <f t="shared" ca="1" si="24"/>
        <v>8118</v>
      </c>
      <c r="AE64" s="26">
        <f t="shared" ca="1" si="24"/>
        <v>9322</v>
      </c>
      <c r="AF64" s="26">
        <f t="shared" ca="1" si="24"/>
        <v>10538</v>
      </c>
      <c r="AG64" s="26">
        <f t="shared" ca="1" si="24"/>
        <v>11896</v>
      </c>
      <c r="AH64" s="26">
        <f t="shared" ca="1" si="24"/>
        <v>13266</v>
      </c>
      <c r="AI64" s="26">
        <f t="shared" ca="1" si="24"/>
        <v>14646</v>
      </c>
      <c r="AJ64" s="26">
        <f t="shared" ca="1" si="24"/>
        <v>16168</v>
      </c>
      <c r="AK64" s="26">
        <f t="shared" ca="1" si="24"/>
        <v>17698</v>
      </c>
      <c r="AL64" s="26">
        <f t="shared" ca="1" si="24"/>
        <v>19240</v>
      </c>
      <c r="AM64" s="26">
        <f t="shared" ca="1" si="24"/>
        <v>20920</v>
      </c>
      <c r="AN64" s="26">
        <f t="shared" ca="1" si="24"/>
        <v>22608</v>
      </c>
      <c r="AO64" s="26">
        <f t="shared" ca="1" si="24"/>
        <v>24958</v>
      </c>
      <c r="AP64" s="26">
        <f t="shared" ca="1" si="24"/>
        <v>26800</v>
      </c>
      <c r="AQ64" s="26">
        <f t="shared" ca="1" si="24"/>
        <v>28648</v>
      </c>
      <c r="AR64" s="26">
        <f t="shared" ca="1" si="24"/>
        <v>30502</v>
      </c>
      <c r="AS64" s="26">
        <f t="shared" ca="1" si="24"/>
        <v>32504</v>
      </c>
      <c r="AT64" s="26">
        <f t="shared" ca="1" si="24"/>
        <v>34508</v>
      </c>
      <c r="AU64" s="26">
        <f t="shared" ca="1" si="24"/>
        <v>36518</v>
      </c>
      <c r="AV64" s="26">
        <f t="shared" ca="1" si="24"/>
        <v>38670</v>
      </c>
      <c r="AW64" s="26">
        <f t="shared" ca="1" si="24"/>
        <v>40824</v>
      </c>
      <c r="AX64" s="26">
        <f t="shared" ca="1" si="24"/>
        <v>42980</v>
      </c>
      <c r="AY64" s="26">
        <f t="shared" ca="1" si="24"/>
        <v>45286</v>
      </c>
      <c r="AZ64" s="26">
        <f t="shared" ref="AZ64:BP64" ca="1" si="25">AZ11</f>
        <v>47592</v>
      </c>
      <c r="BA64" s="26">
        <f t="shared" ca="1" si="25"/>
        <v>50502</v>
      </c>
      <c r="BB64" s="26">
        <f t="shared" ca="1" si="25"/>
        <v>52948</v>
      </c>
      <c r="BC64" s="26">
        <f t="shared" ca="1" si="25"/>
        <v>55392</v>
      </c>
      <c r="BD64" s="26">
        <f t="shared" ca="1" si="25"/>
        <v>57832</v>
      </c>
      <c r="BE64" s="26">
        <f t="shared" ca="1" si="25"/>
        <v>60412</v>
      </c>
      <c r="BF64" s="26">
        <f t="shared" ca="1" si="25"/>
        <v>62986</v>
      </c>
      <c r="BG64" s="26">
        <f t="shared" ca="1" si="25"/>
        <v>65552</v>
      </c>
      <c r="BH64" s="26">
        <f t="shared" ca="1" si="25"/>
        <v>66982</v>
      </c>
      <c r="BI64" s="26">
        <f t="shared" ca="1" si="25"/>
        <v>68526</v>
      </c>
      <c r="BJ64" s="26">
        <f t="shared" ca="1" si="25"/>
        <v>70076</v>
      </c>
      <c r="BK64" s="26">
        <f t="shared" ca="1" si="25"/>
        <v>71632</v>
      </c>
      <c r="BL64" s="26">
        <f t="shared" ca="1" si="25"/>
        <v>73302</v>
      </c>
      <c r="BM64" s="26">
        <f t="shared" ca="1" si="25"/>
        <v>75530</v>
      </c>
      <c r="BN64" s="26">
        <f t="shared" ca="1" si="25"/>
        <v>77204</v>
      </c>
      <c r="BO64" s="26">
        <f t="shared" ca="1" si="25"/>
        <v>78992</v>
      </c>
      <c r="BP64" s="26">
        <f t="shared" ca="1" si="25"/>
        <v>80780</v>
      </c>
      <c r="BR64" s="63" t="s">
        <v>110</v>
      </c>
      <c r="BS64" s="55">
        <f ca="1">SUM(Tabla715[[#This Row],[Month 1 ]:[Month 49]])</f>
        <v>1674092</v>
      </c>
    </row>
    <row r="65" spans="3:71" ht="15" customHeight="1" thickBot="1" x14ac:dyDescent="0.4">
      <c r="C65" s="251" t="s">
        <v>375</v>
      </c>
      <c r="D65" s="252"/>
      <c r="E65" s="252"/>
      <c r="F65" s="252"/>
      <c r="G65" s="253"/>
      <c r="R65" s="50"/>
      <c r="S65" t="s">
        <v>39</v>
      </c>
      <c r="T65" s="26">
        <f t="shared" ref="T65:AY65" si="26">T12</f>
        <v>-5093</v>
      </c>
      <c r="U65" s="26">
        <f t="shared" si="26"/>
        <v>-33201</v>
      </c>
      <c r="V65" s="26">
        <f t="shared" si="26"/>
        <v>-33201</v>
      </c>
      <c r="W65" s="26">
        <f t="shared" si="26"/>
        <v>-36308</v>
      </c>
      <c r="X65" s="26">
        <f t="shared" si="26"/>
        <v>-36308</v>
      </c>
      <c r="Y65" s="26">
        <f t="shared" si="26"/>
        <v>-58655</v>
      </c>
      <c r="Z65" s="26">
        <f t="shared" si="26"/>
        <v>-36509</v>
      </c>
      <c r="AA65" s="26">
        <f t="shared" si="26"/>
        <v>-36509</v>
      </c>
      <c r="AB65" s="26">
        <f t="shared" si="26"/>
        <v>-40947</v>
      </c>
      <c r="AC65" s="26">
        <f t="shared" si="26"/>
        <v>-40947</v>
      </c>
      <c r="AD65" s="26">
        <f t="shared" si="26"/>
        <v>-40947</v>
      </c>
      <c r="AE65" s="26">
        <f t="shared" si="26"/>
        <v>-63093</v>
      </c>
      <c r="AF65" s="26">
        <f t="shared" si="26"/>
        <v>-45424.05</v>
      </c>
      <c r="AG65" s="26">
        <f t="shared" si="26"/>
        <v>-45424.05</v>
      </c>
      <c r="AH65" s="26">
        <f t="shared" si="26"/>
        <v>-45424.05</v>
      </c>
      <c r="AI65" s="26">
        <f t="shared" si="26"/>
        <v>-45424.05</v>
      </c>
      <c r="AJ65" s="26">
        <f t="shared" si="26"/>
        <v>-48460.649999999994</v>
      </c>
      <c r="AK65" s="26">
        <f t="shared" si="26"/>
        <v>-71713.950000000012</v>
      </c>
      <c r="AL65" s="26">
        <f t="shared" si="26"/>
        <v>-48460.649999999994</v>
      </c>
      <c r="AM65" s="26">
        <f t="shared" si="26"/>
        <v>-48460.649999999994</v>
      </c>
      <c r="AN65" s="26">
        <f t="shared" si="26"/>
        <v>-48460.649999999994</v>
      </c>
      <c r="AO65" s="26">
        <f t="shared" si="26"/>
        <v>-48460.649999999994</v>
      </c>
      <c r="AP65" s="26">
        <f t="shared" si="26"/>
        <v>-48460.649999999994</v>
      </c>
      <c r="AQ65" s="26">
        <f t="shared" si="26"/>
        <v>-71713.950000000012</v>
      </c>
      <c r="AR65" s="26">
        <f t="shared" si="26"/>
        <v>-50768.3</v>
      </c>
      <c r="AS65" s="26">
        <f t="shared" si="26"/>
        <v>-50768.3</v>
      </c>
      <c r="AT65" s="26">
        <f t="shared" si="26"/>
        <v>-50768.3</v>
      </c>
      <c r="AU65" s="26">
        <f t="shared" si="26"/>
        <v>-50768.3</v>
      </c>
      <c r="AV65" s="26">
        <f t="shared" si="26"/>
        <v>-50768.3</v>
      </c>
      <c r="AW65" s="26">
        <f t="shared" si="26"/>
        <v>-75128.900000000009</v>
      </c>
      <c r="AX65" s="26">
        <f t="shared" si="26"/>
        <v>-50768.3</v>
      </c>
      <c r="AY65" s="26">
        <f t="shared" si="26"/>
        <v>-50768.3</v>
      </c>
      <c r="AZ65" s="26">
        <f t="shared" ref="AZ65:BP65" si="27">AZ12</f>
        <v>-50768.3</v>
      </c>
      <c r="BA65" s="26">
        <f t="shared" si="27"/>
        <v>-50768.3</v>
      </c>
      <c r="BB65" s="26">
        <f t="shared" si="27"/>
        <v>-50768.3</v>
      </c>
      <c r="BC65" s="26">
        <f t="shared" si="27"/>
        <v>-75128.900000000009</v>
      </c>
      <c r="BD65" s="26">
        <f t="shared" si="27"/>
        <v>-53075.95</v>
      </c>
      <c r="BE65" s="26">
        <f t="shared" si="27"/>
        <v>-53075.95</v>
      </c>
      <c r="BF65" s="26">
        <f t="shared" si="27"/>
        <v>-53075.95</v>
      </c>
      <c r="BG65" s="26">
        <f t="shared" si="27"/>
        <v>-53075.95</v>
      </c>
      <c r="BH65" s="26">
        <f t="shared" si="27"/>
        <v>-53075.95</v>
      </c>
      <c r="BI65" s="26">
        <f t="shared" si="27"/>
        <v>-78543.850000000006</v>
      </c>
      <c r="BJ65" s="26">
        <f t="shared" si="27"/>
        <v>-53075.95</v>
      </c>
      <c r="BK65" s="26">
        <f t="shared" si="27"/>
        <v>-53075.95</v>
      </c>
      <c r="BL65" s="26">
        <f t="shared" si="27"/>
        <v>-53075.95</v>
      </c>
      <c r="BM65" s="26">
        <f t="shared" si="27"/>
        <v>-53075.95</v>
      </c>
      <c r="BN65" s="26">
        <f t="shared" si="27"/>
        <v>-53075.95</v>
      </c>
      <c r="BO65" s="26">
        <f t="shared" si="27"/>
        <v>-78543.850000000006</v>
      </c>
      <c r="BP65" s="26">
        <f t="shared" si="27"/>
        <v>-78543.850000000006</v>
      </c>
      <c r="BR65" s="17" t="s">
        <v>39</v>
      </c>
      <c r="BS65" s="55">
        <f>SUM(Tabla715[[#This Row],[Month 1 ]:[Month 49]])</f>
        <v>-2501937.8500000015</v>
      </c>
    </row>
    <row r="66" spans="3:71" ht="15" customHeight="1" thickBot="1" x14ac:dyDescent="0.4">
      <c r="C66" s="254"/>
      <c r="D66" s="255"/>
      <c r="E66" s="255"/>
      <c r="F66" s="255"/>
      <c r="G66" s="256"/>
      <c r="R66" s="51"/>
      <c r="S66" s="7" t="s">
        <v>116</v>
      </c>
      <c r="T66" s="26">
        <f t="shared" ref="T66:AY66" si="28">T13</f>
        <v>0</v>
      </c>
      <c r="U66" s="26">
        <f t="shared" si="28"/>
        <v>0</v>
      </c>
      <c r="V66" s="26">
        <f t="shared" si="28"/>
        <v>0</v>
      </c>
      <c r="W66" s="26">
        <f t="shared" si="28"/>
        <v>0</v>
      </c>
      <c r="X66" s="26">
        <f t="shared" si="28"/>
        <v>0</v>
      </c>
      <c r="Y66" s="26">
        <f t="shared" si="28"/>
        <v>0</v>
      </c>
      <c r="Z66" s="26">
        <f t="shared" si="28"/>
        <v>0</v>
      </c>
      <c r="AA66" s="26">
        <f t="shared" si="28"/>
        <v>0</v>
      </c>
      <c r="AB66" s="26">
        <f t="shared" ca="1" si="28"/>
        <v>-6894</v>
      </c>
      <c r="AC66" s="26">
        <f t="shared" ca="1" si="28"/>
        <v>-4194</v>
      </c>
      <c r="AD66" s="26">
        <f t="shared" ca="1" si="28"/>
        <v>-1908</v>
      </c>
      <c r="AE66" s="26">
        <f t="shared" ca="1" si="28"/>
        <v>-1926</v>
      </c>
      <c r="AF66" s="26">
        <f t="shared" ca="1" si="28"/>
        <v>-1950</v>
      </c>
      <c r="AG66" s="26">
        <f t="shared" ca="1" si="28"/>
        <v>-2172</v>
      </c>
      <c r="AH66" s="26">
        <f t="shared" ca="1" si="28"/>
        <v>-2196</v>
      </c>
      <c r="AI66" s="26">
        <f t="shared" ca="1" si="28"/>
        <v>-2208</v>
      </c>
      <c r="AJ66" s="26">
        <f t="shared" ca="1" si="28"/>
        <v>-2436</v>
      </c>
      <c r="AK66" s="26">
        <f t="shared" ca="1" si="28"/>
        <v>-2454</v>
      </c>
      <c r="AL66" s="26">
        <f t="shared" ca="1" si="28"/>
        <v>-2472</v>
      </c>
      <c r="AM66" s="26">
        <f t="shared" ca="1" si="28"/>
        <v>-2688</v>
      </c>
      <c r="AN66" s="26">
        <f t="shared" ca="1" si="28"/>
        <v>-2700</v>
      </c>
      <c r="AO66" s="26">
        <f t="shared" ca="1" si="28"/>
        <v>-3762</v>
      </c>
      <c r="AP66" s="26">
        <f t="shared" ca="1" si="28"/>
        <v>-2952</v>
      </c>
      <c r="AQ66" s="26">
        <f t="shared" ca="1" si="28"/>
        <v>-2958</v>
      </c>
      <c r="AR66" s="26">
        <f t="shared" ca="1" si="28"/>
        <v>-2970</v>
      </c>
      <c r="AS66" s="26">
        <f t="shared" ca="1" si="28"/>
        <v>-3204</v>
      </c>
      <c r="AT66" s="26">
        <f t="shared" ca="1" si="28"/>
        <v>-3210</v>
      </c>
      <c r="AU66" s="26">
        <f t="shared" ca="1" si="28"/>
        <v>-3216</v>
      </c>
      <c r="AV66" s="26">
        <f t="shared" ca="1" si="28"/>
        <v>-3444</v>
      </c>
      <c r="AW66" s="26">
        <f t="shared" ca="1" si="28"/>
        <v>-3450</v>
      </c>
      <c r="AX66" s="26">
        <f t="shared" ca="1" si="28"/>
        <v>-3450</v>
      </c>
      <c r="AY66" s="26">
        <f t="shared" ca="1" si="28"/>
        <v>-3696</v>
      </c>
      <c r="AZ66" s="26">
        <f t="shared" ref="AZ66:BP66" ca="1" si="29">AZ13</f>
        <v>-3690</v>
      </c>
      <c r="BA66" s="26">
        <f t="shared" ca="1" si="29"/>
        <v>-4656</v>
      </c>
      <c r="BB66" s="26">
        <f t="shared" ca="1" si="29"/>
        <v>-3918</v>
      </c>
      <c r="BC66" s="26">
        <f t="shared" ca="1" si="29"/>
        <v>-3912</v>
      </c>
      <c r="BD66" s="26">
        <f t="shared" ca="1" si="29"/>
        <v>-3906</v>
      </c>
      <c r="BE66" s="26">
        <f t="shared" ca="1" si="29"/>
        <v>-4134</v>
      </c>
      <c r="BF66" s="26">
        <f t="shared" ca="1" si="29"/>
        <v>-4122</v>
      </c>
      <c r="BG66" s="26">
        <f t="shared" ca="1" si="29"/>
        <v>-4110</v>
      </c>
      <c r="BH66" s="26">
        <f t="shared" ca="1" si="29"/>
        <v>-2286</v>
      </c>
      <c r="BI66" s="26">
        <f t="shared" ca="1" si="29"/>
        <v>-2472</v>
      </c>
      <c r="BJ66" s="26">
        <f t="shared" ca="1" si="29"/>
        <v>-2484</v>
      </c>
      <c r="BK66" s="26">
        <f t="shared" ca="1" si="29"/>
        <v>-2496</v>
      </c>
      <c r="BL66" s="26">
        <f t="shared" ca="1" si="29"/>
        <v>-2676</v>
      </c>
      <c r="BM66" s="26">
        <f t="shared" ca="1" si="29"/>
        <v>-3564</v>
      </c>
      <c r="BN66" s="26">
        <f t="shared" ca="1" si="29"/>
        <v>-2682</v>
      </c>
      <c r="BO66" s="26">
        <f t="shared" ca="1" si="29"/>
        <v>-2862</v>
      </c>
      <c r="BP66" s="26">
        <f t="shared" ca="1" si="29"/>
        <v>-2862</v>
      </c>
      <c r="BR66" s="70" t="s">
        <v>116</v>
      </c>
      <c r="BS66" s="55">
        <f ca="1">SUM(Tabla715[[#This Row],[Month 1 ]:[Month 49]])</f>
        <v>-129342</v>
      </c>
    </row>
    <row r="67" spans="3:71" ht="15" thickBot="1" x14ac:dyDescent="0.4">
      <c r="C67" s="244"/>
      <c r="D67" s="244"/>
      <c r="E67" s="244"/>
      <c r="F67" s="244"/>
      <c r="G67" s="244"/>
      <c r="R67" s="51"/>
      <c r="S67" s="2" t="s">
        <v>115</v>
      </c>
      <c r="T67" s="26">
        <f t="shared" ref="T67:AY67" si="30">T14</f>
        <v>0</v>
      </c>
      <c r="U67" s="26">
        <f t="shared" si="30"/>
        <v>0</v>
      </c>
      <c r="V67" s="26">
        <f t="shared" si="30"/>
        <v>0</v>
      </c>
      <c r="W67" s="26">
        <f t="shared" si="30"/>
        <v>0</v>
      </c>
      <c r="X67" s="26">
        <f t="shared" si="30"/>
        <v>0</v>
      </c>
      <c r="Y67" s="26">
        <f t="shared" si="30"/>
        <v>0</v>
      </c>
      <c r="Z67" s="26">
        <f t="shared" si="30"/>
        <v>0</v>
      </c>
      <c r="AA67" s="26">
        <f t="shared" si="30"/>
        <v>0</v>
      </c>
      <c r="AB67" s="26">
        <f t="shared" ca="1" si="30"/>
        <v>-832.32</v>
      </c>
      <c r="AC67" s="26">
        <f t="shared" ca="1" si="30"/>
        <v>-1248.48</v>
      </c>
      <c r="AD67" s="26">
        <f t="shared" ca="1" si="30"/>
        <v>-1456.5600000000002</v>
      </c>
      <c r="AE67" s="26">
        <f t="shared" ca="1" si="30"/>
        <v>-1664.64</v>
      </c>
      <c r="AF67" s="26">
        <f t="shared" ca="1" si="30"/>
        <v>-1872.72</v>
      </c>
      <c r="AG67" s="26">
        <f t="shared" ca="1" si="30"/>
        <v>-2080.8000000000002</v>
      </c>
      <c r="AH67" s="26">
        <f t="shared" ca="1" si="30"/>
        <v>-2392.92</v>
      </c>
      <c r="AI67" s="26">
        <f t="shared" ca="1" si="30"/>
        <v>-2601</v>
      </c>
      <c r="AJ67" s="26">
        <f t="shared" ca="1" si="30"/>
        <v>-2809.0800000000004</v>
      </c>
      <c r="AK67" s="26">
        <f t="shared" ca="1" si="30"/>
        <v>-3121.2000000000003</v>
      </c>
      <c r="AL67" s="26">
        <f t="shared" ca="1" si="30"/>
        <v>-3433.32</v>
      </c>
      <c r="AM67" s="26">
        <f t="shared" ca="1" si="30"/>
        <v>-3641.4</v>
      </c>
      <c r="AN67" s="26">
        <f t="shared" ca="1" si="30"/>
        <v>-3953.5200000000004</v>
      </c>
      <c r="AO67" s="26">
        <f t="shared" ca="1" si="30"/>
        <v>-4369.68</v>
      </c>
      <c r="AP67" s="26">
        <f t="shared" ca="1" si="30"/>
        <v>-4681.8</v>
      </c>
      <c r="AQ67" s="26">
        <f t="shared" ca="1" si="30"/>
        <v>-4993.92</v>
      </c>
      <c r="AR67" s="26">
        <f t="shared" ca="1" si="30"/>
        <v>-5306.04</v>
      </c>
      <c r="AS67" s="26">
        <f t="shared" ca="1" si="30"/>
        <v>-5722.2000000000007</v>
      </c>
      <c r="AT67" s="26">
        <f t="shared" ca="1" si="30"/>
        <v>-6034.3200000000006</v>
      </c>
      <c r="AU67" s="26">
        <f t="shared" ca="1" si="30"/>
        <v>-6346.4400000000005</v>
      </c>
      <c r="AV67" s="26">
        <f t="shared" ca="1" si="30"/>
        <v>-6762.6</v>
      </c>
      <c r="AW67" s="26">
        <f t="shared" ca="1" si="30"/>
        <v>-7178.76</v>
      </c>
      <c r="AX67" s="26">
        <f t="shared" ca="1" si="30"/>
        <v>-7490.88</v>
      </c>
      <c r="AY67" s="26">
        <f t="shared" ca="1" si="30"/>
        <v>-7907.0400000000009</v>
      </c>
      <c r="AZ67" s="26">
        <f t="shared" ref="AZ67:BP67" ca="1" si="31">AZ14</f>
        <v>-8323.2000000000007</v>
      </c>
      <c r="BA67" s="26">
        <f t="shared" ca="1" si="31"/>
        <v>-8843.4</v>
      </c>
      <c r="BB67" s="26">
        <f t="shared" ca="1" si="31"/>
        <v>-9259.5600000000013</v>
      </c>
      <c r="BC67" s="26">
        <f t="shared" ca="1" si="31"/>
        <v>-9675.7200000000012</v>
      </c>
      <c r="BD67" s="26">
        <f t="shared" ca="1" si="31"/>
        <v>-10091.880000000001</v>
      </c>
      <c r="BE67" s="26">
        <f t="shared" ca="1" si="31"/>
        <v>-10508.04</v>
      </c>
      <c r="BF67" s="26">
        <f t="shared" ca="1" si="31"/>
        <v>-10924.2</v>
      </c>
      <c r="BG67" s="26">
        <f t="shared" ca="1" si="31"/>
        <v>-11444.400000000001</v>
      </c>
      <c r="BH67" s="26">
        <f t="shared" ca="1" si="31"/>
        <v>-11652.480000000001</v>
      </c>
      <c r="BI67" s="26">
        <f t="shared" ca="1" si="31"/>
        <v>-11964.6</v>
      </c>
      <c r="BJ67" s="26">
        <f t="shared" ca="1" si="31"/>
        <v>-12172.68</v>
      </c>
      <c r="BK67" s="26">
        <f t="shared" ca="1" si="31"/>
        <v>-12484.800000000001</v>
      </c>
      <c r="BL67" s="26">
        <f t="shared" ca="1" si="31"/>
        <v>-12796.92</v>
      </c>
      <c r="BM67" s="26">
        <f t="shared" ca="1" si="31"/>
        <v>-13109.04</v>
      </c>
      <c r="BN67" s="26">
        <f t="shared" ca="1" si="31"/>
        <v>-13421.160000000002</v>
      </c>
      <c r="BO67" s="26">
        <f t="shared" ca="1" si="31"/>
        <v>-13733.28</v>
      </c>
      <c r="BP67" s="26">
        <f t="shared" ca="1" si="31"/>
        <v>-14045.400000000001</v>
      </c>
      <c r="BR67" s="69" t="s">
        <v>115</v>
      </c>
      <c r="BS67" s="55">
        <f ca="1">SUM(Tabla715[[#This Row],[Month 1 ]:[Month 49]])</f>
        <v>-292352.40000000008</v>
      </c>
    </row>
    <row r="68" spans="3:71" ht="16" thickBot="1" x14ac:dyDescent="0.4">
      <c r="C68" s="108" t="s">
        <v>302</v>
      </c>
      <c r="D68" s="109"/>
      <c r="E68" s="236"/>
      <c r="F68" s="108" t="s">
        <v>306</v>
      </c>
      <c r="G68" s="109"/>
      <c r="R68" s="51"/>
      <c r="S68" t="s">
        <v>41</v>
      </c>
      <c r="T68" s="26">
        <f t="shared" ref="T68:AY68" si="32">T15</f>
        <v>0</v>
      </c>
      <c r="U68" s="26">
        <f t="shared" si="32"/>
        <v>0</v>
      </c>
      <c r="V68" s="26">
        <f t="shared" si="32"/>
        <v>0</v>
      </c>
      <c r="W68" s="26">
        <f t="shared" si="32"/>
        <v>0</v>
      </c>
      <c r="X68" s="26">
        <f t="shared" si="32"/>
        <v>0</v>
      </c>
      <c r="Y68" s="26">
        <f t="shared" si="32"/>
        <v>0</v>
      </c>
      <c r="Z68" s="26">
        <f t="shared" si="32"/>
        <v>-105698.80623946873</v>
      </c>
      <c r="AA68" s="26">
        <f t="shared" si="32"/>
        <v>-106572.35009268748</v>
      </c>
      <c r="AB68" s="26">
        <f t="shared" ca="1" si="32"/>
        <v>-106121.84814590623</v>
      </c>
      <c r="AC68" s="26">
        <f t="shared" ca="1" si="32"/>
        <v>-20549.436077250004</v>
      </c>
      <c r="AD68" s="26">
        <f t="shared" ca="1" si="32"/>
        <v>-21331.273830468752</v>
      </c>
      <c r="AE68" s="26">
        <f t="shared" ca="1" si="32"/>
        <v>-22106.286883687502</v>
      </c>
      <c r="AF68" s="26">
        <f t="shared" ca="1" si="32"/>
        <v>-22874.394686906253</v>
      </c>
      <c r="AG68" s="26">
        <f t="shared" ca="1" si="32"/>
        <v>-23626.569490125003</v>
      </c>
      <c r="AH68" s="26">
        <f t="shared" ca="1" si="32"/>
        <v>-24371.086793343755</v>
      </c>
      <c r="AI68" s="26">
        <f t="shared" ca="1" si="32"/>
        <v>-25107.870096562507</v>
      </c>
      <c r="AJ68" s="26">
        <f t="shared" ca="1" si="32"/>
        <v>-25826.944849781255</v>
      </c>
      <c r="AK68" s="26">
        <f t="shared" ca="1" si="32"/>
        <v>-26537.580903000005</v>
      </c>
      <c r="AL68" s="26">
        <f t="shared" ca="1" si="32"/>
        <v>-27239.714806218755</v>
      </c>
      <c r="AM68" s="26">
        <f t="shared" ca="1" si="32"/>
        <v>-27922.437209437507</v>
      </c>
      <c r="AN68" s="26">
        <f t="shared" ca="1" si="32"/>
        <v>-61277.126491406263</v>
      </c>
      <c r="AO68" s="26">
        <f t="shared" ca="1" si="32"/>
        <v>-29201.524315875009</v>
      </c>
      <c r="AP68" s="26">
        <f t="shared" ca="1" si="32"/>
        <v>-29842.303869093757</v>
      </c>
      <c r="AQ68" s="26">
        <f t="shared" ca="1" si="32"/>
        <v>-30473.23562231251</v>
      </c>
      <c r="AR68" s="26">
        <f t="shared" ca="1" si="32"/>
        <v>-31094.292575531257</v>
      </c>
      <c r="AS68" s="26">
        <f t="shared" ca="1" si="32"/>
        <v>-31691.50612875001</v>
      </c>
      <c r="AT68" s="26">
        <f t="shared" ca="1" si="32"/>
        <v>-32278.260781968762</v>
      </c>
      <c r="AU68" s="26">
        <f t="shared" ca="1" si="32"/>
        <v>-32854.542135187512</v>
      </c>
      <c r="AV68" s="26">
        <f t="shared" ca="1" si="32"/>
        <v>-33405.47678840626</v>
      </c>
      <c r="AW68" s="26">
        <f t="shared" ca="1" si="32"/>
        <v>-33945.421541625015</v>
      </c>
      <c r="AX68" s="26">
        <f t="shared" ca="1" si="32"/>
        <v>-34474.387644843766</v>
      </c>
      <c r="AY68" s="26">
        <f t="shared" ca="1" si="32"/>
        <v>-34975.200848062515</v>
      </c>
      <c r="AZ68" s="26">
        <f t="shared" ref="AZ68:BP68" ca="1" si="33">AZ15</f>
        <v>-65647.159630031267</v>
      </c>
      <c r="BA68" s="26">
        <f t="shared" ca="1" si="33"/>
        <v>-35870.059354500016</v>
      </c>
      <c r="BB68" s="26">
        <f t="shared" ca="1" si="33"/>
        <v>-36317.582507718762</v>
      </c>
      <c r="BC68" s="26">
        <f t="shared" ca="1" si="33"/>
        <v>-36753.32016093751</v>
      </c>
      <c r="BD68" s="26">
        <f t="shared" ca="1" si="33"/>
        <v>-37177.32991415626</v>
      </c>
      <c r="BE68" s="26">
        <f t="shared" ca="1" si="33"/>
        <v>-37570.826967375011</v>
      </c>
      <c r="BF68" s="26">
        <f t="shared" ca="1" si="33"/>
        <v>-37952.303770593768</v>
      </c>
      <c r="BG68" s="26">
        <f t="shared" ca="1" si="33"/>
        <v>-38321.858873812518</v>
      </c>
      <c r="BH68" s="26">
        <f t="shared" ca="1" si="33"/>
        <v>-38835.131677031262</v>
      </c>
      <c r="BI68" s="26">
        <f t="shared" ca="1" si="33"/>
        <v>-39325.000580250009</v>
      </c>
      <c r="BJ68" s="26">
        <f t="shared" ca="1" si="33"/>
        <v>-39806.292183468766</v>
      </c>
      <c r="BK68" s="26">
        <f t="shared" ca="1" si="33"/>
        <v>-40278.996286687514</v>
      </c>
      <c r="BL68" s="26">
        <f t="shared" ca="1" si="33"/>
        <v>-68338.685568656263</v>
      </c>
      <c r="BM68" s="26">
        <f t="shared" ca="1" si="33"/>
        <v>-41083.386193125014</v>
      </c>
      <c r="BN68" s="26">
        <f t="shared" ca="1" si="33"/>
        <v>-41512.632146343763</v>
      </c>
      <c r="BO68" s="26">
        <f t="shared" ca="1" si="33"/>
        <v>-41916.240999562513</v>
      </c>
      <c r="BP68" s="26">
        <f t="shared" ca="1" si="33"/>
        <v>-42310.548202781269</v>
      </c>
      <c r="BR68" s="17" t="s">
        <v>41</v>
      </c>
      <c r="BS68" s="55">
        <f ca="1">SUM(Tabla715[[#This Row],[Month 1 ]:[Month 49]])</f>
        <v>-1720417.2338649381</v>
      </c>
    </row>
    <row r="69" spans="3:71" ht="15" thickBot="1" x14ac:dyDescent="0.4">
      <c r="C69" s="104" t="s">
        <v>176</v>
      </c>
      <c r="D69" s="120">
        <v>150000</v>
      </c>
      <c r="E69" s="236"/>
      <c r="F69" s="114" t="s">
        <v>304</v>
      </c>
      <c r="G69" s="115"/>
      <c r="R69" s="51"/>
      <c r="S69" t="s">
        <v>172</v>
      </c>
      <c r="T69" s="26">
        <f t="shared" ref="T69:AY69" si="34">T16</f>
        <v>0</v>
      </c>
      <c r="U69" s="26">
        <f t="shared" si="34"/>
        <v>-4800</v>
      </c>
      <c r="V69" s="26">
        <f t="shared" si="34"/>
        <v>-4800</v>
      </c>
      <c r="W69" s="26">
        <f t="shared" si="34"/>
        <v>-4800</v>
      </c>
      <c r="X69" s="26">
        <f t="shared" si="34"/>
        <v>-4800</v>
      </c>
      <c r="Y69" s="26">
        <f t="shared" si="34"/>
        <v>-4800</v>
      </c>
      <c r="Z69" s="26">
        <f t="shared" si="34"/>
        <v>-4800</v>
      </c>
      <c r="AA69" s="26">
        <f t="shared" si="34"/>
        <v>-4800</v>
      </c>
      <c r="AB69" s="26">
        <f t="shared" si="34"/>
        <v>-4800</v>
      </c>
      <c r="AC69" s="26">
        <f t="shared" si="34"/>
        <v>-4800</v>
      </c>
      <c r="AD69" s="26">
        <f t="shared" si="34"/>
        <v>-4800</v>
      </c>
      <c r="AE69" s="26">
        <f t="shared" si="34"/>
        <v>-4800</v>
      </c>
      <c r="AF69" s="26">
        <f t="shared" si="34"/>
        <v>-4800</v>
      </c>
      <c r="AG69" s="26">
        <f t="shared" si="34"/>
        <v>-4800</v>
      </c>
      <c r="AH69" s="26">
        <f t="shared" si="34"/>
        <v>-4800</v>
      </c>
      <c r="AI69" s="26">
        <f t="shared" si="34"/>
        <v>-4800</v>
      </c>
      <c r="AJ69" s="26">
        <f t="shared" si="34"/>
        <v>-4800</v>
      </c>
      <c r="AK69" s="26">
        <f t="shared" si="34"/>
        <v>-4800</v>
      </c>
      <c r="AL69" s="26">
        <f t="shared" si="34"/>
        <v>-4800</v>
      </c>
      <c r="AM69" s="26">
        <f t="shared" si="34"/>
        <v>-4800</v>
      </c>
      <c r="AN69" s="26">
        <f t="shared" si="34"/>
        <v>-4800</v>
      </c>
      <c r="AO69" s="26">
        <f t="shared" si="34"/>
        <v>-4800</v>
      </c>
      <c r="AP69" s="26">
        <f t="shared" si="34"/>
        <v>-4800</v>
      </c>
      <c r="AQ69" s="26">
        <f t="shared" si="34"/>
        <v>-4800</v>
      </c>
      <c r="AR69" s="26">
        <f t="shared" si="34"/>
        <v>-4800</v>
      </c>
      <c r="AS69" s="26">
        <f t="shared" si="34"/>
        <v>-4800</v>
      </c>
      <c r="AT69" s="26">
        <f t="shared" si="34"/>
        <v>-4800</v>
      </c>
      <c r="AU69" s="26">
        <f t="shared" si="34"/>
        <v>-4800</v>
      </c>
      <c r="AV69" s="26">
        <f t="shared" si="34"/>
        <v>-4800</v>
      </c>
      <c r="AW69" s="26">
        <f t="shared" si="34"/>
        <v>-4800</v>
      </c>
      <c r="AX69" s="26">
        <f t="shared" si="34"/>
        <v>-4800</v>
      </c>
      <c r="AY69" s="26">
        <f t="shared" si="34"/>
        <v>-4800</v>
      </c>
      <c r="AZ69" s="26">
        <f t="shared" ref="AZ69:BP69" si="35">AZ16</f>
        <v>-4800</v>
      </c>
      <c r="BA69" s="26">
        <f t="shared" si="35"/>
        <v>-4800</v>
      </c>
      <c r="BB69" s="26">
        <f t="shared" si="35"/>
        <v>-4800</v>
      </c>
      <c r="BC69" s="26">
        <f t="shared" si="35"/>
        <v>-4800</v>
      </c>
      <c r="BD69" s="26">
        <f t="shared" si="35"/>
        <v>-4800</v>
      </c>
      <c r="BE69" s="26">
        <f t="shared" si="35"/>
        <v>-4800</v>
      </c>
      <c r="BF69" s="26">
        <f t="shared" si="35"/>
        <v>-4800</v>
      </c>
      <c r="BG69" s="26">
        <f t="shared" si="35"/>
        <v>-4800</v>
      </c>
      <c r="BH69" s="26">
        <f t="shared" si="35"/>
        <v>-4800</v>
      </c>
      <c r="BI69" s="26">
        <f t="shared" si="35"/>
        <v>-4800</v>
      </c>
      <c r="BJ69" s="26">
        <f t="shared" si="35"/>
        <v>-4800</v>
      </c>
      <c r="BK69" s="26">
        <f t="shared" si="35"/>
        <v>-4800</v>
      </c>
      <c r="BL69" s="26">
        <f t="shared" si="35"/>
        <v>-4800</v>
      </c>
      <c r="BM69" s="26">
        <f t="shared" si="35"/>
        <v>-4800</v>
      </c>
      <c r="BN69" s="26">
        <f t="shared" si="35"/>
        <v>-4800</v>
      </c>
      <c r="BO69" s="26">
        <f t="shared" si="35"/>
        <v>-4800</v>
      </c>
      <c r="BP69" s="26">
        <f t="shared" si="35"/>
        <v>-4799</v>
      </c>
      <c r="BR69" s="17" t="s">
        <v>172</v>
      </c>
      <c r="BS69" s="55">
        <f>SUM(Tabla715[[#This Row],[Month 1 ]:[Month 49]])</f>
        <v>-230399</v>
      </c>
    </row>
    <row r="70" spans="3:71" ht="15" thickBot="1" x14ac:dyDescent="0.4">
      <c r="C70" s="105" t="s">
        <v>175</v>
      </c>
      <c r="D70" s="120">
        <v>100000</v>
      </c>
      <c r="E70" s="236"/>
      <c r="F70" s="104" t="s">
        <v>138</v>
      </c>
      <c r="G70" s="123">
        <v>104.04</v>
      </c>
      <c r="R70" s="51"/>
      <c r="S70" s="6" t="s">
        <v>359</v>
      </c>
      <c r="T70" s="26">
        <f t="shared" ref="T70:AY70" si="36">T17</f>
        <v>0</v>
      </c>
      <c r="U70" s="26">
        <f t="shared" si="36"/>
        <v>0</v>
      </c>
      <c r="V70" s="26">
        <f t="shared" si="36"/>
        <v>0</v>
      </c>
      <c r="W70" s="26">
        <f t="shared" si="36"/>
        <v>0</v>
      </c>
      <c r="X70" s="26">
        <f t="shared" si="36"/>
        <v>0</v>
      </c>
      <c r="Y70" s="26">
        <f t="shared" si="36"/>
        <v>0</v>
      </c>
      <c r="Z70" s="26">
        <f t="shared" si="36"/>
        <v>0</v>
      </c>
      <c r="AA70" s="26">
        <f t="shared" si="36"/>
        <v>0</v>
      </c>
      <c r="AB70" s="26">
        <f t="shared" ca="1" si="36"/>
        <v>-7723.3499999999995</v>
      </c>
      <c r="AC70" s="26">
        <f t="shared" ca="1" si="36"/>
        <v>-8984.1224999999995</v>
      </c>
      <c r="AD70" s="26">
        <f t="shared" ca="1" si="36"/>
        <v>-9029.0249999999978</v>
      </c>
      <c r="AE70" s="26">
        <f t="shared" ca="1" si="36"/>
        <v>-10234.987499999999</v>
      </c>
      <c r="AF70" s="26">
        <f t="shared" ca="1" si="36"/>
        <v>-11458.867499999998</v>
      </c>
      <c r="AG70" s="26">
        <f t="shared" ca="1" si="36"/>
        <v>-12920.302499999998</v>
      </c>
      <c r="AH70" s="26">
        <f t="shared" ca="1" si="36"/>
        <v>-14294.924999999997</v>
      </c>
      <c r="AI70" s="26">
        <f t="shared" ca="1" si="36"/>
        <v>-15674.009999999998</v>
      </c>
      <c r="AJ70" s="26">
        <f t="shared" ca="1" si="36"/>
        <v>-17301.12</v>
      </c>
      <c r="AK70" s="26">
        <f t="shared" ca="1" si="36"/>
        <v>-18833.939999999999</v>
      </c>
      <c r="AL70" s="26">
        <f t="shared" ca="1" si="36"/>
        <v>-20377.207499999997</v>
      </c>
      <c r="AM70" s="26">
        <f t="shared" ca="1" si="36"/>
        <v>-22155.044999999998</v>
      </c>
      <c r="AN70" s="26">
        <f t="shared" ca="1" si="36"/>
        <v>-23840.092499999995</v>
      </c>
      <c r="AO70" s="26">
        <f t="shared" ca="1" si="36"/>
        <v>-26708.512499999993</v>
      </c>
      <c r="AP70" s="26">
        <f t="shared" ca="1" si="36"/>
        <v>-28137.314999999995</v>
      </c>
      <c r="AQ70" s="26">
        <f t="shared" ca="1" si="36"/>
        <v>-29979.067499999997</v>
      </c>
      <c r="AR70" s="26">
        <f t="shared" ca="1" si="36"/>
        <v>-31831.274999999998</v>
      </c>
      <c r="AS70" s="26">
        <f t="shared" ca="1" si="36"/>
        <v>-33938.977499999994</v>
      </c>
      <c r="AT70" s="26">
        <f t="shared" ca="1" si="36"/>
        <v>-35937.442499999997</v>
      </c>
      <c r="AU70" s="26">
        <f t="shared" ca="1" si="36"/>
        <v>-37938.892499999994</v>
      </c>
      <c r="AV70" s="26">
        <f t="shared" ca="1" si="36"/>
        <v>-40194.344999999994</v>
      </c>
      <c r="AW70" s="26">
        <f t="shared" ca="1" si="36"/>
        <v>-42340.56749999999</v>
      </c>
      <c r="AX70" s="26">
        <f t="shared" ca="1" si="36"/>
        <v>-44485.289999999994</v>
      </c>
      <c r="AY70" s="26">
        <f t="shared" ca="1" si="36"/>
        <v>-46903.447499999995</v>
      </c>
      <c r="AZ70" s="26">
        <f t="shared" ref="AZ70:BP70" ca="1" si="37">AZ17</f>
        <v>-49194.427499999998</v>
      </c>
      <c r="BA70" s="26">
        <f t="shared" ca="1" si="37"/>
        <v>-52570.177499999998</v>
      </c>
      <c r="BB70" s="26">
        <f t="shared" ca="1" si="37"/>
        <v>-54637.859999999993</v>
      </c>
      <c r="BC70" s="26">
        <f t="shared" ca="1" si="37"/>
        <v>-57066.15</v>
      </c>
      <c r="BD70" s="26">
        <f t="shared" ca="1" si="37"/>
        <v>-59489.962499999994</v>
      </c>
      <c r="BE70" s="26">
        <f t="shared" ca="1" si="37"/>
        <v>-62172.27</v>
      </c>
      <c r="BF70" s="26">
        <f t="shared" ca="1" si="37"/>
        <v>-64727.414999999994</v>
      </c>
      <c r="BG70" s="26">
        <f t="shared" ca="1" si="37"/>
        <v>-67275.097499999989</v>
      </c>
      <c r="BH70" s="26">
        <f t="shared" ca="1" si="37"/>
        <v>-67786.237500000003</v>
      </c>
      <c r="BI70" s="26">
        <f t="shared" ca="1" si="37"/>
        <v>-69416.28</v>
      </c>
      <c r="BJ70" s="26">
        <f t="shared" ca="1" si="37"/>
        <v>-70964.017499999987</v>
      </c>
      <c r="BK70" s="26">
        <f t="shared" ca="1" si="37"/>
        <v>-72519.217499999984</v>
      </c>
      <c r="BL70" s="26">
        <f t="shared" ca="1" si="37"/>
        <v>-74270.14499999999</v>
      </c>
      <c r="BM70" s="26">
        <f t="shared" ca="1" si="37"/>
        <v>-76929.397499999992</v>
      </c>
      <c r="BN70" s="26">
        <f t="shared" ca="1" si="37"/>
        <v>-78156.622499999998</v>
      </c>
      <c r="BO70" s="26">
        <f t="shared" ca="1" si="37"/>
        <v>-80023.964999999997</v>
      </c>
      <c r="BP70" s="26">
        <f t="shared" ca="1" si="37"/>
        <v>-81803.024999999994</v>
      </c>
      <c r="BR70" s="17" t="s">
        <v>363</v>
      </c>
      <c r="BS70" s="55">
        <f ca="1">SUM(Tabla715[[#This Row],[Month 1 ]:[Month 49]])</f>
        <v>-1730224.3950000003</v>
      </c>
    </row>
    <row r="71" spans="3:71" ht="15" thickBot="1" x14ac:dyDescent="0.4">
      <c r="C71" s="106" t="s">
        <v>230</v>
      </c>
      <c r="D71" s="122">
        <v>50000</v>
      </c>
      <c r="E71" s="236"/>
      <c r="F71" s="106" t="s">
        <v>133</v>
      </c>
      <c r="G71" s="117">
        <v>0.1</v>
      </c>
      <c r="R71" s="73" t="s">
        <v>117</v>
      </c>
      <c r="S71" s="7" t="s">
        <v>174</v>
      </c>
      <c r="T71" s="26">
        <f t="shared" ref="T71:AY71" ca="1" si="38">T18</f>
        <v>0</v>
      </c>
      <c r="U71" s="26">
        <f t="shared" ca="1" si="38"/>
        <v>0</v>
      </c>
      <c r="V71" s="26">
        <f t="shared" ca="1" si="38"/>
        <v>0</v>
      </c>
      <c r="W71" s="26">
        <f t="shared" ca="1" si="38"/>
        <v>0</v>
      </c>
      <c r="X71" s="26">
        <f t="shared" ca="1" si="38"/>
        <v>0</v>
      </c>
      <c r="Y71" s="26">
        <f t="shared" ca="1" si="38"/>
        <v>-5190.4761904761899</v>
      </c>
      <c r="Z71" s="26">
        <f t="shared" ca="1" si="38"/>
        <v>-5190.4761904761899</v>
      </c>
      <c r="AA71" s="26">
        <f t="shared" ca="1" si="38"/>
        <v>-5190.4761904761899</v>
      </c>
      <c r="AB71" s="26">
        <f t="shared" ca="1" si="38"/>
        <v>-5190.4761904761899</v>
      </c>
      <c r="AC71" s="26">
        <f t="shared" ca="1" si="38"/>
        <v>-5190.4761904761899</v>
      </c>
      <c r="AD71" s="26">
        <f t="shared" ca="1" si="38"/>
        <v>-5190.4761904761899</v>
      </c>
      <c r="AE71" s="26">
        <f t="shared" ca="1" si="38"/>
        <v>-5190.4761904761899</v>
      </c>
      <c r="AF71" s="26">
        <f t="shared" ca="1" si="38"/>
        <v>-5190.4761904761899</v>
      </c>
      <c r="AG71" s="26">
        <f t="shared" ca="1" si="38"/>
        <v>-5190.4761904761899</v>
      </c>
      <c r="AH71" s="26">
        <f t="shared" ca="1" si="38"/>
        <v>-5190.4761904761899</v>
      </c>
      <c r="AI71" s="26">
        <f t="shared" ca="1" si="38"/>
        <v>-5190.4761904761899</v>
      </c>
      <c r="AJ71" s="26">
        <f t="shared" ca="1" si="38"/>
        <v>-5190.4761904761899</v>
      </c>
      <c r="AK71" s="26">
        <f t="shared" ca="1" si="38"/>
        <v>-5190.4761904761899</v>
      </c>
      <c r="AL71" s="26">
        <f t="shared" ca="1" si="38"/>
        <v>-5190.4761904761899</v>
      </c>
      <c r="AM71" s="26">
        <f t="shared" ca="1" si="38"/>
        <v>-5190.4761904761899</v>
      </c>
      <c r="AN71" s="26">
        <f t="shared" ca="1" si="38"/>
        <v>-5190.4761904761899</v>
      </c>
      <c r="AO71" s="26">
        <f t="shared" ca="1" si="38"/>
        <v>-5190.4761904761899</v>
      </c>
      <c r="AP71" s="26">
        <f t="shared" ca="1" si="38"/>
        <v>-5190.4761904761899</v>
      </c>
      <c r="AQ71" s="26">
        <f t="shared" ca="1" si="38"/>
        <v>-5190.4761904761899</v>
      </c>
      <c r="AR71" s="26">
        <f t="shared" ca="1" si="38"/>
        <v>-5190.4761904761899</v>
      </c>
      <c r="AS71" s="26">
        <f t="shared" ca="1" si="38"/>
        <v>-5190.4761904761899</v>
      </c>
      <c r="AT71" s="26">
        <f t="shared" ca="1" si="38"/>
        <v>-5190.4761904761899</v>
      </c>
      <c r="AU71" s="26">
        <f t="shared" ca="1" si="38"/>
        <v>-5190.4761904761899</v>
      </c>
      <c r="AV71" s="26">
        <f t="shared" ca="1" si="38"/>
        <v>-5190.4761904761899</v>
      </c>
      <c r="AW71" s="26">
        <f t="shared" ca="1" si="38"/>
        <v>-5190.4761904761899</v>
      </c>
      <c r="AX71" s="26">
        <f t="shared" ca="1" si="38"/>
        <v>-5190.4761904761899</v>
      </c>
      <c r="AY71" s="26">
        <f t="shared" ca="1" si="38"/>
        <v>-5190.4761904761899</v>
      </c>
      <c r="AZ71" s="26">
        <f t="shared" ref="AZ71:BP71" ca="1" si="39">AZ18</f>
        <v>-5190.4761904761899</v>
      </c>
      <c r="BA71" s="26">
        <f t="shared" ca="1" si="39"/>
        <v>-5190.4761904761899</v>
      </c>
      <c r="BB71" s="26">
        <f t="shared" ca="1" si="39"/>
        <v>-5190.4761904761899</v>
      </c>
      <c r="BC71" s="26">
        <f t="shared" ca="1" si="39"/>
        <v>-5190.4761904761899</v>
      </c>
      <c r="BD71" s="26">
        <f t="shared" ca="1" si="39"/>
        <v>-5190.4761904761899</v>
      </c>
      <c r="BE71" s="26">
        <f t="shared" ca="1" si="39"/>
        <v>-5190.4761904761899</v>
      </c>
      <c r="BF71" s="26">
        <f t="shared" ca="1" si="39"/>
        <v>-5190.4761904761899</v>
      </c>
      <c r="BG71" s="26">
        <f t="shared" ca="1" si="39"/>
        <v>-5190.4761904761899</v>
      </c>
      <c r="BH71" s="26">
        <f t="shared" ca="1" si="39"/>
        <v>-5190.4761904761899</v>
      </c>
      <c r="BI71" s="26">
        <f t="shared" ca="1" si="39"/>
        <v>-5190.4761904761899</v>
      </c>
      <c r="BJ71" s="26">
        <f t="shared" ca="1" si="39"/>
        <v>-5190.4761904761899</v>
      </c>
      <c r="BK71" s="26">
        <f t="shared" ca="1" si="39"/>
        <v>-5190.4761904761899</v>
      </c>
      <c r="BL71" s="26">
        <f t="shared" ca="1" si="39"/>
        <v>-5190.4761904761899</v>
      </c>
      <c r="BM71" s="26">
        <f t="shared" ca="1" si="39"/>
        <v>-5190.4761904761899</v>
      </c>
      <c r="BN71" s="26">
        <f t="shared" ca="1" si="39"/>
        <v>-5190.4761904761899</v>
      </c>
      <c r="BO71" s="26">
        <f t="shared" ca="1" si="39"/>
        <v>-5190.4761904761899</v>
      </c>
      <c r="BP71" s="26">
        <f t="shared" ca="1" si="39"/>
        <v>-5190.4761904761899</v>
      </c>
      <c r="BR71" s="70" t="s">
        <v>174</v>
      </c>
      <c r="BS71" s="55">
        <f ca="1">SUM(Tabla715[[#This Row],[Month 1 ]:[Month 49]])</f>
        <v>-228380.95238095216</v>
      </c>
    </row>
    <row r="72" spans="3:71" ht="15" thickBot="1" x14ac:dyDescent="0.4">
      <c r="C72" s="263"/>
      <c r="D72" s="263"/>
      <c r="E72" s="236"/>
      <c r="F72" s="114" t="s">
        <v>305</v>
      </c>
      <c r="G72" s="115"/>
      <c r="R72" s="51"/>
      <c r="S72" s="10" t="s">
        <v>344</v>
      </c>
      <c r="T72" s="26">
        <f t="shared" ref="T72:BO72" si="40">T19</f>
        <v>0</v>
      </c>
      <c r="U72" s="26">
        <f t="shared" si="40"/>
        <v>0</v>
      </c>
      <c r="V72" s="26">
        <f t="shared" si="40"/>
        <v>0</v>
      </c>
      <c r="W72" s="26">
        <f t="shared" si="40"/>
        <v>0</v>
      </c>
      <c r="X72" s="26">
        <f t="shared" si="40"/>
        <v>0</v>
      </c>
      <c r="Y72" s="26">
        <f t="shared" si="40"/>
        <v>0</v>
      </c>
      <c r="Z72" s="26">
        <f t="shared" si="40"/>
        <v>0</v>
      </c>
      <c r="AA72" s="26">
        <f t="shared" si="40"/>
        <v>0</v>
      </c>
      <c r="AB72" s="26">
        <f t="shared" si="40"/>
        <v>0</v>
      </c>
      <c r="AC72" s="26">
        <f t="shared" si="40"/>
        <v>0</v>
      </c>
      <c r="AD72" s="26">
        <f t="shared" si="40"/>
        <v>0</v>
      </c>
      <c r="AE72" s="26">
        <f t="shared" si="40"/>
        <v>0</v>
      </c>
      <c r="AF72" s="26">
        <f t="shared" si="40"/>
        <v>-4600</v>
      </c>
      <c r="AG72" s="26">
        <f t="shared" si="40"/>
        <v>0</v>
      </c>
      <c r="AH72" s="26">
        <f t="shared" si="40"/>
        <v>0</v>
      </c>
      <c r="AI72" s="26">
        <f t="shared" si="40"/>
        <v>0</v>
      </c>
      <c r="AJ72" s="26">
        <f t="shared" si="40"/>
        <v>0</v>
      </c>
      <c r="AK72" s="26">
        <f t="shared" si="40"/>
        <v>0</v>
      </c>
      <c r="AL72" s="26">
        <f t="shared" si="40"/>
        <v>0</v>
      </c>
      <c r="AM72" s="26">
        <f t="shared" si="40"/>
        <v>0</v>
      </c>
      <c r="AN72" s="26">
        <f t="shared" si="40"/>
        <v>0</v>
      </c>
      <c r="AO72" s="26">
        <f t="shared" si="40"/>
        <v>0</v>
      </c>
      <c r="AP72" s="26">
        <f t="shared" si="40"/>
        <v>0</v>
      </c>
      <c r="AQ72" s="26">
        <f t="shared" si="40"/>
        <v>0</v>
      </c>
      <c r="AR72" s="26">
        <f t="shared" si="40"/>
        <v>-5400</v>
      </c>
      <c r="AS72" s="26">
        <f t="shared" si="40"/>
        <v>0</v>
      </c>
      <c r="AT72" s="26">
        <f t="shared" si="40"/>
        <v>0</v>
      </c>
      <c r="AU72" s="26">
        <f t="shared" si="40"/>
        <v>0</v>
      </c>
      <c r="AV72" s="26">
        <f t="shared" si="40"/>
        <v>0</v>
      </c>
      <c r="AW72" s="26">
        <f t="shared" si="40"/>
        <v>0</v>
      </c>
      <c r="AX72" s="26">
        <f t="shared" si="40"/>
        <v>0</v>
      </c>
      <c r="AY72" s="26">
        <f t="shared" si="40"/>
        <v>0</v>
      </c>
      <c r="AZ72" s="26">
        <f t="shared" si="40"/>
        <v>0</v>
      </c>
      <c r="BA72" s="26">
        <f t="shared" si="40"/>
        <v>0</v>
      </c>
      <c r="BB72" s="26">
        <f t="shared" si="40"/>
        <v>0</v>
      </c>
      <c r="BC72" s="26">
        <f t="shared" si="40"/>
        <v>0</v>
      </c>
      <c r="BD72" s="26">
        <f t="shared" si="40"/>
        <v>-5400</v>
      </c>
      <c r="BE72" s="26">
        <f t="shared" si="40"/>
        <v>0</v>
      </c>
      <c r="BF72" s="26">
        <f t="shared" si="40"/>
        <v>0</v>
      </c>
      <c r="BG72" s="26">
        <f t="shared" si="40"/>
        <v>0</v>
      </c>
      <c r="BH72" s="26">
        <f t="shared" si="40"/>
        <v>0</v>
      </c>
      <c r="BI72" s="26">
        <f t="shared" si="40"/>
        <v>0</v>
      </c>
      <c r="BJ72" s="26">
        <f t="shared" si="40"/>
        <v>0</v>
      </c>
      <c r="BK72" s="26">
        <f t="shared" si="40"/>
        <v>0</v>
      </c>
      <c r="BL72" s="26">
        <f t="shared" si="40"/>
        <v>0</v>
      </c>
      <c r="BM72" s="26">
        <f t="shared" si="40"/>
        <v>0</v>
      </c>
      <c r="BN72" s="26">
        <f t="shared" si="40"/>
        <v>0</v>
      </c>
      <c r="BO72" s="26">
        <f t="shared" si="40"/>
        <v>0</v>
      </c>
      <c r="BP72" s="99">
        <v>-5400</v>
      </c>
      <c r="BR72" s="71" t="s">
        <v>344</v>
      </c>
      <c r="BS72" s="55">
        <f>SUM(Tabla715[[#This Row],[Month 1 ]:[Month 49]])</f>
        <v>-20800</v>
      </c>
    </row>
    <row r="73" spans="3:71" ht="16" thickBot="1" x14ac:dyDescent="0.4">
      <c r="C73" s="108" t="s">
        <v>303</v>
      </c>
      <c r="D73" s="109"/>
      <c r="E73" s="236"/>
      <c r="F73" s="103" t="s">
        <v>140</v>
      </c>
      <c r="G73" s="122">
        <v>6</v>
      </c>
      <c r="R73" s="51"/>
      <c r="S73" s="10" t="s">
        <v>114</v>
      </c>
      <c r="T73" s="26">
        <f t="shared" ref="T73:BO73" ca="1" si="41">T20</f>
        <v>0</v>
      </c>
      <c r="U73" s="26">
        <f t="shared" ca="1" si="41"/>
        <v>0</v>
      </c>
      <c r="V73" s="26">
        <f ca="1">V20</f>
        <v>0</v>
      </c>
      <c r="W73" s="26">
        <f t="shared" ca="1" si="41"/>
        <v>0</v>
      </c>
      <c r="X73" s="26">
        <f t="shared" ca="1" si="41"/>
        <v>0</v>
      </c>
      <c r="Y73" s="26">
        <f t="shared" ca="1" si="41"/>
        <v>-2273.5263600460207</v>
      </c>
      <c r="Z73" s="26">
        <f t="shared" ca="1" si="41"/>
        <v>-2273.5263600460207</v>
      </c>
      <c r="AA73" s="26">
        <f t="shared" ca="1" si="41"/>
        <v>-2273.5263600460207</v>
      </c>
      <c r="AB73" s="26">
        <f t="shared" ca="1" si="41"/>
        <v>-2273.5263600460207</v>
      </c>
      <c r="AC73" s="26">
        <f t="shared" ca="1" si="41"/>
        <v>-2273.5263600460207</v>
      </c>
      <c r="AD73" s="26">
        <f t="shared" ca="1" si="41"/>
        <v>-2273.5263600460207</v>
      </c>
      <c r="AE73" s="26">
        <f t="shared" ca="1" si="41"/>
        <v>-2273.5263600460207</v>
      </c>
      <c r="AF73" s="26">
        <f t="shared" ca="1" si="41"/>
        <v>-2273.5263600460207</v>
      </c>
      <c r="AG73" s="26">
        <f t="shared" ca="1" si="41"/>
        <v>-2273.5263600460207</v>
      </c>
      <c r="AH73" s="26">
        <f t="shared" ca="1" si="41"/>
        <v>-2273.5263600460207</v>
      </c>
      <c r="AI73" s="26">
        <f t="shared" ca="1" si="41"/>
        <v>-2273.5263600460207</v>
      </c>
      <c r="AJ73" s="26">
        <f t="shared" ca="1" si="41"/>
        <v>-2273.5263600460207</v>
      </c>
      <c r="AK73" s="26">
        <f t="shared" ca="1" si="41"/>
        <v>-2273.5263600460207</v>
      </c>
      <c r="AL73" s="26">
        <f t="shared" ca="1" si="41"/>
        <v>-2273.5263600460207</v>
      </c>
      <c r="AM73" s="26">
        <f t="shared" ca="1" si="41"/>
        <v>-2273.5263600460207</v>
      </c>
      <c r="AN73" s="26">
        <f t="shared" ca="1" si="41"/>
        <v>-2273.5263600460207</v>
      </c>
      <c r="AO73" s="26">
        <f t="shared" ca="1" si="41"/>
        <v>-2273.5263600460207</v>
      </c>
      <c r="AP73" s="26">
        <f t="shared" ca="1" si="41"/>
        <v>-2273.5263600460207</v>
      </c>
      <c r="AQ73" s="26">
        <f t="shared" ca="1" si="41"/>
        <v>-2273.5263600460207</v>
      </c>
      <c r="AR73" s="26">
        <f t="shared" ca="1" si="41"/>
        <v>-2273.5263600460207</v>
      </c>
      <c r="AS73" s="26">
        <f t="shared" ca="1" si="41"/>
        <v>-2273.5263600460207</v>
      </c>
      <c r="AT73" s="26">
        <f t="shared" ca="1" si="41"/>
        <v>-2273.5263600460207</v>
      </c>
      <c r="AU73" s="26">
        <f t="shared" ca="1" si="41"/>
        <v>-2273.5263600460207</v>
      </c>
      <c r="AV73" s="26">
        <f t="shared" ca="1" si="41"/>
        <v>-2273.5263600460207</v>
      </c>
      <c r="AW73" s="26">
        <f t="shared" ca="1" si="41"/>
        <v>-2273.5263600460207</v>
      </c>
      <c r="AX73" s="26">
        <f t="shared" ca="1" si="41"/>
        <v>-2273.5263600460207</v>
      </c>
      <c r="AY73" s="26">
        <f t="shared" ca="1" si="41"/>
        <v>-2273.5263600460207</v>
      </c>
      <c r="AZ73" s="26">
        <f t="shared" ca="1" si="41"/>
        <v>-2273.5263600460207</v>
      </c>
      <c r="BA73" s="26">
        <f t="shared" ca="1" si="41"/>
        <v>-2273.5263600460207</v>
      </c>
      <c r="BB73" s="26">
        <f t="shared" ca="1" si="41"/>
        <v>-2273.5263600460207</v>
      </c>
      <c r="BC73" s="26">
        <f t="shared" ca="1" si="41"/>
        <v>-2273.5263600460207</v>
      </c>
      <c r="BD73" s="26">
        <f t="shared" ca="1" si="41"/>
        <v>-2273.5263600460207</v>
      </c>
      <c r="BE73" s="26">
        <f t="shared" ca="1" si="41"/>
        <v>-2273.5263600460207</v>
      </c>
      <c r="BF73" s="26">
        <f t="shared" ca="1" si="41"/>
        <v>-2273.5263600460207</v>
      </c>
      <c r="BG73" s="26">
        <f t="shared" ca="1" si="41"/>
        <v>-2273.5263600460207</v>
      </c>
      <c r="BH73" s="26">
        <f t="shared" ca="1" si="41"/>
        <v>-2273.5263600460207</v>
      </c>
      <c r="BI73" s="26">
        <f t="shared" ca="1" si="41"/>
        <v>-2273.5263600460207</v>
      </c>
      <c r="BJ73" s="26">
        <f t="shared" ca="1" si="41"/>
        <v>-2273.5263600460207</v>
      </c>
      <c r="BK73" s="26">
        <f t="shared" ca="1" si="41"/>
        <v>-2273.5263600460207</v>
      </c>
      <c r="BL73" s="26">
        <f t="shared" ca="1" si="41"/>
        <v>-2273.5263600460207</v>
      </c>
      <c r="BM73" s="26">
        <f t="shared" ca="1" si="41"/>
        <v>-2273.5263600460207</v>
      </c>
      <c r="BN73" s="26">
        <f t="shared" ca="1" si="41"/>
        <v>-2273.5263600460207</v>
      </c>
      <c r="BO73" s="26">
        <f t="shared" ca="1" si="41"/>
        <v>-2273.5263600460207</v>
      </c>
      <c r="BP73" s="26">
        <f ca="1">BP20</f>
        <v>-2273.5263600460207</v>
      </c>
      <c r="BR73" s="71" t="s">
        <v>114</v>
      </c>
      <c r="BS73" s="55">
        <f ca="1">SUM(Tabla715[[#This Row],[Month 1 ]:[Month 49]])</f>
        <v>-100035.15984202489</v>
      </c>
    </row>
    <row r="74" spans="3:71" ht="15" thickBot="1" x14ac:dyDescent="0.4">
      <c r="C74" s="104" t="s">
        <v>293</v>
      </c>
      <c r="D74" s="119">
        <v>0.75</v>
      </c>
      <c r="E74" s="236"/>
      <c r="F74" s="263"/>
      <c r="G74" s="263"/>
      <c r="R74" s="51"/>
      <c r="S74" s="7" t="s">
        <v>113</v>
      </c>
      <c r="T74" s="26">
        <f t="shared" ref="T74:BO74" si="42">T22</f>
        <v>0</v>
      </c>
      <c r="U74" s="26">
        <f t="shared" si="42"/>
        <v>0</v>
      </c>
      <c r="V74" s="26">
        <f t="shared" si="42"/>
        <v>0</v>
      </c>
      <c r="W74" s="26">
        <f t="shared" ca="1" si="42"/>
        <v>0</v>
      </c>
      <c r="X74" s="26">
        <f t="shared" si="42"/>
        <v>0</v>
      </c>
      <c r="Y74" s="26">
        <f t="shared" si="42"/>
        <v>0</v>
      </c>
      <c r="Z74" s="26">
        <f t="shared" ca="1" si="42"/>
        <v>0</v>
      </c>
      <c r="AA74" s="26">
        <f t="shared" si="42"/>
        <v>0</v>
      </c>
      <c r="AB74" s="26">
        <f t="shared" si="42"/>
        <v>0</v>
      </c>
      <c r="AC74" s="26">
        <f t="shared" ca="1" si="42"/>
        <v>0</v>
      </c>
      <c r="AD74" s="26">
        <f t="shared" si="42"/>
        <v>0</v>
      </c>
      <c r="AE74" s="26">
        <f t="shared" si="42"/>
        <v>0</v>
      </c>
      <c r="AF74" s="26">
        <f t="shared" ca="1" si="42"/>
        <v>0</v>
      </c>
      <c r="AG74" s="26">
        <f t="shared" si="42"/>
        <v>0</v>
      </c>
      <c r="AH74" s="26">
        <f t="shared" si="42"/>
        <v>0</v>
      </c>
      <c r="AI74" s="26">
        <f t="shared" ca="1" si="42"/>
        <v>-54143.732999999993</v>
      </c>
      <c r="AJ74" s="26">
        <f t="shared" si="42"/>
        <v>0</v>
      </c>
      <c r="AK74" s="26">
        <f t="shared" si="42"/>
        <v>0</v>
      </c>
      <c r="AL74" s="26">
        <f t="shared" ca="1" si="42"/>
        <v>-72532.697999999989</v>
      </c>
      <c r="AM74" s="26">
        <f t="shared" si="42"/>
        <v>0</v>
      </c>
      <c r="AN74" s="26">
        <f t="shared" si="42"/>
        <v>0</v>
      </c>
      <c r="AO74" s="26">
        <f t="shared" ca="1" si="42"/>
        <v>-92921.282999999981</v>
      </c>
      <c r="AP74" s="26">
        <f t="shared" si="42"/>
        <v>0</v>
      </c>
      <c r="AQ74" s="26">
        <f t="shared" si="42"/>
        <v>0</v>
      </c>
      <c r="AR74" s="26">
        <f t="shared" ca="1" si="42"/>
        <v>-214684.80818180775</v>
      </c>
      <c r="AS74" s="26">
        <f t="shared" si="42"/>
        <v>0</v>
      </c>
      <c r="AT74" s="26">
        <f t="shared" si="42"/>
        <v>0</v>
      </c>
      <c r="AU74" s="26">
        <f t="shared" ca="1" si="42"/>
        <v>-142390.77299999999</v>
      </c>
      <c r="AV74" s="26">
        <f t="shared" si="42"/>
        <v>0</v>
      </c>
      <c r="AW74" s="26">
        <f t="shared" si="42"/>
        <v>0</v>
      </c>
      <c r="AX74" s="26">
        <f t="shared" ca="1" si="42"/>
        <v>-168663.32699999999</v>
      </c>
      <c r="AY74" s="26">
        <f t="shared" si="42"/>
        <v>0</v>
      </c>
      <c r="AZ74" s="26">
        <f t="shared" si="42"/>
        <v>0</v>
      </c>
      <c r="BA74" s="26">
        <f t="shared" ca="1" si="42"/>
        <v>-196816.43099999998</v>
      </c>
      <c r="BB74" s="26">
        <f t="shared" si="42"/>
        <v>0</v>
      </c>
      <c r="BC74" s="26">
        <f t="shared" si="42"/>
        <v>0</v>
      </c>
      <c r="BD74" s="26">
        <f t="shared" ca="1" si="42"/>
        <v>-870656.36152047128</v>
      </c>
      <c r="BE74" s="26">
        <f t="shared" si="42"/>
        <v>0</v>
      </c>
      <c r="BF74" s="26">
        <f t="shared" si="42"/>
        <v>0</v>
      </c>
      <c r="BG74" s="26">
        <f t="shared" ca="1" si="42"/>
        <v>-260945.50649999996</v>
      </c>
      <c r="BH74" s="26">
        <f t="shared" si="42"/>
        <v>0</v>
      </c>
      <c r="BI74" s="26">
        <f t="shared" si="42"/>
        <v>0</v>
      </c>
      <c r="BJ74" s="26">
        <f t="shared" ca="1" si="42"/>
        <v>-286268.66099999996</v>
      </c>
      <c r="BK74" s="26">
        <f t="shared" si="42"/>
        <v>0</v>
      </c>
      <c r="BL74" s="26">
        <f t="shared" si="42"/>
        <v>0</v>
      </c>
      <c r="BM74" s="26">
        <f t="shared" ca="1" si="42"/>
        <v>-304854.73199999996</v>
      </c>
      <c r="BN74" s="26">
        <f t="shared" si="42"/>
        <v>0</v>
      </c>
      <c r="BO74" s="26">
        <f t="shared" si="42"/>
        <v>0</v>
      </c>
      <c r="BP74" s="26">
        <f ca="1">BP22</f>
        <v>-1523969.6467545964</v>
      </c>
      <c r="BR74" s="70" t="s">
        <v>113</v>
      </c>
      <c r="BS74" s="56">
        <f ca="1">SUM(Tabla715[[#This Row],[Month 1 ]:[Month 49]])</f>
        <v>-4188847.9609568752</v>
      </c>
    </row>
    <row r="75" spans="3:71" ht="16" thickBot="1" x14ac:dyDescent="0.4">
      <c r="C75" s="105" t="s">
        <v>294</v>
      </c>
      <c r="D75" s="120">
        <v>70000</v>
      </c>
      <c r="E75" s="236"/>
      <c r="F75" s="108" t="s">
        <v>307</v>
      </c>
      <c r="G75" s="109"/>
      <c r="R75" s="51"/>
      <c r="S75" s="24" t="s">
        <v>290</v>
      </c>
      <c r="T75" s="31">
        <f ca="1">SUM(T59:T74)</f>
        <v>294907</v>
      </c>
      <c r="U75" s="31">
        <f ca="1">Tabla715[[#This Row],[Month 1 ]]+SUM(U59:U74)</f>
        <v>256906</v>
      </c>
      <c r="V75" s="31">
        <f ca="1">Tabla715[[#This Row],[Month 2]]+SUM(V59:V74)</f>
        <v>218905</v>
      </c>
      <c r="W75" s="31">
        <f ca="1">Tabla715[[#This Row],[Month 3]]+SUM(W59:W74)</f>
        <v>177797</v>
      </c>
      <c r="X75" s="31">
        <f ca="1">Tabla715[[#This Row],[Month 4]]+SUM(X59:X74)</f>
        <v>136689</v>
      </c>
      <c r="Y75" s="31">
        <f ca="1">Tabla715[[#This Row],[Month 5]]+SUM(Y59:Y74)</f>
        <v>501769.99744947779</v>
      </c>
      <c r="Z75" s="31">
        <f ca="1">Tabla715[[#This Row],[Month 6]]+SUM(Z59:Z74)</f>
        <v>347298.18865948683</v>
      </c>
      <c r="AA75" s="31">
        <f ca="1">Tabla715[[#This Row],[Month 7]]+SUM(AA59:AA74)</f>
        <v>191952.83601627714</v>
      </c>
      <c r="AB75" s="31">
        <f ca="1">Tabla715[[#This Row],[Month 8]]+SUM(AB59:AB74)</f>
        <v>76245.500319848696</v>
      </c>
      <c r="AC75" s="31">
        <f ca="1">Tabla715[[#This Row],[Month 9]]+SUM(AC59:AC74)</f>
        <v>60158.004192076478</v>
      </c>
      <c r="AD75" s="31">
        <f ca="1">Tabla715[[#This Row],[Month 10]]+SUM(AD59:AD74)</f>
        <v>47717.972811085507</v>
      </c>
      <c r="AE75" s="31">
        <f ca="1">Tabla715[[#This Row],[Month 11]]+SUM(AE59:AE74)</f>
        <v>21085.290876875795</v>
      </c>
      <c r="AF75" s="31">
        <f ca="1">Tabla715[[#This Row],[Month 12]]+SUM(AF59:AF74)</f>
        <v>15598.751139447324</v>
      </c>
      <c r="AG75" s="31">
        <f ca="1">Tabla715[[#This Row],[Month 13]]+SUM(AG59:AG74)</f>
        <v>24204.321598800103</v>
      </c>
      <c r="AH75" s="31">
        <f ca="1">Tabla715[[#This Row],[Month 14]]+SUM(AH59:AH74)</f>
        <v>41932.32225493413</v>
      </c>
      <c r="AI75" s="31">
        <f ca="1">Tabla715[[#This Row],[Month 15]]+SUM(AI59:AI74)</f>
        <v>14806.631607849416</v>
      </c>
      <c r="AJ75" s="31">
        <f ca="1">Tabla715[[#This Row],[Month 16]]+SUM(AJ59:AJ74)</f>
        <v>49532.604207545941</v>
      </c>
      <c r="AK75" s="31">
        <f ca="1">Tabla715[[#This Row],[Month 17]]+SUM(AK59:AK74)</f>
        <v>71345.410754023702</v>
      </c>
      <c r="AL75" s="31">
        <f ca="1">Tabla715[[#This Row],[Month 18]]+SUM(AL59:AL74)</f>
        <v>54308.537897282753</v>
      </c>
      <c r="AM75" s="31">
        <f ca="1">Tabla715[[#This Row],[Month 19]]+SUM(AM59:AM74)</f>
        <v>121730.94313732305</v>
      </c>
      <c r="AN75" s="31">
        <f ca="1">Tabla715[[#This Row],[Month 20]]+SUM(AN59:AN74)</f>
        <v>167996.45659539456</v>
      </c>
      <c r="AO75" s="31">
        <f ca="1">Tabla715[[#This Row],[Month 21]]+SUM(AO59:AO74)</f>
        <v>172331.96422899736</v>
      </c>
      <c r="AP75" s="31">
        <f ca="1">Tabla715[[#This Row],[Month 22]]+SUM(AP59:AP74)</f>
        <v>280788.05280938139</v>
      </c>
      <c r="AQ75" s="31">
        <f ca="1">Tabla715[[#This Row],[Month 23]]+SUM(AQ59:AQ74)</f>
        <v>379734.89713654661</v>
      </c>
      <c r="AR75" s="31">
        <f ca="1">Tabla715[[#This Row],[Month 24]]+SUM(AR59:AR74)</f>
        <v>291360.3938286854</v>
      </c>
      <c r="AS75" s="31">
        <f ca="1">Tabla715[[#This Row],[Month 25]]+SUM(AS59:AS74)</f>
        <v>437292.01264941314</v>
      </c>
      <c r="AT75" s="31">
        <f ca="1">Tabla715[[#This Row],[Month 26]]+SUM(AT59:AT74)</f>
        <v>597176.1268169221</v>
      </c>
      <c r="AU75" s="31">
        <f ca="1">Tabla715[[#This Row],[Month 27]]+SUM(AU59:AU74)</f>
        <v>628655.95663121238</v>
      </c>
      <c r="AV75" s="31">
        <f ca="1">Tabla715[[#This Row],[Month 28]]+SUM(AV59:AV74)</f>
        <v>817903.62229228392</v>
      </c>
      <c r="AW75" s="31">
        <f ca="1">Tabla715[[#This Row],[Month 29]]+SUM(AW59:AW74)</f>
        <v>997785.30070013669</v>
      </c>
      <c r="AX75" s="31">
        <f ca="1">Tabla715[[#This Row],[Month 30]]+SUM(AX59:AX74)</f>
        <v>1048474.7335047708</v>
      </c>
      <c r="AY75" s="31">
        <f ca="1">Tabla715[[#This Row],[Month 31]]+SUM(AY59:AY74)</f>
        <v>1284429.317606186</v>
      </c>
      <c r="AZ75" s="31">
        <f ca="1">Tabla715[[#This Row],[Month 32]]+SUM(AZ59:AZ74)</f>
        <v>1506347.9579256326</v>
      </c>
      <c r="BA75" s="31">
        <f ca="1">Tabla715[[#This Row],[Month 33]]+SUM(BA59:BA74)</f>
        <v>1583994.7075206104</v>
      </c>
      <c r="BB75" s="31">
        <f ca="1">Tabla715[[#This Row],[Month 34]]+SUM(BB59:BB74)</f>
        <v>1874359.4574623695</v>
      </c>
      <c r="BC75" s="31">
        <f ca="1">Tabla715[[#This Row],[Month 35]]+SUM(BC59:BC74)</f>
        <v>2157583.8397509097</v>
      </c>
      <c r="BD75" s="31">
        <f ca="1">Tabla715[[#This Row],[Month 36]]+SUM(BD59:BD74)</f>
        <v>1604002.1532657598</v>
      </c>
      <c r="BE75" s="31">
        <f ca="1">Tabla715[[#This Row],[Month 37]]+SUM(BE59:BE74)</f>
        <v>1945184.3737478626</v>
      </c>
      <c r="BF75" s="31">
        <f ca="1">Tabla715[[#This Row],[Month 38]]+SUM(BF59:BF74)</f>
        <v>2304594.8024267466</v>
      </c>
      <c r="BG75" s="31">
        <f ca="1">Tabla715[[#This Row],[Month 39]]+SUM(BG59:BG74)</f>
        <v>2421140.4870024119</v>
      </c>
      <c r="BH75" s="31">
        <f ca="1">Tabla715[[#This Row],[Month 40]]+SUM(BH59:BH74)</f>
        <v>2805149.1702748584</v>
      </c>
      <c r="BI75" s="31">
        <f ca="1">Tabla715[[#This Row],[Month 41]]+SUM(BI59:BI74)</f>
        <v>3174659.8671440864</v>
      </c>
      <c r="BJ75" s="31">
        <f ca="1">Tabla715[[#This Row],[Month 42]]+SUM(BJ59:BJ74)</f>
        <v>3294167.8039100952</v>
      </c>
      <c r="BK75" s="31">
        <f ca="1">Tabla715[[#This Row],[Month 43]]+SUM(BK59:BK74)</f>
        <v>3710701.8325728858</v>
      </c>
      <c r="BL75" s="31">
        <f ca="1">Tabla715[[#This Row],[Month 44]]+SUM(BL59:BL74)</f>
        <v>4111548.5994537072</v>
      </c>
      <c r="BM75" s="31">
        <f ca="1">Tabla715[[#This Row],[Month 45]]+SUM(BM59:BM74)</f>
        <v>4252588.58121006</v>
      </c>
      <c r="BN75" s="31">
        <f ca="1">Tabla715[[#This Row],[Month 46]]+SUM(BN59:BN74)</f>
        <v>4708528.3840131937</v>
      </c>
      <c r="BO75" s="31">
        <f ca="1">Tabla715[[#This Row],[Month 47]]+SUM(BO59:BO74)</f>
        <v>5151835.5354631087</v>
      </c>
      <c r="BP75" s="31">
        <f ca="1">Tabla715[[#This Row],[Month 48]]+SUM(BP59:BP74)</f>
        <v>4078300.0329552088</v>
      </c>
      <c r="BR75" s="72" t="s">
        <v>290</v>
      </c>
      <c r="BS75" s="59">
        <f ca="1">SUM(BS59:BS74)</f>
        <v>4078300.0329552069</v>
      </c>
    </row>
    <row r="76" spans="3:71" ht="15" thickBot="1" x14ac:dyDescent="0.4">
      <c r="C76" s="105" t="s">
        <v>296</v>
      </c>
      <c r="D76" s="107">
        <f ca="1">-SUM($T$23:$BP$23)</f>
        <v>2969935.0416193455</v>
      </c>
      <c r="E76" s="236"/>
      <c r="F76" s="104" t="s">
        <v>124</v>
      </c>
      <c r="G76" s="124">
        <v>3.3369999999999997E-2</v>
      </c>
      <c r="R76" s="51"/>
      <c r="S76" s="32" t="s">
        <v>289</v>
      </c>
      <c r="T76" s="33">
        <f>SUM(T61:T69,T72,T74,T59)</f>
        <v>294907</v>
      </c>
      <c r="U76" s="33">
        <f>SUM(U61:U70,U72,U74,U59)+Tabla715[[#Totals],[Month 1 ]]</f>
        <v>256906</v>
      </c>
      <c r="V76" s="33">
        <f>SUM(V61:V70,V72,V74,V59)+Tabla715[[#Totals],[Month 2]]</f>
        <v>218905</v>
      </c>
      <c r="W76" s="33">
        <f ca="1">SUM(W61:W70,W72,W74,W59)+Tabla715[[#Totals],[Month 3]]</f>
        <v>177797</v>
      </c>
      <c r="X76" s="33">
        <f ca="1">SUM(X61:X70,X72,X74,X59)+Tabla715[[#Totals],[Month 4]]</f>
        <v>136689</v>
      </c>
      <c r="Y76" s="33">
        <f ca="1">SUM(Y61:Y70,Y72,Y74,Y59)+Tabla715[[#Totals],[Month 5]]</f>
        <v>73234</v>
      </c>
      <c r="Z76" s="33">
        <f ca="1">SUM(Z61:Z70,Z72,Z74,Z59)+Tabla715[[#Totals],[Month 6]]</f>
        <v>-73773.806239468744</v>
      </c>
      <c r="AA76" s="33">
        <f ca="1">SUM(AA61:AA70,AA72,AA74,AA59)+Tabla715[[#Totals],[Month 7]]</f>
        <v>-221655.15633215621</v>
      </c>
      <c r="AB76" s="33">
        <f ca="1">SUM(AB61:AB70,AB72,AB74,AB59)+Tabla715[[#Totals],[Month 8]]</f>
        <v>-329898.48947806249</v>
      </c>
      <c r="AC76" s="33">
        <f ca="1">SUM(AC61:AC70,AC72,AC74,AC59)+Tabla715[[#Totals],[Month 9]]</f>
        <v>-338521.98305531248</v>
      </c>
      <c r="AD76" s="33">
        <f ca="1">SUM(AD61:AD70,AD72,AD74,AD59)+Tabla715[[#Totals],[Month 10]]</f>
        <v>-343498.01188578125</v>
      </c>
      <c r="AE76" s="33">
        <f ca="1">SUM(AE61:AE70,AE72,AE74,AE59)+Tabla715[[#Totals],[Month 11]]</f>
        <v>-362666.69126946875</v>
      </c>
      <c r="AF76" s="33">
        <f ca="1">SUM(AF61:AF70,AF72,AF74,AF59)+Tabla715[[#Totals],[Month 12]]</f>
        <v>-360689.22845637501</v>
      </c>
      <c r="AG76" s="33">
        <f ca="1">SUM(AG61:AG70,AG72,AG74,AG59)+Tabla715[[#Totals],[Month 13]]</f>
        <v>-344619.65544650005</v>
      </c>
      <c r="AH76" s="33">
        <f ca="1">SUM(AH61:AH70,AH72,AH74,AH59)+Tabla715[[#Totals],[Month 14]]</f>
        <v>-319427.6522398438</v>
      </c>
      <c r="AI76" s="33">
        <f ca="1">SUM(AI61:AI70,AI72,AI74,AI59)+Tabla715[[#Totals],[Month 15]]</f>
        <v>-339089.34033640631</v>
      </c>
      <c r="AJ76" s="33">
        <f ca="1">SUM(AJ61:AJ70,AJ72,AJ74,AJ59)+Tabla715[[#Totals],[Month 16]]</f>
        <v>-296899.36518618756</v>
      </c>
      <c r="AK76" s="33">
        <f ca="1">SUM(AK61:AK70,AK72,AK74,AK59)+Tabla715[[#Totals],[Month 17]]</f>
        <v>-267622.55608918756</v>
      </c>
      <c r="AL76" s="33">
        <f ca="1">SUM(AL61:AL70,AL72,AL74,AL59)+Tabla715[[#Totals],[Month 18]]</f>
        <v>-277195.42639540631</v>
      </c>
      <c r="AM76" s="33">
        <f ca="1">SUM(AM61:AM70,AM72,AM74,AM59)+Tabla715[[#Totals],[Month 19]]</f>
        <v>-202309.01860484382</v>
      </c>
      <c r="AN76" s="33">
        <f ca="1">SUM(AN61:AN70,AN72,AN74,AN59)+Tabla715[[#Totals],[Month 20]]</f>
        <v>-148579.50259625009</v>
      </c>
      <c r="AO76" s="33">
        <f ca="1">SUM(AO61:AO70,AO72,AO74,AO59)+Tabla715[[#Totals],[Month 21]]</f>
        <v>-136779.99241212508</v>
      </c>
      <c r="AP76" s="33">
        <f ca="1">SUM(AP61:AP70,AP72,AP74,AP59)+Tabla715[[#Totals],[Month 22]]</f>
        <v>-20859.901281218859</v>
      </c>
      <c r="AQ76" s="33">
        <f ca="1">SUM(AQ61:AQ70,AQ72,AQ74,AQ59)+Tabla715[[#Totals],[Month 23]]</f>
        <v>84550.945596468577</v>
      </c>
      <c r="AR76" s="33">
        <f ca="1">SUM(AR61:AR70,AR72,AR74,AR59)+Tabla715[[#Totals],[Month 24]]</f>
        <v>3640.4448391295446</v>
      </c>
      <c r="AS76" s="33">
        <f ca="1">SUM(AS61:AS70,AS72,AS74,AS59)+Tabla715[[#Totals],[Month 25]]</f>
        <v>157036.0662103795</v>
      </c>
      <c r="AT76" s="33">
        <f ca="1">SUM(AT61:AT70,AT72,AT74,AT59)+Tabla715[[#Totals],[Month 26]]</f>
        <v>324384.18292841071</v>
      </c>
      <c r="AU76" s="33">
        <f ca="1">SUM(AU61:AU70,AU72,AU74,AU59)+Tabla715[[#Totals],[Month 27]]</f>
        <v>363328.0152932232</v>
      </c>
      <c r="AV76" s="33">
        <f ca="1">SUM(AV61:AV70,AV72,AV74,AV59)+Tabla715[[#Totals],[Month 28]]</f>
        <v>560039.68350481696</v>
      </c>
      <c r="AW76" s="33">
        <f ca="1">SUM(AW61:AW70,AW72,AW74,AW59)+Tabla715[[#Totals],[Month 29]]</f>
        <v>747385.36446319195</v>
      </c>
      <c r="AX76" s="33">
        <f ca="1">SUM(AX61:AX70,AX72,AX74,AX59)+Tabla715[[#Totals],[Month 30]]</f>
        <v>805538.79981834814</v>
      </c>
      <c r="AY76" s="33">
        <f ca="1">SUM(AY61:AY70,AY72,AY74,AY59)+Tabla715[[#Totals],[Month 31]]</f>
        <v>1048957.3864702857</v>
      </c>
      <c r="AZ76" s="33">
        <f ca="1">SUM(AZ61:AZ70,AZ72,AZ74,AZ59)+Tabla715[[#Totals],[Month 32]]</f>
        <v>1278340.0293402544</v>
      </c>
      <c r="BA76" s="33">
        <f ca="1">SUM(BA61:BA70,BA72,BA74,BA59)+Tabla715[[#Totals],[Month 33]]</f>
        <v>1363450.7814857543</v>
      </c>
      <c r="BB76" s="33">
        <f ca="1">SUM(BB61:BB70,BB72,BB74,BB59)+Tabla715[[#Totals],[Month 34]]</f>
        <v>1661279.5339780357</v>
      </c>
      <c r="BC76" s="33">
        <f ca="1">SUM(BC61:BC70,BC72,BC74,BC59)+Tabla715[[#Totals],[Month 35]]</f>
        <v>1951967.9188170983</v>
      </c>
      <c r="BD76" s="33">
        <f ca="1">SUM(BD61:BD70,BD72,BD74,BD59)+Tabla715[[#Totals],[Month 36]]</f>
        <v>1405850.2348824707</v>
      </c>
      <c r="BE76" s="33">
        <f ca="1">SUM(BE61:BE70,BE72,BE74,BE59)+Tabla715[[#Totals],[Month 37]]</f>
        <v>1754496.4579150956</v>
      </c>
      <c r="BF76" s="33">
        <f ca="1">SUM(BF61:BF70,BF72,BF74,BF59)+Tabla715[[#Totals],[Month 38]]</f>
        <v>2121370.8891445016</v>
      </c>
      <c r="BG76" s="33">
        <f ca="1">SUM(BG61:BG70,BG72,BG74,BG59)+Tabla715[[#Totals],[Month 39]]</f>
        <v>2245380.5762706893</v>
      </c>
      <c r="BH76" s="33">
        <f ca="1">SUM(BH61:BH70,BH72,BH74,BH59)+Tabla715[[#Totals],[Month 40]]</f>
        <v>2636853.2620936581</v>
      </c>
      <c r="BI76" s="33">
        <f ca="1">SUM(BI61:BI70,BI72,BI74,BI59)+Tabla715[[#Totals],[Month 41]]</f>
        <v>3013827.961513408</v>
      </c>
      <c r="BJ76" s="33">
        <f ca="1">SUM(BJ61:BJ70,BJ72,BJ74,BJ59)+Tabla715[[#Totals],[Month 42]]</f>
        <v>3140799.9008299392</v>
      </c>
      <c r="BK76" s="33">
        <f ca="1">SUM(BK61:BK70,BK72,BK74,BK59)+Tabla715[[#Totals],[Month 43]]</f>
        <v>3564797.9320432516</v>
      </c>
      <c r="BL76" s="33">
        <f ca="1">SUM(BL61:BL70,BL72,BL74,BL59)+Tabla715[[#Totals],[Month 44]]</f>
        <v>3973108.7014745953</v>
      </c>
      <c r="BM76" s="33">
        <f ca="1">SUM(BM61:BM70,BM72,BM74,BM59)+Tabla715[[#Totals],[Month 45]]</f>
        <v>4121612.6857814705</v>
      </c>
      <c r="BN76" s="33">
        <f ca="1">SUM(BN61:BN70,BN72,BN74,BN59)+Tabla715[[#Totals],[Month 46]]</f>
        <v>4585016.4911351269</v>
      </c>
      <c r="BO76" s="33">
        <f ca="1">SUM(BO61:BO70,BO72,BO74,BO59)+Tabla715[[#Totals],[Month 47]]</f>
        <v>5035787.6451355647</v>
      </c>
      <c r="BP76" s="33">
        <f ca="1">SUM(BP61:BP70,BP72,BP74,BP59)+Tabla715[[#Totals],[Month 48]]</f>
        <v>3969716.1451781872</v>
      </c>
    </row>
    <row r="77" spans="3:71" ht="15" thickBot="1" x14ac:dyDescent="0.4">
      <c r="C77" s="106" t="s">
        <v>297</v>
      </c>
      <c r="D77" s="139">
        <f ca="1">ROUNDUP(D76/$T$6,2)</f>
        <v>9.9</v>
      </c>
      <c r="E77" s="236"/>
      <c r="F77" s="106" t="s">
        <v>319</v>
      </c>
      <c r="G77" s="118">
        <v>7</v>
      </c>
      <c r="R77" s="52"/>
      <c r="S77" s="24" t="s">
        <v>340</v>
      </c>
      <c r="T77" s="53">
        <f ca="1">SUM(T59:T74)</f>
        <v>294907</v>
      </c>
      <c r="U77" s="53">
        <f t="shared" ref="U77:BP77" ca="1" si="43">SUM(U59:U74)</f>
        <v>-38001</v>
      </c>
      <c r="V77" s="53">
        <f t="shared" ca="1" si="43"/>
        <v>-38001</v>
      </c>
      <c r="W77" s="53">
        <f t="shared" ca="1" si="43"/>
        <v>-41108</v>
      </c>
      <c r="X77" s="53">
        <f t="shared" ca="1" si="43"/>
        <v>-41108</v>
      </c>
      <c r="Y77" s="53">
        <f t="shared" ca="1" si="43"/>
        <v>365080.99744947779</v>
      </c>
      <c r="Z77" s="53">
        <f t="shared" ca="1" si="43"/>
        <v>-154471.80878999096</v>
      </c>
      <c r="AA77" s="53">
        <f t="shared" ca="1" si="43"/>
        <v>-155345.35264320968</v>
      </c>
      <c r="AB77" s="53">
        <f t="shared" ca="1" si="43"/>
        <v>-115707.33569642845</v>
      </c>
      <c r="AC77" s="53">
        <f t="shared" ca="1" si="43"/>
        <v>-16087.496127772214</v>
      </c>
      <c r="AD77" s="53">
        <f t="shared" ca="1" si="43"/>
        <v>-12440.031380990975</v>
      </c>
      <c r="AE77" s="53">
        <f t="shared" ca="1" si="43"/>
        <v>-26632.681934209711</v>
      </c>
      <c r="AF77" s="53">
        <f t="shared" ca="1" si="43"/>
        <v>-5486.5397374284712</v>
      </c>
      <c r="AG77" s="53">
        <f t="shared" ca="1" si="43"/>
        <v>8605.5704593527807</v>
      </c>
      <c r="AH77" s="53">
        <f t="shared" ca="1" si="43"/>
        <v>17728.000656134023</v>
      </c>
      <c r="AI77" s="53">
        <f t="shared" ca="1" si="43"/>
        <v>-27125.690647084713</v>
      </c>
      <c r="AJ77" s="53">
        <f t="shared" ca="1" si="43"/>
        <v>34725.972599696528</v>
      </c>
      <c r="AK77" s="53">
        <f t="shared" ca="1" si="43"/>
        <v>21812.806546477754</v>
      </c>
      <c r="AL77" s="53">
        <f t="shared" ca="1" si="43"/>
        <v>-17036.872856740949</v>
      </c>
      <c r="AM77" s="53">
        <f t="shared" ca="1" si="43"/>
        <v>67422.405240040302</v>
      </c>
      <c r="AN77" s="53">
        <f t="shared" ca="1" si="43"/>
        <v>46265.513458071509</v>
      </c>
      <c r="AO77" s="53">
        <f t="shared" ca="1" si="43"/>
        <v>4335.5076336028142</v>
      </c>
      <c r="AP77" s="53">
        <f t="shared" ca="1" si="43"/>
        <v>108456.08858038402</v>
      </c>
      <c r="AQ77" s="53">
        <f t="shared" ca="1" si="43"/>
        <v>98946.844327165236</v>
      </c>
      <c r="AR77" s="53">
        <f t="shared" ca="1" si="43"/>
        <v>-88374.503307861232</v>
      </c>
      <c r="AS77" s="53">
        <f t="shared" ca="1" si="43"/>
        <v>145931.61882072774</v>
      </c>
      <c r="AT77" s="53">
        <f t="shared" ca="1" si="43"/>
        <v>159884.11416750902</v>
      </c>
      <c r="AU77" s="53">
        <f t="shared" ca="1" si="43"/>
        <v>31479.829814290279</v>
      </c>
      <c r="AV77" s="53">
        <f t="shared" ca="1" si="43"/>
        <v>189247.66566107157</v>
      </c>
      <c r="AW77" s="53">
        <f t="shared" ca="1" si="43"/>
        <v>179881.67840785271</v>
      </c>
      <c r="AX77" s="53">
        <f t="shared" ca="1" si="43"/>
        <v>50689.432804634038</v>
      </c>
      <c r="AY77" s="53">
        <f t="shared" ca="1" si="43"/>
        <v>235954.58410141524</v>
      </c>
      <c r="AZ77" s="53">
        <f t="shared" ca="1" si="43"/>
        <v>221918.64031944651</v>
      </c>
      <c r="BA77" s="53">
        <f t="shared" ca="1" si="43"/>
        <v>77646.749594977766</v>
      </c>
      <c r="BB77" s="53">
        <f t="shared" ca="1" si="43"/>
        <v>290364.74994175904</v>
      </c>
      <c r="BC77" s="53">
        <f t="shared" ca="1" si="43"/>
        <v>283224.38228854025</v>
      </c>
      <c r="BD77" s="53">
        <f t="shared" ca="1" si="43"/>
        <v>-553581.68648514978</v>
      </c>
      <c r="BE77" s="53">
        <f t="shared" ca="1" si="43"/>
        <v>341182.22048210277</v>
      </c>
      <c r="BF77" s="53">
        <f t="shared" ca="1" si="43"/>
        <v>359410.42867888405</v>
      </c>
      <c r="BG77" s="53">
        <f t="shared" ca="1" si="43"/>
        <v>116545.68457566528</v>
      </c>
      <c r="BH77" s="53">
        <f t="shared" ca="1" si="43"/>
        <v>384008.68327244651</v>
      </c>
      <c r="BI77" s="53">
        <f t="shared" ca="1" si="43"/>
        <v>369510.6968692278</v>
      </c>
      <c r="BJ77" s="53">
        <f t="shared" ca="1" si="43"/>
        <v>119507.93676600896</v>
      </c>
      <c r="BK77" s="53">
        <f t="shared" ca="1" si="43"/>
        <v>416534.02866279031</v>
      </c>
      <c r="BL77" s="53">
        <f t="shared" ca="1" si="43"/>
        <v>400846.76688082155</v>
      </c>
      <c r="BM77" s="53">
        <f t="shared" ca="1" si="43"/>
        <v>141039.98175635282</v>
      </c>
      <c r="BN77" s="53">
        <f t="shared" ca="1" si="43"/>
        <v>455939.80280313402</v>
      </c>
      <c r="BO77" s="53">
        <f t="shared" ca="1" si="43"/>
        <v>443307.15144991525</v>
      </c>
      <c r="BP77" s="54">
        <f t="shared" ca="1" si="43"/>
        <v>-1073535.5025078999</v>
      </c>
    </row>
    <row r="78" spans="3:71" ht="15" thickBot="1" x14ac:dyDescent="0.4">
      <c r="C78" s="263"/>
      <c r="D78" s="263"/>
      <c r="E78" s="236"/>
      <c r="F78" s="263"/>
      <c r="G78" s="263"/>
    </row>
    <row r="79" spans="3:71" ht="16" thickBot="1" x14ac:dyDescent="0.4">
      <c r="C79" s="108" t="s">
        <v>301</v>
      </c>
      <c r="D79" s="109"/>
      <c r="E79" s="236"/>
      <c r="F79" s="108" t="s">
        <v>308</v>
      </c>
      <c r="G79" s="109"/>
    </row>
    <row r="80" spans="3:71" ht="15" thickBot="1" x14ac:dyDescent="0.4">
      <c r="C80" s="104" t="s">
        <v>321</v>
      </c>
      <c r="D80" s="149">
        <f ca="1">AVERAGE(Sales!$I$4:$BF$4)</f>
        <v>433.46938775510205</v>
      </c>
      <c r="E80" s="236"/>
      <c r="F80" s="114" t="s">
        <v>158</v>
      </c>
      <c r="G80" s="115"/>
    </row>
    <row r="81" spans="3:68" ht="15" thickBot="1" x14ac:dyDescent="0.4">
      <c r="C81" s="105" t="s">
        <v>322</v>
      </c>
      <c r="D81" s="165">
        <v>8.0000000000000007E-5</v>
      </c>
      <c r="E81" s="236"/>
      <c r="F81" s="104" t="s">
        <v>156</v>
      </c>
      <c r="G81" s="117">
        <v>5</v>
      </c>
      <c r="R81" s="82" t="s">
        <v>360</v>
      </c>
      <c r="S81" s="83" t="s">
        <v>49</v>
      </c>
      <c r="T81" s="83" t="s">
        <v>3</v>
      </c>
      <c r="U81" s="83" t="s">
        <v>4</v>
      </c>
      <c r="V81" s="84" t="s">
        <v>5</v>
      </c>
      <c r="W81" s="85" t="s">
        <v>6</v>
      </c>
      <c r="X81" s="83" t="s">
        <v>7</v>
      </c>
      <c r="Y81" s="83" t="s">
        <v>8</v>
      </c>
      <c r="Z81" s="83" t="s">
        <v>9</v>
      </c>
      <c r="AA81" s="83" t="s">
        <v>10</v>
      </c>
      <c r="AB81" s="83" t="s">
        <v>11</v>
      </c>
      <c r="AC81" s="83" t="s">
        <v>12</v>
      </c>
      <c r="AD81" s="83" t="s">
        <v>13</v>
      </c>
      <c r="AE81" s="83" t="s">
        <v>14</v>
      </c>
      <c r="AF81" s="83" t="s">
        <v>15</v>
      </c>
      <c r="AG81" s="83" t="s">
        <v>16</v>
      </c>
      <c r="AH81" s="83" t="s">
        <v>17</v>
      </c>
      <c r="AI81" s="83" t="s">
        <v>18</v>
      </c>
      <c r="AJ81" s="83" t="s">
        <v>19</v>
      </c>
      <c r="AK81" s="83" t="s">
        <v>20</v>
      </c>
      <c r="AL81" s="83" t="s">
        <v>21</v>
      </c>
      <c r="AM81" s="83" t="s">
        <v>22</v>
      </c>
      <c r="AN81" s="83" t="s">
        <v>23</v>
      </c>
      <c r="AO81" s="83" t="s">
        <v>24</v>
      </c>
      <c r="AP81" s="83" t="s">
        <v>25</v>
      </c>
      <c r="AQ81" s="83" t="s">
        <v>27</v>
      </c>
      <c r="AR81" s="83" t="s">
        <v>28</v>
      </c>
      <c r="AS81" s="83" t="s">
        <v>29</v>
      </c>
      <c r="AT81" s="83" t="s">
        <v>30</v>
      </c>
      <c r="AU81" s="83" t="s">
        <v>31</v>
      </c>
      <c r="AV81" s="83" t="s">
        <v>32</v>
      </c>
      <c r="AW81" s="83" t="s">
        <v>33</v>
      </c>
      <c r="AX81" s="83" t="s">
        <v>34</v>
      </c>
      <c r="AY81" s="83" t="s">
        <v>35</v>
      </c>
      <c r="AZ81" s="83" t="s">
        <v>36</v>
      </c>
      <c r="BA81" s="83" t="s">
        <v>37</v>
      </c>
      <c r="BB81" s="83" t="s">
        <v>38</v>
      </c>
      <c r="BC81" s="83" t="s">
        <v>95</v>
      </c>
      <c r="BD81" s="83" t="s">
        <v>96</v>
      </c>
      <c r="BE81" s="83" t="s">
        <v>97</v>
      </c>
      <c r="BF81" s="83" t="s">
        <v>98</v>
      </c>
      <c r="BG81" s="83" t="s">
        <v>99</v>
      </c>
      <c r="BH81" s="83" t="s">
        <v>100</v>
      </c>
      <c r="BI81" s="83" t="s">
        <v>101</v>
      </c>
      <c r="BJ81" s="83" t="s">
        <v>102</v>
      </c>
      <c r="BK81" s="83" t="s">
        <v>103</v>
      </c>
      <c r="BL81" s="83" t="s">
        <v>104</v>
      </c>
      <c r="BM81" s="83" t="s">
        <v>105</v>
      </c>
      <c r="BN81" s="83" t="s">
        <v>106</v>
      </c>
      <c r="BO81" s="84" t="s">
        <v>295</v>
      </c>
    </row>
    <row r="82" spans="3:68" x14ac:dyDescent="0.35">
      <c r="C82" s="105" t="s">
        <v>323</v>
      </c>
      <c r="D82" s="165">
        <v>1E-4</v>
      </c>
      <c r="E82" s="236"/>
      <c r="F82" s="105" t="s">
        <v>153</v>
      </c>
      <c r="G82" s="119">
        <v>0.2</v>
      </c>
      <c r="R82" s="78" t="s">
        <v>39</v>
      </c>
      <c r="S82" s="81">
        <f>-T37</f>
        <v>5093</v>
      </c>
      <c r="T82" s="81">
        <f t="shared" ref="T82:BO82" si="44">-U37</f>
        <v>33201</v>
      </c>
      <c r="U82" s="81">
        <f t="shared" si="44"/>
        <v>33201</v>
      </c>
      <c r="V82" s="81">
        <f t="shared" si="44"/>
        <v>36308</v>
      </c>
      <c r="W82" s="81">
        <f t="shared" si="44"/>
        <v>36308</v>
      </c>
      <c r="X82" s="81">
        <f t="shared" si="44"/>
        <v>58655</v>
      </c>
      <c r="Y82" s="81">
        <f t="shared" si="44"/>
        <v>36509</v>
      </c>
      <c r="Z82" s="81">
        <f t="shared" si="44"/>
        <v>36509</v>
      </c>
      <c r="AA82" s="81">
        <f t="shared" si="44"/>
        <v>40947</v>
      </c>
      <c r="AB82" s="81">
        <f t="shared" si="44"/>
        <v>40947</v>
      </c>
      <c r="AC82" s="81">
        <f t="shared" si="44"/>
        <v>40947</v>
      </c>
      <c r="AD82" s="81">
        <f t="shared" si="44"/>
        <v>63093</v>
      </c>
      <c r="AE82" s="81">
        <f t="shared" si="44"/>
        <v>45424.05</v>
      </c>
      <c r="AF82" s="81">
        <f t="shared" si="44"/>
        <v>45424.05</v>
      </c>
      <c r="AG82" s="81">
        <f t="shared" si="44"/>
        <v>45424.05</v>
      </c>
      <c r="AH82" s="81">
        <f t="shared" si="44"/>
        <v>45424.05</v>
      </c>
      <c r="AI82" s="81">
        <f t="shared" si="44"/>
        <v>48460.649999999994</v>
      </c>
      <c r="AJ82" s="81">
        <f t="shared" si="44"/>
        <v>71713.950000000012</v>
      </c>
      <c r="AK82" s="81">
        <f t="shared" si="44"/>
        <v>48460.649999999994</v>
      </c>
      <c r="AL82" s="81">
        <f t="shared" si="44"/>
        <v>48460.649999999994</v>
      </c>
      <c r="AM82" s="81">
        <f t="shared" si="44"/>
        <v>48460.649999999994</v>
      </c>
      <c r="AN82" s="81">
        <f t="shared" si="44"/>
        <v>48460.649999999994</v>
      </c>
      <c r="AO82" s="81">
        <f t="shared" si="44"/>
        <v>48460.649999999994</v>
      </c>
      <c r="AP82" s="81">
        <f t="shared" si="44"/>
        <v>71713.950000000012</v>
      </c>
      <c r="AQ82" s="81">
        <f t="shared" si="44"/>
        <v>50768.3</v>
      </c>
      <c r="AR82" s="81">
        <f t="shared" si="44"/>
        <v>50768.3</v>
      </c>
      <c r="AS82" s="81">
        <f t="shared" si="44"/>
        <v>50768.3</v>
      </c>
      <c r="AT82" s="81">
        <f t="shared" si="44"/>
        <v>50768.3</v>
      </c>
      <c r="AU82" s="81">
        <f t="shared" si="44"/>
        <v>50768.3</v>
      </c>
      <c r="AV82" s="81">
        <f t="shared" si="44"/>
        <v>75128.900000000009</v>
      </c>
      <c r="AW82" s="81">
        <f t="shared" si="44"/>
        <v>50768.3</v>
      </c>
      <c r="AX82" s="81">
        <f t="shared" si="44"/>
        <v>50768.3</v>
      </c>
      <c r="AY82" s="81">
        <f t="shared" si="44"/>
        <v>50768.3</v>
      </c>
      <c r="AZ82" s="81">
        <f t="shared" si="44"/>
        <v>50768.3</v>
      </c>
      <c r="BA82" s="81">
        <f t="shared" si="44"/>
        <v>50768.3</v>
      </c>
      <c r="BB82" s="81">
        <f t="shared" si="44"/>
        <v>75128.900000000009</v>
      </c>
      <c r="BC82" s="81">
        <f t="shared" si="44"/>
        <v>53075.95</v>
      </c>
      <c r="BD82" s="81">
        <f t="shared" si="44"/>
        <v>53075.95</v>
      </c>
      <c r="BE82" s="81">
        <f t="shared" si="44"/>
        <v>53075.95</v>
      </c>
      <c r="BF82" s="81">
        <f t="shared" si="44"/>
        <v>53075.95</v>
      </c>
      <c r="BG82" s="81">
        <f t="shared" si="44"/>
        <v>53075.95</v>
      </c>
      <c r="BH82" s="81">
        <f t="shared" si="44"/>
        <v>78543.850000000006</v>
      </c>
      <c r="BI82" s="81">
        <f t="shared" si="44"/>
        <v>53075.95</v>
      </c>
      <c r="BJ82" s="81">
        <f t="shared" si="44"/>
        <v>53075.95</v>
      </c>
      <c r="BK82" s="81">
        <f t="shared" si="44"/>
        <v>53075.95</v>
      </c>
      <c r="BL82" s="81">
        <f t="shared" si="44"/>
        <v>53075.95</v>
      </c>
      <c r="BM82" s="81">
        <f t="shared" si="44"/>
        <v>53075.95</v>
      </c>
      <c r="BN82" s="81">
        <f t="shared" si="44"/>
        <v>78543.850000000006</v>
      </c>
      <c r="BO82" s="81">
        <f t="shared" si="44"/>
        <v>53075.95</v>
      </c>
      <c r="BP82" s="21"/>
    </row>
    <row r="83" spans="3:68" ht="15" thickBot="1" x14ac:dyDescent="0.4">
      <c r="C83" s="105" t="s">
        <v>77</v>
      </c>
      <c r="D83" s="121">
        <v>0.12</v>
      </c>
      <c r="E83" s="236"/>
      <c r="F83" s="106" t="s">
        <v>154</v>
      </c>
      <c r="G83" s="120">
        <v>1.5</v>
      </c>
      <c r="R83" s="78" t="s">
        <v>361</v>
      </c>
      <c r="S83" s="80">
        <f>-T38</f>
        <v>0</v>
      </c>
      <c r="T83" s="80">
        <f t="shared" ref="T83:BO83" si="45">-U38</f>
        <v>0</v>
      </c>
      <c r="U83" s="80">
        <f t="shared" si="45"/>
        <v>0</v>
      </c>
      <c r="V83" s="80">
        <f t="shared" si="45"/>
        <v>0</v>
      </c>
      <c r="W83" s="80">
        <f t="shared" si="45"/>
        <v>0</v>
      </c>
      <c r="X83" s="80">
        <f t="shared" si="45"/>
        <v>0</v>
      </c>
      <c r="Y83" s="80">
        <f t="shared" si="45"/>
        <v>0</v>
      </c>
      <c r="Z83" s="80">
        <f t="shared" si="45"/>
        <v>0</v>
      </c>
      <c r="AA83" s="80">
        <f t="shared" ca="1" si="45"/>
        <v>6894</v>
      </c>
      <c r="AB83" s="80">
        <f t="shared" ca="1" si="45"/>
        <v>4194</v>
      </c>
      <c r="AC83" s="80">
        <f t="shared" ca="1" si="45"/>
        <v>1908</v>
      </c>
      <c r="AD83" s="80">
        <f t="shared" ca="1" si="45"/>
        <v>1926</v>
      </c>
      <c r="AE83" s="80">
        <f t="shared" ca="1" si="45"/>
        <v>1950</v>
      </c>
      <c r="AF83" s="80">
        <f t="shared" ca="1" si="45"/>
        <v>2172</v>
      </c>
      <c r="AG83" s="80">
        <f t="shared" ca="1" si="45"/>
        <v>2196</v>
      </c>
      <c r="AH83" s="80">
        <f t="shared" ca="1" si="45"/>
        <v>2208</v>
      </c>
      <c r="AI83" s="80">
        <f t="shared" ca="1" si="45"/>
        <v>2436</v>
      </c>
      <c r="AJ83" s="80">
        <f t="shared" ca="1" si="45"/>
        <v>2454</v>
      </c>
      <c r="AK83" s="80">
        <f t="shared" ca="1" si="45"/>
        <v>2472</v>
      </c>
      <c r="AL83" s="80">
        <f t="shared" ca="1" si="45"/>
        <v>2688</v>
      </c>
      <c r="AM83" s="80">
        <f t="shared" ca="1" si="45"/>
        <v>2700</v>
      </c>
      <c r="AN83" s="80">
        <f t="shared" ca="1" si="45"/>
        <v>3762</v>
      </c>
      <c r="AO83" s="80">
        <f t="shared" ca="1" si="45"/>
        <v>2952</v>
      </c>
      <c r="AP83" s="80">
        <f t="shared" ca="1" si="45"/>
        <v>2958</v>
      </c>
      <c r="AQ83" s="80">
        <f t="shared" ca="1" si="45"/>
        <v>2970</v>
      </c>
      <c r="AR83" s="80">
        <f t="shared" ca="1" si="45"/>
        <v>3204</v>
      </c>
      <c r="AS83" s="80">
        <f t="shared" ca="1" si="45"/>
        <v>3210</v>
      </c>
      <c r="AT83" s="80">
        <f t="shared" ca="1" si="45"/>
        <v>3216</v>
      </c>
      <c r="AU83" s="80">
        <f t="shared" ca="1" si="45"/>
        <v>3444</v>
      </c>
      <c r="AV83" s="80">
        <f t="shared" ca="1" si="45"/>
        <v>3450</v>
      </c>
      <c r="AW83" s="80">
        <f t="shared" ca="1" si="45"/>
        <v>3450</v>
      </c>
      <c r="AX83" s="80">
        <f t="shared" ca="1" si="45"/>
        <v>3696</v>
      </c>
      <c r="AY83" s="80">
        <f t="shared" ca="1" si="45"/>
        <v>3690</v>
      </c>
      <c r="AZ83" s="80">
        <f t="shared" ca="1" si="45"/>
        <v>4656</v>
      </c>
      <c r="BA83" s="80">
        <f t="shared" ca="1" si="45"/>
        <v>3918</v>
      </c>
      <c r="BB83" s="80">
        <f t="shared" ca="1" si="45"/>
        <v>3912</v>
      </c>
      <c r="BC83" s="80">
        <f t="shared" ca="1" si="45"/>
        <v>3906</v>
      </c>
      <c r="BD83" s="80">
        <f t="shared" ca="1" si="45"/>
        <v>4134</v>
      </c>
      <c r="BE83" s="80">
        <f t="shared" ca="1" si="45"/>
        <v>4122</v>
      </c>
      <c r="BF83" s="80">
        <f t="shared" ca="1" si="45"/>
        <v>4110</v>
      </c>
      <c r="BG83" s="80">
        <f t="shared" ca="1" si="45"/>
        <v>2286</v>
      </c>
      <c r="BH83" s="80">
        <f t="shared" ca="1" si="45"/>
        <v>2472</v>
      </c>
      <c r="BI83" s="80">
        <f t="shared" ca="1" si="45"/>
        <v>2484</v>
      </c>
      <c r="BJ83" s="80">
        <f t="shared" ca="1" si="45"/>
        <v>2496</v>
      </c>
      <c r="BK83" s="80">
        <f t="shared" ca="1" si="45"/>
        <v>2676</v>
      </c>
      <c r="BL83" s="80">
        <f t="shared" ca="1" si="45"/>
        <v>3564</v>
      </c>
      <c r="BM83" s="80">
        <f t="shared" ca="1" si="45"/>
        <v>2682</v>
      </c>
      <c r="BN83" s="80">
        <f t="shared" ca="1" si="45"/>
        <v>2862</v>
      </c>
      <c r="BO83" s="80">
        <f t="shared" ca="1" si="45"/>
        <v>2862</v>
      </c>
      <c r="BP83" s="21"/>
    </row>
    <row r="84" spans="3:68" ht="15" thickBot="1" x14ac:dyDescent="0.4">
      <c r="C84" s="105" t="s">
        <v>107</v>
      </c>
      <c r="D84" s="121">
        <v>0.04</v>
      </c>
      <c r="E84" s="236"/>
      <c r="F84" s="114" t="s">
        <v>111</v>
      </c>
      <c r="G84" s="115"/>
      <c r="R84" s="78" t="s">
        <v>362</v>
      </c>
      <c r="S84" s="80">
        <f>-T39-T41</f>
        <v>0</v>
      </c>
      <c r="T84" s="80">
        <f t="shared" ref="T84:BO84" si="46">-U39-U41</f>
        <v>4800</v>
      </c>
      <c r="U84" s="80">
        <f t="shared" si="46"/>
        <v>4800</v>
      </c>
      <c r="V84" s="80">
        <f t="shared" si="46"/>
        <v>4800</v>
      </c>
      <c r="W84" s="80">
        <f t="shared" si="46"/>
        <v>4800</v>
      </c>
      <c r="X84" s="80">
        <f t="shared" si="46"/>
        <v>4800</v>
      </c>
      <c r="Y84" s="80">
        <f t="shared" si="46"/>
        <v>4800</v>
      </c>
      <c r="Z84" s="80">
        <f t="shared" si="46"/>
        <v>4800</v>
      </c>
      <c r="AA84" s="80">
        <f t="shared" ca="1" si="46"/>
        <v>5632.32</v>
      </c>
      <c r="AB84" s="80">
        <f t="shared" ca="1" si="46"/>
        <v>6048.48</v>
      </c>
      <c r="AC84" s="80">
        <f t="shared" ca="1" si="46"/>
        <v>6256.56</v>
      </c>
      <c r="AD84" s="80">
        <f t="shared" ca="1" si="46"/>
        <v>6464.64</v>
      </c>
      <c r="AE84" s="80">
        <f t="shared" ca="1" si="46"/>
        <v>6672.72</v>
      </c>
      <c r="AF84" s="80">
        <f t="shared" ca="1" si="46"/>
        <v>6880.8</v>
      </c>
      <c r="AG84" s="80">
        <f t="shared" ca="1" si="46"/>
        <v>7192.92</v>
      </c>
      <c r="AH84" s="80">
        <f t="shared" ca="1" si="46"/>
        <v>7401</v>
      </c>
      <c r="AI84" s="80">
        <f t="shared" ca="1" si="46"/>
        <v>7609.08</v>
      </c>
      <c r="AJ84" s="80">
        <f t="shared" ca="1" si="46"/>
        <v>7921.2000000000007</v>
      </c>
      <c r="AK84" s="80">
        <f t="shared" ca="1" si="46"/>
        <v>8233.32</v>
      </c>
      <c r="AL84" s="80">
        <f t="shared" ca="1" si="46"/>
        <v>8441.4</v>
      </c>
      <c r="AM84" s="80">
        <f t="shared" ca="1" si="46"/>
        <v>8753.52</v>
      </c>
      <c r="AN84" s="80">
        <f t="shared" ca="1" si="46"/>
        <v>9169.68</v>
      </c>
      <c r="AO84" s="80">
        <f t="shared" ca="1" si="46"/>
        <v>9481.7999999999993</v>
      </c>
      <c r="AP84" s="80">
        <f t="shared" ca="1" si="46"/>
        <v>9793.92</v>
      </c>
      <c r="AQ84" s="80">
        <f t="shared" ca="1" si="46"/>
        <v>10106.040000000001</v>
      </c>
      <c r="AR84" s="80">
        <f t="shared" ca="1" si="46"/>
        <v>10522.2</v>
      </c>
      <c r="AS84" s="80">
        <f t="shared" ca="1" si="46"/>
        <v>10834.32</v>
      </c>
      <c r="AT84" s="80">
        <f t="shared" ca="1" si="46"/>
        <v>11146.44</v>
      </c>
      <c r="AU84" s="80">
        <f t="shared" ca="1" si="46"/>
        <v>11562.6</v>
      </c>
      <c r="AV84" s="80">
        <f t="shared" ca="1" si="46"/>
        <v>11978.76</v>
      </c>
      <c r="AW84" s="80">
        <f t="shared" ca="1" si="46"/>
        <v>12290.880000000001</v>
      </c>
      <c r="AX84" s="80">
        <f t="shared" ca="1" si="46"/>
        <v>12707.04</v>
      </c>
      <c r="AY84" s="80">
        <f t="shared" ca="1" si="46"/>
        <v>13123.2</v>
      </c>
      <c r="AZ84" s="80">
        <f t="shared" ca="1" si="46"/>
        <v>13643.4</v>
      </c>
      <c r="BA84" s="80">
        <f t="shared" ca="1" si="46"/>
        <v>14059.560000000001</v>
      </c>
      <c r="BB84" s="80">
        <f t="shared" ca="1" si="46"/>
        <v>14475.720000000001</v>
      </c>
      <c r="BC84" s="80">
        <f t="shared" ca="1" si="46"/>
        <v>14891.880000000001</v>
      </c>
      <c r="BD84" s="80">
        <f t="shared" ca="1" si="46"/>
        <v>15308.04</v>
      </c>
      <c r="BE84" s="80">
        <f t="shared" ca="1" si="46"/>
        <v>15724.2</v>
      </c>
      <c r="BF84" s="80">
        <f t="shared" ca="1" si="46"/>
        <v>16244.400000000001</v>
      </c>
      <c r="BG84" s="80">
        <f t="shared" ca="1" si="46"/>
        <v>16452.480000000003</v>
      </c>
      <c r="BH84" s="80">
        <f t="shared" ca="1" si="46"/>
        <v>16764.599999999999</v>
      </c>
      <c r="BI84" s="80">
        <f t="shared" ca="1" si="46"/>
        <v>16972.68</v>
      </c>
      <c r="BJ84" s="80">
        <f t="shared" ca="1" si="46"/>
        <v>17284.800000000003</v>
      </c>
      <c r="BK84" s="80">
        <f t="shared" ca="1" si="46"/>
        <v>17596.919999999998</v>
      </c>
      <c r="BL84" s="80">
        <f t="shared" ca="1" si="46"/>
        <v>17909.04</v>
      </c>
      <c r="BM84" s="80">
        <f t="shared" ca="1" si="46"/>
        <v>18221.160000000003</v>
      </c>
      <c r="BN84" s="80">
        <f t="shared" ca="1" si="46"/>
        <v>18533.28</v>
      </c>
      <c r="BO84" s="80">
        <f t="shared" ca="1" si="46"/>
        <v>18845.400000000001</v>
      </c>
      <c r="BP84" s="21"/>
    </row>
    <row r="85" spans="3:68" ht="15" thickBot="1" x14ac:dyDescent="0.4">
      <c r="C85" s="105" t="s">
        <v>74</v>
      </c>
      <c r="D85" s="121">
        <v>0.01</v>
      </c>
      <c r="E85" s="236"/>
      <c r="F85" s="104" t="s">
        <v>160</v>
      </c>
      <c r="G85" s="117">
        <v>10</v>
      </c>
      <c r="R85" s="78" t="s">
        <v>41</v>
      </c>
      <c r="S85" s="80">
        <f>-T40</f>
        <v>0</v>
      </c>
      <c r="T85" s="80">
        <f t="shared" ref="T85:BO85" si="47">-U40</f>
        <v>0</v>
      </c>
      <c r="U85" s="80">
        <f t="shared" si="47"/>
        <v>0</v>
      </c>
      <c r="V85" s="80">
        <f t="shared" si="47"/>
        <v>0</v>
      </c>
      <c r="W85" s="80">
        <f t="shared" si="47"/>
        <v>0</v>
      </c>
      <c r="X85" s="80">
        <f t="shared" si="47"/>
        <v>0</v>
      </c>
      <c r="Y85" s="80">
        <f t="shared" si="47"/>
        <v>105698.80623946873</v>
      </c>
      <c r="Z85" s="80">
        <f t="shared" si="47"/>
        <v>106572.35009268748</v>
      </c>
      <c r="AA85" s="80">
        <f t="shared" ca="1" si="47"/>
        <v>106121.84814590623</v>
      </c>
      <c r="AB85" s="80">
        <f t="shared" ca="1" si="47"/>
        <v>20549.436077250004</v>
      </c>
      <c r="AC85" s="80">
        <f t="shared" ca="1" si="47"/>
        <v>21331.273830468752</v>
      </c>
      <c r="AD85" s="80">
        <f t="shared" ca="1" si="47"/>
        <v>22106.286883687502</v>
      </c>
      <c r="AE85" s="80">
        <f t="shared" ca="1" si="47"/>
        <v>22874.394686906253</v>
      </c>
      <c r="AF85" s="80">
        <f t="shared" ca="1" si="47"/>
        <v>23626.569490125003</v>
      </c>
      <c r="AG85" s="80">
        <f t="shared" ca="1" si="47"/>
        <v>24371.086793343755</v>
      </c>
      <c r="AH85" s="80">
        <f t="shared" ca="1" si="47"/>
        <v>25107.870096562507</v>
      </c>
      <c r="AI85" s="80">
        <f t="shared" ca="1" si="47"/>
        <v>25826.944849781255</v>
      </c>
      <c r="AJ85" s="80">
        <f t="shared" ca="1" si="47"/>
        <v>26537.580903000005</v>
      </c>
      <c r="AK85" s="80">
        <f t="shared" ca="1" si="47"/>
        <v>27239.714806218755</v>
      </c>
      <c r="AL85" s="80">
        <f t="shared" ca="1" si="47"/>
        <v>27922.437209437507</v>
      </c>
      <c r="AM85" s="80">
        <f t="shared" ca="1" si="47"/>
        <v>61277.126491406263</v>
      </c>
      <c r="AN85" s="80">
        <f t="shared" ca="1" si="47"/>
        <v>29201.524315875009</v>
      </c>
      <c r="AO85" s="80">
        <f t="shared" ca="1" si="47"/>
        <v>29842.303869093757</v>
      </c>
      <c r="AP85" s="80">
        <f t="shared" ca="1" si="47"/>
        <v>30473.23562231251</v>
      </c>
      <c r="AQ85" s="80">
        <f t="shared" ca="1" si="47"/>
        <v>31094.292575531257</v>
      </c>
      <c r="AR85" s="80">
        <f t="shared" ca="1" si="47"/>
        <v>31691.50612875001</v>
      </c>
      <c r="AS85" s="80">
        <f t="shared" ca="1" si="47"/>
        <v>32278.260781968762</v>
      </c>
      <c r="AT85" s="80">
        <f t="shared" ca="1" si="47"/>
        <v>32854.542135187512</v>
      </c>
      <c r="AU85" s="80">
        <f t="shared" ca="1" si="47"/>
        <v>33405.47678840626</v>
      </c>
      <c r="AV85" s="80">
        <f t="shared" ca="1" si="47"/>
        <v>33945.421541625015</v>
      </c>
      <c r="AW85" s="80">
        <f t="shared" ca="1" si="47"/>
        <v>34474.387644843766</v>
      </c>
      <c r="AX85" s="80">
        <f t="shared" ca="1" si="47"/>
        <v>34975.200848062515</v>
      </c>
      <c r="AY85" s="80">
        <f t="shared" ca="1" si="47"/>
        <v>65647.159630031267</v>
      </c>
      <c r="AZ85" s="80">
        <f t="shared" ca="1" si="47"/>
        <v>35870.059354500016</v>
      </c>
      <c r="BA85" s="80">
        <f t="shared" ca="1" si="47"/>
        <v>36317.582507718762</v>
      </c>
      <c r="BB85" s="80">
        <f t="shared" ca="1" si="47"/>
        <v>36753.32016093751</v>
      </c>
      <c r="BC85" s="80">
        <f t="shared" ca="1" si="47"/>
        <v>37177.32991415626</v>
      </c>
      <c r="BD85" s="80">
        <f t="shared" ca="1" si="47"/>
        <v>37570.826967375011</v>
      </c>
      <c r="BE85" s="80">
        <f t="shared" ca="1" si="47"/>
        <v>37952.303770593768</v>
      </c>
      <c r="BF85" s="80">
        <f t="shared" ca="1" si="47"/>
        <v>38321.858873812518</v>
      </c>
      <c r="BG85" s="80">
        <f t="shared" ca="1" si="47"/>
        <v>38835.131677031262</v>
      </c>
      <c r="BH85" s="80">
        <f t="shared" ca="1" si="47"/>
        <v>39325.000580250009</v>
      </c>
      <c r="BI85" s="80">
        <f t="shared" ca="1" si="47"/>
        <v>39806.292183468766</v>
      </c>
      <c r="BJ85" s="80">
        <f t="shared" ca="1" si="47"/>
        <v>40278.996286687514</v>
      </c>
      <c r="BK85" s="80">
        <f t="shared" ca="1" si="47"/>
        <v>68338.685568656263</v>
      </c>
      <c r="BL85" s="80">
        <f t="shared" ca="1" si="47"/>
        <v>41083.386193125014</v>
      </c>
      <c r="BM85" s="80">
        <f t="shared" ca="1" si="47"/>
        <v>41512.632146343763</v>
      </c>
      <c r="BN85" s="80">
        <f t="shared" ca="1" si="47"/>
        <v>41916.240999562513</v>
      </c>
      <c r="BO85" s="80">
        <f t="shared" ca="1" si="47"/>
        <v>42310.548202781269</v>
      </c>
      <c r="BP85" s="21"/>
    </row>
    <row r="86" spans="3:68" ht="15" thickBot="1" x14ac:dyDescent="0.4">
      <c r="C86" s="105" t="s">
        <v>75</v>
      </c>
      <c r="D86" s="151">
        <f>G98</f>
        <v>5064022.3374999994</v>
      </c>
      <c r="E86" s="236"/>
      <c r="F86" s="105" t="s">
        <v>161</v>
      </c>
      <c r="G86" s="120">
        <v>50</v>
      </c>
      <c r="R86" s="78" t="s">
        <v>363</v>
      </c>
      <c r="S86" s="80">
        <f>-T42</f>
        <v>0</v>
      </c>
      <c r="T86" s="80">
        <f t="shared" ref="T86:BO86" si="48">-U42</f>
        <v>0</v>
      </c>
      <c r="U86" s="80">
        <f t="shared" si="48"/>
        <v>0</v>
      </c>
      <c r="V86" s="80">
        <f t="shared" si="48"/>
        <v>0</v>
      </c>
      <c r="W86" s="80">
        <f t="shared" si="48"/>
        <v>0</v>
      </c>
      <c r="X86" s="80">
        <f t="shared" si="48"/>
        <v>0</v>
      </c>
      <c r="Y86" s="80">
        <f t="shared" si="48"/>
        <v>0</v>
      </c>
      <c r="Z86" s="80">
        <f t="shared" si="48"/>
        <v>0</v>
      </c>
      <c r="AA86" s="80">
        <f t="shared" ca="1" si="48"/>
        <v>7723.3499999999995</v>
      </c>
      <c r="AB86" s="80">
        <f t="shared" ca="1" si="48"/>
        <v>8984.1224999999995</v>
      </c>
      <c r="AC86" s="80">
        <f t="shared" ca="1" si="48"/>
        <v>9029.0249999999978</v>
      </c>
      <c r="AD86" s="80">
        <f t="shared" ca="1" si="48"/>
        <v>10234.987499999999</v>
      </c>
      <c r="AE86" s="80">
        <f t="shared" ca="1" si="48"/>
        <v>11458.867499999998</v>
      </c>
      <c r="AF86" s="80">
        <f t="shared" ca="1" si="48"/>
        <v>12920.302499999998</v>
      </c>
      <c r="AG86" s="80">
        <f t="shared" ca="1" si="48"/>
        <v>14294.924999999997</v>
      </c>
      <c r="AH86" s="80">
        <f t="shared" ca="1" si="48"/>
        <v>15674.009999999998</v>
      </c>
      <c r="AI86" s="80">
        <f t="shared" ca="1" si="48"/>
        <v>17301.12</v>
      </c>
      <c r="AJ86" s="80">
        <f t="shared" ca="1" si="48"/>
        <v>18833.939999999999</v>
      </c>
      <c r="AK86" s="80">
        <f t="shared" ca="1" si="48"/>
        <v>20377.207499999997</v>
      </c>
      <c r="AL86" s="80">
        <f t="shared" ca="1" si="48"/>
        <v>22155.044999999998</v>
      </c>
      <c r="AM86" s="80">
        <f t="shared" ca="1" si="48"/>
        <v>23840.092499999995</v>
      </c>
      <c r="AN86" s="80">
        <f t="shared" ca="1" si="48"/>
        <v>26708.512499999993</v>
      </c>
      <c r="AO86" s="80">
        <f t="shared" ca="1" si="48"/>
        <v>28137.314999999995</v>
      </c>
      <c r="AP86" s="80">
        <f t="shared" ca="1" si="48"/>
        <v>29979.067499999997</v>
      </c>
      <c r="AQ86" s="80">
        <f t="shared" ca="1" si="48"/>
        <v>31831.274999999998</v>
      </c>
      <c r="AR86" s="80">
        <f t="shared" ca="1" si="48"/>
        <v>33938.977499999994</v>
      </c>
      <c r="AS86" s="80">
        <f t="shared" ca="1" si="48"/>
        <v>35937.442499999997</v>
      </c>
      <c r="AT86" s="80">
        <f t="shared" ca="1" si="48"/>
        <v>37938.892499999994</v>
      </c>
      <c r="AU86" s="80">
        <f t="shared" ca="1" si="48"/>
        <v>40194.344999999994</v>
      </c>
      <c r="AV86" s="80">
        <f t="shared" ca="1" si="48"/>
        <v>42340.56749999999</v>
      </c>
      <c r="AW86" s="80">
        <f t="shared" ca="1" si="48"/>
        <v>44485.289999999994</v>
      </c>
      <c r="AX86" s="80">
        <f t="shared" ca="1" si="48"/>
        <v>46903.447499999995</v>
      </c>
      <c r="AY86" s="80">
        <f t="shared" ca="1" si="48"/>
        <v>49194.427499999998</v>
      </c>
      <c r="AZ86" s="80">
        <f t="shared" ca="1" si="48"/>
        <v>52570.177499999998</v>
      </c>
      <c r="BA86" s="80">
        <f t="shared" ca="1" si="48"/>
        <v>54637.859999999993</v>
      </c>
      <c r="BB86" s="80">
        <f t="shared" ca="1" si="48"/>
        <v>57066.15</v>
      </c>
      <c r="BC86" s="80">
        <f t="shared" ca="1" si="48"/>
        <v>59489.962499999994</v>
      </c>
      <c r="BD86" s="80">
        <f t="shared" ca="1" si="48"/>
        <v>62172.27</v>
      </c>
      <c r="BE86" s="80">
        <f t="shared" ca="1" si="48"/>
        <v>64727.414999999994</v>
      </c>
      <c r="BF86" s="80">
        <f t="shared" ca="1" si="48"/>
        <v>67275.097499999989</v>
      </c>
      <c r="BG86" s="80">
        <f t="shared" ca="1" si="48"/>
        <v>67786.237500000003</v>
      </c>
      <c r="BH86" s="80">
        <f t="shared" ca="1" si="48"/>
        <v>69416.28</v>
      </c>
      <c r="BI86" s="80">
        <f t="shared" ca="1" si="48"/>
        <v>70964.017499999987</v>
      </c>
      <c r="BJ86" s="80">
        <f t="shared" ca="1" si="48"/>
        <v>72519.217499999984</v>
      </c>
      <c r="BK86" s="80">
        <f t="shared" ca="1" si="48"/>
        <v>74270.14499999999</v>
      </c>
      <c r="BL86" s="80">
        <f t="shared" ca="1" si="48"/>
        <v>76929.397499999992</v>
      </c>
      <c r="BM86" s="80">
        <f t="shared" ca="1" si="48"/>
        <v>78156.622499999998</v>
      </c>
      <c r="BN86" s="80">
        <f t="shared" ca="1" si="48"/>
        <v>80023.964999999997</v>
      </c>
      <c r="BO86" s="80">
        <f t="shared" ca="1" si="48"/>
        <v>81803.024999999994</v>
      </c>
      <c r="BP86" s="21"/>
    </row>
    <row r="87" spans="3:68" ht="15" thickBot="1" x14ac:dyDescent="0.4">
      <c r="C87" s="105" t="s">
        <v>78</v>
      </c>
      <c r="D87" s="121">
        <v>0.4</v>
      </c>
      <c r="E87" s="236"/>
      <c r="F87" s="106" t="s">
        <v>167</v>
      </c>
      <c r="G87" s="119">
        <v>0.05</v>
      </c>
      <c r="R87" s="78" t="s">
        <v>113</v>
      </c>
      <c r="S87" s="80">
        <f>-T22</f>
        <v>0</v>
      </c>
      <c r="T87" s="80">
        <f t="shared" ref="T87:BO87" si="49">-U22</f>
        <v>0</v>
      </c>
      <c r="U87" s="80">
        <f t="shared" si="49"/>
        <v>0</v>
      </c>
      <c r="V87" s="80">
        <f t="shared" ca="1" si="49"/>
        <v>0</v>
      </c>
      <c r="W87" s="80">
        <f t="shared" si="49"/>
        <v>0</v>
      </c>
      <c r="X87" s="80">
        <f t="shared" si="49"/>
        <v>0</v>
      </c>
      <c r="Y87" s="80">
        <f t="shared" ca="1" si="49"/>
        <v>0</v>
      </c>
      <c r="Z87" s="80">
        <f t="shared" si="49"/>
        <v>0</v>
      </c>
      <c r="AA87" s="80">
        <f t="shared" si="49"/>
        <v>0</v>
      </c>
      <c r="AB87" s="80">
        <f t="shared" ca="1" si="49"/>
        <v>0</v>
      </c>
      <c r="AC87" s="80">
        <f t="shared" si="49"/>
        <v>0</v>
      </c>
      <c r="AD87" s="80">
        <f t="shared" si="49"/>
        <v>0</v>
      </c>
      <c r="AE87" s="80">
        <f t="shared" ca="1" si="49"/>
        <v>0</v>
      </c>
      <c r="AF87" s="80">
        <f t="shared" si="49"/>
        <v>0</v>
      </c>
      <c r="AG87" s="80">
        <f t="shared" si="49"/>
        <v>0</v>
      </c>
      <c r="AH87" s="80">
        <f t="shared" ca="1" si="49"/>
        <v>54143.732999999993</v>
      </c>
      <c r="AI87" s="80">
        <f t="shared" si="49"/>
        <v>0</v>
      </c>
      <c r="AJ87" s="80">
        <f t="shared" si="49"/>
        <v>0</v>
      </c>
      <c r="AK87" s="80">
        <f t="shared" ca="1" si="49"/>
        <v>72532.697999999989</v>
      </c>
      <c r="AL87" s="80">
        <f t="shared" si="49"/>
        <v>0</v>
      </c>
      <c r="AM87" s="80">
        <f t="shared" si="49"/>
        <v>0</v>
      </c>
      <c r="AN87" s="80">
        <f t="shared" ca="1" si="49"/>
        <v>92921.282999999981</v>
      </c>
      <c r="AO87" s="80">
        <f t="shared" si="49"/>
        <v>0</v>
      </c>
      <c r="AP87" s="80">
        <f t="shared" si="49"/>
        <v>0</v>
      </c>
      <c r="AQ87" s="80">
        <f t="shared" ca="1" si="49"/>
        <v>214684.80818180775</v>
      </c>
      <c r="AR87" s="80">
        <f t="shared" si="49"/>
        <v>0</v>
      </c>
      <c r="AS87" s="80">
        <f t="shared" si="49"/>
        <v>0</v>
      </c>
      <c r="AT87" s="80">
        <f t="shared" ca="1" si="49"/>
        <v>142390.77299999999</v>
      </c>
      <c r="AU87" s="80">
        <f t="shared" si="49"/>
        <v>0</v>
      </c>
      <c r="AV87" s="80">
        <f t="shared" si="49"/>
        <v>0</v>
      </c>
      <c r="AW87" s="80">
        <f t="shared" ca="1" si="49"/>
        <v>168663.32699999999</v>
      </c>
      <c r="AX87" s="80">
        <f t="shared" si="49"/>
        <v>0</v>
      </c>
      <c r="AY87" s="80">
        <f t="shared" si="49"/>
        <v>0</v>
      </c>
      <c r="AZ87" s="80">
        <f t="shared" ca="1" si="49"/>
        <v>196816.43099999998</v>
      </c>
      <c r="BA87" s="80">
        <f t="shared" si="49"/>
        <v>0</v>
      </c>
      <c r="BB87" s="80">
        <f t="shared" si="49"/>
        <v>0</v>
      </c>
      <c r="BC87" s="80">
        <f t="shared" ca="1" si="49"/>
        <v>870656.36152047128</v>
      </c>
      <c r="BD87" s="80">
        <f t="shared" si="49"/>
        <v>0</v>
      </c>
      <c r="BE87" s="80">
        <f t="shared" si="49"/>
        <v>0</v>
      </c>
      <c r="BF87" s="80">
        <f t="shared" ca="1" si="49"/>
        <v>260945.50649999996</v>
      </c>
      <c r="BG87" s="80">
        <f t="shared" si="49"/>
        <v>0</v>
      </c>
      <c r="BH87" s="80">
        <f t="shared" si="49"/>
        <v>0</v>
      </c>
      <c r="BI87" s="80">
        <f t="shared" ca="1" si="49"/>
        <v>286268.66099999996</v>
      </c>
      <c r="BJ87" s="80">
        <f t="shared" si="49"/>
        <v>0</v>
      </c>
      <c r="BK87" s="80">
        <f t="shared" si="49"/>
        <v>0</v>
      </c>
      <c r="BL87" s="80">
        <f t="shared" ca="1" si="49"/>
        <v>304854.73199999996</v>
      </c>
      <c r="BM87" s="80">
        <f t="shared" si="49"/>
        <v>0</v>
      </c>
      <c r="BN87" s="80">
        <f t="shared" si="49"/>
        <v>0</v>
      </c>
      <c r="BO87" s="80">
        <f t="shared" ca="1" si="49"/>
        <v>1523969.6467545964</v>
      </c>
    </row>
    <row r="88" spans="3:68" ht="15" thickBot="1" x14ac:dyDescent="0.4">
      <c r="C88" s="105" t="s">
        <v>80</v>
      </c>
      <c r="D88" s="120">
        <v>19.95</v>
      </c>
      <c r="E88" s="236"/>
      <c r="F88" s="114" t="s">
        <v>110</v>
      </c>
      <c r="G88" s="115"/>
      <c r="R88" s="78" t="s">
        <v>114</v>
      </c>
      <c r="S88" s="80">
        <f ca="1">-T46</f>
        <v>0</v>
      </c>
      <c r="T88" s="80">
        <f t="shared" ref="T88:BO88" ca="1" si="50">-U46</f>
        <v>0</v>
      </c>
      <c r="U88" s="80">
        <f t="shared" ca="1" si="50"/>
        <v>0</v>
      </c>
      <c r="V88" s="80">
        <f t="shared" ca="1" si="50"/>
        <v>0</v>
      </c>
      <c r="W88" s="80">
        <f t="shared" ca="1" si="50"/>
        <v>0</v>
      </c>
      <c r="X88" s="80">
        <f t="shared" ca="1" si="50"/>
        <v>2273.5263600460207</v>
      </c>
      <c r="Y88" s="80">
        <f t="shared" ca="1" si="50"/>
        <v>2273.5263600460207</v>
      </c>
      <c r="Z88" s="80">
        <f t="shared" ca="1" si="50"/>
        <v>2273.5263600460207</v>
      </c>
      <c r="AA88" s="80">
        <f t="shared" ca="1" si="50"/>
        <v>2273.5263600460207</v>
      </c>
      <c r="AB88" s="80">
        <f t="shared" ca="1" si="50"/>
        <v>2273.5263600460207</v>
      </c>
      <c r="AC88" s="80">
        <f t="shared" ca="1" si="50"/>
        <v>2273.5263600460207</v>
      </c>
      <c r="AD88" s="80">
        <f t="shared" ca="1" si="50"/>
        <v>2273.5263600460207</v>
      </c>
      <c r="AE88" s="80">
        <f t="shared" ca="1" si="50"/>
        <v>2273.5263600460207</v>
      </c>
      <c r="AF88" s="80">
        <f t="shared" ca="1" si="50"/>
        <v>2273.5263600460207</v>
      </c>
      <c r="AG88" s="80">
        <f t="shared" ca="1" si="50"/>
        <v>2273.5263600460207</v>
      </c>
      <c r="AH88" s="80">
        <f t="shared" ca="1" si="50"/>
        <v>2273.5263600460207</v>
      </c>
      <c r="AI88" s="80">
        <f t="shared" ca="1" si="50"/>
        <v>2273.5263600460207</v>
      </c>
      <c r="AJ88" s="80">
        <f t="shared" ca="1" si="50"/>
        <v>2273.5263600460207</v>
      </c>
      <c r="AK88" s="80">
        <f t="shared" ca="1" si="50"/>
        <v>2273.5263600460207</v>
      </c>
      <c r="AL88" s="80">
        <f t="shared" ca="1" si="50"/>
        <v>2273.5263600460207</v>
      </c>
      <c r="AM88" s="80">
        <f t="shared" ca="1" si="50"/>
        <v>2273.5263600460207</v>
      </c>
      <c r="AN88" s="80">
        <f t="shared" ca="1" si="50"/>
        <v>2273.5263600460207</v>
      </c>
      <c r="AO88" s="80">
        <f t="shared" ca="1" si="50"/>
        <v>2273.5263600460207</v>
      </c>
      <c r="AP88" s="80">
        <f t="shared" ca="1" si="50"/>
        <v>2273.5263600460207</v>
      </c>
      <c r="AQ88" s="80">
        <f t="shared" ca="1" si="50"/>
        <v>2273.5263600460207</v>
      </c>
      <c r="AR88" s="80">
        <f t="shared" ca="1" si="50"/>
        <v>2273.5263600460207</v>
      </c>
      <c r="AS88" s="80">
        <f t="shared" ca="1" si="50"/>
        <v>2273.5263600460207</v>
      </c>
      <c r="AT88" s="80">
        <f t="shared" ca="1" si="50"/>
        <v>2273.5263600460207</v>
      </c>
      <c r="AU88" s="80">
        <f t="shared" ca="1" si="50"/>
        <v>2273.5263600460207</v>
      </c>
      <c r="AV88" s="80">
        <f t="shared" ca="1" si="50"/>
        <v>2273.5263600460207</v>
      </c>
      <c r="AW88" s="80">
        <f t="shared" ca="1" si="50"/>
        <v>2273.5263600460207</v>
      </c>
      <c r="AX88" s="80">
        <f t="shared" ca="1" si="50"/>
        <v>2273.5263600460207</v>
      </c>
      <c r="AY88" s="80">
        <f t="shared" ca="1" si="50"/>
        <v>2273.5263600460207</v>
      </c>
      <c r="AZ88" s="80">
        <f t="shared" ca="1" si="50"/>
        <v>2273.5263600460207</v>
      </c>
      <c r="BA88" s="80">
        <f t="shared" ca="1" si="50"/>
        <v>2273.5263600460207</v>
      </c>
      <c r="BB88" s="80">
        <f t="shared" ca="1" si="50"/>
        <v>2273.5263600460207</v>
      </c>
      <c r="BC88" s="80">
        <f t="shared" ca="1" si="50"/>
        <v>2273.5263600460207</v>
      </c>
      <c r="BD88" s="80">
        <f t="shared" ca="1" si="50"/>
        <v>2273.5263600460207</v>
      </c>
      <c r="BE88" s="80">
        <f t="shared" ca="1" si="50"/>
        <v>2273.5263600460207</v>
      </c>
      <c r="BF88" s="80">
        <f t="shared" ca="1" si="50"/>
        <v>2273.5263600460207</v>
      </c>
      <c r="BG88" s="80">
        <f t="shared" ca="1" si="50"/>
        <v>2273.5263600460207</v>
      </c>
      <c r="BH88" s="80">
        <f t="shared" ca="1" si="50"/>
        <v>2273.5263600460207</v>
      </c>
      <c r="BI88" s="80">
        <f t="shared" ca="1" si="50"/>
        <v>2273.5263600460207</v>
      </c>
      <c r="BJ88" s="80">
        <f t="shared" ca="1" si="50"/>
        <v>2273.5263600460207</v>
      </c>
      <c r="BK88" s="80">
        <f t="shared" ca="1" si="50"/>
        <v>2273.5263600460207</v>
      </c>
      <c r="BL88" s="80">
        <f t="shared" ca="1" si="50"/>
        <v>2273.5263600460207</v>
      </c>
      <c r="BM88" s="80">
        <f t="shared" ca="1" si="50"/>
        <v>2273.5263600460207</v>
      </c>
      <c r="BN88" s="80">
        <f t="shared" ca="1" si="50"/>
        <v>2273.5263600460207</v>
      </c>
      <c r="BO88" s="80">
        <f t="shared" ca="1" si="50"/>
        <v>2273.5263600460207</v>
      </c>
    </row>
    <row r="89" spans="3:68" ht="15" thickBot="1" x14ac:dyDescent="0.4">
      <c r="C89" s="106" t="s">
        <v>81</v>
      </c>
      <c r="D89" s="122">
        <v>9.9499999999999993</v>
      </c>
      <c r="E89" s="236"/>
      <c r="F89" s="104" t="s">
        <v>159</v>
      </c>
      <c r="G89" s="117">
        <v>30</v>
      </c>
      <c r="R89" s="79" t="s">
        <v>344</v>
      </c>
      <c r="S89" s="80">
        <f>-T44</f>
        <v>0</v>
      </c>
      <c r="T89" s="80">
        <f t="shared" ref="T89:BO89" si="51">-U44</f>
        <v>0</v>
      </c>
      <c r="U89" s="80">
        <f t="shared" si="51"/>
        <v>0</v>
      </c>
      <c r="V89" s="80">
        <f t="shared" si="51"/>
        <v>0</v>
      </c>
      <c r="W89" s="80">
        <f t="shared" si="51"/>
        <v>0</v>
      </c>
      <c r="X89" s="80">
        <f t="shared" si="51"/>
        <v>0</v>
      </c>
      <c r="Y89" s="80">
        <f t="shared" si="51"/>
        <v>0</v>
      </c>
      <c r="Z89" s="80">
        <f t="shared" si="51"/>
        <v>0</v>
      </c>
      <c r="AA89" s="80">
        <f t="shared" si="51"/>
        <v>0</v>
      </c>
      <c r="AB89" s="80">
        <f t="shared" si="51"/>
        <v>0</v>
      </c>
      <c r="AC89" s="80">
        <f t="shared" si="51"/>
        <v>0</v>
      </c>
      <c r="AD89" s="80">
        <f t="shared" si="51"/>
        <v>0</v>
      </c>
      <c r="AE89" s="80">
        <f t="shared" si="51"/>
        <v>4600</v>
      </c>
      <c r="AF89" s="80">
        <f t="shared" si="51"/>
        <v>0</v>
      </c>
      <c r="AG89" s="80">
        <f t="shared" si="51"/>
        <v>0</v>
      </c>
      <c r="AH89" s="80">
        <f t="shared" si="51"/>
        <v>0</v>
      </c>
      <c r="AI89" s="80">
        <f t="shared" si="51"/>
        <v>0</v>
      </c>
      <c r="AJ89" s="80">
        <f t="shared" si="51"/>
        <v>0</v>
      </c>
      <c r="AK89" s="80">
        <f t="shared" si="51"/>
        <v>0</v>
      </c>
      <c r="AL89" s="80">
        <f t="shared" si="51"/>
        <v>0</v>
      </c>
      <c r="AM89" s="80">
        <f t="shared" si="51"/>
        <v>0</v>
      </c>
      <c r="AN89" s="80">
        <f t="shared" si="51"/>
        <v>0</v>
      </c>
      <c r="AO89" s="80">
        <f t="shared" si="51"/>
        <v>0</v>
      </c>
      <c r="AP89" s="80">
        <f t="shared" si="51"/>
        <v>0</v>
      </c>
      <c r="AQ89" s="80">
        <f t="shared" si="51"/>
        <v>5400</v>
      </c>
      <c r="AR89" s="80">
        <f t="shared" si="51"/>
        <v>0</v>
      </c>
      <c r="AS89" s="80">
        <f t="shared" si="51"/>
        <v>0</v>
      </c>
      <c r="AT89" s="80">
        <f t="shared" si="51"/>
        <v>0</v>
      </c>
      <c r="AU89" s="80">
        <f t="shared" si="51"/>
        <v>0</v>
      </c>
      <c r="AV89" s="80">
        <f t="shared" si="51"/>
        <v>0</v>
      </c>
      <c r="AW89" s="80">
        <f t="shared" si="51"/>
        <v>0</v>
      </c>
      <c r="AX89" s="80">
        <f t="shared" si="51"/>
        <v>0</v>
      </c>
      <c r="AY89" s="80">
        <f t="shared" si="51"/>
        <v>0</v>
      </c>
      <c r="AZ89" s="80">
        <f t="shared" si="51"/>
        <v>0</v>
      </c>
      <c r="BA89" s="80">
        <f t="shared" si="51"/>
        <v>0</v>
      </c>
      <c r="BB89" s="80">
        <f t="shared" si="51"/>
        <v>0</v>
      </c>
      <c r="BC89" s="80">
        <f t="shared" si="51"/>
        <v>5400</v>
      </c>
      <c r="BD89" s="80">
        <f t="shared" si="51"/>
        <v>0</v>
      </c>
      <c r="BE89" s="80">
        <f t="shared" si="51"/>
        <v>0</v>
      </c>
      <c r="BF89" s="80">
        <f t="shared" si="51"/>
        <v>0</v>
      </c>
      <c r="BG89" s="80">
        <f t="shared" si="51"/>
        <v>0</v>
      </c>
      <c r="BH89" s="80">
        <f t="shared" si="51"/>
        <v>0</v>
      </c>
      <c r="BI89" s="80">
        <f t="shared" si="51"/>
        <v>0</v>
      </c>
      <c r="BJ89" s="80">
        <f t="shared" si="51"/>
        <v>0</v>
      </c>
      <c r="BK89" s="80">
        <f t="shared" si="51"/>
        <v>0</v>
      </c>
      <c r="BL89" s="80">
        <f t="shared" si="51"/>
        <v>0</v>
      </c>
      <c r="BM89" s="80">
        <f t="shared" si="51"/>
        <v>0</v>
      </c>
      <c r="BN89" s="80">
        <f t="shared" si="51"/>
        <v>0</v>
      </c>
      <c r="BO89" s="80">
        <f t="shared" si="51"/>
        <v>5400</v>
      </c>
    </row>
    <row r="90" spans="3:68" x14ac:dyDescent="0.35">
      <c r="C90" s="235"/>
      <c r="D90" s="235"/>
      <c r="E90" s="236"/>
      <c r="F90" s="105" t="s">
        <v>162</v>
      </c>
      <c r="G90" s="120">
        <v>25</v>
      </c>
    </row>
    <row r="91" spans="3:68" ht="15" thickBot="1" x14ac:dyDescent="0.4">
      <c r="C91" s="236"/>
      <c r="D91" s="236"/>
      <c r="E91" s="236"/>
      <c r="F91" s="106" t="s">
        <v>168</v>
      </c>
      <c r="G91" s="125">
        <v>0.08</v>
      </c>
    </row>
    <row r="92" spans="3:68" x14ac:dyDescent="0.35">
      <c r="C92" s="236"/>
      <c r="D92" s="236"/>
      <c r="E92" s="236"/>
      <c r="F92" s="235"/>
      <c r="G92" s="235"/>
    </row>
    <row r="93" spans="3:68" ht="15" thickBot="1" x14ac:dyDescent="0.4">
      <c r="C93" s="237"/>
      <c r="D93" s="237"/>
      <c r="E93" s="237"/>
      <c r="F93" s="237"/>
      <c r="G93" s="237"/>
    </row>
    <row r="94" spans="3:68" ht="16" thickBot="1" x14ac:dyDescent="0.4">
      <c r="C94" s="110" t="s">
        <v>43</v>
      </c>
      <c r="D94" s="111" t="s">
        <v>73</v>
      </c>
      <c r="E94" s="110" t="s">
        <v>71</v>
      </c>
      <c r="F94" s="116" t="s">
        <v>72</v>
      </c>
      <c r="G94" s="112" t="s">
        <v>69</v>
      </c>
    </row>
    <row r="95" spans="3:68" ht="15" thickBot="1" x14ac:dyDescent="0.4">
      <c r="C95" s="102" t="s">
        <v>44</v>
      </c>
      <c r="D95" s="126">
        <v>1</v>
      </c>
      <c r="E95" s="143">
        <v>47615034</v>
      </c>
      <c r="F95" s="146">
        <v>10259507</v>
      </c>
      <c r="G95" s="147">
        <f>F95+E95</f>
        <v>57874541</v>
      </c>
    </row>
    <row r="96" spans="3:68" ht="15" thickBot="1" x14ac:dyDescent="0.4">
      <c r="C96" s="102" t="s">
        <v>70</v>
      </c>
      <c r="D96" s="126">
        <v>0.5</v>
      </c>
      <c r="E96" s="144">
        <f t="shared" ref="E96:F98" si="52">$D96*E95</f>
        <v>23807517</v>
      </c>
      <c r="F96" s="144">
        <f t="shared" si="52"/>
        <v>5129753.5</v>
      </c>
      <c r="G96" s="147">
        <f>F96+E96</f>
        <v>28937270.5</v>
      </c>
    </row>
    <row r="97" spans="3:7" ht="15" thickBot="1" x14ac:dyDescent="0.4">
      <c r="C97" s="102" t="s">
        <v>76</v>
      </c>
      <c r="D97" s="126">
        <v>0.7</v>
      </c>
      <c r="E97" s="144">
        <f t="shared" si="52"/>
        <v>16665261.899999999</v>
      </c>
      <c r="F97" s="144">
        <f t="shared" si="52"/>
        <v>3590827.4499999997</v>
      </c>
      <c r="G97" s="147">
        <f>F97+E97</f>
        <v>20256089.349999998</v>
      </c>
    </row>
    <row r="98" spans="3:7" ht="15" thickBot="1" x14ac:dyDescent="0.4">
      <c r="C98" s="37" t="s">
        <v>45</v>
      </c>
      <c r="D98" s="127">
        <v>0.25</v>
      </c>
      <c r="E98" s="145">
        <f t="shared" si="52"/>
        <v>4166315.4749999996</v>
      </c>
      <c r="F98" s="145">
        <f t="shared" si="52"/>
        <v>897706.86249999993</v>
      </c>
      <c r="G98" s="148">
        <f>F98+E98</f>
        <v>5064022.3374999994</v>
      </c>
    </row>
    <row r="99" spans="3:7" x14ac:dyDescent="0.35">
      <c r="C99" s="235"/>
      <c r="D99" s="235"/>
      <c r="E99" s="235"/>
      <c r="F99" s="235"/>
      <c r="G99" s="235"/>
    </row>
    <row r="100" spans="3:7" x14ac:dyDescent="0.35">
      <c r="C100" s="236"/>
      <c r="D100" s="236"/>
      <c r="E100" s="236"/>
      <c r="F100" s="236"/>
      <c r="G100" s="236"/>
    </row>
    <row r="101" spans="3:7" ht="15" thickBot="1" x14ac:dyDescent="0.4">
      <c r="C101" s="237"/>
      <c r="D101" s="237"/>
      <c r="E101" s="237"/>
      <c r="F101" s="237"/>
      <c r="G101" s="237"/>
    </row>
    <row r="102" spans="3:7" ht="16" thickBot="1" x14ac:dyDescent="0.4">
      <c r="C102" s="108" t="s">
        <v>367</v>
      </c>
      <c r="D102" s="109"/>
      <c r="E102" s="113">
        <f>G98</f>
        <v>5064022.3374999994</v>
      </c>
      <c r="F102" s="108" t="s">
        <v>366</v>
      </c>
      <c r="G102" s="109"/>
    </row>
    <row r="103" spans="3:7" ht="15" thickBot="1" x14ac:dyDescent="0.4">
      <c r="C103" s="132" t="s">
        <v>368</v>
      </c>
      <c r="D103" s="130" t="s">
        <v>141</v>
      </c>
      <c r="E103" s="131" t="s">
        <v>142</v>
      </c>
      <c r="F103" s="104" t="s">
        <v>311</v>
      </c>
      <c r="G103" s="140">
        <v>0.01</v>
      </c>
    </row>
    <row r="104" spans="3:7" ht="15" thickBot="1" x14ac:dyDescent="0.4">
      <c r="C104" s="132" t="s">
        <v>145</v>
      </c>
      <c r="D104" s="130" t="s">
        <v>143</v>
      </c>
      <c r="E104" s="131" t="s">
        <v>144</v>
      </c>
      <c r="F104" s="105" t="s">
        <v>313</v>
      </c>
      <c r="G104" s="141">
        <v>5.0000000000000001E-3</v>
      </c>
    </row>
    <row r="105" spans="3:7" ht="15" thickBot="1" x14ac:dyDescent="0.4">
      <c r="C105" s="104" t="s">
        <v>148</v>
      </c>
      <c r="D105" s="155">
        <v>0.7</v>
      </c>
      <c r="E105" s="129">
        <v>0.45</v>
      </c>
      <c r="F105" s="105" t="s">
        <v>314</v>
      </c>
      <c r="G105" s="141">
        <v>0.5</v>
      </c>
    </row>
    <row r="106" spans="3:7" ht="15" thickBot="1" x14ac:dyDescent="0.4">
      <c r="C106" s="105" t="s">
        <v>146</v>
      </c>
      <c r="D106" s="149">
        <f>$E$47*D105</f>
        <v>3544815.6362499995</v>
      </c>
      <c r="E106" s="150">
        <f>$E$47*E105</f>
        <v>2278810.0518749999</v>
      </c>
      <c r="F106" s="106" t="s">
        <v>315</v>
      </c>
      <c r="G106" s="142">
        <v>0.2</v>
      </c>
    </row>
    <row r="107" spans="3:7" ht="15" thickBot="1" x14ac:dyDescent="0.4">
      <c r="C107" s="105" t="s">
        <v>149</v>
      </c>
      <c r="D107" s="155">
        <v>0.1</v>
      </c>
      <c r="E107" s="129">
        <v>0.1</v>
      </c>
      <c r="F107" s="235"/>
      <c r="G107" s="235"/>
    </row>
    <row r="108" spans="3:7" ht="15" thickBot="1" x14ac:dyDescent="0.4">
      <c r="C108" s="106" t="s">
        <v>151</v>
      </c>
      <c r="D108" s="149">
        <f>D107*D106</f>
        <v>354481.56362499995</v>
      </c>
      <c r="E108" s="150">
        <f>E107*E106</f>
        <v>227881.00518750001</v>
      </c>
      <c r="F108" s="236"/>
      <c r="G108" s="236"/>
    </row>
    <row r="109" spans="3:7" ht="15" thickBot="1" x14ac:dyDescent="0.4">
      <c r="C109" s="104" t="s">
        <v>147</v>
      </c>
      <c r="D109" s="137">
        <v>0.03</v>
      </c>
      <c r="E109" s="138">
        <v>0.03</v>
      </c>
      <c r="F109" s="236"/>
      <c r="G109" s="236"/>
    </row>
    <row r="110" spans="3:7" ht="15" thickBot="1" x14ac:dyDescent="0.4">
      <c r="C110" s="105" t="s">
        <v>150</v>
      </c>
      <c r="D110" s="136">
        <f>D109*D108</f>
        <v>10634.446908749998</v>
      </c>
      <c r="E110" s="135">
        <f>E109*E108</f>
        <v>6836.4301556250002</v>
      </c>
      <c r="F110" s="236"/>
      <c r="G110" s="236"/>
    </row>
    <row r="111" spans="3:7" ht="15" thickBot="1" x14ac:dyDescent="0.4">
      <c r="C111" s="128" t="s">
        <v>69</v>
      </c>
      <c r="D111" s="133">
        <f>E110+D110</f>
        <v>17470.877064374999</v>
      </c>
      <c r="E111" s="134"/>
      <c r="F111" s="236"/>
      <c r="G111" s="236"/>
    </row>
    <row r="114" spans="3:7" ht="15" thickBot="1" x14ac:dyDescent="0.4"/>
    <row r="115" spans="3:7" ht="14.5" customHeight="1" x14ac:dyDescent="0.35">
      <c r="C115" s="257" t="s">
        <v>376</v>
      </c>
      <c r="D115" s="258"/>
      <c r="E115" s="258"/>
      <c r="F115" s="258"/>
      <c r="G115" s="259"/>
    </row>
    <row r="116" spans="3:7" ht="15" customHeight="1" thickBot="1" x14ac:dyDescent="0.4">
      <c r="C116" s="260"/>
      <c r="D116" s="261"/>
      <c r="E116" s="261"/>
      <c r="F116" s="261"/>
      <c r="G116" s="262"/>
    </row>
    <row r="117" spans="3:7" ht="15" thickBot="1" x14ac:dyDescent="0.4">
      <c r="C117" s="244"/>
      <c r="D117" s="244"/>
      <c r="E117" s="244"/>
      <c r="F117" s="244"/>
      <c r="G117" s="244"/>
    </row>
    <row r="118" spans="3:7" ht="16" thickBot="1" x14ac:dyDescent="0.4">
      <c r="C118" s="108" t="s">
        <v>302</v>
      </c>
      <c r="D118" s="109"/>
      <c r="E118" s="236"/>
      <c r="F118" s="108" t="s">
        <v>306</v>
      </c>
      <c r="G118" s="109"/>
    </row>
    <row r="119" spans="3:7" ht="15" thickBot="1" x14ac:dyDescent="0.4">
      <c r="C119" s="104" t="s">
        <v>176</v>
      </c>
      <c r="D119" s="120">
        <v>150000</v>
      </c>
      <c r="E119" s="236"/>
      <c r="F119" s="114" t="s">
        <v>304</v>
      </c>
      <c r="G119" s="115"/>
    </row>
    <row r="120" spans="3:7" x14ac:dyDescent="0.35">
      <c r="C120" s="105" t="s">
        <v>175</v>
      </c>
      <c r="D120" s="120">
        <v>100000</v>
      </c>
      <c r="E120" s="236"/>
      <c r="F120" s="104" t="s">
        <v>138</v>
      </c>
      <c r="G120" s="158">
        <f>104.04*0.8</f>
        <v>83.232000000000014</v>
      </c>
    </row>
    <row r="121" spans="3:7" ht="15" thickBot="1" x14ac:dyDescent="0.4">
      <c r="C121" s="106" t="s">
        <v>230</v>
      </c>
      <c r="D121" s="122">
        <v>50000</v>
      </c>
      <c r="E121" s="236"/>
      <c r="F121" s="106" t="s">
        <v>133</v>
      </c>
      <c r="G121" s="159">
        <f>0.1*0.8</f>
        <v>8.0000000000000016E-2</v>
      </c>
    </row>
    <row r="122" spans="3:7" ht="15" thickBot="1" x14ac:dyDescent="0.4">
      <c r="C122" s="263"/>
      <c r="D122" s="263"/>
      <c r="E122" s="236"/>
      <c r="F122" s="114" t="s">
        <v>305</v>
      </c>
      <c r="G122" s="115"/>
    </row>
    <row r="123" spans="3:7" ht="16" thickBot="1" x14ac:dyDescent="0.4">
      <c r="C123" s="108" t="s">
        <v>303</v>
      </c>
      <c r="D123" s="109"/>
      <c r="E123" s="236"/>
      <c r="F123" s="103" t="s">
        <v>140</v>
      </c>
      <c r="G123" s="160">
        <f>6*0.8</f>
        <v>4.8000000000000007</v>
      </c>
    </row>
    <row r="124" spans="3:7" ht="15" thickBot="1" x14ac:dyDescent="0.4">
      <c r="C124" s="104" t="s">
        <v>293</v>
      </c>
      <c r="D124" s="119">
        <v>0.75</v>
      </c>
      <c r="E124" s="236"/>
      <c r="F124" s="263"/>
      <c r="G124" s="263"/>
    </row>
    <row r="125" spans="3:7" ht="16" thickBot="1" x14ac:dyDescent="0.4">
      <c r="C125" s="105" t="s">
        <v>294</v>
      </c>
      <c r="D125" s="120">
        <v>70000</v>
      </c>
      <c r="E125" s="236"/>
      <c r="F125" s="108" t="s">
        <v>307</v>
      </c>
      <c r="G125" s="109"/>
    </row>
    <row r="126" spans="3:7" ht="15" thickBot="1" x14ac:dyDescent="0.4">
      <c r="C126" s="105" t="s">
        <v>296</v>
      </c>
      <c r="D126" s="107">
        <f ca="1">-SUM($T$23:$BP$23)</f>
        <v>2969935.0416193455</v>
      </c>
      <c r="E126" s="236"/>
      <c r="F126" s="104" t="s">
        <v>124</v>
      </c>
      <c r="G126" s="124">
        <v>3.3369999999999997E-2</v>
      </c>
    </row>
    <row r="127" spans="3:7" ht="15" thickBot="1" x14ac:dyDescent="0.4">
      <c r="C127" s="106" t="s">
        <v>297</v>
      </c>
      <c r="D127" s="139">
        <f ca="1">ROUNDUP(D126/$T$6,2)</f>
        <v>9.9</v>
      </c>
      <c r="E127" s="236"/>
      <c r="F127" s="106" t="s">
        <v>319</v>
      </c>
      <c r="G127" s="118">
        <v>7</v>
      </c>
    </row>
    <row r="128" spans="3:7" ht="15" thickBot="1" x14ac:dyDescent="0.4">
      <c r="C128" s="263"/>
      <c r="D128" s="263"/>
      <c r="E128" s="236"/>
      <c r="F128" s="263"/>
      <c r="G128" s="263"/>
    </row>
    <row r="129" spans="3:7" ht="16" thickBot="1" x14ac:dyDescent="0.4">
      <c r="C129" s="108" t="s">
        <v>301</v>
      </c>
      <c r="D129" s="109"/>
      <c r="E129" s="236"/>
      <c r="F129" s="108" t="s">
        <v>308</v>
      </c>
      <c r="G129" s="109"/>
    </row>
    <row r="130" spans="3:7" ht="15" thickBot="1" x14ac:dyDescent="0.4">
      <c r="C130" s="104" t="s">
        <v>321</v>
      </c>
      <c r="D130" s="149">
        <f ca="1">AVERAGE(Sales!$I$4:$BF$4)</f>
        <v>433.46938775510205</v>
      </c>
      <c r="E130" s="236"/>
      <c r="F130" s="114" t="s">
        <v>158</v>
      </c>
      <c r="G130" s="115"/>
    </row>
    <row r="131" spans="3:7" x14ac:dyDescent="0.35">
      <c r="C131" s="105" t="s">
        <v>322</v>
      </c>
      <c r="D131" s="166">
        <f>0.008%*2</f>
        <v>1.6000000000000001E-4</v>
      </c>
      <c r="E131" s="236"/>
      <c r="F131" s="104" t="s">
        <v>156</v>
      </c>
      <c r="G131" s="161">
        <f>5*1.2</f>
        <v>6</v>
      </c>
    </row>
    <row r="132" spans="3:7" x14ac:dyDescent="0.35">
      <c r="C132" s="105" t="s">
        <v>323</v>
      </c>
      <c r="D132" s="167">
        <f>0.01%*2</f>
        <v>2.0000000000000001E-4</v>
      </c>
      <c r="E132" s="236"/>
      <c r="F132" s="105" t="s">
        <v>153</v>
      </c>
      <c r="G132" s="162">
        <f>20%*2</f>
        <v>0.4</v>
      </c>
    </row>
    <row r="133" spans="3:7" ht="15" thickBot="1" x14ac:dyDescent="0.4">
      <c r="C133" s="105" t="s">
        <v>77</v>
      </c>
      <c r="D133" s="167">
        <f>12%*1.4</f>
        <v>0.16799999999999998</v>
      </c>
      <c r="E133" s="236"/>
      <c r="F133" s="106" t="s">
        <v>154</v>
      </c>
      <c r="G133" s="170">
        <f>1.5*0.8</f>
        <v>1.2000000000000002</v>
      </c>
    </row>
    <row r="134" spans="3:7" ht="15" thickBot="1" x14ac:dyDescent="0.4">
      <c r="C134" s="105" t="s">
        <v>107</v>
      </c>
      <c r="D134" s="167">
        <f>4%*2</f>
        <v>0.08</v>
      </c>
      <c r="E134" s="236"/>
      <c r="F134" s="114" t="s">
        <v>111</v>
      </c>
      <c r="G134" s="115"/>
    </row>
    <row r="135" spans="3:7" ht="15" thickBot="1" x14ac:dyDescent="0.4">
      <c r="C135" s="105" t="s">
        <v>74</v>
      </c>
      <c r="D135" s="168">
        <f>1%*0.5</f>
        <v>5.0000000000000001E-3</v>
      </c>
      <c r="E135" s="236"/>
      <c r="F135" s="104" t="s">
        <v>160</v>
      </c>
      <c r="G135" s="161">
        <f>10*2</f>
        <v>20</v>
      </c>
    </row>
    <row r="136" spans="3:7" ht="15" thickBot="1" x14ac:dyDescent="0.4">
      <c r="C136" s="105" t="s">
        <v>75</v>
      </c>
      <c r="D136" s="151">
        <f>G148</f>
        <v>5064022.3374999994</v>
      </c>
      <c r="E136" s="236"/>
      <c r="F136" s="105" t="s">
        <v>161</v>
      </c>
      <c r="G136" s="163">
        <f>50*1.2</f>
        <v>60</v>
      </c>
    </row>
    <row r="137" spans="3:7" ht="15" thickBot="1" x14ac:dyDescent="0.4">
      <c r="C137" s="105" t="s">
        <v>78</v>
      </c>
      <c r="D137" s="167">
        <f>40%*2</f>
        <v>0.8</v>
      </c>
      <c r="E137" s="236"/>
      <c r="F137" s="106" t="s">
        <v>167</v>
      </c>
      <c r="G137" s="162">
        <f>5%*1.5</f>
        <v>7.5000000000000011E-2</v>
      </c>
    </row>
    <row r="138" spans="3:7" ht="15" thickBot="1" x14ac:dyDescent="0.4">
      <c r="C138" s="105" t="s">
        <v>80</v>
      </c>
      <c r="D138" s="120">
        <v>19.95</v>
      </c>
      <c r="E138" s="236"/>
      <c r="F138" s="114" t="s">
        <v>110</v>
      </c>
      <c r="G138" s="115"/>
    </row>
    <row r="139" spans="3:7" ht="15" thickBot="1" x14ac:dyDescent="0.4">
      <c r="C139" s="106" t="s">
        <v>81</v>
      </c>
      <c r="D139" s="122">
        <v>9.9499999999999993</v>
      </c>
      <c r="E139" s="236"/>
      <c r="F139" s="104" t="s">
        <v>159</v>
      </c>
      <c r="G139" s="161">
        <f>30*1.5</f>
        <v>45</v>
      </c>
    </row>
    <row r="140" spans="3:7" x14ac:dyDescent="0.35">
      <c r="C140" s="235"/>
      <c r="D140" s="235"/>
      <c r="E140" s="236"/>
      <c r="F140" s="105" t="s">
        <v>162</v>
      </c>
      <c r="G140" s="163">
        <f>25*1.5</f>
        <v>37.5</v>
      </c>
    </row>
    <row r="141" spans="3:7" ht="15" thickBot="1" x14ac:dyDescent="0.4">
      <c r="C141" s="236"/>
      <c r="D141" s="236"/>
      <c r="E141" s="236"/>
      <c r="F141" s="106" t="s">
        <v>168</v>
      </c>
      <c r="G141" s="164">
        <f>8%*1.2</f>
        <v>9.6000000000000002E-2</v>
      </c>
    </row>
    <row r="142" spans="3:7" x14ac:dyDescent="0.35">
      <c r="C142" s="236"/>
      <c r="D142" s="236"/>
      <c r="E142" s="236"/>
      <c r="F142" s="235"/>
      <c r="G142" s="235"/>
    </row>
    <row r="143" spans="3:7" ht="15" thickBot="1" x14ac:dyDescent="0.4">
      <c r="C143" s="237"/>
      <c r="D143" s="237"/>
      <c r="E143" s="237"/>
      <c r="F143" s="237"/>
      <c r="G143" s="237"/>
    </row>
    <row r="144" spans="3:7" ht="16" thickBot="1" x14ac:dyDescent="0.4">
      <c r="C144" s="110" t="s">
        <v>43</v>
      </c>
      <c r="D144" s="111" t="s">
        <v>73</v>
      </c>
      <c r="E144" s="110" t="s">
        <v>71</v>
      </c>
      <c r="F144" s="116" t="s">
        <v>72</v>
      </c>
      <c r="G144" s="112" t="s">
        <v>69</v>
      </c>
    </row>
    <row r="145" spans="3:7" ht="15" thickBot="1" x14ac:dyDescent="0.4">
      <c r="C145" s="102" t="s">
        <v>44</v>
      </c>
      <c r="D145" s="126">
        <v>1</v>
      </c>
      <c r="E145" s="143">
        <v>47615034</v>
      </c>
      <c r="F145" s="146">
        <v>10259507</v>
      </c>
      <c r="G145" s="147">
        <f>F145+E145</f>
        <v>57874541</v>
      </c>
    </row>
    <row r="146" spans="3:7" ht="15" thickBot="1" x14ac:dyDescent="0.4">
      <c r="C146" s="102" t="s">
        <v>70</v>
      </c>
      <c r="D146" s="126">
        <v>0.5</v>
      </c>
      <c r="E146" s="144">
        <f t="shared" ref="E146:F148" si="53">$D146*E145</f>
        <v>23807517</v>
      </c>
      <c r="F146" s="144">
        <f t="shared" si="53"/>
        <v>5129753.5</v>
      </c>
      <c r="G146" s="147">
        <f>F146+E146</f>
        <v>28937270.5</v>
      </c>
    </row>
    <row r="147" spans="3:7" ht="15" thickBot="1" x14ac:dyDescent="0.4">
      <c r="C147" s="102" t="s">
        <v>76</v>
      </c>
      <c r="D147" s="126">
        <v>0.7</v>
      </c>
      <c r="E147" s="144">
        <f t="shared" si="53"/>
        <v>16665261.899999999</v>
      </c>
      <c r="F147" s="144">
        <f t="shared" si="53"/>
        <v>3590827.4499999997</v>
      </c>
      <c r="G147" s="147">
        <f>F147+E147</f>
        <v>20256089.349999998</v>
      </c>
    </row>
    <row r="148" spans="3:7" ht="15" thickBot="1" x14ac:dyDescent="0.4">
      <c r="C148" s="37" t="s">
        <v>45</v>
      </c>
      <c r="D148" s="127">
        <v>0.25</v>
      </c>
      <c r="E148" s="145">
        <f t="shared" si="53"/>
        <v>4166315.4749999996</v>
      </c>
      <c r="F148" s="145">
        <f t="shared" si="53"/>
        <v>897706.86249999993</v>
      </c>
      <c r="G148" s="148">
        <f>F148+E148</f>
        <v>5064022.3374999994</v>
      </c>
    </row>
    <row r="149" spans="3:7" x14ac:dyDescent="0.35">
      <c r="C149" s="235"/>
      <c r="D149" s="235"/>
      <c r="E149" s="235"/>
      <c r="F149" s="235"/>
      <c r="G149" s="235"/>
    </row>
    <row r="150" spans="3:7" x14ac:dyDescent="0.35">
      <c r="C150" s="236"/>
      <c r="D150" s="236"/>
      <c r="E150" s="236"/>
      <c r="F150" s="236"/>
      <c r="G150" s="236"/>
    </row>
    <row r="151" spans="3:7" ht="15" thickBot="1" x14ac:dyDescent="0.4">
      <c r="C151" s="237"/>
      <c r="D151" s="237"/>
      <c r="E151" s="237"/>
      <c r="F151" s="237"/>
      <c r="G151" s="237"/>
    </row>
    <row r="152" spans="3:7" ht="16" thickBot="1" x14ac:dyDescent="0.4">
      <c r="C152" s="108" t="s">
        <v>367</v>
      </c>
      <c r="D152" s="109"/>
      <c r="E152" s="113">
        <f>G148</f>
        <v>5064022.3374999994</v>
      </c>
      <c r="F152" s="108" t="s">
        <v>366</v>
      </c>
      <c r="G152" s="109"/>
    </row>
    <row r="153" spans="3:7" ht="15" thickBot="1" x14ac:dyDescent="0.4">
      <c r="C153" s="132" t="s">
        <v>368</v>
      </c>
      <c r="D153" s="130" t="s">
        <v>141</v>
      </c>
      <c r="E153" s="131" t="s">
        <v>142</v>
      </c>
      <c r="F153" s="104" t="s">
        <v>311</v>
      </c>
      <c r="G153" s="169">
        <f>1%*2</f>
        <v>0.02</v>
      </c>
    </row>
    <row r="154" spans="3:7" ht="15" thickBot="1" x14ac:dyDescent="0.4">
      <c r="C154" s="132" t="s">
        <v>145</v>
      </c>
      <c r="D154" s="130" t="s">
        <v>143</v>
      </c>
      <c r="E154" s="131" t="s">
        <v>144</v>
      </c>
      <c r="F154" s="105" t="s">
        <v>313</v>
      </c>
      <c r="G154" s="141">
        <v>5.0000000000000001E-3</v>
      </c>
    </row>
    <row r="155" spans="3:7" ht="15" thickBot="1" x14ac:dyDescent="0.4">
      <c r="C155" s="104" t="s">
        <v>148</v>
      </c>
      <c r="D155" s="155">
        <v>0.7</v>
      </c>
      <c r="E155" s="129">
        <v>0.45</v>
      </c>
      <c r="F155" s="105" t="s">
        <v>314</v>
      </c>
      <c r="G155" s="141">
        <v>0.5</v>
      </c>
    </row>
    <row r="156" spans="3:7" ht="15" thickBot="1" x14ac:dyDescent="0.4">
      <c r="C156" s="105" t="s">
        <v>146</v>
      </c>
      <c r="D156" s="149">
        <f>$E$47*D155</f>
        <v>3544815.6362499995</v>
      </c>
      <c r="E156" s="150">
        <f>$E$47*E155</f>
        <v>2278810.0518749999</v>
      </c>
      <c r="F156" s="106" t="s">
        <v>315</v>
      </c>
      <c r="G156" s="142">
        <v>0.2</v>
      </c>
    </row>
    <row r="157" spans="3:7" ht="15" thickBot="1" x14ac:dyDescent="0.4">
      <c r="C157" s="105" t="s">
        <v>149</v>
      </c>
      <c r="D157" s="155">
        <v>0.1</v>
      </c>
      <c r="E157" s="129">
        <v>0.1</v>
      </c>
      <c r="F157" s="235"/>
      <c r="G157" s="235"/>
    </row>
    <row r="158" spans="3:7" ht="15" thickBot="1" x14ac:dyDescent="0.4">
      <c r="C158" s="106" t="s">
        <v>151</v>
      </c>
      <c r="D158" s="149">
        <f>D157*D156</f>
        <v>354481.56362499995</v>
      </c>
      <c r="E158" s="150">
        <f>E157*E156</f>
        <v>227881.00518750001</v>
      </c>
      <c r="F158" s="236"/>
      <c r="G158" s="236"/>
    </row>
    <row r="159" spans="3:7" ht="15" thickBot="1" x14ac:dyDescent="0.4">
      <c r="C159" s="104" t="s">
        <v>147</v>
      </c>
      <c r="D159" s="183">
        <f>0.03*0.9</f>
        <v>2.7E-2</v>
      </c>
      <c r="E159" s="182">
        <f>0.03*0.9</f>
        <v>2.7E-2</v>
      </c>
      <c r="F159" s="236"/>
      <c r="G159" s="236"/>
    </row>
    <row r="160" spans="3:7" ht="15" thickBot="1" x14ac:dyDescent="0.4">
      <c r="C160" s="105" t="s">
        <v>150</v>
      </c>
      <c r="D160" s="136">
        <f>D159*D158</f>
        <v>9571.0022178749987</v>
      </c>
      <c r="E160" s="135">
        <f>E159*E158</f>
        <v>6152.7871400624999</v>
      </c>
      <c r="F160" s="236"/>
      <c r="G160" s="236"/>
    </row>
    <row r="161" spans="3:7" ht="15" thickBot="1" x14ac:dyDescent="0.4">
      <c r="C161" s="128" t="s">
        <v>69</v>
      </c>
      <c r="D161" s="133">
        <f>E160+D160</f>
        <v>15723.789357937498</v>
      </c>
      <c r="E161" s="134"/>
      <c r="F161" s="236"/>
      <c r="G161" s="236"/>
    </row>
    <row r="164" spans="3:7" ht="15" thickBot="1" x14ac:dyDescent="0.4"/>
    <row r="165" spans="3:7" ht="14.5" customHeight="1" x14ac:dyDescent="0.35">
      <c r="C165" s="238" t="s">
        <v>377</v>
      </c>
      <c r="D165" s="239"/>
      <c r="E165" s="239"/>
      <c r="F165" s="239"/>
      <c r="G165" s="240"/>
    </row>
    <row r="166" spans="3:7" ht="15" customHeight="1" thickBot="1" x14ac:dyDescent="0.4">
      <c r="C166" s="241"/>
      <c r="D166" s="242"/>
      <c r="E166" s="242"/>
      <c r="F166" s="242"/>
      <c r="G166" s="243"/>
    </row>
    <row r="167" spans="3:7" ht="15" thickBot="1" x14ac:dyDescent="0.4">
      <c r="C167" s="244"/>
      <c r="D167" s="244"/>
      <c r="E167" s="244"/>
      <c r="F167" s="244"/>
      <c r="G167" s="244"/>
    </row>
    <row r="168" spans="3:7" ht="16" thickBot="1" x14ac:dyDescent="0.4">
      <c r="C168" s="108" t="s">
        <v>302</v>
      </c>
      <c r="D168" s="109"/>
      <c r="E168" s="236"/>
      <c r="F168" s="108" t="s">
        <v>306</v>
      </c>
      <c r="G168" s="109"/>
    </row>
    <row r="169" spans="3:7" ht="15" thickBot="1" x14ac:dyDescent="0.4">
      <c r="C169" s="104" t="s">
        <v>176</v>
      </c>
      <c r="D169" s="120">
        <v>150000</v>
      </c>
      <c r="E169" s="236"/>
      <c r="F169" s="114" t="s">
        <v>304</v>
      </c>
      <c r="G169" s="115"/>
    </row>
    <row r="170" spans="3:7" x14ac:dyDescent="0.35">
      <c r="C170" s="105" t="s">
        <v>175</v>
      </c>
      <c r="D170" s="120">
        <v>100000</v>
      </c>
      <c r="E170" s="236"/>
      <c r="F170" s="104" t="s">
        <v>138</v>
      </c>
      <c r="G170" s="172">
        <f>104.04*1.2</f>
        <v>124.848</v>
      </c>
    </row>
    <row r="171" spans="3:7" ht="15" thickBot="1" x14ac:dyDescent="0.4">
      <c r="C171" s="106" t="s">
        <v>230</v>
      </c>
      <c r="D171" s="122">
        <v>50000</v>
      </c>
      <c r="E171" s="236"/>
      <c r="F171" s="106" t="s">
        <v>133</v>
      </c>
      <c r="G171" s="161">
        <f>0.1*1.2</f>
        <v>0.12</v>
      </c>
    </row>
    <row r="172" spans="3:7" ht="15" thickBot="1" x14ac:dyDescent="0.4">
      <c r="C172" s="263"/>
      <c r="D172" s="263"/>
      <c r="E172" s="236"/>
      <c r="F172" s="114" t="s">
        <v>305</v>
      </c>
      <c r="G172" s="115"/>
    </row>
    <row r="173" spans="3:7" ht="16" thickBot="1" x14ac:dyDescent="0.4">
      <c r="C173" s="108" t="s">
        <v>303</v>
      </c>
      <c r="D173" s="109"/>
      <c r="E173" s="236"/>
      <c r="F173" s="103" t="s">
        <v>140</v>
      </c>
      <c r="G173" s="173">
        <f>6*1.05</f>
        <v>6.3000000000000007</v>
      </c>
    </row>
    <row r="174" spans="3:7" ht="15" thickBot="1" x14ac:dyDescent="0.4">
      <c r="C174" s="104" t="s">
        <v>293</v>
      </c>
      <c r="D174" s="119">
        <v>0.75</v>
      </c>
      <c r="E174" s="236"/>
      <c r="F174" s="263"/>
      <c r="G174" s="263"/>
    </row>
    <row r="175" spans="3:7" ht="16" thickBot="1" x14ac:dyDescent="0.4">
      <c r="C175" s="105" t="s">
        <v>294</v>
      </c>
      <c r="D175" s="120">
        <v>70000</v>
      </c>
      <c r="E175" s="236"/>
      <c r="F175" s="108" t="s">
        <v>307</v>
      </c>
      <c r="G175" s="109"/>
    </row>
    <row r="176" spans="3:7" ht="15" thickBot="1" x14ac:dyDescent="0.4">
      <c r="C176" s="105" t="s">
        <v>296</v>
      </c>
      <c r="D176" s="107">
        <f ca="1">-SUM($T$23:$BP$23)</f>
        <v>2969935.0416193455</v>
      </c>
      <c r="E176" s="236"/>
      <c r="F176" s="104" t="s">
        <v>124</v>
      </c>
      <c r="G176" s="124">
        <v>3.3369999999999997E-2</v>
      </c>
    </row>
    <row r="177" spans="3:7" ht="15" thickBot="1" x14ac:dyDescent="0.4">
      <c r="C177" s="106" t="s">
        <v>297</v>
      </c>
      <c r="D177" s="139">
        <f ca="1">ROUNDUP(D176/$T$6,2)</f>
        <v>9.9</v>
      </c>
      <c r="E177" s="236"/>
      <c r="F177" s="106" t="s">
        <v>319</v>
      </c>
      <c r="G177" s="118">
        <v>7</v>
      </c>
    </row>
    <row r="178" spans="3:7" ht="15" thickBot="1" x14ac:dyDescent="0.4">
      <c r="C178" s="263"/>
      <c r="D178" s="263"/>
      <c r="E178" s="236"/>
      <c r="F178" s="263"/>
      <c r="G178" s="263"/>
    </row>
    <row r="179" spans="3:7" ht="16" thickBot="1" x14ac:dyDescent="0.4">
      <c r="C179" s="108" t="s">
        <v>301</v>
      </c>
      <c r="D179" s="109"/>
      <c r="E179" s="236"/>
      <c r="F179" s="108" t="s">
        <v>308</v>
      </c>
      <c r="G179" s="109"/>
    </row>
    <row r="180" spans="3:7" ht="15" thickBot="1" x14ac:dyDescent="0.4">
      <c r="C180" s="104" t="s">
        <v>321</v>
      </c>
      <c r="D180" s="149">
        <f ca="1">AVERAGE(Sales!$I$4:$BF$4)</f>
        <v>433.46938775510205</v>
      </c>
      <c r="E180" s="236"/>
      <c r="F180" s="114" t="s">
        <v>158</v>
      </c>
      <c r="G180" s="115"/>
    </row>
    <row r="181" spans="3:7" x14ac:dyDescent="0.35">
      <c r="C181" s="105" t="s">
        <v>322</v>
      </c>
      <c r="D181" s="171">
        <f>0.008%*0.75</f>
        <v>6.0000000000000008E-5</v>
      </c>
      <c r="E181" s="236"/>
      <c r="F181" s="104" t="s">
        <v>156</v>
      </c>
      <c r="G181" s="159">
        <f>5*0.8</f>
        <v>4</v>
      </c>
    </row>
    <row r="182" spans="3:7" x14ac:dyDescent="0.35">
      <c r="C182" s="105" t="s">
        <v>323</v>
      </c>
      <c r="D182" s="168">
        <f>0.01%*0.75</f>
        <v>7.5000000000000007E-5</v>
      </c>
      <c r="E182" s="236"/>
      <c r="F182" s="105" t="s">
        <v>153</v>
      </c>
      <c r="G182" s="174">
        <f>20%*0.75</f>
        <v>0.15000000000000002</v>
      </c>
    </row>
    <row r="183" spans="3:7" ht="15" thickBot="1" x14ac:dyDescent="0.4">
      <c r="C183" s="105" t="s">
        <v>77</v>
      </c>
      <c r="D183" s="168">
        <f>12%*0.8</f>
        <v>9.6000000000000002E-2</v>
      </c>
      <c r="E183" s="236"/>
      <c r="F183" s="106" t="s">
        <v>154</v>
      </c>
      <c r="G183" s="163">
        <f>1.5*1.2</f>
        <v>1.7999999999999998</v>
      </c>
    </row>
    <row r="184" spans="3:7" ht="15" thickBot="1" x14ac:dyDescent="0.4">
      <c r="C184" s="105" t="s">
        <v>107</v>
      </c>
      <c r="D184" s="168">
        <f>4%*0.85</f>
        <v>3.4000000000000002E-2</v>
      </c>
      <c r="E184" s="236"/>
      <c r="F184" s="114" t="s">
        <v>111</v>
      </c>
      <c r="G184" s="115"/>
    </row>
    <row r="185" spans="3:7" ht="15" thickBot="1" x14ac:dyDescent="0.4">
      <c r="C185" s="105" t="s">
        <v>74</v>
      </c>
      <c r="D185" s="167">
        <f>1%*1.2</f>
        <v>1.2E-2</v>
      </c>
      <c r="E185" s="236"/>
      <c r="F185" s="104" t="s">
        <v>160</v>
      </c>
      <c r="G185" s="159">
        <f>10*0.85</f>
        <v>8.5</v>
      </c>
    </row>
    <row r="186" spans="3:7" ht="15" thickBot="1" x14ac:dyDescent="0.4">
      <c r="C186" s="105" t="s">
        <v>75</v>
      </c>
      <c r="D186" s="151">
        <f>G198</f>
        <v>5064022.3374999994</v>
      </c>
      <c r="E186" s="236"/>
      <c r="F186" s="105" t="s">
        <v>161</v>
      </c>
      <c r="G186" s="170">
        <f>50*0.85</f>
        <v>42.5</v>
      </c>
    </row>
    <row r="187" spans="3:7" ht="15" thickBot="1" x14ac:dyDescent="0.4">
      <c r="C187" s="105" t="s">
        <v>78</v>
      </c>
      <c r="D187" s="168">
        <f>40%*0.8</f>
        <v>0.32000000000000006</v>
      </c>
      <c r="E187" s="236"/>
      <c r="F187" s="106" t="s">
        <v>167</v>
      </c>
      <c r="G187" s="174">
        <f>5%*0.85</f>
        <v>4.2500000000000003E-2</v>
      </c>
    </row>
    <row r="188" spans="3:7" ht="15" thickBot="1" x14ac:dyDescent="0.4">
      <c r="C188" s="105" t="s">
        <v>80</v>
      </c>
      <c r="D188" s="120">
        <v>19.95</v>
      </c>
      <c r="E188" s="236"/>
      <c r="F188" s="114" t="s">
        <v>110</v>
      </c>
      <c r="G188" s="115"/>
    </row>
    <row r="189" spans="3:7" ht="15" thickBot="1" x14ac:dyDescent="0.4">
      <c r="C189" s="106" t="s">
        <v>81</v>
      </c>
      <c r="D189" s="122">
        <v>9.9499999999999993</v>
      </c>
      <c r="E189" s="236"/>
      <c r="F189" s="104" t="s">
        <v>159</v>
      </c>
      <c r="G189" s="159">
        <f>30*0.8</f>
        <v>24</v>
      </c>
    </row>
    <row r="190" spans="3:7" x14ac:dyDescent="0.35">
      <c r="C190" s="235"/>
      <c r="D190" s="235"/>
      <c r="E190" s="236"/>
      <c r="F190" s="105" t="s">
        <v>162</v>
      </c>
      <c r="G190" s="170">
        <f>25*0.85</f>
        <v>21.25</v>
      </c>
    </row>
    <row r="191" spans="3:7" ht="15" thickBot="1" x14ac:dyDescent="0.4">
      <c r="C191" s="236"/>
      <c r="D191" s="236"/>
      <c r="E191" s="236"/>
      <c r="F191" s="106" t="s">
        <v>168</v>
      </c>
      <c r="G191" s="175">
        <f>8%*0.85</f>
        <v>6.8000000000000005E-2</v>
      </c>
    </row>
    <row r="192" spans="3:7" x14ac:dyDescent="0.35">
      <c r="C192" s="236"/>
      <c r="D192" s="236"/>
      <c r="E192" s="236"/>
      <c r="F192" s="235"/>
      <c r="G192" s="235"/>
    </row>
    <row r="193" spans="3:7" ht="15" thickBot="1" x14ac:dyDescent="0.4">
      <c r="C193" s="237"/>
      <c r="D193" s="237"/>
      <c r="E193" s="237"/>
      <c r="F193" s="237"/>
      <c r="G193" s="237"/>
    </row>
    <row r="194" spans="3:7" ht="16" thickBot="1" x14ac:dyDescent="0.4">
      <c r="C194" s="110" t="s">
        <v>43</v>
      </c>
      <c r="D194" s="111" t="s">
        <v>73</v>
      </c>
      <c r="E194" s="110" t="s">
        <v>71</v>
      </c>
      <c r="F194" s="116" t="s">
        <v>72</v>
      </c>
      <c r="G194" s="112" t="s">
        <v>69</v>
      </c>
    </row>
    <row r="195" spans="3:7" ht="15" thickBot="1" x14ac:dyDescent="0.4">
      <c r="C195" s="102" t="s">
        <v>44</v>
      </c>
      <c r="D195" s="126">
        <v>1</v>
      </c>
      <c r="E195" s="143">
        <v>47615034</v>
      </c>
      <c r="F195" s="146">
        <v>10259507</v>
      </c>
      <c r="G195" s="147">
        <f>F195+E195</f>
        <v>57874541</v>
      </c>
    </row>
    <row r="196" spans="3:7" ht="15" thickBot="1" x14ac:dyDescent="0.4">
      <c r="C196" s="102" t="s">
        <v>70</v>
      </c>
      <c r="D196" s="126">
        <v>0.5</v>
      </c>
      <c r="E196" s="144">
        <f t="shared" ref="E196:F198" si="54">$D196*E195</f>
        <v>23807517</v>
      </c>
      <c r="F196" s="144">
        <f t="shared" si="54"/>
        <v>5129753.5</v>
      </c>
      <c r="G196" s="147">
        <f>F196+E196</f>
        <v>28937270.5</v>
      </c>
    </row>
    <row r="197" spans="3:7" ht="15" thickBot="1" x14ac:dyDescent="0.4">
      <c r="C197" s="102" t="s">
        <v>76</v>
      </c>
      <c r="D197" s="126">
        <v>0.7</v>
      </c>
      <c r="E197" s="144">
        <f t="shared" si="54"/>
        <v>16665261.899999999</v>
      </c>
      <c r="F197" s="144">
        <f t="shared" si="54"/>
        <v>3590827.4499999997</v>
      </c>
      <c r="G197" s="147">
        <f>F197+E197</f>
        <v>20256089.349999998</v>
      </c>
    </row>
    <row r="198" spans="3:7" ht="15" thickBot="1" x14ac:dyDescent="0.4">
      <c r="C198" s="37" t="s">
        <v>45</v>
      </c>
      <c r="D198" s="127">
        <v>0.25</v>
      </c>
      <c r="E198" s="145">
        <f t="shared" si="54"/>
        <v>4166315.4749999996</v>
      </c>
      <c r="F198" s="145">
        <f t="shared" si="54"/>
        <v>897706.86249999993</v>
      </c>
      <c r="G198" s="148">
        <f>F198+E198</f>
        <v>5064022.3374999994</v>
      </c>
    </row>
    <row r="199" spans="3:7" x14ac:dyDescent="0.35">
      <c r="C199" s="235"/>
      <c r="D199" s="235"/>
      <c r="E199" s="235"/>
      <c r="F199" s="235"/>
      <c r="G199" s="235"/>
    </row>
    <row r="200" spans="3:7" x14ac:dyDescent="0.35">
      <c r="C200" s="236"/>
      <c r="D200" s="236"/>
      <c r="E200" s="236"/>
      <c r="F200" s="236"/>
      <c r="G200" s="236"/>
    </row>
    <row r="201" spans="3:7" ht="15" thickBot="1" x14ac:dyDescent="0.4">
      <c r="C201" s="237"/>
      <c r="D201" s="237"/>
      <c r="E201" s="237"/>
      <c r="F201" s="237"/>
      <c r="G201" s="237"/>
    </row>
    <row r="202" spans="3:7" ht="16" thickBot="1" x14ac:dyDescent="0.4">
      <c r="C202" s="108" t="s">
        <v>367</v>
      </c>
      <c r="D202" s="109"/>
      <c r="E202" s="113">
        <f>G198</f>
        <v>5064022.3374999994</v>
      </c>
      <c r="F202" s="108" t="s">
        <v>366</v>
      </c>
      <c r="G202" s="109"/>
    </row>
    <row r="203" spans="3:7" ht="15" thickBot="1" x14ac:dyDescent="0.4">
      <c r="C203" s="132" t="s">
        <v>368</v>
      </c>
      <c r="D203" s="130" t="s">
        <v>141</v>
      </c>
      <c r="E203" s="131" t="s">
        <v>142</v>
      </c>
      <c r="F203" s="104" t="s">
        <v>311</v>
      </c>
      <c r="G203" s="176">
        <f>1%*0.85</f>
        <v>8.5000000000000006E-3</v>
      </c>
    </row>
    <row r="204" spans="3:7" ht="15" thickBot="1" x14ac:dyDescent="0.4">
      <c r="C204" s="132" t="s">
        <v>145</v>
      </c>
      <c r="D204" s="130" t="s">
        <v>143</v>
      </c>
      <c r="E204" s="131" t="s">
        <v>144</v>
      </c>
      <c r="F204" s="105" t="s">
        <v>313</v>
      </c>
      <c r="G204" s="141">
        <v>5.0000000000000001E-3</v>
      </c>
    </row>
    <row r="205" spans="3:7" ht="15" thickBot="1" x14ac:dyDescent="0.4">
      <c r="C205" s="104" t="s">
        <v>148</v>
      </c>
      <c r="D205" s="155">
        <v>0.7</v>
      </c>
      <c r="E205" s="129">
        <v>0.45</v>
      </c>
      <c r="F205" s="105" t="s">
        <v>314</v>
      </c>
      <c r="G205" s="141">
        <v>0.5</v>
      </c>
    </row>
    <row r="206" spans="3:7" ht="15" thickBot="1" x14ac:dyDescent="0.4">
      <c r="C206" s="105" t="s">
        <v>146</v>
      </c>
      <c r="D206" s="149">
        <f>$E$47*D205</f>
        <v>3544815.6362499995</v>
      </c>
      <c r="E206" s="150">
        <f>$E$47*E205</f>
        <v>2278810.0518749999</v>
      </c>
      <c r="F206" s="106" t="s">
        <v>315</v>
      </c>
      <c r="G206" s="142">
        <v>0.2</v>
      </c>
    </row>
    <row r="207" spans="3:7" ht="15" thickBot="1" x14ac:dyDescent="0.4">
      <c r="C207" s="105" t="s">
        <v>149</v>
      </c>
      <c r="D207" s="155">
        <v>0.1</v>
      </c>
      <c r="E207" s="129">
        <v>0.1</v>
      </c>
      <c r="F207" s="235"/>
      <c r="G207" s="235"/>
    </row>
    <row r="208" spans="3:7" ht="15" thickBot="1" x14ac:dyDescent="0.4">
      <c r="C208" s="106" t="s">
        <v>151</v>
      </c>
      <c r="D208" s="149">
        <f>D207*D206</f>
        <v>354481.56362499995</v>
      </c>
      <c r="E208" s="150">
        <f>E207*E206</f>
        <v>227881.00518750001</v>
      </c>
      <c r="F208" s="236"/>
      <c r="G208" s="236"/>
    </row>
    <row r="209" spans="3:7" ht="15" thickBot="1" x14ac:dyDescent="0.4">
      <c r="C209" s="104" t="s">
        <v>147</v>
      </c>
      <c r="D209" s="184">
        <f>0.03*1.2</f>
        <v>3.5999999999999997E-2</v>
      </c>
      <c r="E209" s="181">
        <f>0.03*1.2</f>
        <v>3.5999999999999997E-2</v>
      </c>
      <c r="F209" s="236"/>
      <c r="G209" s="236"/>
    </row>
    <row r="210" spans="3:7" ht="15" thickBot="1" x14ac:dyDescent="0.4">
      <c r="C210" s="105" t="s">
        <v>150</v>
      </c>
      <c r="D210" s="136">
        <f>D209*D208</f>
        <v>12761.336290499998</v>
      </c>
      <c r="E210" s="135">
        <f>E209*E208</f>
        <v>8203.7161867499999</v>
      </c>
      <c r="F210" s="236"/>
      <c r="G210" s="236"/>
    </row>
    <row r="211" spans="3:7" ht="15" thickBot="1" x14ac:dyDescent="0.4">
      <c r="C211" s="128" t="s">
        <v>69</v>
      </c>
      <c r="D211" s="133">
        <f>E210+D210</f>
        <v>20965.052477249999</v>
      </c>
      <c r="E211" s="134"/>
      <c r="F211" s="236"/>
      <c r="G211" s="236"/>
    </row>
    <row r="214" spans="3:7" ht="15" thickBot="1" x14ac:dyDescent="0.4"/>
    <row r="215" spans="3:7" x14ac:dyDescent="0.35">
      <c r="C215" s="276" t="s">
        <v>378</v>
      </c>
      <c r="D215" s="277"/>
      <c r="E215" s="277"/>
      <c r="F215" s="277"/>
      <c r="G215" s="278"/>
    </row>
    <row r="216" spans="3:7" ht="15" thickBot="1" x14ac:dyDescent="0.4">
      <c r="C216" s="279"/>
      <c r="D216" s="280"/>
      <c r="E216" s="280"/>
      <c r="F216" s="280"/>
      <c r="G216" s="281"/>
    </row>
    <row r="217" spans="3:7" ht="15" thickBot="1" x14ac:dyDescent="0.4">
      <c r="C217" s="244"/>
      <c r="D217" s="244"/>
      <c r="E217" s="244"/>
      <c r="F217" s="244"/>
      <c r="G217" s="244"/>
    </row>
    <row r="218" spans="3:7" ht="16" thickBot="1" x14ac:dyDescent="0.4">
      <c r="C218" s="108" t="s">
        <v>302</v>
      </c>
      <c r="D218" s="109"/>
      <c r="E218" s="236"/>
      <c r="F218" s="108" t="s">
        <v>306</v>
      </c>
      <c r="G218" s="109"/>
    </row>
    <row r="219" spans="3:7" ht="15" thickBot="1" x14ac:dyDescent="0.4">
      <c r="C219" s="104" t="s">
        <v>176</v>
      </c>
      <c r="D219" s="122">
        <v>150000</v>
      </c>
      <c r="E219" s="236"/>
      <c r="F219" s="114" t="s">
        <v>304</v>
      </c>
      <c r="G219" s="115"/>
    </row>
    <row r="220" spans="3:7" ht="15" thickBot="1" x14ac:dyDescent="0.4">
      <c r="C220" s="105" t="s">
        <v>175</v>
      </c>
      <c r="D220" s="122">
        <v>100000</v>
      </c>
      <c r="E220" s="236"/>
      <c r="F220" s="104" t="s">
        <v>138</v>
      </c>
      <c r="G220" s="123">
        <v>104.04</v>
      </c>
    </row>
    <row r="221" spans="3:7" ht="15" thickBot="1" x14ac:dyDescent="0.4">
      <c r="C221" s="106" t="s">
        <v>230</v>
      </c>
      <c r="D221" s="122">
        <v>50000</v>
      </c>
      <c r="E221" s="236"/>
      <c r="F221" s="106" t="s">
        <v>133</v>
      </c>
      <c r="G221" s="117">
        <v>0.1</v>
      </c>
    </row>
    <row r="222" spans="3:7" ht="15" thickBot="1" x14ac:dyDescent="0.4">
      <c r="C222" s="263"/>
      <c r="D222" s="263"/>
      <c r="E222" s="236"/>
      <c r="F222" s="114" t="s">
        <v>305</v>
      </c>
      <c r="G222" s="115"/>
    </row>
    <row r="223" spans="3:7" ht="16" thickBot="1" x14ac:dyDescent="0.4">
      <c r="C223" s="108" t="s">
        <v>303</v>
      </c>
      <c r="D223" s="109"/>
      <c r="E223" s="236"/>
      <c r="F223" s="103" t="s">
        <v>140</v>
      </c>
      <c r="G223" s="122">
        <v>6</v>
      </c>
    </row>
    <row r="224" spans="3:7" ht="15" thickBot="1" x14ac:dyDescent="0.4">
      <c r="C224" s="104" t="s">
        <v>293</v>
      </c>
      <c r="D224" s="119">
        <v>0.75</v>
      </c>
      <c r="E224" s="236"/>
      <c r="F224" s="263"/>
      <c r="G224" s="263"/>
    </row>
    <row r="225" spans="3:7" ht="16" thickBot="1" x14ac:dyDescent="0.4">
      <c r="C225" s="105" t="s">
        <v>294</v>
      </c>
      <c r="D225" s="120">
        <v>70000</v>
      </c>
      <c r="E225" s="236"/>
      <c r="F225" s="108" t="s">
        <v>307</v>
      </c>
      <c r="G225" s="109"/>
    </row>
    <row r="226" spans="3:7" ht="15" thickBot="1" x14ac:dyDescent="0.4">
      <c r="C226" s="105" t="s">
        <v>296</v>
      </c>
      <c r="D226" s="107">
        <f ca="1">-SUM($T$23:$BP$23)</f>
        <v>2969935.0416193455</v>
      </c>
      <c r="E226" s="236"/>
      <c r="F226" s="104" t="s">
        <v>124</v>
      </c>
      <c r="G226" s="124">
        <v>3.3369999999999997E-2</v>
      </c>
    </row>
    <row r="227" spans="3:7" ht="15" thickBot="1" x14ac:dyDescent="0.4">
      <c r="C227" s="106" t="s">
        <v>297</v>
      </c>
      <c r="D227" s="139">
        <f ca="1">ROUNDUP(D226/$T$6,2)</f>
        <v>9.9</v>
      </c>
      <c r="E227" s="236"/>
      <c r="F227" s="106" t="s">
        <v>319</v>
      </c>
      <c r="G227" s="118">
        <v>7</v>
      </c>
    </row>
    <row r="228" spans="3:7" ht="15" thickBot="1" x14ac:dyDescent="0.4">
      <c r="C228" s="263"/>
      <c r="D228" s="263"/>
      <c r="E228" s="236"/>
      <c r="F228" s="263"/>
      <c r="G228" s="263"/>
    </row>
    <row r="229" spans="3:7" ht="16" thickBot="1" x14ac:dyDescent="0.4">
      <c r="C229" s="108" t="s">
        <v>301</v>
      </c>
      <c r="D229" s="109"/>
      <c r="E229" s="236"/>
      <c r="F229" s="108" t="s">
        <v>308</v>
      </c>
      <c r="G229" s="109"/>
    </row>
    <row r="230" spans="3:7" ht="15" thickBot="1" x14ac:dyDescent="0.4">
      <c r="C230" s="104" t="s">
        <v>321</v>
      </c>
      <c r="D230" s="149">
        <f ca="1">AVERAGE(Sales!$I$4:$BF$4)</f>
        <v>433.46938775510205</v>
      </c>
      <c r="E230" s="236"/>
      <c r="F230" s="114" t="s">
        <v>158</v>
      </c>
      <c r="G230" s="115"/>
    </row>
    <row r="231" spans="3:7" x14ac:dyDescent="0.35">
      <c r="C231" s="105" t="s">
        <v>322</v>
      </c>
      <c r="D231" s="165">
        <v>8.0000000000000007E-5</v>
      </c>
      <c r="E231" s="236"/>
      <c r="F231" s="104" t="s">
        <v>156</v>
      </c>
      <c r="G231" s="117">
        <v>5</v>
      </c>
    </row>
    <row r="232" spans="3:7" x14ac:dyDescent="0.35">
      <c r="C232" s="105" t="s">
        <v>323</v>
      </c>
      <c r="D232" s="165">
        <v>1E-4</v>
      </c>
      <c r="E232" s="236"/>
      <c r="F232" s="105" t="s">
        <v>153</v>
      </c>
      <c r="G232" s="119">
        <v>0.2</v>
      </c>
    </row>
    <row r="233" spans="3:7" ht="15" thickBot="1" x14ac:dyDescent="0.4">
      <c r="C233" s="105" t="s">
        <v>77</v>
      </c>
      <c r="D233" s="121">
        <v>0.12</v>
      </c>
      <c r="E233" s="236"/>
      <c r="F233" s="106" t="s">
        <v>154</v>
      </c>
      <c r="G233" s="120">
        <v>1.5</v>
      </c>
    </row>
    <row r="234" spans="3:7" ht="15" thickBot="1" x14ac:dyDescent="0.4">
      <c r="C234" s="105" t="s">
        <v>107</v>
      </c>
      <c r="D234" s="167">
        <f>4%*1.6</f>
        <v>6.4000000000000001E-2</v>
      </c>
      <c r="E234" s="236"/>
      <c r="F234" s="114" t="s">
        <v>111</v>
      </c>
      <c r="G234" s="115"/>
    </row>
    <row r="235" spans="3:7" ht="15" thickBot="1" x14ac:dyDescent="0.4">
      <c r="C235" s="105" t="s">
        <v>74</v>
      </c>
      <c r="D235" s="168">
        <f>1%*0.8</f>
        <v>8.0000000000000002E-3</v>
      </c>
      <c r="E235" s="236"/>
      <c r="F235" s="104" t="s">
        <v>160</v>
      </c>
      <c r="G235" s="117">
        <v>10</v>
      </c>
    </row>
    <row r="236" spans="3:7" ht="15" thickBot="1" x14ac:dyDescent="0.4">
      <c r="C236" s="105" t="s">
        <v>75</v>
      </c>
      <c r="D236" s="151">
        <f>G248</f>
        <v>5064022.3374999994</v>
      </c>
      <c r="E236" s="236"/>
      <c r="F236" s="105" t="s">
        <v>161</v>
      </c>
      <c r="G236" s="120">
        <v>50</v>
      </c>
    </row>
    <row r="237" spans="3:7" ht="15" thickBot="1" x14ac:dyDescent="0.4">
      <c r="C237" s="105" t="s">
        <v>78</v>
      </c>
      <c r="D237" s="121">
        <v>0.4</v>
      </c>
      <c r="E237" s="236"/>
      <c r="F237" s="106" t="s">
        <v>167</v>
      </c>
      <c r="G237" s="119">
        <v>0.05</v>
      </c>
    </row>
    <row r="238" spans="3:7" ht="15" thickBot="1" x14ac:dyDescent="0.4">
      <c r="C238" s="105" t="s">
        <v>80</v>
      </c>
      <c r="D238" s="170">
        <f>19.95*0.7</f>
        <v>13.964999999999998</v>
      </c>
      <c r="E238" s="236"/>
      <c r="F238" s="114" t="s">
        <v>110</v>
      </c>
      <c r="G238" s="115"/>
    </row>
    <row r="239" spans="3:7" ht="15" thickBot="1" x14ac:dyDescent="0.4">
      <c r="C239" s="106" t="s">
        <v>81</v>
      </c>
      <c r="D239" s="160">
        <f>9.95*0.7</f>
        <v>6.964999999999999</v>
      </c>
      <c r="E239" s="236"/>
      <c r="F239" s="104" t="s">
        <v>159</v>
      </c>
      <c r="G239" s="117">
        <v>30</v>
      </c>
    </row>
    <row r="240" spans="3:7" x14ac:dyDescent="0.35">
      <c r="C240" s="235"/>
      <c r="D240" s="235"/>
      <c r="E240" s="236"/>
      <c r="F240" s="105" t="s">
        <v>162</v>
      </c>
      <c r="G240" s="120">
        <v>25</v>
      </c>
    </row>
    <row r="241" spans="3:7" ht="15" thickBot="1" x14ac:dyDescent="0.4">
      <c r="C241" s="236"/>
      <c r="D241" s="236"/>
      <c r="E241" s="236"/>
      <c r="F241" s="106" t="s">
        <v>168</v>
      </c>
      <c r="G241" s="125">
        <v>0.08</v>
      </c>
    </row>
    <row r="242" spans="3:7" x14ac:dyDescent="0.35">
      <c r="C242" s="236"/>
      <c r="D242" s="236"/>
      <c r="E242" s="236"/>
      <c r="F242" s="235"/>
      <c r="G242" s="235"/>
    </row>
    <row r="243" spans="3:7" ht="15" thickBot="1" x14ac:dyDescent="0.4">
      <c r="C243" s="237"/>
      <c r="D243" s="237"/>
      <c r="E243" s="237"/>
      <c r="F243" s="237"/>
      <c r="G243" s="237"/>
    </row>
    <row r="244" spans="3:7" ht="16" thickBot="1" x14ac:dyDescent="0.4">
      <c r="C244" s="110" t="s">
        <v>43</v>
      </c>
      <c r="D244" s="111" t="s">
        <v>73</v>
      </c>
      <c r="E244" s="110" t="s">
        <v>71</v>
      </c>
      <c r="F244" s="116" t="s">
        <v>72</v>
      </c>
      <c r="G244" s="112" t="s">
        <v>69</v>
      </c>
    </row>
    <row r="245" spans="3:7" ht="15" thickBot="1" x14ac:dyDescent="0.4">
      <c r="C245" s="102" t="s">
        <v>44</v>
      </c>
      <c r="D245" s="126">
        <v>1</v>
      </c>
      <c r="E245" s="143">
        <v>47615034</v>
      </c>
      <c r="F245" s="146">
        <v>10259507</v>
      </c>
      <c r="G245" s="147">
        <f>F245+E245</f>
        <v>57874541</v>
      </c>
    </row>
    <row r="246" spans="3:7" ht="15" thickBot="1" x14ac:dyDescent="0.4">
      <c r="C246" s="102" t="s">
        <v>70</v>
      </c>
      <c r="D246" s="126">
        <v>0.5</v>
      </c>
      <c r="E246" s="144">
        <f t="shared" ref="E246:F248" si="55">$D246*E245</f>
        <v>23807517</v>
      </c>
      <c r="F246" s="144">
        <f t="shared" si="55"/>
        <v>5129753.5</v>
      </c>
      <c r="G246" s="147">
        <f>F246+E246</f>
        <v>28937270.5</v>
      </c>
    </row>
    <row r="247" spans="3:7" ht="15" thickBot="1" x14ac:dyDescent="0.4">
      <c r="C247" s="102" t="s">
        <v>76</v>
      </c>
      <c r="D247" s="126">
        <v>0.7</v>
      </c>
      <c r="E247" s="144">
        <f t="shared" si="55"/>
        <v>16665261.899999999</v>
      </c>
      <c r="F247" s="144">
        <f t="shared" si="55"/>
        <v>3590827.4499999997</v>
      </c>
      <c r="G247" s="147">
        <f>F247+E247</f>
        <v>20256089.349999998</v>
      </c>
    </row>
    <row r="248" spans="3:7" ht="15" thickBot="1" x14ac:dyDescent="0.4">
      <c r="C248" s="37" t="s">
        <v>45</v>
      </c>
      <c r="D248" s="127">
        <v>0.25</v>
      </c>
      <c r="E248" s="145">
        <f t="shared" si="55"/>
        <v>4166315.4749999996</v>
      </c>
      <c r="F248" s="145">
        <f t="shared" si="55"/>
        <v>897706.86249999993</v>
      </c>
      <c r="G248" s="148">
        <f>F248+E248</f>
        <v>5064022.3374999994</v>
      </c>
    </row>
    <row r="249" spans="3:7" x14ac:dyDescent="0.35">
      <c r="C249" s="235"/>
      <c r="D249" s="235"/>
      <c r="E249" s="235"/>
      <c r="F249" s="235"/>
      <c r="G249" s="235"/>
    </row>
    <row r="250" spans="3:7" x14ac:dyDescent="0.35">
      <c r="C250" s="236"/>
      <c r="D250" s="236"/>
      <c r="E250" s="236"/>
      <c r="F250" s="236"/>
      <c r="G250" s="236"/>
    </row>
    <row r="251" spans="3:7" ht="15" thickBot="1" x14ac:dyDescent="0.4">
      <c r="C251" s="237"/>
      <c r="D251" s="237"/>
      <c r="E251" s="237"/>
      <c r="F251" s="237"/>
      <c r="G251" s="237"/>
    </row>
    <row r="252" spans="3:7" ht="16" thickBot="1" x14ac:dyDescent="0.4">
      <c r="C252" s="108" t="s">
        <v>367</v>
      </c>
      <c r="D252" s="109"/>
      <c r="E252" s="113">
        <f>G248</f>
        <v>5064022.3374999994</v>
      </c>
      <c r="F252" s="108" t="s">
        <v>366</v>
      </c>
      <c r="G252" s="109"/>
    </row>
    <row r="253" spans="3:7" ht="15" thickBot="1" x14ac:dyDescent="0.4">
      <c r="C253" s="132" t="s">
        <v>368</v>
      </c>
      <c r="D253" s="130" t="s">
        <v>141</v>
      </c>
      <c r="E253" s="131" t="s">
        <v>142</v>
      </c>
      <c r="F253" s="104" t="s">
        <v>311</v>
      </c>
      <c r="G253" s="169">
        <f>1%*1.2</f>
        <v>1.2E-2</v>
      </c>
    </row>
    <row r="254" spans="3:7" ht="15" thickBot="1" x14ac:dyDescent="0.4">
      <c r="C254" s="132" t="s">
        <v>145</v>
      </c>
      <c r="D254" s="130" t="s">
        <v>143</v>
      </c>
      <c r="E254" s="131" t="s">
        <v>144</v>
      </c>
      <c r="F254" s="105" t="s">
        <v>313</v>
      </c>
      <c r="G254" s="141">
        <v>5.0000000000000001E-3</v>
      </c>
    </row>
    <row r="255" spans="3:7" ht="15" thickBot="1" x14ac:dyDescent="0.4">
      <c r="C255" s="104" t="s">
        <v>148</v>
      </c>
      <c r="D255" s="155">
        <v>0.7</v>
      </c>
      <c r="E255" s="129">
        <v>0.45</v>
      </c>
      <c r="F255" s="105" t="s">
        <v>314</v>
      </c>
      <c r="G255" s="141">
        <v>0.5</v>
      </c>
    </row>
    <row r="256" spans="3:7" ht="15" thickBot="1" x14ac:dyDescent="0.4">
      <c r="C256" s="105" t="s">
        <v>146</v>
      </c>
      <c r="D256" s="149">
        <f>$E$47*D255</f>
        <v>3544815.6362499995</v>
      </c>
      <c r="E256" s="150">
        <f>$E$47*E255</f>
        <v>2278810.0518749999</v>
      </c>
      <c r="F256" s="106" t="s">
        <v>315</v>
      </c>
      <c r="G256" s="142">
        <v>0.2</v>
      </c>
    </row>
    <row r="257" spans="3:7" ht="15" thickBot="1" x14ac:dyDescent="0.4">
      <c r="C257" s="105" t="s">
        <v>149</v>
      </c>
      <c r="D257" s="155">
        <v>0.1</v>
      </c>
      <c r="E257" s="129">
        <v>0.1</v>
      </c>
      <c r="F257" s="235"/>
      <c r="G257" s="235"/>
    </row>
    <row r="258" spans="3:7" ht="15" thickBot="1" x14ac:dyDescent="0.4">
      <c r="C258" s="106" t="s">
        <v>151</v>
      </c>
      <c r="D258" s="149">
        <f>D257*D256</f>
        <v>354481.56362499995</v>
      </c>
      <c r="E258" s="150">
        <f>E257*E256</f>
        <v>227881.00518750001</v>
      </c>
      <c r="F258" s="236"/>
      <c r="G258" s="236"/>
    </row>
    <row r="259" spans="3:7" ht="15" thickBot="1" x14ac:dyDescent="0.4">
      <c r="C259" s="104" t="s">
        <v>147</v>
      </c>
      <c r="D259" s="137">
        <v>0.03</v>
      </c>
      <c r="E259" s="138">
        <v>0.03</v>
      </c>
      <c r="F259" s="236"/>
      <c r="G259" s="236"/>
    </row>
    <row r="260" spans="3:7" ht="15" thickBot="1" x14ac:dyDescent="0.4">
      <c r="C260" s="105" t="s">
        <v>150</v>
      </c>
      <c r="D260" s="136">
        <f>D259*D258</f>
        <v>10634.446908749998</v>
      </c>
      <c r="E260" s="135">
        <f>E259*E258</f>
        <v>6836.4301556250002</v>
      </c>
      <c r="F260" s="236"/>
      <c r="G260" s="236"/>
    </row>
    <row r="261" spans="3:7" ht="15" thickBot="1" x14ac:dyDescent="0.4">
      <c r="C261" s="128" t="s">
        <v>69</v>
      </c>
      <c r="D261" s="133">
        <f>E260+D260</f>
        <v>17470.877064374999</v>
      </c>
      <c r="E261" s="134"/>
      <c r="F261" s="236"/>
      <c r="G261" s="236"/>
    </row>
    <row r="264" spans="3:7" ht="15" thickBot="1" x14ac:dyDescent="0.4"/>
    <row r="265" spans="3:7" x14ac:dyDescent="0.35">
      <c r="C265" s="282" t="s">
        <v>379</v>
      </c>
      <c r="D265" s="283"/>
      <c r="E265" s="283"/>
      <c r="F265" s="283"/>
      <c r="G265" s="284"/>
    </row>
    <row r="266" spans="3:7" ht="15" thickBot="1" x14ac:dyDescent="0.4">
      <c r="C266" s="285"/>
      <c r="D266" s="286"/>
      <c r="E266" s="286"/>
      <c r="F266" s="286"/>
      <c r="G266" s="287"/>
    </row>
    <row r="267" spans="3:7" ht="15" thickBot="1" x14ac:dyDescent="0.4">
      <c r="C267" s="244"/>
      <c r="D267" s="244"/>
      <c r="E267" s="244"/>
      <c r="F267" s="244"/>
      <c r="G267" s="244"/>
    </row>
    <row r="268" spans="3:7" ht="16" thickBot="1" x14ac:dyDescent="0.4">
      <c r="C268" s="108" t="s">
        <v>302</v>
      </c>
      <c r="D268" s="109"/>
      <c r="E268" s="236"/>
      <c r="F268" s="108" t="s">
        <v>306</v>
      </c>
      <c r="G268" s="109"/>
    </row>
    <row r="269" spans="3:7" ht="15" thickBot="1" x14ac:dyDescent="0.4">
      <c r="C269" s="104" t="s">
        <v>176</v>
      </c>
      <c r="D269" s="122">
        <v>150000</v>
      </c>
      <c r="E269" s="236"/>
      <c r="F269" s="114" t="s">
        <v>304</v>
      </c>
      <c r="G269" s="115"/>
    </row>
    <row r="270" spans="3:7" ht="15" thickBot="1" x14ac:dyDescent="0.4">
      <c r="C270" s="105" t="s">
        <v>175</v>
      </c>
      <c r="D270" s="122">
        <v>100000</v>
      </c>
      <c r="E270" s="236"/>
      <c r="F270" s="104" t="s">
        <v>138</v>
      </c>
      <c r="G270" s="123">
        <v>104.04</v>
      </c>
    </row>
    <row r="271" spans="3:7" ht="15" thickBot="1" x14ac:dyDescent="0.4">
      <c r="C271" s="106" t="s">
        <v>230</v>
      </c>
      <c r="D271" s="122">
        <v>50000</v>
      </c>
      <c r="E271" s="236"/>
      <c r="F271" s="106" t="s">
        <v>133</v>
      </c>
      <c r="G271" s="117">
        <v>0.1</v>
      </c>
    </row>
    <row r="272" spans="3:7" ht="15" thickBot="1" x14ac:dyDescent="0.4">
      <c r="C272" s="263"/>
      <c r="D272" s="263"/>
      <c r="E272" s="236"/>
      <c r="F272" s="114" t="s">
        <v>305</v>
      </c>
      <c r="G272" s="115"/>
    </row>
    <row r="273" spans="3:7" ht="16" thickBot="1" x14ac:dyDescent="0.4">
      <c r="C273" s="108" t="s">
        <v>303</v>
      </c>
      <c r="D273" s="109"/>
      <c r="E273" s="236"/>
      <c r="F273" s="103" t="s">
        <v>140</v>
      </c>
      <c r="G273" s="122">
        <v>6</v>
      </c>
    </row>
    <row r="274" spans="3:7" ht="15" thickBot="1" x14ac:dyDescent="0.4">
      <c r="C274" s="104" t="s">
        <v>293</v>
      </c>
      <c r="D274" s="119">
        <v>0.75</v>
      </c>
      <c r="E274" s="236"/>
      <c r="F274" s="263"/>
      <c r="G274" s="263"/>
    </row>
    <row r="275" spans="3:7" ht="16" thickBot="1" x14ac:dyDescent="0.4">
      <c r="C275" s="105" t="s">
        <v>294</v>
      </c>
      <c r="D275" s="120">
        <v>70000</v>
      </c>
      <c r="E275" s="236"/>
      <c r="F275" s="108" t="s">
        <v>307</v>
      </c>
      <c r="G275" s="109"/>
    </row>
    <row r="276" spans="3:7" ht="15" thickBot="1" x14ac:dyDescent="0.4">
      <c r="C276" s="105" t="s">
        <v>296</v>
      </c>
      <c r="D276" s="107">
        <f ca="1">-SUM($T$23:$BP$23)</f>
        <v>2969935.0416193455</v>
      </c>
      <c r="E276" s="236"/>
      <c r="F276" s="104" t="s">
        <v>124</v>
      </c>
      <c r="G276" s="124">
        <v>3.3369999999999997E-2</v>
      </c>
    </row>
    <row r="277" spans="3:7" ht="15" thickBot="1" x14ac:dyDescent="0.4">
      <c r="C277" s="106" t="s">
        <v>297</v>
      </c>
      <c r="D277" s="139">
        <f ca="1">ROUNDUP(D276/$T$6,2)</f>
        <v>9.9</v>
      </c>
      <c r="E277" s="236"/>
      <c r="F277" s="106" t="s">
        <v>319</v>
      </c>
      <c r="G277" s="118">
        <v>7</v>
      </c>
    </row>
    <row r="278" spans="3:7" ht="15" thickBot="1" x14ac:dyDescent="0.4">
      <c r="C278" s="263"/>
      <c r="D278" s="263"/>
      <c r="E278" s="236"/>
      <c r="F278" s="263"/>
      <c r="G278" s="263"/>
    </row>
    <row r="279" spans="3:7" ht="16" thickBot="1" x14ac:dyDescent="0.4">
      <c r="C279" s="108" t="s">
        <v>301</v>
      </c>
      <c r="D279" s="109"/>
      <c r="E279" s="236"/>
      <c r="F279" s="108" t="s">
        <v>308</v>
      </c>
      <c r="G279" s="109"/>
    </row>
    <row r="280" spans="3:7" ht="15" thickBot="1" x14ac:dyDescent="0.4">
      <c r="C280" s="104" t="s">
        <v>321</v>
      </c>
      <c r="D280" s="149">
        <f ca="1">AVERAGE(Sales!$I$4:$BF$4)</f>
        <v>433.46938775510205</v>
      </c>
      <c r="E280" s="236"/>
      <c r="F280" s="114" t="s">
        <v>158</v>
      </c>
      <c r="G280" s="115"/>
    </row>
    <row r="281" spans="3:7" x14ac:dyDescent="0.35">
      <c r="C281" s="105" t="s">
        <v>322</v>
      </c>
      <c r="D281" s="165">
        <v>8.0000000000000007E-5</v>
      </c>
      <c r="E281" s="236"/>
      <c r="F281" s="104" t="s">
        <v>156</v>
      </c>
      <c r="G281" s="117">
        <v>5</v>
      </c>
    </row>
    <row r="282" spans="3:7" x14ac:dyDescent="0.35">
      <c r="C282" s="105" t="s">
        <v>323</v>
      </c>
      <c r="D282" s="165">
        <v>1E-4</v>
      </c>
      <c r="E282" s="236"/>
      <c r="F282" s="105" t="s">
        <v>153</v>
      </c>
      <c r="G282" s="119">
        <v>0.2</v>
      </c>
    </row>
    <row r="283" spans="3:7" ht="15" thickBot="1" x14ac:dyDescent="0.4">
      <c r="C283" s="105" t="s">
        <v>77</v>
      </c>
      <c r="D283" s="121">
        <v>0.12</v>
      </c>
      <c r="E283" s="236"/>
      <c r="F283" s="106" t="s">
        <v>154</v>
      </c>
      <c r="G283" s="120">
        <v>1.5</v>
      </c>
    </row>
    <row r="284" spans="3:7" ht="15" thickBot="1" x14ac:dyDescent="0.4">
      <c r="C284" s="105" t="s">
        <v>107</v>
      </c>
      <c r="D284" s="168">
        <f>4%*0.7</f>
        <v>2.7999999999999997E-2</v>
      </c>
      <c r="E284" s="236"/>
      <c r="F284" s="114" t="s">
        <v>111</v>
      </c>
      <c r="G284" s="115"/>
    </row>
    <row r="285" spans="3:7" ht="15" thickBot="1" x14ac:dyDescent="0.4">
      <c r="C285" s="105" t="s">
        <v>74</v>
      </c>
      <c r="D285" s="167">
        <f>1%*1.4</f>
        <v>1.3999999999999999E-2</v>
      </c>
      <c r="E285" s="236"/>
      <c r="F285" s="104" t="s">
        <v>160</v>
      </c>
      <c r="G285" s="117">
        <v>10</v>
      </c>
    </row>
    <row r="286" spans="3:7" ht="15" thickBot="1" x14ac:dyDescent="0.4">
      <c r="C286" s="105" t="s">
        <v>75</v>
      </c>
      <c r="D286" s="151">
        <f>G298</f>
        <v>5064022.3374999994</v>
      </c>
      <c r="E286" s="236"/>
      <c r="F286" s="105" t="s">
        <v>161</v>
      </c>
      <c r="G286" s="120">
        <v>50</v>
      </c>
    </row>
    <row r="287" spans="3:7" ht="15" thickBot="1" x14ac:dyDescent="0.4">
      <c r="C287" s="105" t="s">
        <v>78</v>
      </c>
      <c r="D287" s="121">
        <v>0.4</v>
      </c>
      <c r="E287" s="236"/>
      <c r="F287" s="106" t="s">
        <v>167</v>
      </c>
      <c r="G287" s="119">
        <v>0.05</v>
      </c>
    </row>
    <row r="288" spans="3:7" ht="15" thickBot="1" x14ac:dyDescent="0.4">
      <c r="C288" s="105" t="s">
        <v>80</v>
      </c>
      <c r="D288" s="163">
        <f>19.95*1.6</f>
        <v>31.92</v>
      </c>
      <c r="E288" s="236"/>
      <c r="F288" s="114" t="s">
        <v>110</v>
      </c>
      <c r="G288" s="115"/>
    </row>
    <row r="289" spans="3:7" ht="15" thickBot="1" x14ac:dyDescent="0.4">
      <c r="C289" s="106" t="s">
        <v>81</v>
      </c>
      <c r="D289" s="173">
        <f>9.95*1.6</f>
        <v>15.92</v>
      </c>
      <c r="E289" s="236"/>
      <c r="F289" s="104" t="s">
        <v>159</v>
      </c>
      <c r="G289" s="117">
        <v>30</v>
      </c>
    </row>
    <row r="290" spans="3:7" x14ac:dyDescent="0.35">
      <c r="C290" s="235"/>
      <c r="D290" s="235"/>
      <c r="E290" s="236"/>
      <c r="F290" s="105" t="s">
        <v>162</v>
      </c>
      <c r="G290" s="120">
        <v>25</v>
      </c>
    </row>
    <row r="291" spans="3:7" ht="15" thickBot="1" x14ac:dyDescent="0.4">
      <c r="C291" s="236"/>
      <c r="D291" s="236"/>
      <c r="E291" s="236"/>
      <c r="F291" s="106" t="s">
        <v>168</v>
      </c>
      <c r="G291" s="125">
        <v>0.08</v>
      </c>
    </row>
    <row r="292" spans="3:7" x14ac:dyDescent="0.35">
      <c r="C292" s="236"/>
      <c r="D292" s="236"/>
      <c r="E292" s="236"/>
      <c r="F292" s="235"/>
      <c r="G292" s="235"/>
    </row>
    <row r="293" spans="3:7" ht="15" thickBot="1" x14ac:dyDescent="0.4">
      <c r="C293" s="237"/>
      <c r="D293" s="237"/>
      <c r="E293" s="237"/>
      <c r="F293" s="237"/>
      <c r="G293" s="237"/>
    </row>
    <row r="294" spans="3:7" ht="16" thickBot="1" x14ac:dyDescent="0.4">
      <c r="C294" s="110" t="s">
        <v>43</v>
      </c>
      <c r="D294" s="111" t="s">
        <v>73</v>
      </c>
      <c r="E294" s="110" t="s">
        <v>71</v>
      </c>
      <c r="F294" s="116" t="s">
        <v>72</v>
      </c>
      <c r="G294" s="112" t="s">
        <v>69</v>
      </c>
    </row>
    <row r="295" spans="3:7" ht="15" thickBot="1" x14ac:dyDescent="0.4">
      <c r="C295" s="102" t="s">
        <v>44</v>
      </c>
      <c r="D295" s="126">
        <v>1</v>
      </c>
      <c r="E295" s="143">
        <v>47615034</v>
      </c>
      <c r="F295" s="146">
        <v>10259507</v>
      </c>
      <c r="G295" s="147">
        <f>F295+E295</f>
        <v>57874541</v>
      </c>
    </row>
    <row r="296" spans="3:7" ht="15" thickBot="1" x14ac:dyDescent="0.4">
      <c r="C296" s="102" t="s">
        <v>70</v>
      </c>
      <c r="D296" s="126">
        <v>0.5</v>
      </c>
      <c r="E296" s="144">
        <f t="shared" ref="E296:F298" si="56">$D296*E295</f>
        <v>23807517</v>
      </c>
      <c r="F296" s="144">
        <f t="shared" si="56"/>
        <v>5129753.5</v>
      </c>
      <c r="G296" s="147">
        <f>F296+E296</f>
        <v>28937270.5</v>
      </c>
    </row>
    <row r="297" spans="3:7" ht="15" thickBot="1" x14ac:dyDescent="0.4">
      <c r="C297" s="102" t="s">
        <v>76</v>
      </c>
      <c r="D297" s="126">
        <v>0.7</v>
      </c>
      <c r="E297" s="144">
        <f t="shared" si="56"/>
        <v>16665261.899999999</v>
      </c>
      <c r="F297" s="144">
        <f t="shared" si="56"/>
        <v>3590827.4499999997</v>
      </c>
      <c r="G297" s="147">
        <f>F297+E297</f>
        <v>20256089.349999998</v>
      </c>
    </row>
    <row r="298" spans="3:7" ht="15" thickBot="1" x14ac:dyDescent="0.4">
      <c r="C298" s="37" t="s">
        <v>45</v>
      </c>
      <c r="D298" s="127">
        <v>0.25</v>
      </c>
      <c r="E298" s="145">
        <f t="shared" si="56"/>
        <v>4166315.4749999996</v>
      </c>
      <c r="F298" s="145">
        <f t="shared" si="56"/>
        <v>897706.86249999993</v>
      </c>
      <c r="G298" s="148">
        <f>F298+E298</f>
        <v>5064022.3374999994</v>
      </c>
    </row>
    <row r="299" spans="3:7" x14ac:dyDescent="0.35">
      <c r="C299" s="235"/>
      <c r="D299" s="235"/>
      <c r="E299" s="235"/>
      <c r="F299" s="235"/>
      <c r="G299" s="235"/>
    </row>
    <row r="300" spans="3:7" x14ac:dyDescent="0.35">
      <c r="C300" s="236"/>
      <c r="D300" s="236"/>
      <c r="E300" s="236"/>
      <c r="F300" s="236"/>
      <c r="G300" s="236"/>
    </row>
    <row r="301" spans="3:7" ht="15" thickBot="1" x14ac:dyDescent="0.4">
      <c r="C301" s="237"/>
      <c r="D301" s="237"/>
      <c r="E301" s="237"/>
      <c r="F301" s="237"/>
      <c r="G301" s="237"/>
    </row>
    <row r="302" spans="3:7" ht="16" thickBot="1" x14ac:dyDescent="0.4">
      <c r="C302" s="108" t="s">
        <v>367</v>
      </c>
      <c r="D302" s="109"/>
      <c r="E302" s="113">
        <f>G298</f>
        <v>5064022.3374999994</v>
      </c>
      <c r="F302" s="108" t="s">
        <v>366</v>
      </c>
      <c r="G302" s="109"/>
    </row>
    <row r="303" spans="3:7" ht="15" thickBot="1" x14ac:dyDescent="0.4">
      <c r="C303" s="132" t="s">
        <v>368</v>
      </c>
      <c r="D303" s="130" t="s">
        <v>141</v>
      </c>
      <c r="E303" s="131" t="s">
        <v>142</v>
      </c>
      <c r="F303" s="104" t="s">
        <v>311</v>
      </c>
      <c r="G303" s="176">
        <f>1%*0.9</f>
        <v>9.0000000000000011E-3</v>
      </c>
    </row>
    <row r="304" spans="3:7" ht="15" thickBot="1" x14ac:dyDescent="0.4">
      <c r="C304" s="132" t="s">
        <v>145</v>
      </c>
      <c r="D304" s="130" t="s">
        <v>143</v>
      </c>
      <c r="E304" s="131" t="s">
        <v>144</v>
      </c>
      <c r="F304" s="105" t="s">
        <v>313</v>
      </c>
      <c r="G304" s="141">
        <v>5.0000000000000001E-3</v>
      </c>
    </row>
    <row r="305" spans="3:7" ht="15" thickBot="1" x14ac:dyDescent="0.4">
      <c r="C305" s="104" t="s">
        <v>148</v>
      </c>
      <c r="D305" s="155">
        <v>0.7</v>
      </c>
      <c r="E305" s="129">
        <v>0.45</v>
      </c>
      <c r="F305" s="105" t="s">
        <v>314</v>
      </c>
      <c r="G305" s="141">
        <v>0.5</v>
      </c>
    </row>
    <row r="306" spans="3:7" ht="15" thickBot="1" x14ac:dyDescent="0.4">
      <c r="C306" s="105" t="s">
        <v>146</v>
      </c>
      <c r="D306" s="149">
        <f>$E$47*D305</f>
        <v>3544815.6362499995</v>
      </c>
      <c r="E306" s="150">
        <f>$E$47*E305</f>
        <v>2278810.0518749999</v>
      </c>
      <c r="F306" s="106" t="s">
        <v>315</v>
      </c>
      <c r="G306" s="142">
        <v>0.2</v>
      </c>
    </row>
    <row r="307" spans="3:7" ht="15" thickBot="1" x14ac:dyDescent="0.4">
      <c r="C307" s="105" t="s">
        <v>149</v>
      </c>
      <c r="D307" s="155">
        <v>0.1</v>
      </c>
      <c r="E307" s="129">
        <v>0.1</v>
      </c>
      <c r="F307" s="235"/>
      <c r="G307" s="235"/>
    </row>
    <row r="308" spans="3:7" ht="15" thickBot="1" x14ac:dyDescent="0.4">
      <c r="C308" s="106" t="s">
        <v>151</v>
      </c>
      <c r="D308" s="149">
        <f>D307*D306</f>
        <v>354481.56362499995</v>
      </c>
      <c r="E308" s="150">
        <f>E307*E306</f>
        <v>227881.00518750001</v>
      </c>
      <c r="F308" s="236"/>
      <c r="G308" s="236"/>
    </row>
    <row r="309" spans="3:7" ht="15" thickBot="1" x14ac:dyDescent="0.4">
      <c r="C309" s="104" t="s">
        <v>147</v>
      </c>
      <c r="D309" s="137">
        <v>0.03</v>
      </c>
      <c r="E309" s="138">
        <v>0.03</v>
      </c>
      <c r="F309" s="236"/>
      <c r="G309" s="236"/>
    </row>
    <row r="310" spans="3:7" ht="15" thickBot="1" x14ac:dyDescent="0.4">
      <c r="C310" s="105" t="s">
        <v>150</v>
      </c>
      <c r="D310" s="136">
        <f>D309*D308</f>
        <v>10634.446908749998</v>
      </c>
      <c r="E310" s="135">
        <f>E309*E308</f>
        <v>6836.4301556250002</v>
      </c>
      <c r="F310" s="236"/>
      <c r="G310" s="236"/>
    </row>
    <row r="311" spans="3:7" ht="15" thickBot="1" x14ac:dyDescent="0.4">
      <c r="C311" s="128" t="s">
        <v>69</v>
      </c>
      <c r="D311" s="133">
        <f>E310+D310</f>
        <v>17470.877064374999</v>
      </c>
      <c r="E311" s="134"/>
      <c r="F311" s="236"/>
      <c r="G311" s="236"/>
    </row>
    <row r="314" spans="3:7" ht="15" thickBot="1" x14ac:dyDescent="0.4"/>
    <row r="315" spans="3:7" x14ac:dyDescent="0.35">
      <c r="C315" s="288" t="s">
        <v>380</v>
      </c>
      <c r="D315" s="289"/>
      <c r="E315" s="289"/>
      <c r="F315" s="289"/>
      <c r="G315" s="290"/>
    </row>
    <row r="316" spans="3:7" ht="15" thickBot="1" x14ac:dyDescent="0.4">
      <c r="C316" s="291"/>
      <c r="D316" s="292"/>
      <c r="E316" s="292"/>
      <c r="F316" s="292"/>
      <c r="G316" s="293"/>
    </row>
    <row r="317" spans="3:7" ht="15" thickBot="1" x14ac:dyDescent="0.4">
      <c r="C317" s="244"/>
      <c r="D317" s="244"/>
      <c r="E317" s="244"/>
      <c r="F317" s="244"/>
      <c r="G317" s="244"/>
    </row>
    <row r="318" spans="3:7" ht="16" thickBot="1" x14ac:dyDescent="0.4">
      <c r="C318" s="108" t="s">
        <v>302</v>
      </c>
      <c r="D318" s="109"/>
      <c r="E318" s="236"/>
      <c r="F318" s="108" t="s">
        <v>306</v>
      </c>
      <c r="G318" s="109"/>
    </row>
    <row r="319" spans="3:7" ht="15" thickBot="1" x14ac:dyDescent="0.4">
      <c r="C319" s="104" t="s">
        <v>176</v>
      </c>
      <c r="D319" s="120">
        <v>150000</v>
      </c>
      <c r="E319" s="236"/>
      <c r="F319" s="114" t="s">
        <v>304</v>
      </c>
      <c r="G319" s="115"/>
    </row>
    <row r="320" spans="3:7" x14ac:dyDescent="0.35">
      <c r="C320" s="105" t="s">
        <v>175</v>
      </c>
      <c r="D320" s="120">
        <v>100000</v>
      </c>
      <c r="E320" s="236"/>
      <c r="F320" s="104" t="s">
        <v>138</v>
      </c>
      <c r="G320" s="123">
        <v>104.04</v>
      </c>
    </row>
    <row r="321" spans="3:7" ht="15" thickBot="1" x14ac:dyDescent="0.4">
      <c r="C321" s="106" t="s">
        <v>230</v>
      </c>
      <c r="D321" s="122">
        <v>50000</v>
      </c>
      <c r="E321" s="236"/>
      <c r="F321" s="106" t="s">
        <v>133</v>
      </c>
      <c r="G321" s="117">
        <v>0.1</v>
      </c>
    </row>
    <row r="322" spans="3:7" ht="15" thickBot="1" x14ac:dyDescent="0.4">
      <c r="C322" s="263"/>
      <c r="D322" s="263"/>
      <c r="E322" s="236"/>
      <c r="F322" s="114" t="s">
        <v>305</v>
      </c>
      <c r="G322" s="115"/>
    </row>
    <row r="323" spans="3:7" ht="16" thickBot="1" x14ac:dyDescent="0.4">
      <c r="C323" s="108" t="s">
        <v>303</v>
      </c>
      <c r="D323" s="109"/>
      <c r="E323" s="236"/>
      <c r="F323" s="103" t="s">
        <v>140</v>
      </c>
      <c r="G323" s="122">
        <v>6</v>
      </c>
    </row>
    <row r="324" spans="3:7" ht="15" thickBot="1" x14ac:dyDescent="0.4">
      <c r="C324" s="104" t="s">
        <v>293</v>
      </c>
      <c r="D324" s="119">
        <v>0.75</v>
      </c>
      <c r="E324" s="236"/>
      <c r="F324" s="263"/>
      <c r="G324" s="263"/>
    </row>
    <row r="325" spans="3:7" ht="16" thickBot="1" x14ac:dyDescent="0.4">
      <c r="C325" s="105" t="s">
        <v>294</v>
      </c>
      <c r="D325" s="120">
        <v>70000</v>
      </c>
      <c r="E325" s="236"/>
      <c r="F325" s="108" t="s">
        <v>307</v>
      </c>
      <c r="G325" s="109"/>
    </row>
    <row r="326" spans="3:7" ht="15" thickBot="1" x14ac:dyDescent="0.4">
      <c r="C326" s="105" t="s">
        <v>296</v>
      </c>
      <c r="D326" s="107">
        <f ca="1">-SUM($T$23:$BP$23)</f>
        <v>2969935.0416193455</v>
      </c>
      <c r="E326" s="236"/>
      <c r="F326" s="104" t="s">
        <v>124</v>
      </c>
      <c r="G326" s="124">
        <v>3.3369999999999997E-2</v>
      </c>
    </row>
    <row r="327" spans="3:7" ht="15" thickBot="1" x14ac:dyDescent="0.4">
      <c r="C327" s="106" t="s">
        <v>297</v>
      </c>
      <c r="D327" s="139">
        <f ca="1">ROUNDUP(D326/$T$6,2)</f>
        <v>9.9</v>
      </c>
      <c r="E327" s="236"/>
      <c r="F327" s="106" t="s">
        <v>319</v>
      </c>
      <c r="G327" s="118">
        <v>7</v>
      </c>
    </row>
    <row r="328" spans="3:7" ht="15" thickBot="1" x14ac:dyDescent="0.4">
      <c r="C328" s="263"/>
      <c r="D328" s="263"/>
      <c r="E328" s="236"/>
      <c r="F328" s="263"/>
      <c r="G328" s="263"/>
    </row>
    <row r="329" spans="3:7" ht="16" thickBot="1" x14ac:dyDescent="0.4">
      <c r="C329" s="108" t="s">
        <v>301</v>
      </c>
      <c r="D329" s="109"/>
      <c r="E329" s="236"/>
      <c r="F329" s="108" t="s">
        <v>308</v>
      </c>
      <c r="G329" s="109"/>
    </row>
    <row r="330" spans="3:7" ht="15" thickBot="1" x14ac:dyDescent="0.4">
      <c r="C330" s="104" t="s">
        <v>321</v>
      </c>
      <c r="D330" s="149">
        <f ca="1">AVERAGE(Sales!$I$4:$BF$4)</f>
        <v>433.46938775510205</v>
      </c>
      <c r="E330" s="236"/>
      <c r="F330" s="114" t="s">
        <v>158</v>
      </c>
      <c r="G330" s="115"/>
    </row>
    <row r="331" spans="3:7" x14ac:dyDescent="0.35">
      <c r="C331" s="105" t="s">
        <v>322</v>
      </c>
      <c r="D331" s="165">
        <v>8.0000000000000007E-5</v>
      </c>
      <c r="E331" s="236"/>
      <c r="F331" s="104" t="s">
        <v>156</v>
      </c>
      <c r="G331" s="117">
        <v>5</v>
      </c>
    </row>
    <row r="332" spans="3:7" x14ac:dyDescent="0.35">
      <c r="C332" s="105" t="s">
        <v>323</v>
      </c>
      <c r="D332" s="165">
        <v>1E-4</v>
      </c>
      <c r="E332" s="236"/>
      <c r="F332" s="105" t="s">
        <v>153</v>
      </c>
      <c r="G332" s="119">
        <v>0.2</v>
      </c>
    </row>
    <row r="333" spans="3:7" ht="15" thickBot="1" x14ac:dyDescent="0.4">
      <c r="C333" s="105" t="s">
        <v>77</v>
      </c>
      <c r="D333" s="121">
        <v>0.12</v>
      </c>
      <c r="E333" s="236"/>
      <c r="F333" s="106" t="s">
        <v>154</v>
      </c>
      <c r="G333" s="120">
        <v>1.5</v>
      </c>
    </row>
    <row r="334" spans="3:7" ht="15" thickBot="1" x14ac:dyDescent="0.4">
      <c r="C334" s="105" t="s">
        <v>107</v>
      </c>
      <c r="D334" s="121">
        <v>0.04</v>
      </c>
      <c r="E334" s="236"/>
      <c r="F334" s="114" t="s">
        <v>111</v>
      </c>
      <c r="G334" s="115"/>
    </row>
    <row r="335" spans="3:7" ht="15" thickBot="1" x14ac:dyDescent="0.4">
      <c r="C335" s="105" t="s">
        <v>74</v>
      </c>
      <c r="D335" s="121">
        <v>0.01</v>
      </c>
      <c r="E335" s="236"/>
      <c r="F335" s="104" t="s">
        <v>160</v>
      </c>
      <c r="G335" s="117">
        <v>10</v>
      </c>
    </row>
    <row r="336" spans="3:7" ht="15" thickBot="1" x14ac:dyDescent="0.4">
      <c r="C336" s="105" t="s">
        <v>75</v>
      </c>
      <c r="D336" s="151">
        <f>G348</f>
        <v>5064022.3374999994</v>
      </c>
      <c r="E336" s="236"/>
      <c r="F336" s="105" t="s">
        <v>161</v>
      </c>
      <c r="G336" s="120">
        <v>50</v>
      </c>
    </row>
    <row r="337" spans="3:7" ht="15" thickBot="1" x14ac:dyDescent="0.4">
      <c r="C337" s="105" t="s">
        <v>78</v>
      </c>
      <c r="D337" s="121">
        <v>0.4</v>
      </c>
      <c r="E337" s="236"/>
      <c r="F337" s="106" t="s">
        <v>167</v>
      </c>
      <c r="G337" s="119">
        <v>0.05</v>
      </c>
    </row>
    <row r="338" spans="3:7" ht="15" thickBot="1" x14ac:dyDescent="0.4">
      <c r="C338" s="105" t="s">
        <v>80</v>
      </c>
      <c r="D338" s="120">
        <v>19.95</v>
      </c>
      <c r="E338" s="236"/>
      <c r="F338" s="114" t="s">
        <v>110</v>
      </c>
      <c r="G338" s="115"/>
    </row>
    <row r="339" spans="3:7" ht="15" thickBot="1" x14ac:dyDescent="0.4">
      <c r="C339" s="106" t="s">
        <v>81</v>
      </c>
      <c r="D339" s="122">
        <v>9.9499999999999993</v>
      </c>
      <c r="E339" s="236"/>
      <c r="F339" s="104" t="s">
        <v>159</v>
      </c>
      <c r="G339" s="117">
        <v>30</v>
      </c>
    </row>
    <row r="340" spans="3:7" x14ac:dyDescent="0.35">
      <c r="C340" s="235"/>
      <c r="D340" s="235"/>
      <c r="E340" s="236"/>
      <c r="F340" s="105" t="s">
        <v>162</v>
      </c>
      <c r="G340" s="120">
        <v>25</v>
      </c>
    </row>
    <row r="341" spans="3:7" ht="15" thickBot="1" x14ac:dyDescent="0.4">
      <c r="C341" s="236"/>
      <c r="D341" s="236"/>
      <c r="E341" s="236"/>
      <c r="F341" s="106" t="s">
        <v>168</v>
      </c>
      <c r="G341" s="125">
        <v>0.08</v>
      </c>
    </row>
    <row r="342" spans="3:7" x14ac:dyDescent="0.35">
      <c r="C342" s="236"/>
      <c r="D342" s="236"/>
      <c r="E342" s="236"/>
      <c r="F342" s="235"/>
      <c r="G342" s="235"/>
    </row>
    <row r="343" spans="3:7" ht="15" thickBot="1" x14ac:dyDescent="0.4">
      <c r="C343" s="237"/>
      <c r="D343" s="237"/>
      <c r="E343" s="237"/>
      <c r="F343" s="237"/>
      <c r="G343" s="237"/>
    </row>
    <row r="344" spans="3:7" ht="16" thickBot="1" x14ac:dyDescent="0.4">
      <c r="C344" s="110" t="s">
        <v>43</v>
      </c>
      <c r="D344" s="111" t="s">
        <v>73</v>
      </c>
      <c r="E344" s="110" t="s">
        <v>71</v>
      </c>
      <c r="F344" s="116" t="s">
        <v>72</v>
      </c>
      <c r="G344" s="112" t="s">
        <v>69</v>
      </c>
    </row>
    <row r="345" spans="3:7" ht="15" thickBot="1" x14ac:dyDescent="0.4">
      <c r="C345" s="102" t="s">
        <v>44</v>
      </c>
      <c r="D345" s="126">
        <v>1</v>
      </c>
      <c r="E345" s="143">
        <v>47615034</v>
      </c>
      <c r="F345" s="146">
        <v>10259507</v>
      </c>
      <c r="G345" s="147">
        <f>F345+E345</f>
        <v>57874541</v>
      </c>
    </row>
    <row r="346" spans="3:7" ht="15" thickBot="1" x14ac:dyDescent="0.4">
      <c r="C346" s="102" t="s">
        <v>70</v>
      </c>
      <c r="D346" s="126">
        <v>0.5</v>
      </c>
      <c r="E346" s="144">
        <f t="shared" ref="E346:F348" si="57">$D346*E345</f>
        <v>23807517</v>
      </c>
      <c r="F346" s="144">
        <f t="shared" si="57"/>
        <v>5129753.5</v>
      </c>
      <c r="G346" s="147">
        <f>F346+E346</f>
        <v>28937270.5</v>
      </c>
    </row>
    <row r="347" spans="3:7" ht="15" thickBot="1" x14ac:dyDescent="0.4">
      <c r="C347" s="102" t="s">
        <v>76</v>
      </c>
      <c r="D347" s="126">
        <v>0.7</v>
      </c>
      <c r="E347" s="144">
        <f t="shared" si="57"/>
        <v>16665261.899999999</v>
      </c>
      <c r="F347" s="144">
        <f t="shared" si="57"/>
        <v>3590827.4499999997</v>
      </c>
      <c r="G347" s="147">
        <f>F347+E347</f>
        <v>20256089.349999998</v>
      </c>
    </row>
    <row r="348" spans="3:7" ht="15" thickBot="1" x14ac:dyDescent="0.4">
      <c r="C348" s="37" t="s">
        <v>45</v>
      </c>
      <c r="D348" s="127">
        <v>0.25</v>
      </c>
      <c r="E348" s="145">
        <f t="shared" si="57"/>
        <v>4166315.4749999996</v>
      </c>
      <c r="F348" s="145">
        <f t="shared" si="57"/>
        <v>897706.86249999993</v>
      </c>
      <c r="G348" s="148">
        <f>F348+E348</f>
        <v>5064022.3374999994</v>
      </c>
    </row>
    <row r="349" spans="3:7" x14ac:dyDescent="0.35">
      <c r="C349" s="235"/>
      <c r="D349" s="235"/>
      <c r="E349" s="235"/>
      <c r="F349" s="235"/>
      <c r="G349" s="235"/>
    </row>
    <row r="350" spans="3:7" x14ac:dyDescent="0.35">
      <c r="C350" s="236"/>
      <c r="D350" s="236"/>
      <c r="E350" s="236"/>
      <c r="F350" s="236"/>
      <c r="G350" s="236"/>
    </row>
    <row r="351" spans="3:7" ht="15" thickBot="1" x14ac:dyDescent="0.4">
      <c r="C351" s="237"/>
      <c r="D351" s="237"/>
      <c r="E351" s="237"/>
      <c r="F351" s="237"/>
      <c r="G351" s="237"/>
    </row>
    <row r="352" spans="3:7" ht="16" thickBot="1" x14ac:dyDescent="0.4">
      <c r="C352" s="108" t="s">
        <v>367</v>
      </c>
      <c r="D352" s="109"/>
      <c r="E352" s="113">
        <f>G348</f>
        <v>5064022.3374999994</v>
      </c>
      <c r="F352" s="108" t="s">
        <v>366</v>
      </c>
      <c r="G352" s="109"/>
    </row>
    <row r="353" spans="3:7" ht="15" thickBot="1" x14ac:dyDescent="0.4">
      <c r="C353" s="132" t="s">
        <v>368</v>
      </c>
      <c r="D353" s="130" t="s">
        <v>141</v>
      </c>
      <c r="E353" s="131" t="s">
        <v>142</v>
      </c>
      <c r="F353" s="104" t="s">
        <v>311</v>
      </c>
      <c r="G353" s="140">
        <v>0.01</v>
      </c>
    </row>
    <row r="354" spans="3:7" ht="15" thickBot="1" x14ac:dyDescent="0.4">
      <c r="C354" s="132" t="s">
        <v>145</v>
      </c>
      <c r="D354" s="130" t="s">
        <v>143</v>
      </c>
      <c r="E354" s="131" t="s">
        <v>144</v>
      </c>
      <c r="F354" s="105" t="s">
        <v>313</v>
      </c>
      <c r="G354" s="177">
        <f>0.5%*2</f>
        <v>0.01</v>
      </c>
    </row>
    <row r="355" spans="3:7" ht="15" thickBot="1" x14ac:dyDescent="0.4">
      <c r="C355" s="104" t="s">
        <v>148</v>
      </c>
      <c r="D355" s="155">
        <v>0.7</v>
      </c>
      <c r="E355" s="129">
        <v>0.45</v>
      </c>
      <c r="F355" s="105" t="s">
        <v>314</v>
      </c>
      <c r="G355" s="177">
        <f>50%*1.3</f>
        <v>0.65</v>
      </c>
    </row>
    <row r="356" spans="3:7" ht="15" thickBot="1" x14ac:dyDescent="0.4">
      <c r="C356" s="105" t="s">
        <v>146</v>
      </c>
      <c r="D356" s="149">
        <f>$E$47*D355</f>
        <v>3544815.6362499995</v>
      </c>
      <c r="E356" s="150">
        <f>$E$47*E355</f>
        <v>2278810.0518749999</v>
      </c>
      <c r="F356" s="106" t="s">
        <v>315</v>
      </c>
      <c r="G356" s="178">
        <f>20%*2</f>
        <v>0.4</v>
      </c>
    </row>
    <row r="357" spans="3:7" ht="15" thickBot="1" x14ac:dyDescent="0.4">
      <c r="C357" s="105" t="s">
        <v>149</v>
      </c>
      <c r="D357" s="179">
        <f>10%*1.5</f>
        <v>0.15000000000000002</v>
      </c>
      <c r="E357" s="180">
        <f>10%*1.5</f>
        <v>0.15000000000000002</v>
      </c>
      <c r="F357" s="235"/>
      <c r="G357" s="235"/>
    </row>
    <row r="358" spans="3:7" ht="15" thickBot="1" x14ac:dyDescent="0.4">
      <c r="C358" s="106" t="s">
        <v>151</v>
      </c>
      <c r="D358" s="149">
        <f>D357*D356</f>
        <v>531722.34543750004</v>
      </c>
      <c r="E358" s="150">
        <f>E357*E356</f>
        <v>341821.50778125005</v>
      </c>
      <c r="F358" s="236"/>
      <c r="G358" s="236"/>
    </row>
    <row r="359" spans="3:7" ht="15" thickBot="1" x14ac:dyDescent="0.4">
      <c r="C359" s="104" t="s">
        <v>147</v>
      </c>
      <c r="D359" s="137">
        <v>0.03</v>
      </c>
      <c r="E359" s="138">
        <v>0.03</v>
      </c>
      <c r="F359" s="236"/>
      <c r="G359" s="236"/>
    </row>
    <row r="360" spans="3:7" ht="15" thickBot="1" x14ac:dyDescent="0.4">
      <c r="C360" s="105" t="s">
        <v>150</v>
      </c>
      <c r="D360" s="136">
        <f>D359*D358</f>
        <v>15951.670363125</v>
      </c>
      <c r="E360" s="135">
        <f>E359*E358</f>
        <v>10254.645233437501</v>
      </c>
      <c r="F360" s="236"/>
      <c r="G360" s="236"/>
    </row>
    <row r="361" spans="3:7" ht="15" thickBot="1" x14ac:dyDescent="0.4">
      <c r="C361" s="128" t="s">
        <v>69</v>
      </c>
      <c r="D361" s="133">
        <f>E360+D360</f>
        <v>26206.315596562501</v>
      </c>
      <c r="E361" s="134"/>
      <c r="F361" s="236"/>
      <c r="G361" s="236"/>
    </row>
    <row r="364" spans="3:7" ht="15" thickBot="1" x14ac:dyDescent="0.4"/>
    <row r="365" spans="3:7" x14ac:dyDescent="0.35">
      <c r="C365" s="302" t="s">
        <v>381</v>
      </c>
      <c r="D365" s="303"/>
      <c r="E365" s="303"/>
      <c r="F365" s="303"/>
      <c r="G365" s="304"/>
    </row>
    <row r="366" spans="3:7" ht="15" thickBot="1" x14ac:dyDescent="0.4">
      <c r="C366" s="305"/>
      <c r="D366" s="306"/>
      <c r="E366" s="306"/>
      <c r="F366" s="306"/>
      <c r="G366" s="307"/>
    </row>
    <row r="367" spans="3:7" ht="15" thickBot="1" x14ac:dyDescent="0.4">
      <c r="C367" s="244"/>
      <c r="D367" s="244"/>
      <c r="E367" s="244"/>
      <c r="F367" s="244"/>
      <c r="G367" s="244"/>
    </row>
    <row r="368" spans="3:7" ht="16" thickBot="1" x14ac:dyDescent="0.4">
      <c r="C368" s="108" t="s">
        <v>302</v>
      </c>
      <c r="D368" s="109"/>
      <c r="E368" s="236"/>
      <c r="F368" s="108" t="s">
        <v>306</v>
      </c>
      <c r="G368" s="109"/>
    </row>
    <row r="369" spans="3:7" ht="15" thickBot="1" x14ac:dyDescent="0.4">
      <c r="C369" s="104" t="s">
        <v>176</v>
      </c>
      <c r="D369" s="120">
        <v>150000</v>
      </c>
      <c r="E369" s="236"/>
      <c r="F369" s="114" t="s">
        <v>304</v>
      </c>
      <c r="G369" s="115"/>
    </row>
    <row r="370" spans="3:7" x14ac:dyDescent="0.35">
      <c r="C370" s="105" t="s">
        <v>175</v>
      </c>
      <c r="D370" s="120">
        <v>100000</v>
      </c>
      <c r="E370" s="236"/>
      <c r="F370" s="104" t="s">
        <v>138</v>
      </c>
      <c r="G370" s="123">
        <v>104.04</v>
      </c>
    </row>
    <row r="371" spans="3:7" ht="15" thickBot="1" x14ac:dyDescent="0.4">
      <c r="C371" s="106" t="s">
        <v>230</v>
      </c>
      <c r="D371" s="122">
        <v>50000</v>
      </c>
      <c r="E371" s="236"/>
      <c r="F371" s="106" t="s">
        <v>133</v>
      </c>
      <c r="G371" s="117">
        <v>0.1</v>
      </c>
    </row>
    <row r="372" spans="3:7" ht="15" thickBot="1" x14ac:dyDescent="0.4">
      <c r="C372" s="263"/>
      <c r="D372" s="263"/>
      <c r="E372" s="236"/>
      <c r="F372" s="114" t="s">
        <v>305</v>
      </c>
      <c r="G372" s="115"/>
    </row>
    <row r="373" spans="3:7" ht="16" thickBot="1" x14ac:dyDescent="0.4">
      <c r="C373" s="108" t="s">
        <v>303</v>
      </c>
      <c r="D373" s="109"/>
      <c r="E373" s="236"/>
      <c r="F373" s="103" t="s">
        <v>140</v>
      </c>
      <c r="G373" s="122">
        <v>6</v>
      </c>
    </row>
    <row r="374" spans="3:7" ht="15" thickBot="1" x14ac:dyDescent="0.4">
      <c r="C374" s="104" t="s">
        <v>293</v>
      </c>
      <c r="D374" s="119">
        <v>0.75</v>
      </c>
      <c r="E374" s="236"/>
      <c r="F374" s="263"/>
      <c r="G374" s="263"/>
    </row>
    <row r="375" spans="3:7" ht="16" thickBot="1" x14ac:dyDescent="0.4">
      <c r="C375" s="105" t="s">
        <v>294</v>
      </c>
      <c r="D375" s="120">
        <v>70000</v>
      </c>
      <c r="E375" s="236"/>
      <c r="F375" s="108" t="s">
        <v>307</v>
      </c>
      <c r="G375" s="109"/>
    </row>
    <row r="376" spans="3:7" ht="15" thickBot="1" x14ac:dyDescent="0.4">
      <c r="C376" s="105" t="s">
        <v>296</v>
      </c>
      <c r="D376" s="107">
        <f ca="1">-SUM($T$23:$BP$23)</f>
        <v>2969935.0416193455</v>
      </c>
      <c r="E376" s="236"/>
      <c r="F376" s="104" t="s">
        <v>124</v>
      </c>
      <c r="G376" s="124">
        <v>3.3369999999999997E-2</v>
      </c>
    </row>
    <row r="377" spans="3:7" ht="15" thickBot="1" x14ac:dyDescent="0.4">
      <c r="C377" s="106" t="s">
        <v>297</v>
      </c>
      <c r="D377" s="139">
        <f ca="1">ROUNDUP(D376/$T$6,2)</f>
        <v>9.9</v>
      </c>
      <c r="E377" s="236"/>
      <c r="F377" s="106" t="s">
        <v>319</v>
      </c>
      <c r="G377" s="118">
        <v>7</v>
      </c>
    </row>
    <row r="378" spans="3:7" ht="15" thickBot="1" x14ac:dyDescent="0.4">
      <c r="C378" s="263"/>
      <c r="D378" s="263"/>
      <c r="E378" s="236"/>
      <c r="F378" s="263"/>
      <c r="G378" s="263"/>
    </row>
    <row r="379" spans="3:7" ht="16" thickBot="1" x14ac:dyDescent="0.4">
      <c r="C379" s="108" t="s">
        <v>301</v>
      </c>
      <c r="D379" s="109"/>
      <c r="E379" s="236"/>
      <c r="F379" s="108" t="s">
        <v>308</v>
      </c>
      <c r="G379" s="109"/>
    </row>
    <row r="380" spans="3:7" ht="15" thickBot="1" x14ac:dyDescent="0.4">
      <c r="C380" s="104" t="s">
        <v>321</v>
      </c>
      <c r="D380" s="149">
        <f ca="1">AVERAGE(Sales!$I$4:$BF$4)</f>
        <v>433.46938775510205</v>
      </c>
      <c r="E380" s="236"/>
      <c r="F380" s="114" t="s">
        <v>158</v>
      </c>
      <c r="G380" s="115"/>
    </row>
    <row r="381" spans="3:7" x14ac:dyDescent="0.35">
      <c r="C381" s="105" t="s">
        <v>322</v>
      </c>
      <c r="D381" s="165">
        <v>8.0000000000000007E-5</v>
      </c>
      <c r="E381" s="236"/>
      <c r="F381" s="104" t="s">
        <v>156</v>
      </c>
      <c r="G381" s="117">
        <v>5</v>
      </c>
    </row>
    <row r="382" spans="3:7" x14ac:dyDescent="0.35">
      <c r="C382" s="105" t="s">
        <v>323</v>
      </c>
      <c r="D382" s="165">
        <v>1E-4</v>
      </c>
      <c r="E382" s="236"/>
      <c r="F382" s="105" t="s">
        <v>153</v>
      </c>
      <c r="G382" s="119">
        <v>0.2</v>
      </c>
    </row>
    <row r="383" spans="3:7" ht="15" thickBot="1" x14ac:dyDescent="0.4">
      <c r="C383" s="105" t="s">
        <v>77</v>
      </c>
      <c r="D383" s="121">
        <v>0.12</v>
      </c>
      <c r="E383" s="236"/>
      <c r="F383" s="106" t="s">
        <v>154</v>
      </c>
      <c r="G383" s="120">
        <v>1.5</v>
      </c>
    </row>
    <row r="384" spans="3:7" ht="15" thickBot="1" x14ac:dyDescent="0.4">
      <c r="C384" s="105" t="s">
        <v>107</v>
      </c>
      <c r="D384" s="121">
        <v>0.04</v>
      </c>
      <c r="E384" s="236"/>
      <c r="F384" s="114" t="s">
        <v>111</v>
      </c>
      <c r="G384" s="115"/>
    </row>
    <row r="385" spans="3:7" ht="15" thickBot="1" x14ac:dyDescent="0.4">
      <c r="C385" s="105" t="s">
        <v>74</v>
      </c>
      <c r="D385" s="121">
        <v>0.01</v>
      </c>
      <c r="E385" s="236"/>
      <c r="F385" s="104" t="s">
        <v>160</v>
      </c>
      <c r="G385" s="117">
        <v>10</v>
      </c>
    </row>
    <row r="386" spans="3:7" ht="15" thickBot="1" x14ac:dyDescent="0.4">
      <c r="C386" s="105" t="s">
        <v>75</v>
      </c>
      <c r="D386" s="151">
        <f>G398</f>
        <v>5064022.3374999994</v>
      </c>
      <c r="E386" s="236"/>
      <c r="F386" s="105" t="s">
        <v>161</v>
      </c>
      <c r="G386" s="120">
        <v>50</v>
      </c>
    </row>
    <row r="387" spans="3:7" ht="15" thickBot="1" x14ac:dyDescent="0.4">
      <c r="C387" s="105" t="s">
        <v>78</v>
      </c>
      <c r="D387" s="121">
        <v>0.4</v>
      </c>
      <c r="E387" s="236"/>
      <c r="F387" s="106" t="s">
        <v>167</v>
      </c>
      <c r="G387" s="119">
        <v>0.05</v>
      </c>
    </row>
    <row r="388" spans="3:7" ht="15" thickBot="1" x14ac:dyDescent="0.4">
      <c r="C388" s="105" t="s">
        <v>80</v>
      </c>
      <c r="D388" s="120">
        <v>19.95</v>
      </c>
      <c r="E388" s="236"/>
      <c r="F388" s="114" t="s">
        <v>110</v>
      </c>
      <c r="G388" s="115"/>
    </row>
    <row r="389" spans="3:7" ht="15" thickBot="1" x14ac:dyDescent="0.4">
      <c r="C389" s="106" t="s">
        <v>81</v>
      </c>
      <c r="D389" s="122">
        <v>9.9499999999999993</v>
      </c>
      <c r="E389" s="236"/>
      <c r="F389" s="104" t="s">
        <v>159</v>
      </c>
      <c r="G389" s="117">
        <v>30</v>
      </c>
    </row>
    <row r="390" spans="3:7" x14ac:dyDescent="0.35">
      <c r="C390" s="235"/>
      <c r="D390" s="235"/>
      <c r="E390" s="236"/>
      <c r="F390" s="105" t="s">
        <v>162</v>
      </c>
      <c r="G390" s="120">
        <v>25</v>
      </c>
    </row>
    <row r="391" spans="3:7" ht="15" thickBot="1" x14ac:dyDescent="0.4">
      <c r="C391" s="236"/>
      <c r="D391" s="236"/>
      <c r="E391" s="236"/>
      <c r="F391" s="106" t="s">
        <v>168</v>
      </c>
      <c r="G391" s="125">
        <v>0.08</v>
      </c>
    </row>
    <row r="392" spans="3:7" x14ac:dyDescent="0.35">
      <c r="C392" s="236"/>
      <c r="D392" s="236"/>
      <c r="E392" s="236"/>
      <c r="F392" s="235"/>
      <c r="G392" s="235"/>
    </row>
    <row r="393" spans="3:7" ht="15" thickBot="1" x14ac:dyDescent="0.4">
      <c r="C393" s="237"/>
      <c r="D393" s="237"/>
      <c r="E393" s="237"/>
      <c r="F393" s="237"/>
      <c r="G393" s="237"/>
    </row>
    <row r="394" spans="3:7" ht="16" thickBot="1" x14ac:dyDescent="0.4">
      <c r="C394" s="110" t="s">
        <v>43</v>
      </c>
      <c r="D394" s="111" t="s">
        <v>73</v>
      </c>
      <c r="E394" s="110" t="s">
        <v>71</v>
      </c>
      <c r="F394" s="116" t="s">
        <v>72</v>
      </c>
      <c r="G394" s="112" t="s">
        <v>69</v>
      </c>
    </row>
    <row r="395" spans="3:7" ht="15" thickBot="1" x14ac:dyDescent="0.4">
      <c r="C395" s="102" t="s">
        <v>44</v>
      </c>
      <c r="D395" s="126">
        <v>1</v>
      </c>
      <c r="E395" s="143">
        <v>47615034</v>
      </c>
      <c r="F395" s="146">
        <v>10259507</v>
      </c>
      <c r="G395" s="147">
        <f>F395+E395</f>
        <v>57874541</v>
      </c>
    </row>
    <row r="396" spans="3:7" ht="15" thickBot="1" x14ac:dyDescent="0.4">
      <c r="C396" s="102" t="s">
        <v>70</v>
      </c>
      <c r="D396" s="126">
        <v>0.5</v>
      </c>
      <c r="E396" s="144">
        <f t="shared" ref="E396:F398" si="58">$D396*E395</f>
        <v>23807517</v>
      </c>
      <c r="F396" s="144">
        <f t="shared" si="58"/>
        <v>5129753.5</v>
      </c>
      <c r="G396" s="147">
        <f>F396+E396</f>
        <v>28937270.5</v>
      </c>
    </row>
    <row r="397" spans="3:7" ht="15" thickBot="1" x14ac:dyDescent="0.4">
      <c r="C397" s="102" t="s">
        <v>76</v>
      </c>
      <c r="D397" s="126">
        <v>0.7</v>
      </c>
      <c r="E397" s="144">
        <f t="shared" si="58"/>
        <v>16665261.899999999</v>
      </c>
      <c r="F397" s="144">
        <f t="shared" si="58"/>
        <v>3590827.4499999997</v>
      </c>
      <c r="G397" s="147">
        <f>F397+E397</f>
        <v>20256089.349999998</v>
      </c>
    </row>
    <row r="398" spans="3:7" ht="15" thickBot="1" x14ac:dyDescent="0.4">
      <c r="C398" s="37" t="s">
        <v>45</v>
      </c>
      <c r="D398" s="127">
        <v>0.25</v>
      </c>
      <c r="E398" s="145">
        <f t="shared" si="58"/>
        <v>4166315.4749999996</v>
      </c>
      <c r="F398" s="145">
        <f t="shared" si="58"/>
        <v>897706.86249999993</v>
      </c>
      <c r="G398" s="148">
        <f>F398+E398</f>
        <v>5064022.3374999994</v>
      </c>
    </row>
    <row r="399" spans="3:7" x14ac:dyDescent="0.35">
      <c r="C399" s="235"/>
      <c r="D399" s="235"/>
      <c r="E399" s="235"/>
      <c r="F399" s="235"/>
      <c r="G399" s="235"/>
    </row>
    <row r="400" spans="3:7" x14ac:dyDescent="0.35">
      <c r="C400" s="236"/>
      <c r="D400" s="236"/>
      <c r="E400" s="236"/>
      <c r="F400" s="236"/>
      <c r="G400" s="236"/>
    </row>
    <row r="401" spans="3:7" ht="15" thickBot="1" x14ac:dyDescent="0.4">
      <c r="C401" s="237"/>
      <c r="D401" s="237"/>
      <c r="E401" s="237"/>
      <c r="F401" s="237"/>
      <c r="G401" s="237"/>
    </row>
    <row r="402" spans="3:7" ht="16" thickBot="1" x14ac:dyDescent="0.4">
      <c r="C402" s="108" t="s">
        <v>367</v>
      </c>
      <c r="D402" s="109"/>
      <c r="E402" s="113">
        <f>G398</f>
        <v>5064022.3374999994</v>
      </c>
      <c r="F402" s="108" t="s">
        <v>366</v>
      </c>
      <c r="G402" s="109"/>
    </row>
    <row r="403" spans="3:7" ht="15" thickBot="1" x14ac:dyDescent="0.4">
      <c r="C403" s="132" t="s">
        <v>368</v>
      </c>
      <c r="D403" s="130" t="s">
        <v>141</v>
      </c>
      <c r="E403" s="131" t="s">
        <v>142</v>
      </c>
      <c r="F403" s="104" t="s">
        <v>311</v>
      </c>
      <c r="G403" s="140">
        <v>0.01</v>
      </c>
    </row>
    <row r="404" spans="3:7" ht="15" thickBot="1" x14ac:dyDescent="0.4">
      <c r="C404" s="132" t="s">
        <v>145</v>
      </c>
      <c r="D404" s="130" t="s">
        <v>143</v>
      </c>
      <c r="E404" s="131" t="s">
        <v>144</v>
      </c>
      <c r="F404" s="105" t="s">
        <v>313</v>
      </c>
      <c r="G404" s="187">
        <f>0.5%*0.8</f>
        <v>4.0000000000000001E-3</v>
      </c>
    </row>
    <row r="405" spans="3:7" ht="15" thickBot="1" x14ac:dyDescent="0.4">
      <c r="C405" s="104" t="s">
        <v>148</v>
      </c>
      <c r="D405" s="155">
        <v>0.7</v>
      </c>
      <c r="E405" s="129">
        <v>0.45</v>
      </c>
      <c r="F405" s="105" t="s">
        <v>314</v>
      </c>
      <c r="G405" s="187">
        <f>50%*0.7</f>
        <v>0.35</v>
      </c>
    </row>
    <row r="406" spans="3:7" ht="15" thickBot="1" x14ac:dyDescent="0.4">
      <c r="C406" s="105" t="s">
        <v>146</v>
      </c>
      <c r="D406" s="149">
        <f>$E$47*D405</f>
        <v>3544815.6362499995</v>
      </c>
      <c r="E406" s="150">
        <f>$E$47*E405</f>
        <v>2278810.0518749999</v>
      </c>
      <c r="F406" s="106" t="s">
        <v>315</v>
      </c>
      <c r="G406" s="188">
        <f>20%*0.8</f>
        <v>0.16000000000000003</v>
      </c>
    </row>
    <row r="407" spans="3:7" ht="15" thickBot="1" x14ac:dyDescent="0.4">
      <c r="C407" s="105" t="s">
        <v>149</v>
      </c>
      <c r="D407" s="185">
        <f>10%*0.8</f>
        <v>8.0000000000000016E-2</v>
      </c>
      <c r="E407" s="186">
        <f>10%*0.8</f>
        <v>8.0000000000000016E-2</v>
      </c>
      <c r="F407" s="235"/>
      <c r="G407" s="235"/>
    </row>
    <row r="408" spans="3:7" ht="15" thickBot="1" x14ac:dyDescent="0.4">
      <c r="C408" s="106" t="s">
        <v>151</v>
      </c>
      <c r="D408" s="149">
        <f>D407*D406</f>
        <v>283585.25090000004</v>
      </c>
      <c r="E408" s="150">
        <f>E407*E406</f>
        <v>182304.80415000004</v>
      </c>
      <c r="F408" s="236"/>
      <c r="G408" s="236"/>
    </row>
    <row r="409" spans="3:7" ht="15" thickBot="1" x14ac:dyDescent="0.4">
      <c r="C409" s="104" t="s">
        <v>147</v>
      </c>
      <c r="D409" s="137">
        <v>0.03</v>
      </c>
      <c r="E409" s="138">
        <v>0.03</v>
      </c>
      <c r="F409" s="236"/>
      <c r="G409" s="236"/>
    </row>
    <row r="410" spans="3:7" ht="15" thickBot="1" x14ac:dyDescent="0.4">
      <c r="C410" s="105" t="s">
        <v>150</v>
      </c>
      <c r="D410" s="136">
        <f>D409*D408</f>
        <v>8507.5575270000008</v>
      </c>
      <c r="E410" s="135">
        <f>E409*E408</f>
        <v>5469.1441245000005</v>
      </c>
      <c r="F410" s="236"/>
      <c r="G410" s="236"/>
    </row>
    <row r="411" spans="3:7" ht="15" thickBot="1" x14ac:dyDescent="0.4">
      <c r="C411" s="128" t="s">
        <v>69</v>
      </c>
      <c r="D411" s="133">
        <f>E410+D410</f>
        <v>13976.701651500001</v>
      </c>
      <c r="E411" s="134"/>
      <c r="F411" s="236"/>
      <c r="G411" s="236"/>
    </row>
    <row r="414" spans="3:7" ht="15" thickBot="1" x14ac:dyDescent="0.4"/>
    <row r="415" spans="3:7" x14ac:dyDescent="0.35">
      <c r="C415" s="296" t="s">
        <v>382</v>
      </c>
      <c r="D415" s="297"/>
      <c r="E415" s="297"/>
      <c r="F415" s="297"/>
      <c r="G415" s="298"/>
    </row>
    <row r="416" spans="3:7" ht="15" thickBot="1" x14ac:dyDescent="0.4">
      <c r="C416" s="299"/>
      <c r="D416" s="300"/>
      <c r="E416" s="300"/>
      <c r="F416" s="300"/>
      <c r="G416" s="301"/>
    </row>
    <row r="417" spans="3:7" ht="15" thickBot="1" x14ac:dyDescent="0.4">
      <c r="C417" s="244"/>
      <c r="D417" s="244"/>
      <c r="E417" s="244"/>
      <c r="F417" s="244"/>
      <c r="G417" s="244"/>
    </row>
    <row r="418" spans="3:7" ht="16" thickBot="1" x14ac:dyDescent="0.4">
      <c r="C418" s="108" t="s">
        <v>302</v>
      </c>
      <c r="D418" s="109"/>
      <c r="E418" s="236"/>
      <c r="F418" s="108" t="s">
        <v>306</v>
      </c>
      <c r="G418" s="109"/>
    </row>
    <row r="419" spans="3:7" ht="15" thickBot="1" x14ac:dyDescent="0.4">
      <c r="C419" s="104" t="s">
        <v>176</v>
      </c>
      <c r="D419" s="120">
        <v>150000</v>
      </c>
      <c r="E419" s="236"/>
      <c r="F419" s="114" t="s">
        <v>304</v>
      </c>
      <c r="G419" s="115"/>
    </row>
    <row r="420" spans="3:7" x14ac:dyDescent="0.35">
      <c r="C420" s="105" t="s">
        <v>175</v>
      </c>
      <c r="D420" s="120">
        <v>100000</v>
      </c>
      <c r="E420" s="236"/>
      <c r="F420" s="104" t="s">
        <v>138</v>
      </c>
      <c r="G420" s="123">
        <v>104.04</v>
      </c>
    </row>
    <row r="421" spans="3:7" ht="15" thickBot="1" x14ac:dyDescent="0.4">
      <c r="C421" s="106" t="s">
        <v>230</v>
      </c>
      <c r="D421" s="122">
        <v>50000</v>
      </c>
      <c r="E421" s="236"/>
      <c r="F421" s="106" t="s">
        <v>133</v>
      </c>
      <c r="G421" s="117">
        <v>0.1</v>
      </c>
    </row>
    <row r="422" spans="3:7" ht="15" thickBot="1" x14ac:dyDescent="0.4">
      <c r="C422" s="263"/>
      <c r="D422" s="263"/>
      <c r="E422" s="236"/>
      <c r="F422" s="114" t="s">
        <v>305</v>
      </c>
      <c r="G422" s="115"/>
    </row>
    <row r="423" spans="3:7" ht="16" thickBot="1" x14ac:dyDescent="0.4">
      <c r="C423" s="108" t="s">
        <v>303</v>
      </c>
      <c r="D423" s="109"/>
      <c r="E423" s="236"/>
      <c r="F423" s="103" t="s">
        <v>140</v>
      </c>
      <c r="G423" s="122">
        <v>6</v>
      </c>
    </row>
    <row r="424" spans="3:7" ht="15" thickBot="1" x14ac:dyDescent="0.4">
      <c r="C424" s="104" t="s">
        <v>293</v>
      </c>
      <c r="D424" s="119">
        <v>0.75</v>
      </c>
      <c r="E424" s="236"/>
      <c r="F424" s="263"/>
      <c r="G424" s="263"/>
    </row>
    <row r="425" spans="3:7" ht="16" thickBot="1" x14ac:dyDescent="0.4">
      <c r="C425" s="105" t="s">
        <v>294</v>
      </c>
      <c r="D425" s="120">
        <v>70000</v>
      </c>
      <c r="E425" s="236"/>
      <c r="F425" s="108" t="s">
        <v>307</v>
      </c>
      <c r="G425" s="109"/>
    </row>
    <row r="426" spans="3:7" ht="15" thickBot="1" x14ac:dyDescent="0.4">
      <c r="C426" s="105" t="s">
        <v>296</v>
      </c>
      <c r="D426" s="107">
        <f ca="1">-SUM($T$23:$BP$23)</f>
        <v>2969935.0416193455</v>
      </c>
      <c r="E426" s="236"/>
      <c r="F426" s="104" t="s">
        <v>124</v>
      </c>
      <c r="G426" s="124">
        <v>3.3369999999999997E-2</v>
      </c>
    </row>
    <row r="427" spans="3:7" ht="15" thickBot="1" x14ac:dyDescent="0.4">
      <c r="C427" s="106" t="s">
        <v>297</v>
      </c>
      <c r="D427" s="139">
        <f ca="1">ROUNDUP(D426/$T$6,2)</f>
        <v>9.9</v>
      </c>
      <c r="E427" s="236"/>
      <c r="F427" s="106" t="s">
        <v>319</v>
      </c>
      <c r="G427" s="118">
        <v>7</v>
      </c>
    </row>
    <row r="428" spans="3:7" ht="15" thickBot="1" x14ac:dyDescent="0.4">
      <c r="C428" s="263"/>
      <c r="D428" s="263"/>
      <c r="E428" s="236"/>
      <c r="F428" s="263"/>
      <c r="G428" s="263"/>
    </row>
    <row r="429" spans="3:7" ht="16" thickBot="1" x14ac:dyDescent="0.4">
      <c r="C429" s="108" t="s">
        <v>301</v>
      </c>
      <c r="D429" s="109"/>
      <c r="E429" s="236"/>
      <c r="F429" s="108" t="s">
        <v>308</v>
      </c>
      <c r="G429" s="109"/>
    </row>
    <row r="430" spans="3:7" ht="15" thickBot="1" x14ac:dyDescent="0.4">
      <c r="C430" s="104" t="s">
        <v>321</v>
      </c>
      <c r="D430" s="149">
        <f ca="1">AVERAGE(Sales!$I$4:$BF$4)</f>
        <v>433.46938775510205</v>
      </c>
      <c r="E430" s="236"/>
      <c r="F430" s="114" t="s">
        <v>158</v>
      </c>
      <c r="G430" s="115"/>
    </row>
    <row r="431" spans="3:7" x14ac:dyDescent="0.35">
      <c r="C431" s="105" t="s">
        <v>322</v>
      </c>
      <c r="D431" s="165">
        <v>8.0000000000000007E-5</v>
      </c>
      <c r="E431" s="236"/>
      <c r="F431" s="104" t="s">
        <v>156</v>
      </c>
      <c r="G431" s="117">
        <v>5</v>
      </c>
    </row>
    <row r="432" spans="3:7" x14ac:dyDescent="0.35">
      <c r="C432" s="105" t="s">
        <v>323</v>
      </c>
      <c r="D432" s="165">
        <v>1E-4</v>
      </c>
      <c r="E432" s="236"/>
      <c r="F432" s="105" t="s">
        <v>153</v>
      </c>
      <c r="G432" s="119">
        <v>0.2</v>
      </c>
    </row>
    <row r="433" spans="3:7" ht="15" thickBot="1" x14ac:dyDescent="0.4">
      <c r="C433" s="105" t="s">
        <v>77</v>
      </c>
      <c r="D433" s="121">
        <v>0.12</v>
      </c>
      <c r="E433" s="236"/>
      <c r="F433" s="106" t="s">
        <v>154</v>
      </c>
      <c r="G433" s="120">
        <v>1.5</v>
      </c>
    </row>
    <row r="434" spans="3:7" ht="15" thickBot="1" x14ac:dyDescent="0.4">
      <c r="C434" s="105" t="s">
        <v>107</v>
      </c>
      <c r="D434" s="167">
        <f>4%*1.6</f>
        <v>6.4000000000000001E-2</v>
      </c>
      <c r="E434" s="236"/>
      <c r="F434" s="114" t="s">
        <v>111</v>
      </c>
      <c r="G434" s="115"/>
    </row>
    <row r="435" spans="3:7" ht="15" thickBot="1" x14ac:dyDescent="0.4">
      <c r="C435" s="105" t="s">
        <v>74</v>
      </c>
      <c r="D435" s="168">
        <f>1%*0.8</f>
        <v>8.0000000000000002E-3</v>
      </c>
      <c r="E435" s="236"/>
      <c r="F435" s="104" t="s">
        <v>160</v>
      </c>
      <c r="G435" s="117">
        <v>10</v>
      </c>
    </row>
    <row r="436" spans="3:7" ht="15" thickBot="1" x14ac:dyDescent="0.4">
      <c r="C436" s="105" t="s">
        <v>75</v>
      </c>
      <c r="D436" s="151">
        <f>G448</f>
        <v>5064022.3374999994</v>
      </c>
      <c r="E436" s="236"/>
      <c r="F436" s="105" t="s">
        <v>161</v>
      </c>
      <c r="G436" s="120">
        <v>50</v>
      </c>
    </row>
    <row r="437" spans="3:7" ht="15" thickBot="1" x14ac:dyDescent="0.4">
      <c r="C437" s="105" t="s">
        <v>78</v>
      </c>
      <c r="D437" s="121">
        <v>0.4</v>
      </c>
      <c r="E437" s="236"/>
      <c r="F437" s="106" t="s">
        <v>167</v>
      </c>
      <c r="G437" s="119">
        <v>0.05</v>
      </c>
    </row>
    <row r="438" spans="3:7" ht="15" thickBot="1" x14ac:dyDescent="0.4">
      <c r="C438" s="105" t="s">
        <v>80</v>
      </c>
      <c r="D438" s="170">
        <f>19.95*0.7</f>
        <v>13.964999999999998</v>
      </c>
      <c r="E438" s="236"/>
      <c r="F438" s="114" t="s">
        <v>110</v>
      </c>
      <c r="G438" s="115"/>
    </row>
    <row r="439" spans="3:7" ht="15" thickBot="1" x14ac:dyDescent="0.4">
      <c r="C439" s="106" t="s">
        <v>81</v>
      </c>
      <c r="D439" s="160">
        <f>9.95*0.7</f>
        <v>6.964999999999999</v>
      </c>
      <c r="E439" s="236"/>
      <c r="F439" s="104" t="s">
        <v>159</v>
      </c>
      <c r="G439" s="117">
        <v>30</v>
      </c>
    </row>
    <row r="440" spans="3:7" x14ac:dyDescent="0.35">
      <c r="C440" s="235"/>
      <c r="D440" s="235"/>
      <c r="E440" s="236"/>
      <c r="F440" s="105" t="s">
        <v>162</v>
      </c>
      <c r="G440" s="120">
        <v>25</v>
      </c>
    </row>
    <row r="441" spans="3:7" ht="15" thickBot="1" x14ac:dyDescent="0.4">
      <c r="C441" s="236"/>
      <c r="D441" s="236"/>
      <c r="E441" s="236"/>
      <c r="F441" s="106" t="s">
        <v>168</v>
      </c>
      <c r="G441" s="125">
        <v>0.08</v>
      </c>
    </row>
    <row r="442" spans="3:7" x14ac:dyDescent="0.35">
      <c r="C442" s="236"/>
      <c r="D442" s="236"/>
      <c r="E442" s="236"/>
      <c r="F442" s="235"/>
      <c r="G442" s="235"/>
    </row>
    <row r="443" spans="3:7" ht="15" thickBot="1" x14ac:dyDescent="0.4">
      <c r="C443" s="237"/>
      <c r="D443" s="237"/>
      <c r="E443" s="237"/>
      <c r="F443" s="237"/>
      <c r="G443" s="237"/>
    </row>
    <row r="444" spans="3:7" ht="16" thickBot="1" x14ac:dyDescent="0.4">
      <c r="C444" s="110" t="s">
        <v>43</v>
      </c>
      <c r="D444" s="111" t="s">
        <v>73</v>
      </c>
      <c r="E444" s="110" t="s">
        <v>71</v>
      </c>
      <c r="F444" s="116" t="s">
        <v>72</v>
      </c>
      <c r="G444" s="112" t="s">
        <v>69</v>
      </c>
    </row>
    <row r="445" spans="3:7" ht="15" thickBot="1" x14ac:dyDescent="0.4">
      <c r="C445" s="102" t="s">
        <v>44</v>
      </c>
      <c r="D445" s="126">
        <v>1</v>
      </c>
      <c r="E445" s="143">
        <v>47615034</v>
      </c>
      <c r="F445" s="146">
        <v>10259507</v>
      </c>
      <c r="G445" s="147">
        <f>F445+E445</f>
        <v>57874541</v>
      </c>
    </row>
    <row r="446" spans="3:7" ht="15" thickBot="1" x14ac:dyDescent="0.4">
      <c r="C446" s="102" t="s">
        <v>70</v>
      </c>
      <c r="D446" s="126">
        <v>0.5</v>
      </c>
      <c r="E446" s="144">
        <f t="shared" ref="E446:F448" si="59">$D446*E445</f>
        <v>23807517</v>
      </c>
      <c r="F446" s="144">
        <f t="shared" si="59"/>
        <v>5129753.5</v>
      </c>
      <c r="G446" s="147">
        <f>F446+E446</f>
        <v>28937270.5</v>
      </c>
    </row>
    <row r="447" spans="3:7" ht="15" thickBot="1" x14ac:dyDescent="0.4">
      <c r="C447" s="102" t="s">
        <v>76</v>
      </c>
      <c r="D447" s="126">
        <v>0.7</v>
      </c>
      <c r="E447" s="144">
        <f t="shared" si="59"/>
        <v>16665261.899999999</v>
      </c>
      <c r="F447" s="144">
        <f t="shared" si="59"/>
        <v>3590827.4499999997</v>
      </c>
      <c r="G447" s="147">
        <f>F447+E447</f>
        <v>20256089.349999998</v>
      </c>
    </row>
    <row r="448" spans="3:7" ht="15" thickBot="1" x14ac:dyDescent="0.4">
      <c r="C448" s="37" t="s">
        <v>45</v>
      </c>
      <c r="D448" s="127">
        <v>0.25</v>
      </c>
      <c r="E448" s="145">
        <f t="shared" si="59"/>
        <v>4166315.4749999996</v>
      </c>
      <c r="F448" s="145">
        <f t="shared" si="59"/>
        <v>897706.86249999993</v>
      </c>
      <c r="G448" s="148">
        <f>F448+E448</f>
        <v>5064022.3374999994</v>
      </c>
    </row>
    <row r="449" spans="3:7" x14ac:dyDescent="0.35">
      <c r="C449" s="235"/>
      <c r="D449" s="235"/>
      <c r="E449" s="235"/>
      <c r="F449" s="235"/>
      <c r="G449" s="235"/>
    </row>
    <row r="450" spans="3:7" x14ac:dyDescent="0.35">
      <c r="C450" s="236"/>
      <c r="D450" s="236"/>
      <c r="E450" s="236"/>
      <c r="F450" s="236"/>
      <c r="G450" s="236"/>
    </row>
    <row r="451" spans="3:7" ht="15" thickBot="1" x14ac:dyDescent="0.4">
      <c r="C451" s="237"/>
      <c r="D451" s="237"/>
      <c r="E451" s="237"/>
      <c r="F451" s="237"/>
      <c r="G451" s="237"/>
    </row>
    <row r="452" spans="3:7" ht="16" thickBot="1" x14ac:dyDescent="0.4">
      <c r="C452" s="108" t="s">
        <v>367</v>
      </c>
      <c r="D452" s="109"/>
      <c r="E452" s="113">
        <f>G448</f>
        <v>5064022.3374999994</v>
      </c>
      <c r="F452" s="108" t="s">
        <v>366</v>
      </c>
      <c r="G452" s="109"/>
    </row>
    <row r="453" spans="3:7" ht="15" thickBot="1" x14ac:dyDescent="0.4">
      <c r="C453" s="132" t="s">
        <v>368</v>
      </c>
      <c r="D453" s="130" t="s">
        <v>141</v>
      </c>
      <c r="E453" s="131" t="s">
        <v>142</v>
      </c>
      <c r="F453" s="104" t="s">
        <v>311</v>
      </c>
      <c r="G453" s="169">
        <f>1%*1.2</f>
        <v>1.2E-2</v>
      </c>
    </row>
    <row r="454" spans="3:7" ht="15" thickBot="1" x14ac:dyDescent="0.4">
      <c r="C454" s="132" t="s">
        <v>145</v>
      </c>
      <c r="D454" s="130" t="s">
        <v>143</v>
      </c>
      <c r="E454" s="131" t="s">
        <v>144</v>
      </c>
      <c r="F454" s="105" t="s">
        <v>313</v>
      </c>
      <c r="G454" s="177">
        <f>0.5%*2</f>
        <v>0.01</v>
      </c>
    </row>
    <row r="455" spans="3:7" ht="15" thickBot="1" x14ac:dyDescent="0.4">
      <c r="C455" s="104" t="s">
        <v>148</v>
      </c>
      <c r="D455" s="155">
        <v>0.7</v>
      </c>
      <c r="E455" s="129">
        <v>0.45</v>
      </c>
      <c r="F455" s="105" t="s">
        <v>314</v>
      </c>
      <c r="G455" s="177">
        <f>50%*1.3</f>
        <v>0.65</v>
      </c>
    </row>
    <row r="456" spans="3:7" ht="15" thickBot="1" x14ac:dyDescent="0.4">
      <c r="C456" s="105" t="s">
        <v>146</v>
      </c>
      <c r="D456" s="149">
        <f>$E$47*D455</f>
        <v>3544815.6362499995</v>
      </c>
      <c r="E456" s="150">
        <f>$E$47*E455</f>
        <v>2278810.0518749999</v>
      </c>
      <c r="F456" s="106" t="s">
        <v>315</v>
      </c>
      <c r="G456" s="178">
        <f>20%*2</f>
        <v>0.4</v>
      </c>
    </row>
    <row r="457" spans="3:7" ht="15" thickBot="1" x14ac:dyDescent="0.4">
      <c r="C457" s="105" t="s">
        <v>149</v>
      </c>
      <c r="D457" s="179">
        <f>10%*1.5</f>
        <v>0.15000000000000002</v>
      </c>
      <c r="E457" s="180">
        <f>10%*1.5</f>
        <v>0.15000000000000002</v>
      </c>
      <c r="F457" s="235"/>
      <c r="G457" s="235"/>
    </row>
    <row r="458" spans="3:7" ht="15" thickBot="1" x14ac:dyDescent="0.4">
      <c r="C458" s="106" t="s">
        <v>151</v>
      </c>
      <c r="D458" s="149">
        <f>D457*D456</f>
        <v>531722.34543750004</v>
      </c>
      <c r="E458" s="150">
        <f>E457*E456</f>
        <v>341821.50778125005</v>
      </c>
      <c r="F458" s="236"/>
      <c r="G458" s="236"/>
    </row>
    <row r="459" spans="3:7" ht="15" thickBot="1" x14ac:dyDescent="0.4">
      <c r="C459" s="104" t="s">
        <v>147</v>
      </c>
      <c r="D459" s="137">
        <v>0.03</v>
      </c>
      <c r="E459" s="138">
        <v>0.03</v>
      </c>
      <c r="F459" s="236"/>
      <c r="G459" s="236"/>
    </row>
    <row r="460" spans="3:7" ht="15" thickBot="1" x14ac:dyDescent="0.4">
      <c r="C460" s="105" t="s">
        <v>150</v>
      </c>
      <c r="D460" s="136">
        <f>D459*D458</f>
        <v>15951.670363125</v>
      </c>
      <c r="E460" s="135">
        <f>E459*E458</f>
        <v>10254.645233437501</v>
      </c>
      <c r="F460" s="236"/>
      <c r="G460" s="236"/>
    </row>
    <row r="461" spans="3:7" ht="15" thickBot="1" x14ac:dyDescent="0.4">
      <c r="C461" s="128" t="s">
        <v>69</v>
      </c>
      <c r="D461" s="133">
        <f>E460+D460</f>
        <v>26206.315596562501</v>
      </c>
      <c r="E461" s="134"/>
      <c r="F461" s="236"/>
      <c r="G461" s="236"/>
    </row>
  </sheetData>
  <mergeCells count="143">
    <mergeCell ref="BU33:BV33"/>
    <mergeCell ref="BU39:BV39"/>
    <mergeCell ref="C449:G451"/>
    <mergeCell ref="F457:G461"/>
    <mergeCell ref="C399:G401"/>
    <mergeCell ref="F407:G411"/>
    <mergeCell ref="C415:G416"/>
    <mergeCell ref="C417:G417"/>
    <mergeCell ref="E418:E443"/>
    <mergeCell ref="C422:D422"/>
    <mergeCell ref="F424:G424"/>
    <mergeCell ref="C428:D428"/>
    <mergeCell ref="F428:G428"/>
    <mergeCell ref="C440:D443"/>
    <mergeCell ref="F442:G443"/>
    <mergeCell ref="C349:G351"/>
    <mergeCell ref="F357:G361"/>
    <mergeCell ref="C365:G366"/>
    <mergeCell ref="C367:G367"/>
    <mergeCell ref="E368:E393"/>
    <mergeCell ref="C372:D372"/>
    <mergeCell ref="F374:G374"/>
    <mergeCell ref="C378:D378"/>
    <mergeCell ref="F378:G378"/>
    <mergeCell ref="C390:D393"/>
    <mergeCell ref="F392:G393"/>
    <mergeCell ref="C299:G301"/>
    <mergeCell ref="F307:G311"/>
    <mergeCell ref="C315:G316"/>
    <mergeCell ref="C317:G317"/>
    <mergeCell ref="E318:E343"/>
    <mergeCell ref="C322:D322"/>
    <mergeCell ref="F324:G324"/>
    <mergeCell ref="C328:D328"/>
    <mergeCell ref="F328:G328"/>
    <mergeCell ref="C340:D343"/>
    <mergeCell ref="F342:G343"/>
    <mergeCell ref="C249:G251"/>
    <mergeCell ref="F257:G261"/>
    <mergeCell ref="C265:G266"/>
    <mergeCell ref="C267:G267"/>
    <mergeCell ref="E268:E293"/>
    <mergeCell ref="C272:D272"/>
    <mergeCell ref="F274:G274"/>
    <mergeCell ref="C278:D278"/>
    <mergeCell ref="F278:G278"/>
    <mergeCell ref="C290:D293"/>
    <mergeCell ref="F292:G293"/>
    <mergeCell ref="C215:G216"/>
    <mergeCell ref="C217:G217"/>
    <mergeCell ref="E218:E243"/>
    <mergeCell ref="C222:D222"/>
    <mergeCell ref="F224:G224"/>
    <mergeCell ref="C228:D228"/>
    <mergeCell ref="F228:G228"/>
    <mergeCell ref="C240:D243"/>
    <mergeCell ref="F242:G243"/>
    <mergeCell ref="F19:G19"/>
    <mergeCell ref="C67:G67"/>
    <mergeCell ref="E68:E93"/>
    <mergeCell ref="C72:D72"/>
    <mergeCell ref="F74:G74"/>
    <mergeCell ref="C78:D78"/>
    <mergeCell ref="F78:G78"/>
    <mergeCell ref="C90:D93"/>
    <mergeCell ref="F92:G93"/>
    <mergeCell ref="B57:H58"/>
    <mergeCell ref="B2:D2"/>
    <mergeCell ref="B3:B6"/>
    <mergeCell ref="D3:D6"/>
    <mergeCell ref="B7:D7"/>
    <mergeCell ref="B8:H9"/>
    <mergeCell ref="C10:G11"/>
    <mergeCell ref="C12:G12"/>
    <mergeCell ref="E168:E193"/>
    <mergeCell ref="C172:D172"/>
    <mergeCell ref="F174:G174"/>
    <mergeCell ref="C178:D178"/>
    <mergeCell ref="F178:G178"/>
    <mergeCell ref="C190:D193"/>
    <mergeCell ref="F192:G193"/>
    <mergeCell ref="B10:B56"/>
    <mergeCell ref="H10:H56"/>
    <mergeCell ref="F52:G56"/>
    <mergeCell ref="C44:G46"/>
    <mergeCell ref="F23:G23"/>
    <mergeCell ref="C23:D23"/>
    <mergeCell ref="C35:D38"/>
    <mergeCell ref="F37:G38"/>
    <mergeCell ref="E13:E38"/>
    <mergeCell ref="C17:D17"/>
    <mergeCell ref="C199:G201"/>
    <mergeCell ref="F207:G211"/>
    <mergeCell ref="C165:G166"/>
    <mergeCell ref="C149:G151"/>
    <mergeCell ref="F157:G161"/>
    <mergeCell ref="C167:G167"/>
    <mergeCell ref="C59:G62"/>
    <mergeCell ref="C65:G66"/>
    <mergeCell ref="C115:G116"/>
    <mergeCell ref="C99:G101"/>
    <mergeCell ref="F107:G111"/>
    <mergeCell ref="C117:G117"/>
    <mergeCell ref="E118:E143"/>
    <mergeCell ref="C122:D122"/>
    <mergeCell ref="F124:G124"/>
    <mergeCell ref="C128:D128"/>
    <mergeCell ref="F128:G128"/>
    <mergeCell ref="C140:D143"/>
    <mergeCell ref="F142:G143"/>
    <mergeCell ref="BP30:BP31"/>
    <mergeCell ref="T30:AE30"/>
    <mergeCell ref="AF30:AQ31"/>
    <mergeCell ref="AR30:BC31"/>
    <mergeCell ref="BD30:BO31"/>
    <mergeCell ref="U31:Y31"/>
    <mergeCell ref="Z31:AB31"/>
    <mergeCell ref="AC31:AE31"/>
    <mergeCell ref="BD56:BO57"/>
    <mergeCell ref="U57:Y57"/>
    <mergeCell ref="Z57:AB57"/>
    <mergeCell ref="AC57:AE57"/>
    <mergeCell ref="AR56:BC57"/>
    <mergeCell ref="R59:R64"/>
    <mergeCell ref="R56:R58"/>
    <mergeCell ref="S56:S57"/>
    <mergeCell ref="T56:AE56"/>
    <mergeCell ref="AF56:AQ57"/>
    <mergeCell ref="R6:R11"/>
    <mergeCell ref="R12:R26"/>
    <mergeCell ref="R33:R36"/>
    <mergeCell ref="R37:R50"/>
    <mergeCell ref="S30:S31"/>
    <mergeCell ref="R30:R32"/>
    <mergeCell ref="R3:R5"/>
    <mergeCell ref="BD3:BO4"/>
    <mergeCell ref="U4:Y4"/>
    <mergeCell ref="Z4:AB4"/>
    <mergeCell ref="AC4:AE4"/>
    <mergeCell ref="S3:S4"/>
    <mergeCell ref="T3:AE3"/>
    <mergeCell ref="AF3:AQ4"/>
    <mergeCell ref="AR3:BC4"/>
  </mergeCells>
  <phoneticPr fontId="1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0F6D-BF6A-4EAB-A1DE-AFFD8A328B55}">
  <dimension ref="B1:BF41"/>
  <sheetViews>
    <sheetView topLeftCell="B1" zoomScale="67" zoomScaleNormal="110" workbookViewId="0">
      <selection activeCell="BI38" sqref="BI38"/>
    </sheetView>
  </sheetViews>
  <sheetFormatPr baseColWidth="10" defaultColWidth="10.7265625" defaultRowHeight="14.5" x14ac:dyDescent="0.35"/>
  <cols>
    <col min="2" max="2" width="27.81640625" customWidth="1"/>
    <col min="3" max="3" width="12.54296875" customWidth="1"/>
    <col min="4" max="4" width="12.453125" bestFit="1" customWidth="1"/>
    <col min="5" max="5" width="12.54296875" customWidth="1"/>
    <col min="6" max="6" width="14.81640625" customWidth="1"/>
    <col min="7" max="7" width="14.26953125" customWidth="1"/>
    <col min="9" max="9" width="17" customWidth="1"/>
    <col min="10" max="17" width="11.453125" customWidth="1"/>
    <col min="18" max="20" width="12.54296875" customWidth="1"/>
    <col min="21" max="21" width="12.54296875" bestFit="1" customWidth="1"/>
    <col min="22" max="28" width="12.6328125" bestFit="1" customWidth="1"/>
    <col min="29" max="29" width="14" bestFit="1" customWidth="1"/>
    <col min="30" max="46" width="14.08984375" bestFit="1" customWidth="1"/>
    <col min="47" max="55" width="14" bestFit="1" customWidth="1"/>
    <col min="56" max="57" width="15" bestFit="1" customWidth="1"/>
    <col min="58" max="58" width="19.7265625" customWidth="1"/>
  </cols>
  <sheetData>
    <row r="1" spans="2:58" x14ac:dyDescent="0.35">
      <c r="I1" s="236" t="s">
        <v>88</v>
      </c>
      <c r="J1" s="236" t="s">
        <v>91</v>
      </c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 t="s">
        <v>92</v>
      </c>
      <c r="W1" s="236"/>
      <c r="X1" s="236"/>
      <c r="Y1" s="236"/>
      <c r="Z1" s="236"/>
      <c r="AA1" s="236"/>
      <c r="AB1" s="236"/>
      <c r="AC1" s="236"/>
      <c r="AD1" s="236"/>
      <c r="AE1" s="236"/>
      <c r="AF1" s="236"/>
      <c r="AG1" s="236"/>
      <c r="AH1" s="236" t="s">
        <v>93</v>
      </c>
      <c r="AI1" s="236"/>
      <c r="AJ1" s="236"/>
      <c r="AK1" s="236"/>
      <c r="AL1" s="236"/>
      <c r="AM1" s="236"/>
      <c r="AN1" s="236"/>
      <c r="AO1" s="236"/>
      <c r="AP1" s="236"/>
      <c r="AQ1" s="236"/>
      <c r="AR1" s="236"/>
      <c r="AS1" s="236"/>
      <c r="AT1" s="236" t="s">
        <v>94</v>
      </c>
      <c r="AU1" s="236"/>
      <c r="AV1" s="236"/>
      <c r="AW1" s="236"/>
      <c r="AX1" s="236"/>
      <c r="AY1" s="236"/>
      <c r="AZ1" s="236"/>
      <c r="BA1" s="236"/>
      <c r="BB1" s="236"/>
      <c r="BC1" s="236"/>
      <c r="BD1" s="236"/>
      <c r="BE1" s="236"/>
    </row>
    <row r="2" spans="2:58" x14ac:dyDescent="0.35">
      <c r="I2" s="236"/>
      <c r="J2" t="s">
        <v>86</v>
      </c>
      <c r="K2" s="236" t="s">
        <v>87</v>
      </c>
      <c r="L2" s="236"/>
      <c r="M2" s="236"/>
      <c r="N2" s="236"/>
      <c r="O2" s="236"/>
      <c r="P2" s="236" t="s">
        <v>89</v>
      </c>
      <c r="Q2" s="236"/>
      <c r="R2" s="236"/>
      <c r="S2" s="236" t="s">
        <v>90</v>
      </c>
      <c r="T2" s="236"/>
      <c r="U2" s="236"/>
      <c r="V2" s="236"/>
      <c r="W2" s="236"/>
      <c r="X2" s="236"/>
      <c r="Y2" s="236"/>
      <c r="Z2" s="236"/>
      <c r="AA2" s="236"/>
      <c r="AB2" s="236"/>
      <c r="AC2" s="236"/>
      <c r="AD2" s="236"/>
      <c r="AE2" s="236"/>
      <c r="AF2" s="236"/>
      <c r="AG2" s="236"/>
      <c r="AH2" s="236"/>
      <c r="AI2" s="236"/>
      <c r="AJ2" s="236"/>
      <c r="AK2" s="236"/>
      <c r="AL2" s="236"/>
      <c r="AM2" s="236"/>
      <c r="AN2" s="236"/>
      <c r="AO2" s="236"/>
      <c r="AP2" s="236"/>
      <c r="AQ2" s="236"/>
      <c r="AR2" s="236"/>
      <c r="AS2" s="236"/>
      <c r="AT2" s="236"/>
      <c r="AU2" s="236"/>
      <c r="AV2" s="236"/>
      <c r="AW2" s="236"/>
      <c r="AX2" s="236"/>
      <c r="AY2" s="236"/>
      <c r="AZ2" s="236"/>
      <c r="BA2" s="236"/>
      <c r="BB2" s="236"/>
      <c r="BC2" s="236"/>
      <c r="BD2" s="236"/>
      <c r="BE2" s="236"/>
    </row>
    <row r="3" spans="2:58" x14ac:dyDescent="0.35">
      <c r="I3" t="s">
        <v>1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14</v>
      </c>
      <c r="W3" t="s">
        <v>15</v>
      </c>
      <c r="X3" t="s">
        <v>16</v>
      </c>
      <c r="Y3" t="s">
        <v>17</v>
      </c>
      <c r="Z3" t="s">
        <v>18</v>
      </c>
      <c r="AA3" t="s">
        <v>19</v>
      </c>
      <c r="AB3" t="s">
        <v>20</v>
      </c>
      <c r="AC3" t="s">
        <v>21</v>
      </c>
      <c r="AD3" t="s">
        <v>22</v>
      </c>
      <c r="AE3" t="s">
        <v>23</v>
      </c>
      <c r="AF3" t="s">
        <v>24</v>
      </c>
      <c r="AG3" t="s">
        <v>25</v>
      </c>
      <c r="AH3" t="s">
        <v>27</v>
      </c>
      <c r="AI3" t="s">
        <v>28</v>
      </c>
      <c r="AJ3" t="s">
        <v>29</v>
      </c>
      <c r="AK3" t="s">
        <v>30</v>
      </c>
      <c r="AL3" t="s">
        <v>31</v>
      </c>
      <c r="AM3" t="s">
        <v>32</v>
      </c>
      <c r="AN3" t="s">
        <v>33</v>
      </c>
      <c r="AO3" t="s">
        <v>34</v>
      </c>
      <c r="AP3" t="s">
        <v>35</v>
      </c>
      <c r="AQ3" t="s">
        <v>36</v>
      </c>
      <c r="AR3" t="s">
        <v>37</v>
      </c>
      <c r="AS3" t="s">
        <v>38</v>
      </c>
      <c r="AT3" t="s">
        <v>95</v>
      </c>
      <c r="AU3" t="s">
        <v>96</v>
      </c>
      <c r="AV3" t="s">
        <v>97</v>
      </c>
      <c r="AW3" t="s">
        <v>98</v>
      </c>
      <c r="AX3" t="s">
        <v>99</v>
      </c>
      <c r="AY3" t="s">
        <v>100</v>
      </c>
      <c r="AZ3" t="s">
        <v>101</v>
      </c>
      <c r="BA3" t="s">
        <v>102</v>
      </c>
      <c r="BB3" t="s">
        <v>103</v>
      </c>
      <c r="BC3" t="s">
        <v>104</v>
      </c>
      <c r="BD3" t="s">
        <v>105</v>
      </c>
      <c r="BE3" t="s">
        <v>106</v>
      </c>
      <c r="BF3" t="s">
        <v>295</v>
      </c>
    </row>
    <row r="4" spans="2:58" x14ac:dyDescent="0.35">
      <c r="I4" t="s">
        <v>320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38">
        <v>0</v>
      </c>
      <c r="Q4" s="38">
        <f ca="1">ROUNDUP(RANDBETWEEN(Cashflow!$D$26*10000,Cashflow!$D$27*10000)/10000*(Cashflow!$D$31-P5),0)</f>
        <v>503</v>
      </c>
      <c r="R4" s="38">
        <f ca="1">ROUNDUP(RANDBETWEEN(Cashflow!$D$26*10000,Cashflow!$D$27*10000)/10000*(Cashflow!$D$31-Q5),0)</f>
        <v>503</v>
      </c>
      <c r="S4" s="38">
        <f ca="1">ROUNDUP(RANDBETWEEN(Cashflow!$D$26*10000,Cashflow!$D$27*10000)/10000*(Cashflow!$D$31-R5),0)</f>
        <v>503</v>
      </c>
      <c r="T4" s="38">
        <f ca="1">ROUNDUP(RANDBETWEEN(Cashflow!$D$26*10000,Cashflow!$D$27*10000)/10000*(Cashflow!$D$31-S5),0)</f>
        <v>506</v>
      </c>
      <c r="U4" s="38">
        <f ca="1">ROUNDUP(RANDBETWEEN(Cashflow!$D$26*10000,Cashflow!$D$27*10000)/10000*(Cashflow!$D$31-T5),0)</f>
        <v>506</v>
      </c>
      <c r="V4" s="38">
        <f ca="1">ROUNDUP(RANDBETWEEN(Cashflow!$D$26*10000,Cashflow!$D$27*10000)/10000*(Cashflow!$D$31-U5),0)</f>
        <v>506</v>
      </c>
      <c r="W4" s="38">
        <f ca="1">ROUNDUP(RANDBETWEEN(Cashflow!$D$26*10000,Cashflow!$D$27*10000)/10000*(Cashflow!$D$31-V5),0)</f>
        <v>506</v>
      </c>
      <c r="X4" s="38">
        <f ca="1">ROUNDUP(RANDBETWEEN(Cashflow!$D$26*10000,Cashflow!$D$27*10000)/10000*(Cashflow!$D$31-W5),0)</f>
        <v>506</v>
      </c>
      <c r="Y4" s="38">
        <f ca="1">ROUNDUP(RANDBETWEEN(Cashflow!$D$26*10000,Cashflow!$D$27*10000)/10000*(Cashflow!$D$31-X5),0)</f>
        <v>506</v>
      </c>
      <c r="Z4" s="38">
        <f ca="1">ROUNDUP(RANDBETWEEN(Cashflow!$D$26*10000,Cashflow!$D$27*10000)/10000*(Cashflow!$D$31-Y5),0)</f>
        <v>506</v>
      </c>
      <c r="AA4" s="38">
        <f ca="1">ROUNDUP(RANDBETWEEN(Cashflow!$D$26*10000,Cashflow!$D$27*10000)/10000*(Cashflow!$D$31-Z5),0)</f>
        <v>506</v>
      </c>
      <c r="AB4" s="38">
        <f ca="1">ROUNDUP(RANDBETWEEN(Cashflow!$D$26*10000,Cashflow!$D$27*10000)/10000*(Cashflow!$D$31-AA5),0)</f>
        <v>506</v>
      </c>
      <c r="AC4" s="38">
        <f ca="1">ROUNDUP(RANDBETWEEN(Cashflow!$D$26*10000,Cashflow!$D$27*10000)/10000*(Cashflow!$D$31-AB5),0)</f>
        <v>506</v>
      </c>
      <c r="AD4" s="38">
        <f ca="1">ROUNDUP(RANDBETWEEN(Cashflow!$D$26*10000,Cashflow!$D$27*10000)/10000*(Cashflow!$D$31-AC5),0)</f>
        <v>506</v>
      </c>
      <c r="AE4" s="38">
        <f ca="1">ROUNDUP(RANDBETWEEN(Cashflow!$D$26*10000,Cashflow!$D$27*10000)/10000*(Cashflow!$D$31-AD5),0)</f>
        <v>505</v>
      </c>
      <c r="AF4" s="38">
        <f ca="1">ROUNDUP(RANDBETWEEN(Cashflow!$D$26*10000,Cashflow!$D$27*10000)/10000*(Cashflow!$D$31-AE5),0)</f>
        <v>506</v>
      </c>
      <c r="AG4" s="38">
        <f ca="1">ROUNDUP(RANDBETWEEN(Cashflow!$D$26*10000,Cashflow!$D$27*10000)/10000*(Cashflow!$D$31-AF5),0)</f>
        <v>506</v>
      </c>
      <c r="AH4" s="38">
        <f ca="1">ROUNDUP(RANDBETWEEN(Cashflow!$D$26*10000,Cashflow!$D$27*10000)/10000*(Cashflow!$D$31-AG5),0)</f>
        <v>506</v>
      </c>
      <c r="AI4" s="38">
        <f ca="1">ROUNDUP(RANDBETWEEN(Cashflow!$D$26*10000,Cashflow!$D$27*10000)/10000*(Cashflow!$D$31-AH5),0)</f>
        <v>506</v>
      </c>
      <c r="AJ4" s="38">
        <f ca="1">ROUNDUP(RANDBETWEEN(Cashflow!$D$26*10000,Cashflow!$D$27*10000)/10000*(Cashflow!$D$31-AI5),0)</f>
        <v>506</v>
      </c>
      <c r="AK4" s="38">
        <f ca="1">ROUNDUP(RANDBETWEEN(Cashflow!$D$26*10000,Cashflow!$D$27*10000)/10000*(Cashflow!$D$31-AJ5),0)</f>
        <v>506</v>
      </c>
      <c r="AL4" s="38">
        <f ca="1">ROUNDUP(RANDBETWEEN(Cashflow!$D$26*10000,Cashflow!$D$27*10000)/10000*(Cashflow!$D$31-AK5),0)</f>
        <v>506</v>
      </c>
      <c r="AM4" s="38">
        <f ca="1">ROUNDUP(RANDBETWEEN(Cashflow!$D$26*10000,Cashflow!$D$27*10000)/10000*(Cashflow!$D$31-AL5),0)</f>
        <v>506</v>
      </c>
      <c r="AN4" s="38">
        <f ca="1">ROUNDUP(RANDBETWEEN(Cashflow!$D$26*10000,Cashflow!$D$27*10000)/10000*(Cashflow!$D$31-AM5),0)</f>
        <v>506</v>
      </c>
      <c r="AO4" s="38">
        <f ca="1">ROUNDUP(RANDBETWEEN(Cashflow!$D$26*10000,Cashflow!$D$27*10000)/10000*(Cashflow!$D$31-AN5),0)</f>
        <v>506</v>
      </c>
      <c r="AP4" s="38">
        <f ca="1">ROUNDUP(RANDBETWEEN(Cashflow!$D$26*10000,Cashflow!$D$27*10000)/10000*(Cashflow!$D$31-AO5),0)</f>
        <v>506</v>
      </c>
      <c r="AQ4" s="38">
        <f ca="1">ROUNDUP(RANDBETWEEN(Cashflow!$D$26*10000,Cashflow!$D$27*10000)/10000*(Cashflow!$D$31-AP5),0)</f>
        <v>505</v>
      </c>
      <c r="AR4" s="38">
        <f ca="1">ROUNDUP(RANDBETWEEN(Cashflow!$D$26*10000,Cashflow!$D$27*10000)/10000*(Cashflow!$D$31-AQ5),0)</f>
        <v>506</v>
      </c>
      <c r="AS4" s="38">
        <f ca="1">ROUNDUP(RANDBETWEEN(Cashflow!$D$26*10000,Cashflow!$D$27*10000)/10000*(Cashflow!$D$31-AR5),0)</f>
        <v>506</v>
      </c>
      <c r="AT4" s="38">
        <f ca="1">ROUNDUP(RANDBETWEEN(Cashflow!$D$26*10000,Cashflow!$D$27*10000)/10000*(Cashflow!$D$31-AS5),0)</f>
        <v>506</v>
      </c>
      <c r="AU4" s="38">
        <f ca="1">ROUNDUP(RANDBETWEEN(Cashflow!$D$26*10000,Cashflow!$D$27*10000)/10000*(Cashflow!$D$31-AT5),0)</f>
        <v>506</v>
      </c>
      <c r="AV4" s="38">
        <f ca="1">ROUNDUP(RANDBETWEEN(Cashflow!$D$26*10000,Cashflow!$D$27*10000)/10000*(Cashflow!$D$31-AU5),0)</f>
        <v>506</v>
      </c>
      <c r="AW4" s="38">
        <f ca="1">ROUNDUP(RANDBETWEEN(Cashflow!$D$26*10000,Cashflow!$D$27*10000)/10000*(Cashflow!$D$31-AV5),0)</f>
        <v>506</v>
      </c>
      <c r="AX4" s="38">
        <f ca="1">ROUNDUP(RANDBETWEEN(Cashflow!$D$26*10000,Cashflow!$D$27*10000)/10000*(Cashflow!$D$31-AW5),0)</f>
        <v>506</v>
      </c>
      <c r="AY4" s="38">
        <f ca="1">ROUNDUP(RANDBETWEEN(Cashflow!$D$26*10000,Cashflow!$D$27*10000)/10000*(Cashflow!$D$31-AX5),0)</f>
        <v>506</v>
      </c>
      <c r="AZ4" s="38">
        <f ca="1">ROUNDUP(RANDBETWEEN(Cashflow!$D$26*10000,Cashflow!$D$27*10000)/10000*(Cashflow!$D$31-AY5),0)</f>
        <v>506</v>
      </c>
      <c r="BA4" s="38">
        <f ca="1">ROUNDUP(RANDBETWEEN(Cashflow!$D$26*10000,Cashflow!$D$27*10000)/10000*(Cashflow!$D$31-AZ5),0)</f>
        <v>506</v>
      </c>
      <c r="BB4" s="38">
        <f ca="1">ROUNDUP(RANDBETWEEN(Cashflow!$D$26*10000,Cashflow!$D$27*10000)/10000*(Cashflow!$D$31-BA5),0)</f>
        <v>506</v>
      </c>
      <c r="BC4" s="38">
        <f ca="1">ROUNDUP(RANDBETWEEN(Cashflow!$D$26*10000,Cashflow!$D$27*10000)/10000*(Cashflow!$D$31-BB5),0)</f>
        <v>505</v>
      </c>
      <c r="BD4" s="38">
        <f ca="1">ROUNDUP(RANDBETWEEN(Cashflow!$D$26*10000,Cashflow!$D$27*10000)/10000*(Cashflow!$D$31-BC5),0)</f>
        <v>506</v>
      </c>
      <c r="BE4" s="38">
        <f ca="1">ROUNDUP(RANDBETWEEN(Cashflow!$D$26*10000,Cashflow!$D$27*10000)/10000*(Cashflow!$D$31-BD5),0)</f>
        <v>506</v>
      </c>
      <c r="BF4" s="38">
        <f ca="1">ROUNDUP(RANDBETWEEN(Cashflow!$D$26*10000,Cashflow!$D$27*10000)/10000*(Cashflow!$D$31-BE5),0)</f>
        <v>506</v>
      </c>
    </row>
    <row r="5" spans="2:58" x14ac:dyDescent="0.35">
      <c r="I5" t="s">
        <v>317</v>
      </c>
      <c r="J5">
        <f>Marketing!C5</f>
        <v>0</v>
      </c>
      <c r="K5">
        <f>Marketing!D5</f>
        <v>0</v>
      </c>
      <c r="L5">
        <f>Marketing!E5</f>
        <v>0</v>
      </c>
      <c r="M5">
        <f>Marketing!F5</f>
        <v>0</v>
      </c>
      <c r="N5">
        <f>Marketing!G5</f>
        <v>0</v>
      </c>
      <c r="O5">
        <f>Marketing!H5</f>
        <v>0</v>
      </c>
      <c r="P5">
        <f>ROUNDUP(Marketing!I5,0)</f>
        <v>35233</v>
      </c>
      <c r="Q5">
        <f>ROUNDUP(Marketing!J5,0)</f>
        <v>35525</v>
      </c>
      <c r="R5">
        <f ca="1">ROUNDUP(Marketing!K5,0)</f>
        <v>35374</v>
      </c>
      <c r="S5">
        <f ca="1">ROUNDUP(Marketing!L5,0)</f>
        <v>6850</v>
      </c>
      <c r="T5">
        <f ca="1">ROUNDUP(Marketing!M5,0)</f>
        <v>7111</v>
      </c>
      <c r="U5">
        <f ca="1">ROUNDUP(Marketing!N5,0)</f>
        <v>7369</v>
      </c>
      <c r="V5">
        <f ca="1">ROUNDUP(Marketing!O5,0)</f>
        <v>7625</v>
      </c>
      <c r="W5">
        <f ca="1">ROUNDUP(Marketing!P5,0)</f>
        <v>7876</v>
      </c>
      <c r="X5">
        <f ca="1">ROUNDUP(Marketing!Q5,0)</f>
        <v>8124</v>
      </c>
      <c r="Y5">
        <f ca="1">ROUNDUP(Marketing!R5,0)</f>
        <v>8370</v>
      </c>
      <c r="Z5">
        <f ca="1">ROUNDUP(Marketing!S5,0)</f>
        <v>8609</v>
      </c>
      <c r="AA5">
        <f ca="1">ROUNDUP(Marketing!T5,0)</f>
        <v>8846</v>
      </c>
      <c r="AB5">
        <f ca="1">ROUNDUP(Marketing!U5,0)</f>
        <v>9080</v>
      </c>
      <c r="AC5">
        <f ca="1">ROUNDUP(Marketing!V5,0)</f>
        <v>9308</v>
      </c>
      <c r="AD5">
        <f ca="1">ROUNDUP(Marketing!W5,0)</f>
        <v>20426</v>
      </c>
      <c r="AE5">
        <f ca="1">ROUNDUP(Marketing!X5,0)</f>
        <v>9734</v>
      </c>
      <c r="AF5">
        <f ca="1">ROUNDUP(Marketing!Y5,0)</f>
        <v>9948</v>
      </c>
      <c r="AG5">
        <f ca="1">ROUNDUP(Marketing!Z5,0)</f>
        <v>10158</v>
      </c>
      <c r="AH5">
        <f ca="1">ROUNDUP(Marketing!AA5,0)</f>
        <v>10365</v>
      </c>
      <c r="AI5">
        <f ca="1">ROUNDUP(Marketing!AB5,0)</f>
        <v>10564</v>
      </c>
      <c r="AJ5">
        <f ca="1">ROUNDUP(Marketing!AC5,0)</f>
        <v>10760</v>
      </c>
      <c r="AK5">
        <f ca="1">ROUNDUP(Marketing!AD5,0)</f>
        <v>10952</v>
      </c>
      <c r="AL5">
        <f ca="1">ROUNDUP(Marketing!AE5,0)</f>
        <v>11136</v>
      </c>
      <c r="AM5">
        <f ca="1">ROUNDUP(Marketing!AF5,0)</f>
        <v>11316</v>
      </c>
      <c r="AN5">
        <f ca="1">ROUNDUP(Marketing!AG5,0)</f>
        <v>11492</v>
      </c>
      <c r="AO5">
        <f ca="1">ROUNDUP(Marketing!AH5,0)</f>
        <v>11659</v>
      </c>
      <c r="AP5">
        <f ca="1">ROUNDUP(Marketing!AI5,0)</f>
        <v>21883</v>
      </c>
      <c r="AQ5">
        <f ca="1">ROUNDUP(Marketing!AJ5,0)</f>
        <v>11957</v>
      </c>
      <c r="AR5">
        <f ca="1">ROUNDUP(Marketing!AK5,0)</f>
        <v>12106</v>
      </c>
      <c r="AS5">
        <f ca="1">ROUNDUP(Marketing!AL5,0)</f>
        <v>12252</v>
      </c>
      <c r="AT5">
        <f ca="1">ROUNDUP(Marketing!AM5,0)</f>
        <v>12393</v>
      </c>
      <c r="AU5">
        <f ca="1">ROUNDUP(Marketing!AN5,0)</f>
        <v>12524</v>
      </c>
      <c r="AV5">
        <f ca="1">ROUNDUP(Marketing!AO5,0)</f>
        <v>12651</v>
      </c>
      <c r="AW5">
        <f ca="1">ROUNDUP(Marketing!AP5,0)</f>
        <v>12774</v>
      </c>
      <c r="AX5">
        <f ca="1">ROUNDUP(Marketing!AQ5,0)</f>
        <v>12946</v>
      </c>
      <c r="AY5">
        <f ca="1">ROUNDUP(Marketing!AR5,0)</f>
        <v>13109</v>
      </c>
      <c r="AZ5">
        <f ca="1">ROUNDUP(Marketing!AS5,0)</f>
        <v>13269</v>
      </c>
      <c r="BA5">
        <f ca="1">ROUNDUP(Marketing!AT5,0)</f>
        <v>13427</v>
      </c>
      <c r="BB5">
        <f ca="1">ROUNDUP(Marketing!AU5,0)</f>
        <v>22780</v>
      </c>
      <c r="BC5">
        <f ca="1">ROUNDUP(Marketing!AV5,0)</f>
        <v>13695</v>
      </c>
      <c r="BD5">
        <f ca="1">ROUNDUP(Marketing!AW5,0)</f>
        <v>13838</v>
      </c>
      <c r="BE5">
        <f ca="1">ROUNDUP(Marketing!AX5,0)</f>
        <v>13973</v>
      </c>
      <c r="BF5">
        <f ca="1">ROUNDUP(Marketing!AY5,0)</f>
        <v>14104</v>
      </c>
    </row>
    <row r="6" spans="2:58" x14ac:dyDescent="0.35">
      <c r="I6" t="s">
        <v>134</v>
      </c>
      <c r="J6">
        <f>J7</f>
        <v>0</v>
      </c>
      <c r="K6">
        <f>K7-J7</f>
        <v>0</v>
      </c>
      <c r="L6">
        <f t="shared" ref="L6:BF6" si="0">L7-K7</f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ca="1" si="0"/>
        <v>71764</v>
      </c>
      <c r="S6">
        <f t="shared" ca="1" si="0"/>
        <v>43685</v>
      </c>
      <c r="T6">
        <f t="shared" ca="1" si="0"/>
        <v>19837</v>
      </c>
      <c r="U6">
        <f t="shared" ca="1" si="0"/>
        <v>20061</v>
      </c>
      <c r="V6">
        <f t="shared" ca="1" si="0"/>
        <v>20280</v>
      </c>
      <c r="W6">
        <f t="shared" ca="1" si="0"/>
        <v>22625</v>
      </c>
      <c r="X6">
        <f t="shared" ca="1" si="0"/>
        <v>22825</v>
      </c>
      <c r="Y6">
        <f t="shared" ca="1" si="0"/>
        <v>23022</v>
      </c>
      <c r="Z6">
        <f t="shared" ca="1" si="0"/>
        <v>25345</v>
      </c>
      <c r="AA6">
        <f t="shared" ca="1" si="0"/>
        <v>25519</v>
      </c>
      <c r="AB6">
        <f t="shared" ca="1" si="0"/>
        <v>25690</v>
      </c>
      <c r="AC6">
        <f t="shared" ca="1" si="0"/>
        <v>27985</v>
      </c>
      <c r="AD6">
        <f t="shared" ca="1" si="0"/>
        <v>28132</v>
      </c>
      <c r="AE6">
        <f t="shared" ca="1" si="0"/>
        <v>39166</v>
      </c>
      <c r="AF6">
        <f t="shared" ca="1" si="0"/>
        <v>30698</v>
      </c>
      <c r="AG6">
        <f t="shared" ca="1" si="0"/>
        <v>30810</v>
      </c>
      <c r="AH6">
        <f t="shared" ca="1" si="0"/>
        <v>30918</v>
      </c>
      <c r="AI6">
        <f t="shared" ca="1" si="0"/>
        <v>33346</v>
      </c>
      <c r="AJ6">
        <f t="shared" ca="1" si="0"/>
        <v>33420</v>
      </c>
      <c r="AK6">
        <f t="shared" ca="1" si="0"/>
        <v>33491</v>
      </c>
      <c r="AL6">
        <f t="shared" ca="1" si="0"/>
        <v>35863</v>
      </c>
      <c r="AM6">
        <f t="shared" ca="1" si="0"/>
        <v>35898</v>
      </c>
      <c r="AN6">
        <f t="shared" ca="1" si="0"/>
        <v>35929</v>
      </c>
      <c r="AO6">
        <f t="shared" ca="1" si="0"/>
        <v>38447</v>
      </c>
      <c r="AP6">
        <f t="shared" ca="1" si="0"/>
        <v>38436</v>
      </c>
      <c r="AQ6">
        <f t="shared" ca="1" si="0"/>
        <v>48481</v>
      </c>
      <c r="AR6">
        <f t="shared" ca="1" si="0"/>
        <v>40785</v>
      </c>
      <c r="AS6">
        <f t="shared" ca="1" si="0"/>
        <v>40725</v>
      </c>
      <c r="AT6">
        <f t="shared" ca="1" si="0"/>
        <v>40661</v>
      </c>
      <c r="AU6">
        <f t="shared" ca="1" si="0"/>
        <v>43009</v>
      </c>
      <c r="AV6">
        <f t="shared" ca="1" si="0"/>
        <v>42898</v>
      </c>
      <c r="AW6">
        <f t="shared" ca="1" si="0"/>
        <v>42781</v>
      </c>
      <c r="AX6">
        <f t="shared" ca="1" si="0"/>
        <v>23805</v>
      </c>
      <c r="AY6">
        <f t="shared" ca="1" si="0"/>
        <v>25741</v>
      </c>
      <c r="AZ6">
        <f t="shared" ca="1" si="0"/>
        <v>25841</v>
      </c>
      <c r="BA6">
        <f t="shared" ca="1" si="0"/>
        <v>25937</v>
      </c>
      <c r="BB6">
        <f t="shared" ca="1" si="0"/>
        <v>27838</v>
      </c>
      <c r="BC6">
        <f t="shared" ca="1" si="0"/>
        <v>37111</v>
      </c>
      <c r="BD6">
        <f t="shared" ca="1" si="0"/>
        <v>27921</v>
      </c>
      <c r="BE6">
        <f t="shared" ca="1" si="0"/>
        <v>29777</v>
      </c>
      <c r="BF6">
        <f t="shared" ca="1" si="0"/>
        <v>29816</v>
      </c>
    </row>
    <row r="7" spans="2:58" x14ac:dyDescent="0.35">
      <c r="B7" s="236"/>
      <c r="C7" s="236"/>
      <c r="D7" s="236"/>
      <c r="E7" s="236"/>
      <c r="F7" s="236"/>
      <c r="I7" t="s">
        <v>42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f ca="1">ROUNDUP((Q7+Q5+P5)+(Tabla6[[#This Row],[Month 8]]*(Cashflow!$D$28-Cashflow!$D$30)+R4+Q4)*LOG((Cashflow!$D$31-Q7)/Cashflow!$D$31+1,2),0)</f>
        <v>71764</v>
      </c>
      <c r="S7">
        <f ca="1">ROUNDUP((R7+R5)+(Tabla6[[#This Row],[Month 9]]*(Cashflow!$D$28-Cashflow!$D$30)+S4)*LOG((Cashflow!$D$31-R7)/Cashflow!$D$31+1,2),0)</f>
        <v>115449</v>
      </c>
      <c r="T7">
        <f ca="1">ROUNDUP((S7+S5)+(Tabla6[[#This Row],[Month 10]]*(Cashflow!$D$28-Cashflow!$D$30)+T4)*LOG((Cashflow!$D$31-S7)/Cashflow!$D$31+1,2),0)</f>
        <v>135286</v>
      </c>
      <c r="U7">
        <f ca="1">ROUNDUP((T7+T5)+(Tabla6[[#This Row],[Month 10]]*(Cashflow!$D$28-Cashflow!$D$30)+U4)*LOG((Cashflow!$D$31-T7)/Cashflow!$D$31+1,2),0)</f>
        <v>155347</v>
      </c>
      <c r="V7">
        <f ca="1">ROUNDUP((U7+U5)+(Tabla6[[#This Row],[Month 10]]*(Cashflow!$D$28-Cashflow!$D$30)+V4)*LOG((Cashflow!$D$31-U7)/Cashflow!$D$31+1,2),0)</f>
        <v>175627</v>
      </c>
      <c r="W7">
        <f ca="1">ROUNDUP((V7+V5)+(Tabla6[[#This Row],[Month 11]]*(Cashflow!$D$28-Cashflow!$D$30)+W4)*LOG((Cashflow!$D$31-V7)/Cashflow!$D$31+1,2),0)</f>
        <v>198252</v>
      </c>
      <c r="X7">
        <f ca="1">ROUNDUP((W7+W5)+(Tabla6[[#This Row],[Month 11]]*(Cashflow!$D$28-Cashflow!$D$30)+X4)*LOG((Cashflow!$D$31-W7)/Cashflow!$D$31+1,2),0)</f>
        <v>221077</v>
      </c>
      <c r="Y7">
        <f ca="1">ROUNDUP((X7+X5)+(Tabla6[[#This Row],[Month 11]]*(Cashflow!$D$28-Cashflow!$D$30)+Y4)*LOG((Cashflow!$D$31-X7)/Cashflow!$D$31+1,2),0)</f>
        <v>244099</v>
      </c>
      <c r="Z7">
        <f ca="1">ROUNDUP((Y7+Y5)+(Tabla6[[#This Row],[Month 12]]*(Cashflow!$D$28-Cashflow!$D$30)+Z4)*LOG((Cashflow!$D$31-Y7)/Cashflow!$D$31+1,2),0)</f>
        <v>269444</v>
      </c>
      <c r="AA7">
        <f ca="1">ROUNDUP((Z7+Z5)+(Tabla6[[#This Row],[Month 12]]*(Cashflow!$D$28-Cashflow!$D$30)+AA4)*LOG((Cashflow!$D$31-Z7)/Cashflow!$D$31+1,2),0)</f>
        <v>294963</v>
      </c>
      <c r="AB7">
        <f ca="1">ROUNDUP((AA7+AA5)+(Tabla6[[#This Row],[Month 12]]*(Cashflow!$D$28-Cashflow!$D$30)+AB4)*LOG((Cashflow!$D$31-AA7)/Cashflow!$D$31+1,2),0)</f>
        <v>320653</v>
      </c>
      <c r="AC7">
        <f ca="1">ROUNDUP((AB7+AB5)+(Tabla6[[#This Row],[Month 13]]*(Cashflow!$D$28-Cashflow!$D$30)+AC4)*LOG((Cashflow!$D$31-AB7)/Cashflow!$D$31+1,2),0)</f>
        <v>348638</v>
      </c>
      <c r="AD7">
        <f ca="1">ROUNDUP((AC7+AC5)+(Tabla6[[#This Row],[Month 13]]*(Cashflow!$D$28-Cashflow!$D$30)+AD4)*LOG((Cashflow!$D$31-AC7)/Cashflow!$D$31+1,2),0)</f>
        <v>376770</v>
      </c>
      <c r="AE7">
        <f ca="1">ROUNDUP((AD7+AD5)+(Tabla6[[#This Row],[Month 13]]*(Cashflow!$D$28-Cashflow!$D$30)+AE4)*LOG((Cashflow!$D$31-AD7)/Cashflow!$D$31+1,2),0)</f>
        <v>415936</v>
      </c>
      <c r="AF7">
        <f ca="1">ROUNDUP((AE7+AE5)+(Tabla6[[#This Row],[Month 14]]*(Cashflow!$D$28-Cashflow!$D$30)+AF4)*LOG((Cashflow!$D$31-AE7)/Cashflow!$D$31+1,2),0)</f>
        <v>446634</v>
      </c>
      <c r="AG7">
        <f ca="1">ROUNDUP((AF7+AF5)+(Tabla6[[#This Row],[Month 14]]*(Cashflow!$D$28-Cashflow!$D$30)+AG4)*LOG((Cashflow!$D$31-AF7)/Cashflow!$D$31+1,2),0)</f>
        <v>477444</v>
      </c>
      <c r="AH7">
        <f ca="1">ROUNDUP((AG7+AG5)+(Tabla6[[#This Row],[Month 14]]*(Cashflow!$D$28-Cashflow!$D$30)+AH4)*LOG((Cashflow!$D$31-AG7)/Cashflow!$D$31+1,2),0)</f>
        <v>508362</v>
      </c>
      <c r="AI7">
        <f ca="1">ROUNDUP((AH7+AH5)+(Tabla6[[#This Row],[Month 15]]*(Cashflow!$D$28-Cashflow!$D$30)+AI4)*LOG((Cashflow!$D$31-AH7)/Cashflow!$D$31+1,2),0)</f>
        <v>541708</v>
      </c>
      <c r="AJ7">
        <f ca="1">ROUNDUP((AI7+AI5)+(Tabla6[[#This Row],[Month 15]]*(Cashflow!$D$28-Cashflow!$D$30)+AJ4)*LOG((Cashflow!$D$31-AI7)/Cashflow!$D$31+1,2),0)</f>
        <v>575128</v>
      </c>
      <c r="AK7">
        <f ca="1">ROUNDUP((AJ7+AJ5)+(Tabla6[[#This Row],[Month 15]]*(Cashflow!$D$28-Cashflow!$D$30)+AK4)*LOG((Cashflow!$D$31-AJ7)/Cashflow!$D$31+1,2),0)</f>
        <v>608619</v>
      </c>
      <c r="AL7">
        <f ca="1">ROUNDUP((AK7+AK5)+(Tabla6[[#This Row],[Month 16]]*(Cashflow!$D$28-Cashflow!$D$30)+AL4)*LOG((Cashflow!$D$31-AK7)/Cashflow!$D$31+1,2),0)</f>
        <v>644482</v>
      </c>
      <c r="AM7">
        <f ca="1">ROUNDUP((AL7+AL5)+(Tabla6[[#This Row],[Month 16]]*(Cashflow!$D$28-Cashflow!$D$30)+AM4)*LOG((Cashflow!$D$31-AL7)/Cashflow!$D$31+1,2),0)</f>
        <v>680380</v>
      </c>
      <c r="AN7">
        <f ca="1">ROUNDUP((AM7+AM5)+(Tabla6[[#This Row],[Month 16]]*(Cashflow!$D$28-Cashflow!$D$30)+AN4)*LOG((Cashflow!$D$31-AM7)/Cashflow!$D$31+1,2),0)</f>
        <v>716309</v>
      </c>
      <c r="AO7">
        <f ca="1">ROUNDUP((AN7+AN5)+(Tabla6[[#This Row],[Month 17]]*(Cashflow!$D$28-Cashflow!$D$30)+AO4)*LOG((Cashflow!$D$31-AN7)/Cashflow!$D$31+1,2),0)</f>
        <v>754756</v>
      </c>
      <c r="AP7">
        <f ca="1">ROUNDUP((AO7+AO5)+(Tabla6[[#This Row],[Month 17]]*(Cashflow!$D$28-Cashflow!$D$30)+AP4)*LOG((Cashflow!$D$31-AO7)/Cashflow!$D$31+1,2),0)</f>
        <v>793192</v>
      </c>
      <c r="AQ7">
        <f ca="1">ROUNDUP((AP7+AP5)+(Tabla6[[#This Row],[Month 17]]*(Cashflow!$D$28-Cashflow!$D$30)+AQ4)*LOG((Cashflow!$D$31-AP7)/Cashflow!$D$31+1,2),0)</f>
        <v>841673</v>
      </c>
      <c r="AR7">
        <f ca="1">ROUNDUP((AQ7+AQ5)+(Tabla6[[#This Row],[Month 18]]*(Cashflow!$D$28-Cashflow!$D$30)+AR4)*LOG((Cashflow!$D$31-AQ7)/Cashflow!$D$31+1,2),0)</f>
        <v>882458</v>
      </c>
      <c r="AS7">
        <f ca="1">ROUNDUP((AR7+AR5)+(Tabla6[[#This Row],[Month 18]]*(Cashflow!$D$28-Cashflow!$D$30)+AS4)*LOG((Cashflow!$D$31-AR7)/Cashflow!$D$31+1,2),0)</f>
        <v>923183</v>
      </c>
      <c r="AT7">
        <f ca="1">ROUNDUP((AS7+AS5)+(Tabla6[[#This Row],[Month 18]]*(Cashflow!$D$28-Cashflow!$D$30)+AT4)*LOG((Cashflow!$D$31-AS7)/Cashflow!$D$31+1,2),0)</f>
        <v>963844</v>
      </c>
      <c r="AU7">
        <f ca="1">ROUNDUP((AT7+AT5)+(Tabla6[[#This Row],[Month 19]]*(Cashflow!$D$28-Cashflow!$D$30)+AU4)*LOG((Cashflow!$D$31-AT7)/Cashflow!$D$31+1,2),0)</f>
        <v>1006853</v>
      </c>
      <c r="AV7">
        <f ca="1">ROUNDUP((AU7+AU5)+(Tabla6[[#This Row],[Month 19]]*(Cashflow!$D$28-Cashflow!$D$30)+AV4)*LOG((Cashflow!$D$31-AU7)/Cashflow!$D$31+1,2),0)</f>
        <v>1049751</v>
      </c>
      <c r="AW7">
        <f ca="1">ROUNDUP((AV7+AV5)+(Tabla6[[#This Row],[Month 19]]*(Cashflow!$D$28-Cashflow!$D$30)+AW4)*LOG((Cashflow!$D$31-AV7)/Cashflow!$D$31+1,2),0)</f>
        <v>1092532</v>
      </c>
      <c r="AX7">
        <f ca="1">ROUNDUP((AW7+AW5)+(Tabla6[[#This Row],[Month 10]]*(Cashflow!$D$28-Cashflow!$D$30)+AX4)*LOG((Cashflow!$D$31-AW7)/Cashflow!$D$31+1,2),0)</f>
        <v>1116337</v>
      </c>
      <c r="AY7">
        <f ca="1">ROUNDUP((AX7+AX5)+(Tabla6[[#This Row],[Month 11]]*(Cashflow!$D$28-Cashflow!$D$30)+AY4)*LOG((Cashflow!$D$31-AX7)/Cashflow!$D$31+1,2),0)</f>
        <v>1142078</v>
      </c>
      <c r="AZ7">
        <f ca="1">ROUNDUP((AY7+AY5)+(Tabla6[[#This Row],[Month 11]]*(Cashflow!$D$28-Cashflow!$D$30)+AZ4)*LOG((Cashflow!$D$31-AY7)/Cashflow!$D$31+1,2),0)</f>
        <v>1167919</v>
      </c>
      <c r="BA7">
        <f ca="1">ROUNDUP((AZ7+AZ5)+(Tabla6[[#This Row],[Month 11]]*(Cashflow!$D$28-Cashflow!$D$30)+BA4)*LOG((Cashflow!$D$31-AZ7)/Cashflow!$D$31+1,2),0)</f>
        <v>1193856</v>
      </c>
      <c r="BB7">
        <f ca="1">ROUNDUP((BA7+BA5)+(Tabla6[[#This Row],[Month 12]]*(Cashflow!$D$28-Cashflow!$D$30)+BB4)*LOG((Cashflow!$D$31-BA7)/Cashflow!$D$31+1,2),0)</f>
        <v>1221694</v>
      </c>
      <c r="BC7">
        <f ca="1">ROUNDUP((BB7+BB5)+(Tabla6[[#This Row],[Month 12]]*(Cashflow!$D$28-Cashflow!$D$30)+BC4)*LOG((Cashflow!$D$31-BB7)/Cashflow!$D$31+1,2),0)</f>
        <v>1258805</v>
      </c>
      <c r="BD7">
        <f ca="1">ROUNDUP((BC7+BC5)+(Tabla6[[#This Row],[Month 12]]*(Cashflow!$D$28-Cashflow!$D$30)+BD4)*LOG((Cashflow!$D$31-BC7)/Cashflow!$D$31+1,2),0)</f>
        <v>1286726</v>
      </c>
      <c r="BE7">
        <f ca="1">ROUNDUP((BD7+BD5)+(Tabla6[[#This Row],[Month 13]]*(Cashflow!$D$28-Cashflow!$D$30)+BE4)*LOG((Cashflow!$D$31-BD7)/Cashflow!$D$31+1,2),0)</f>
        <v>1316503</v>
      </c>
      <c r="BF7">
        <f ca="1">ROUNDUP((BE7+BE5)+(Tabla6[[#This Row],[Month 13]]*(Cashflow!$D$28-Cashflow!$D$30)+BF4)*LOG((Cashflow!$D$31-BE7)/Cashflow!$D$31+1,2),0)</f>
        <v>1346319</v>
      </c>
    </row>
    <row r="8" spans="2:58" x14ac:dyDescent="0.35">
      <c r="B8" s="236"/>
      <c r="C8" s="236"/>
      <c r="D8" s="236"/>
      <c r="E8" s="236"/>
      <c r="F8" s="236"/>
      <c r="I8" t="s">
        <v>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f ca="1">ROUNDUP(R7*Cashflow!$D$29,0)</f>
        <v>2871</v>
      </c>
      <c r="S8">
        <f ca="1">ROUNDUP(S7*Cashflow!$D$29,0)</f>
        <v>4618</v>
      </c>
      <c r="T8">
        <f ca="1">ROUNDUP(T7*Cashflow!$D$29,0)</f>
        <v>5412</v>
      </c>
      <c r="U8">
        <f ca="1">ROUNDUP(U7*Cashflow!$D$29,0)</f>
        <v>6214</v>
      </c>
      <c r="V8">
        <f ca="1">ROUNDUP(V7*Cashflow!$D$29,0)</f>
        <v>7026</v>
      </c>
      <c r="W8">
        <f ca="1">ROUNDUP(W7*Cashflow!$D$29,0)</f>
        <v>7931</v>
      </c>
      <c r="X8">
        <f ca="1">ROUNDUP(X7*Cashflow!$D$29,0)</f>
        <v>8844</v>
      </c>
      <c r="Y8">
        <f ca="1">ROUNDUP(Y7*Cashflow!$D$29,0)</f>
        <v>9764</v>
      </c>
      <c r="Z8">
        <f ca="1">ROUNDUP(Z7*Cashflow!$D$29,0)</f>
        <v>10778</v>
      </c>
      <c r="AA8">
        <f ca="1">ROUNDUP(AA7*Cashflow!$D$29,0)</f>
        <v>11799</v>
      </c>
      <c r="AB8">
        <f ca="1">ROUNDUP(AB7*Cashflow!$D$29,0)</f>
        <v>12827</v>
      </c>
      <c r="AC8">
        <f ca="1">ROUNDUP(AC7*Cashflow!$D$29,0)</f>
        <v>13946</v>
      </c>
      <c r="AD8">
        <f ca="1">ROUNDUP(AD7*Cashflow!$D$29,0)</f>
        <v>15071</v>
      </c>
      <c r="AE8">
        <f ca="1">ROUNDUP(AE7*Cashflow!$D$29,0)</f>
        <v>16638</v>
      </c>
      <c r="AF8">
        <f ca="1">ROUNDUP(AF7*Cashflow!$D$29,0)</f>
        <v>17866</v>
      </c>
      <c r="AG8">
        <f ca="1">ROUNDUP(AG7*Cashflow!$D$29,0)</f>
        <v>19098</v>
      </c>
      <c r="AH8">
        <f ca="1">ROUNDUP(AH7*Cashflow!$D$29,0)</f>
        <v>20335</v>
      </c>
      <c r="AI8">
        <f ca="1">ROUNDUP(AI7*Cashflow!$D$29,0)</f>
        <v>21669</v>
      </c>
      <c r="AJ8">
        <f ca="1">ROUNDUP(AJ7*Cashflow!$D$29,0)</f>
        <v>23006</v>
      </c>
      <c r="AK8">
        <f ca="1">ROUNDUP(AK7*Cashflow!$D$29,0)</f>
        <v>24345</v>
      </c>
      <c r="AL8">
        <f ca="1">ROUNDUP(AL7*Cashflow!$D$29,0)</f>
        <v>25780</v>
      </c>
      <c r="AM8">
        <f ca="1">ROUNDUP(AM7*Cashflow!$D$29,0)</f>
        <v>27216</v>
      </c>
      <c r="AN8">
        <f ca="1">ROUNDUP(AN7*Cashflow!$D$29,0)</f>
        <v>28653</v>
      </c>
      <c r="AO8">
        <f ca="1">ROUNDUP(AO7*Cashflow!$D$29,0)</f>
        <v>30191</v>
      </c>
      <c r="AP8">
        <f ca="1">ROUNDUP(AP7*Cashflow!$D$29,0)</f>
        <v>31728</v>
      </c>
      <c r="AQ8">
        <f ca="1">ROUNDUP(AQ7*Cashflow!$D$29,0)</f>
        <v>33667</v>
      </c>
      <c r="AR8">
        <f ca="1">ROUNDUP(AR7*Cashflow!$D$29,0)</f>
        <v>35299</v>
      </c>
      <c r="AS8">
        <f ca="1">ROUNDUP(AS7*Cashflow!$D$29,0)</f>
        <v>36928</v>
      </c>
      <c r="AT8">
        <f ca="1">ROUNDUP(AT7*Cashflow!$D$29,0)</f>
        <v>38554</v>
      </c>
      <c r="AU8">
        <f ca="1">ROUNDUP(AU7*Cashflow!$D$29,0)</f>
        <v>40275</v>
      </c>
      <c r="AV8">
        <f ca="1">ROUNDUP(AV7*Cashflow!$D$29,0)</f>
        <v>41991</v>
      </c>
      <c r="AW8">
        <f ca="1">ROUNDUP(AW7*Cashflow!$D$29,0)</f>
        <v>43702</v>
      </c>
      <c r="AX8">
        <f ca="1">ROUNDUP(AX7*Cashflow!$D$29,0)</f>
        <v>44654</v>
      </c>
      <c r="AY8">
        <f ca="1">ROUNDUP(AY7*Cashflow!$D$29,0)</f>
        <v>45684</v>
      </c>
      <c r="AZ8">
        <f ca="1">ROUNDUP(AZ7*Cashflow!$D$29,0)</f>
        <v>46717</v>
      </c>
      <c r="BA8">
        <f ca="1">ROUNDUP(BA7*Cashflow!$D$29,0)</f>
        <v>47755</v>
      </c>
      <c r="BB8">
        <f ca="1">ROUNDUP(BB7*Cashflow!$D$29,0)</f>
        <v>48868</v>
      </c>
      <c r="BC8">
        <f ca="1">ROUNDUP(BC7*Cashflow!$D$29,0)</f>
        <v>50353</v>
      </c>
      <c r="BD8">
        <f ca="1">ROUNDUP(BD7*Cashflow!$D$29,0)</f>
        <v>51470</v>
      </c>
      <c r="BE8">
        <f ca="1">ROUNDUP(BE7*Cashflow!$D$29,0)</f>
        <v>52661</v>
      </c>
      <c r="BF8">
        <f ca="1">ROUNDUP(BF7*Cashflow!$D$29,0)</f>
        <v>53853</v>
      </c>
    </row>
    <row r="9" spans="2:58" x14ac:dyDescent="0.35">
      <c r="B9" s="236"/>
      <c r="C9" s="236"/>
      <c r="D9" s="236"/>
      <c r="E9" s="236"/>
      <c r="F9" s="236"/>
      <c r="I9" t="s">
        <v>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f ca="1">ROUNDUP((R8-Q8)*Cashflow!$D$32,0)</f>
        <v>1149</v>
      </c>
      <c r="S9">
        <f ca="1">ROUNDUP((S8-R8)*Cashflow!$D$32,0)</f>
        <v>699</v>
      </c>
      <c r="T9">
        <f ca="1">ROUNDUP((T8-S8)*Cashflow!$D$32,0)</f>
        <v>318</v>
      </c>
      <c r="U9">
        <f ca="1">ROUNDUP((U8-T8)*Cashflow!$D$32,0)</f>
        <v>321</v>
      </c>
      <c r="V9">
        <f ca="1">ROUNDUP((V8-U8)*Cashflow!$D$32,0)</f>
        <v>325</v>
      </c>
      <c r="W9">
        <f ca="1">ROUNDUP((W8-V8)*Cashflow!$D$32,0)</f>
        <v>362</v>
      </c>
      <c r="X9">
        <f ca="1">ROUNDUP((X8-W8)*Cashflow!$D$32,0)</f>
        <v>366</v>
      </c>
      <c r="Y9">
        <f ca="1">ROUNDUP((Y8-X8)*Cashflow!$D$32,0)</f>
        <v>368</v>
      </c>
      <c r="Z9">
        <f ca="1">ROUNDUP((Z8-Y8)*Cashflow!$D$32,0)</f>
        <v>406</v>
      </c>
      <c r="AA9">
        <f ca="1">ROUNDUP((AA8-Z8)*Cashflow!$D$32,0)</f>
        <v>409</v>
      </c>
      <c r="AB9">
        <f ca="1">ROUNDUP((AB8-AA8)*Cashflow!$D$32,0)</f>
        <v>412</v>
      </c>
      <c r="AC9">
        <f ca="1">ROUNDUP((AC8-AB8)*Cashflow!$D$32,0)</f>
        <v>448</v>
      </c>
      <c r="AD9">
        <f ca="1">ROUNDUP((AD8-AC8)*Cashflow!$D$32,0)</f>
        <v>450</v>
      </c>
      <c r="AE9">
        <f ca="1">ROUNDUP((AE8-AD8)*Cashflow!$D$32,0)</f>
        <v>627</v>
      </c>
      <c r="AF9">
        <f ca="1">ROUNDUP((AF8-AE8)*Cashflow!$D$32,0)</f>
        <v>492</v>
      </c>
      <c r="AG9">
        <f ca="1">ROUNDUP((AG8-AF8)*Cashflow!$D$32,0)</f>
        <v>493</v>
      </c>
      <c r="AH9">
        <f ca="1">ROUNDUP((AH8-AG8)*Cashflow!$D$32,0)</f>
        <v>495</v>
      </c>
      <c r="AI9">
        <f ca="1">ROUNDUP((AI8-AH8)*Cashflow!$D$32,0)</f>
        <v>534</v>
      </c>
      <c r="AJ9">
        <f ca="1">ROUNDUP((AJ8-AI8)*Cashflow!$D$32,0)</f>
        <v>535</v>
      </c>
      <c r="AK9">
        <f ca="1">ROUNDUP((AK8-AJ8)*Cashflow!$D$32,0)</f>
        <v>536</v>
      </c>
      <c r="AL9">
        <f ca="1">ROUNDUP((AL8-AK8)*Cashflow!$D$32,0)</f>
        <v>574</v>
      </c>
      <c r="AM9">
        <f ca="1">ROUNDUP((AM8-AL8)*Cashflow!$D$32,0)</f>
        <v>575</v>
      </c>
      <c r="AN9">
        <f ca="1">ROUNDUP((AN8-AM8)*Cashflow!$D$32,0)</f>
        <v>575</v>
      </c>
      <c r="AO9">
        <f ca="1">ROUNDUP((AO8-AN8)*Cashflow!$D$32,0)</f>
        <v>616</v>
      </c>
      <c r="AP9">
        <f ca="1">ROUNDUP((AP8-AO8)*Cashflow!$D$32,0)</f>
        <v>615</v>
      </c>
      <c r="AQ9">
        <f ca="1">ROUNDUP((AQ8-AP8)*Cashflow!$D$32,0)</f>
        <v>776</v>
      </c>
      <c r="AR9">
        <f ca="1">ROUNDUP((AR8-AQ8)*Cashflow!$D$32,0)</f>
        <v>653</v>
      </c>
      <c r="AS9">
        <f ca="1">ROUNDUP((AS8-AR8)*Cashflow!$D$32,0)</f>
        <v>652</v>
      </c>
      <c r="AT9">
        <f ca="1">ROUNDUP((AT8-AS8)*Cashflow!$D$32,0)</f>
        <v>651</v>
      </c>
      <c r="AU9">
        <f ca="1">ROUNDUP((AU8-AT8)*Cashflow!$D$32,0)</f>
        <v>689</v>
      </c>
      <c r="AV9">
        <f ca="1">ROUNDUP((AV8-AU8)*Cashflow!$D$32,0)</f>
        <v>687</v>
      </c>
      <c r="AW9">
        <f ca="1">ROUNDUP((AW8-AV8)*Cashflow!$D$32,0)</f>
        <v>685</v>
      </c>
      <c r="AX9">
        <f ca="1">ROUNDUP((AX8-AW8)*Cashflow!$D$32,0)</f>
        <v>381</v>
      </c>
      <c r="AY9">
        <f ca="1">ROUNDUP((AY8-AX8)*Cashflow!$D$32,0)</f>
        <v>412</v>
      </c>
      <c r="AZ9">
        <f ca="1">ROUNDUP((AZ8-AY8)*Cashflow!$D$32,0)</f>
        <v>414</v>
      </c>
      <c r="BA9">
        <f ca="1">ROUNDUP((BA8-AZ8)*Cashflow!$D$32,0)</f>
        <v>416</v>
      </c>
      <c r="BB9">
        <f ca="1">ROUNDUP((BB8-BA8)*Cashflow!$D$32,0)</f>
        <v>446</v>
      </c>
      <c r="BC9">
        <f ca="1">ROUNDUP((BC8-BB8)*Cashflow!$D$32,0)</f>
        <v>594</v>
      </c>
      <c r="BD9">
        <f ca="1">ROUNDUP((BD8-BC8)*Cashflow!$D$32,0)</f>
        <v>447</v>
      </c>
      <c r="BE9">
        <f ca="1">ROUNDUP((BE8-BD8)*Cashflow!$D$32,0)</f>
        <v>477</v>
      </c>
      <c r="BF9">
        <f ca="1">ROUNDUP((BF8-BE8)*Cashflow!$D$32,0)</f>
        <v>477</v>
      </c>
    </row>
    <row r="10" spans="2:58" x14ac:dyDescent="0.35">
      <c r="B10" s="236"/>
      <c r="C10" s="236"/>
      <c r="D10" s="236"/>
      <c r="E10" s="236"/>
      <c r="F10" s="236"/>
      <c r="I10" t="s">
        <v>82</v>
      </c>
      <c r="J10" s="12">
        <f>J8*Cashflow!$D$34</f>
        <v>0</v>
      </c>
      <c r="K10" s="12">
        <f>K8*Cashflow!$D$34</f>
        <v>0</v>
      </c>
      <c r="L10" s="12">
        <f>L8*Cashflow!$D$34</f>
        <v>0</v>
      </c>
      <c r="M10" s="12">
        <f>M8*Cashflow!$D$34</f>
        <v>0</v>
      </c>
      <c r="N10" s="12">
        <f>N8*Cashflow!$D$34</f>
        <v>0</v>
      </c>
      <c r="O10" s="12">
        <f>O8*Cashflow!$D$34</f>
        <v>0</v>
      </c>
      <c r="P10" s="12">
        <f>P8*Cashflow!$D$34</f>
        <v>0</v>
      </c>
      <c r="Q10" s="12">
        <f>Q8*Cashflow!$D$34</f>
        <v>0</v>
      </c>
      <c r="R10" s="12">
        <f ca="1">R8*Cashflow!$D$34</f>
        <v>28566.449999999997</v>
      </c>
      <c r="S10" s="12">
        <f ca="1">S8*Cashflow!$D$34</f>
        <v>45949.1</v>
      </c>
      <c r="T10" s="12">
        <f ca="1">T8*Cashflow!$D$34</f>
        <v>53849.399999999994</v>
      </c>
      <c r="U10" s="12">
        <f ca="1">U8*Cashflow!$D$34</f>
        <v>61829.299999999996</v>
      </c>
      <c r="V10" s="12">
        <f ca="1">V8*Cashflow!$D$34</f>
        <v>69908.7</v>
      </c>
      <c r="W10" s="12">
        <f ca="1">W8*Cashflow!$D$34</f>
        <v>78913.45</v>
      </c>
      <c r="X10" s="12">
        <f ca="1">X8*Cashflow!$D$34</f>
        <v>87997.799999999988</v>
      </c>
      <c r="Y10" s="12">
        <f ca="1">Y8*Cashflow!$D$34</f>
        <v>97151.799999999988</v>
      </c>
      <c r="Z10" s="12">
        <f ca="1">Z8*Cashflow!$D$34</f>
        <v>107241.09999999999</v>
      </c>
      <c r="AA10" s="12">
        <f ca="1">AA8*Cashflow!$D$34</f>
        <v>117400.04999999999</v>
      </c>
      <c r="AB10" s="12">
        <f ca="1">AB8*Cashflow!$D$34</f>
        <v>127628.65</v>
      </c>
      <c r="AC10" s="12">
        <f ca="1">AC8*Cashflow!$D$34</f>
        <v>138762.69999999998</v>
      </c>
      <c r="AD10" s="12">
        <f ca="1">AD8*Cashflow!$D$34</f>
        <v>149956.44999999998</v>
      </c>
      <c r="AE10" s="12">
        <f ca="1">AE8*Cashflow!$D$34</f>
        <v>165548.09999999998</v>
      </c>
      <c r="AF10" s="12">
        <f ca="1">AF8*Cashflow!$D$34</f>
        <v>177766.69999999998</v>
      </c>
      <c r="AG10" s="12">
        <f ca="1">AG8*Cashflow!$D$34</f>
        <v>190025.09999999998</v>
      </c>
      <c r="AH10" s="12">
        <f ca="1">AH8*Cashflow!$D$34</f>
        <v>202333.25</v>
      </c>
      <c r="AI10" s="12">
        <f ca="1">AI8*Cashflow!$D$34</f>
        <v>215606.55</v>
      </c>
      <c r="AJ10" s="12">
        <f ca="1">AJ8*Cashflow!$D$34</f>
        <v>228909.69999999998</v>
      </c>
      <c r="AK10" s="12">
        <f ca="1">AK8*Cashflow!$D$34</f>
        <v>242232.74999999997</v>
      </c>
      <c r="AL10" s="12">
        <f ca="1">AL8*Cashflow!$D$34</f>
        <v>256510.99999999997</v>
      </c>
      <c r="AM10" s="12">
        <f ca="1">AM8*Cashflow!$D$34</f>
        <v>270799.19999999995</v>
      </c>
      <c r="AN10" s="12">
        <f ca="1">AN8*Cashflow!$D$34</f>
        <v>285097.34999999998</v>
      </c>
      <c r="AO10" s="12">
        <f ca="1">AO8*Cashflow!$D$34</f>
        <v>300400.44999999995</v>
      </c>
      <c r="AP10" s="12">
        <f ca="1">AP8*Cashflow!$D$34</f>
        <v>315693.59999999998</v>
      </c>
      <c r="AQ10" s="12">
        <f ca="1">AQ8*Cashflow!$D$34</f>
        <v>334986.64999999997</v>
      </c>
      <c r="AR10" s="12">
        <f ca="1">AR8*Cashflow!$D$34</f>
        <v>351225.05</v>
      </c>
      <c r="AS10" s="12">
        <f ca="1">AS8*Cashflow!$D$34</f>
        <v>367433.6</v>
      </c>
      <c r="AT10" s="12">
        <f ca="1">AT8*Cashflow!$D$34</f>
        <v>383612.3</v>
      </c>
      <c r="AU10" s="12">
        <f ca="1">AU8*Cashflow!$D$34</f>
        <v>400736.25</v>
      </c>
      <c r="AV10" s="12">
        <f ca="1">AV8*Cashflow!$D$34</f>
        <v>417810.44999999995</v>
      </c>
      <c r="AW10" s="12">
        <f ca="1">AW8*Cashflow!$D$34</f>
        <v>434834.89999999997</v>
      </c>
      <c r="AX10" s="12">
        <f ca="1">AX8*Cashflow!$D$34</f>
        <v>444307.3</v>
      </c>
      <c r="AY10" s="12">
        <f ca="1">AY8*Cashflow!$D$34</f>
        <v>454555.8</v>
      </c>
      <c r="AZ10" s="12">
        <f ca="1">AZ8*Cashflow!$D$34</f>
        <v>464834.14999999997</v>
      </c>
      <c r="BA10" s="12">
        <f ca="1">BA8*Cashflow!$D$34</f>
        <v>475162.24999999994</v>
      </c>
      <c r="BB10" s="12">
        <f ca="1">BB8*Cashflow!$D$34</f>
        <v>486236.6</v>
      </c>
      <c r="BC10" s="12">
        <f ca="1">BC8*Cashflow!$D$34</f>
        <v>501012.35</v>
      </c>
      <c r="BD10" s="12">
        <f ca="1">BD8*Cashflow!$D$34</f>
        <v>512126.49999999994</v>
      </c>
      <c r="BE10" s="12">
        <f ca="1">BE8*Cashflow!$D$34</f>
        <v>523976.94999999995</v>
      </c>
      <c r="BF10" s="12">
        <f ca="1">BF8*Cashflow!$D$34</f>
        <v>535837.35</v>
      </c>
    </row>
    <row r="11" spans="2:58" x14ac:dyDescent="0.35">
      <c r="B11" s="236"/>
      <c r="C11" s="236"/>
      <c r="D11" s="236"/>
      <c r="E11" s="236"/>
      <c r="F11" s="236"/>
      <c r="I11" t="s">
        <v>83</v>
      </c>
      <c r="J11" s="12">
        <f>J9*Cashflow!$D$33</f>
        <v>0</v>
      </c>
      <c r="K11" s="12">
        <f>K9*Cashflow!$D$33</f>
        <v>0</v>
      </c>
      <c r="L11" s="12">
        <f>L9*Cashflow!$D$33</f>
        <v>0</v>
      </c>
      <c r="M11" s="12">
        <f>M9*Cashflow!$D$33</f>
        <v>0</v>
      </c>
      <c r="N11" s="12">
        <f>N9*Cashflow!$D$33</f>
        <v>0</v>
      </c>
      <c r="O11" s="12">
        <f>O9*Cashflow!$D$33</f>
        <v>0</v>
      </c>
      <c r="P11" s="12">
        <f>P9*Cashflow!$D$33</f>
        <v>0</v>
      </c>
      <c r="Q11" s="12">
        <f>Q9*Cashflow!$D$33</f>
        <v>0</v>
      </c>
      <c r="R11" s="12">
        <f ca="1">R9*Cashflow!$D$33</f>
        <v>22922.55</v>
      </c>
      <c r="S11" s="12">
        <f ca="1">S9*Cashflow!$D$33</f>
        <v>13945.05</v>
      </c>
      <c r="T11" s="12">
        <f ca="1">T9*Cashflow!$D$33</f>
        <v>6344.0999999999995</v>
      </c>
      <c r="U11" s="12">
        <f ca="1">U9*Cashflow!$D$33</f>
        <v>6403.95</v>
      </c>
      <c r="V11" s="12">
        <f ca="1">V9*Cashflow!$D$33</f>
        <v>6483.75</v>
      </c>
      <c r="W11" s="12">
        <f ca="1">W9*Cashflow!$D$33</f>
        <v>7221.9</v>
      </c>
      <c r="X11" s="12">
        <f ca="1">X9*Cashflow!$D$33</f>
        <v>7301.7</v>
      </c>
      <c r="Y11" s="12">
        <f ca="1">Y9*Cashflow!$D$33</f>
        <v>7341.5999999999995</v>
      </c>
      <c r="Z11" s="12">
        <f ca="1">Z9*Cashflow!$D$33</f>
        <v>8099.7</v>
      </c>
      <c r="AA11" s="12">
        <f ca="1">AA9*Cashflow!$D$33</f>
        <v>8159.5499999999993</v>
      </c>
      <c r="AB11" s="12">
        <f ca="1">AB9*Cashflow!$D$33</f>
        <v>8219.4</v>
      </c>
      <c r="AC11" s="12">
        <f ca="1">AC9*Cashflow!$D$33</f>
        <v>8937.6</v>
      </c>
      <c r="AD11" s="12">
        <f ca="1">AD9*Cashflow!$D$33</f>
        <v>8977.5</v>
      </c>
      <c r="AE11" s="12">
        <f ca="1">AE9*Cashflow!$D$33</f>
        <v>12508.65</v>
      </c>
      <c r="AF11" s="12">
        <f ca="1">AF9*Cashflow!$D$33</f>
        <v>9815.4</v>
      </c>
      <c r="AG11" s="12">
        <f ca="1">AG9*Cashflow!$D$33</f>
        <v>9835.35</v>
      </c>
      <c r="AH11" s="12">
        <f ca="1">AH9*Cashflow!$D$33</f>
        <v>9875.25</v>
      </c>
      <c r="AI11" s="12">
        <f ca="1">AI9*Cashflow!$D$33</f>
        <v>10653.3</v>
      </c>
      <c r="AJ11" s="12">
        <f ca="1">AJ9*Cashflow!$D$33</f>
        <v>10673.25</v>
      </c>
      <c r="AK11" s="12">
        <f ca="1">AK9*Cashflow!$D$33</f>
        <v>10693.199999999999</v>
      </c>
      <c r="AL11" s="12">
        <f ca="1">AL9*Cashflow!$D$33</f>
        <v>11451.3</v>
      </c>
      <c r="AM11" s="12">
        <f ca="1">AM9*Cashflow!$D$33</f>
        <v>11471.25</v>
      </c>
      <c r="AN11" s="12">
        <f ca="1">AN9*Cashflow!$D$33</f>
        <v>11471.25</v>
      </c>
      <c r="AO11" s="12">
        <f ca="1">AO9*Cashflow!$D$33</f>
        <v>12289.199999999999</v>
      </c>
      <c r="AP11" s="12">
        <f ca="1">AP9*Cashflow!$D$33</f>
        <v>12269.25</v>
      </c>
      <c r="AQ11" s="12">
        <f ca="1">AQ9*Cashflow!$D$33</f>
        <v>15481.199999999999</v>
      </c>
      <c r="AR11" s="12">
        <f ca="1">AR9*Cashflow!$D$33</f>
        <v>13027.35</v>
      </c>
      <c r="AS11" s="12">
        <f ca="1">AS9*Cashflow!$D$33</f>
        <v>13007.4</v>
      </c>
      <c r="AT11" s="12">
        <f ca="1">AT9*Cashflow!$D$33</f>
        <v>12987.449999999999</v>
      </c>
      <c r="AU11" s="12">
        <f ca="1">AU9*Cashflow!$D$33</f>
        <v>13745.55</v>
      </c>
      <c r="AV11" s="12">
        <f ca="1">AV9*Cashflow!$D$33</f>
        <v>13705.65</v>
      </c>
      <c r="AW11" s="12">
        <f ca="1">AW9*Cashflow!$D$33</f>
        <v>13665.75</v>
      </c>
      <c r="AX11" s="12">
        <f ca="1">AX9*Cashflow!$D$33</f>
        <v>7600.95</v>
      </c>
      <c r="AY11" s="12">
        <f ca="1">AY9*Cashflow!$D$33</f>
        <v>8219.4</v>
      </c>
      <c r="AZ11" s="12">
        <f ca="1">AZ9*Cashflow!$D$33</f>
        <v>8259.2999999999993</v>
      </c>
      <c r="BA11" s="12">
        <f ca="1">BA9*Cashflow!$D$33</f>
        <v>8299.1999999999989</v>
      </c>
      <c r="BB11" s="12">
        <f ca="1">BB9*Cashflow!$D$33</f>
        <v>8897.6999999999989</v>
      </c>
      <c r="BC11" s="12">
        <f ca="1">BC9*Cashflow!$D$33</f>
        <v>11850.3</v>
      </c>
      <c r="BD11" s="12">
        <f ca="1">BD9*Cashflow!$D$33</f>
        <v>8917.65</v>
      </c>
      <c r="BE11" s="12">
        <f ca="1">BE9*Cashflow!$D$33</f>
        <v>9516.15</v>
      </c>
      <c r="BF11" s="12">
        <f ca="1">BF9*Cashflow!$D$33</f>
        <v>9516.15</v>
      </c>
    </row>
    <row r="12" spans="2:58" x14ac:dyDescent="0.35">
      <c r="B12" s="236"/>
      <c r="C12" s="236"/>
      <c r="D12" s="236"/>
      <c r="E12" s="236"/>
      <c r="F12" s="236"/>
      <c r="I12" t="s">
        <v>84</v>
      </c>
      <c r="J12" s="12">
        <f>J11+J10</f>
        <v>0</v>
      </c>
      <c r="K12" s="12">
        <f t="shared" ref="K12:AS12" si="1">K11+K10</f>
        <v>0</v>
      </c>
      <c r="L12" s="12">
        <f t="shared" si="1"/>
        <v>0</v>
      </c>
      <c r="M12" s="12">
        <f t="shared" si="1"/>
        <v>0</v>
      </c>
      <c r="N12" s="12">
        <f t="shared" si="1"/>
        <v>0</v>
      </c>
      <c r="O12" s="12">
        <f t="shared" si="1"/>
        <v>0</v>
      </c>
      <c r="P12" s="12">
        <f t="shared" si="1"/>
        <v>0</v>
      </c>
      <c r="Q12" s="12">
        <f t="shared" si="1"/>
        <v>0</v>
      </c>
      <c r="R12" s="12">
        <f t="shared" ca="1" si="1"/>
        <v>51489</v>
      </c>
      <c r="S12" s="12">
        <f t="shared" ca="1" si="1"/>
        <v>59894.149999999994</v>
      </c>
      <c r="T12" s="12">
        <f t="shared" ca="1" si="1"/>
        <v>60193.499999999993</v>
      </c>
      <c r="U12" s="12">
        <f t="shared" ca="1" si="1"/>
        <v>68233.25</v>
      </c>
      <c r="V12" s="12">
        <f t="shared" ca="1" si="1"/>
        <v>76392.45</v>
      </c>
      <c r="W12" s="12">
        <f t="shared" ca="1" si="1"/>
        <v>86135.349999999991</v>
      </c>
      <c r="X12" s="12">
        <f t="shared" ca="1" si="1"/>
        <v>95299.499999999985</v>
      </c>
      <c r="Y12" s="12">
        <f t="shared" ca="1" si="1"/>
        <v>104493.4</v>
      </c>
      <c r="Z12" s="12">
        <f t="shared" ca="1" si="1"/>
        <v>115340.79999999999</v>
      </c>
      <c r="AA12" s="12">
        <f t="shared" ca="1" si="1"/>
        <v>125559.59999999999</v>
      </c>
      <c r="AB12" s="12">
        <f t="shared" ca="1" si="1"/>
        <v>135848.04999999999</v>
      </c>
      <c r="AC12" s="12">
        <f t="shared" ca="1" si="1"/>
        <v>147700.29999999999</v>
      </c>
      <c r="AD12" s="12">
        <f t="shared" ca="1" si="1"/>
        <v>158933.94999999998</v>
      </c>
      <c r="AE12" s="12">
        <f t="shared" ca="1" si="1"/>
        <v>178056.74999999997</v>
      </c>
      <c r="AF12" s="12">
        <f t="shared" ca="1" si="1"/>
        <v>187582.09999999998</v>
      </c>
      <c r="AG12" s="12">
        <f t="shared" ca="1" si="1"/>
        <v>199860.44999999998</v>
      </c>
      <c r="AH12" s="12">
        <f t="shared" ca="1" si="1"/>
        <v>212208.5</v>
      </c>
      <c r="AI12" s="12">
        <f t="shared" ca="1" si="1"/>
        <v>226259.84999999998</v>
      </c>
      <c r="AJ12" s="12">
        <f t="shared" ca="1" si="1"/>
        <v>239582.94999999998</v>
      </c>
      <c r="AK12" s="12">
        <f t="shared" ca="1" si="1"/>
        <v>252925.94999999998</v>
      </c>
      <c r="AL12" s="12">
        <f t="shared" ca="1" si="1"/>
        <v>267962.3</v>
      </c>
      <c r="AM12" s="12">
        <f t="shared" ca="1" si="1"/>
        <v>282270.44999999995</v>
      </c>
      <c r="AN12" s="12">
        <f t="shared" ca="1" si="1"/>
        <v>296568.59999999998</v>
      </c>
      <c r="AO12" s="12">
        <f t="shared" ca="1" si="1"/>
        <v>312689.64999999997</v>
      </c>
      <c r="AP12" s="12">
        <f t="shared" ca="1" si="1"/>
        <v>327962.84999999998</v>
      </c>
      <c r="AQ12" s="12">
        <f t="shared" ca="1" si="1"/>
        <v>350467.85</v>
      </c>
      <c r="AR12" s="12">
        <f t="shared" ca="1" si="1"/>
        <v>364252.39999999997</v>
      </c>
      <c r="AS12" s="12">
        <f t="shared" ca="1" si="1"/>
        <v>380441</v>
      </c>
      <c r="AT12" s="12">
        <f t="shared" ref="AT12" ca="1" si="2">AT11+AT10</f>
        <v>396599.75</v>
      </c>
      <c r="AU12" s="12">
        <f t="shared" ref="AU12" ca="1" si="3">AU11+AU10</f>
        <v>414481.8</v>
      </c>
      <c r="AV12" s="12">
        <f t="shared" ref="AV12" ca="1" si="4">AV11+AV10</f>
        <v>431516.1</v>
      </c>
      <c r="AW12" s="12">
        <f t="shared" ref="AW12" ca="1" si="5">AW11+AW10</f>
        <v>448500.64999999997</v>
      </c>
      <c r="AX12" s="12">
        <f t="shared" ref="AX12" ca="1" si="6">AX11+AX10</f>
        <v>451908.25</v>
      </c>
      <c r="AY12" s="12">
        <f t="shared" ref="AY12" ca="1" si="7">AY11+AY10</f>
        <v>462775.2</v>
      </c>
      <c r="AZ12" s="12">
        <f t="shared" ref="AZ12" ca="1" si="8">AZ11+AZ10</f>
        <v>473093.44999999995</v>
      </c>
      <c r="BA12" s="12">
        <f t="shared" ref="BA12" ca="1" si="9">BA11+BA10</f>
        <v>483461.44999999995</v>
      </c>
      <c r="BB12" s="12">
        <f t="shared" ref="BB12" ca="1" si="10">BB11+BB10</f>
        <v>495134.3</v>
      </c>
      <c r="BC12" s="12">
        <f t="shared" ref="BC12" ca="1" si="11">BC11+BC10</f>
        <v>512862.64999999997</v>
      </c>
      <c r="BD12" s="12">
        <f t="shared" ref="BD12" ca="1" si="12">BD11+BD10</f>
        <v>521044.14999999997</v>
      </c>
      <c r="BE12" s="12">
        <f t="shared" ref="BE12:BF12" ca="1" si="13">BE11+BE10</f>
        <v>533493.1</v>
      </c>
      <c r="BF12" s="12">
        <f t="shared" ca="1" si="13"/>
        <v>545353.5</v>
      </c>
    </row>
    <row r="13" spans="2:58" x14ac:dyDescent="0.35">
      <c r="B13" s="236"/>
      <c r="C13" s="236"/>
      <c r="D13" s="236"/>
      <c r="E13" s="236"/>
      <c r="F13" s="236"/>
      <c r="I13" t="s">
        <v>135</v>
      </c>
      <c r="J13" s="12">
        <f>J12</f>
        <v>0</v>
      </c>
      <c r="K13" s="12">
        <f>K12+J13</f>
        <v>0</v>
      </c>
      <c r="L13" s="12">
        <f t="shared" ref="L13:AS13" si="14">L12+K13</f>
        <v>0</v>
      </c>
      <c r="M13" s="12">
        <f t="shared" si="14"/>
        <v>0</v>
      </c>
      <c r="N13" s="12">
        <f t="shared" si="14"/>
        <v>0</v>
      </c>
      <c r="O13" s="12">
        <f t="shared" si="14"/>
        <v>0</v>
      </c>
      <c r="P13" s="12">
        <f t="shared" si="14"/>
        <v>0</v>
      </c>
      <c r="Q13" s="12">
        <f t="shared" si="14"/>
        <v>0</v>
      </c>
      <c r="R13" s="12">
        <f t="shared" ca="1" si="14"/>
        <v>51489</v>
      </c>
      <c r="S13" s="12">
        <f ca="1">S12+R13</f>
        <v>111383.15</v>
      </c>
      <c r="T13" s="12">
        <f t="shared" ca="1" si="14"/>
        <v>171576.65</v>
      </c>
      <c r="U13" s="12">
        <f t="shared" ca="1" si="14"/>
        <v>239809.9</v>
      </c>
      <c r="V13" s="12">
        <f ca="1">V12</f>
        <v>76392.45</v>
      </c>
      <c r="W13" s="12">
        <f t="shared" ca="1" si="14"/>
        <v>162527.79999999999</v>
      </c>
      <c r="X13" s="12">
        <f t="shared" ca="1" si="14"/>
        <v>257827.3</v>
      </c>
      <c r="Y13" s="12">
        <f t="shared" ca="1" si="14"/>
        <v>362320.69999999995</v>
      </c>
      <c r="Z13" s="12">
        <f t="shared" ca="1" si="14"/>
        <v>477661.49999999994</v>
      </c>
      <c r="AA13" s="12">
        <f t="shared" ca="1" si="14"/>
        <v>603221.1</v>
      </c>
      <c r="AB13" s="12">
        <f t="shared" ca="1" si="14"/>
        <v>739069.14999999991</v>
      </c>
      <c r="AC13" s="12">
        <f t="shared" ca="1" si="14"/>
        <v>886769.45</v>
      </c>
      <c r="AD13" s="12">
        <f t="shared" ca="1" si="14"/>
        <v>1045703.3999999999</v>
      </c>
      <c r="AE13" s="12">
        <f t="shared" ca="1" si="14"/>
        <v>1223760.1499999999</v>
      </c>
      <c r="AF13" s="12">
        <f t="shared" ca="1" si="14"/>
        <v>1411342.25</v>
      </c>
      <c r="AG13" s="12">
        <f t="shared" ca="1" si="14"/>
        <v>1611202.7</v>
      </c>
      <c r="AH13" s="12">
        <f ca="1">AH12</f>
        <v>212208.5</v>
      </c>
      <c r="AI13" s="12">
        <f t="shared" ca="1" si="14"/>
        <v>438468.35</v>
      </c>
      <c r="AJ13" s="12">
        <f t="shared" ca="1" si="14"/>
        <v>678051.29999999993</v>
      </c>
      <c r="AK13" s="12">
        <f t="shared" ca="1" si="14"/>
        <v>930977.24999999988</v>
      </c>
      <c r="AL13" s="12">
        <f t="shared" ca="1" si="14"/>
        <v>1198939.5499999998</v>
      </c>
      <c r="AM13" s="12">
        <f t="shared" ca="1" si="14"/>
        <v>1481209.9999999998</v>
      </c>
      <c r="AN13" s="12">
        <f t="shared" ca="1" si="14"/>
        <v>1777778.5999999996</v>
      </c>
      <c r="AO13" s="12">
        <f t="shared" ca="1" si="14"/>
        <v>2090468.2499999995</v>
      </c>
      <c r="AP13" s="12">
        <f t="shared" ca="1" si="14"/>
        <v>2418431.0999999996</v>
      </c>
      <c r="AQ13" s="12">
        <f t="shared" ca="1" si="14"/>
        <v>2768898.9499999997</v>
      </c>
      <c r="AR13" s="12">
        <f t="shared" ca="1" si="14"/>
        <v>3133151.3499999996</v>
      </c>
      <c r="AS13" s="12">
        <f t="shared" ca="1" si="14"/>
        <v>3513592.3499999996</v>
      </c>
      <c r="AT13" s="12">
        <f ca="1">AT12</f>
        <v>396599.75</v>
      </c>
      <c r="AU13" s="12">
        <f t="shared" ref="AU13" ca="1" si="15">AU12+AT13</f>
        <v>811081.55</v>
      </c>
      <c r="AV13" s="12">
        <f t="shared" ref="AV13" ca="1" si="16">AV12+AU13</f>
        <v>1242597.6499999999</v>
      </c>
      <c r="AW13" s="12">
        <f t="shared" ref="AW13" ca="1" si="17">AW12+AV13</f>
        <v>1691098.2999999998</v>
      </c>
      <c r="AX13" s="12">
        <f t="shared" ref="AX13" ca="1" si="18">AX12+AW13</f>
        <v>2143006.5499999998</v>
      </c>
      <c r="AY13" s="12">
        <f t="shared" ref="AY13" ca="1" si="19">AY12+AX13</f>
        <v>2605781.75</v>
      </c>
      <c r="AZ13" s="12">
        <f t="shared" ref="AZ13" ca="1" si="20">AZ12+AY13</f>
        <v>3078875.2</v>
      </c>
      <c r="BA13" s="12">
        <f t="shared" ref="BA13" ca="1" si="21">BA12+AZ13</f>
        <v>3562336.6500000004</v>
      </c>
      <c r="BB13" s="12">
        <f t="shared" ref="BB13" ca="1" si="22">BB12+BA13</f>
        <v>4057470.95</v>
      </c>
      <c r="BC13" s="12">
        <f t="shared" ref="BC13" ca="1" si="23">BC12+BB13</f>
        <v>4570333.6000000006</v>
      </c>
      <c r="BD13" s="12">
        <f t="shared" ref="BD13" ca="1" si="24">BD12+BC13</f>
        <v>5091377.7500000009</v>
      </c>
      <c r="BE13" s="12">
        <f t="shared" ref="BE13:BF13" ca="1" si="25">BE12+BD13</f>
        <v>5624870.8500000006</v>
      </c>
      <c r="BF13" s="12">
        <f t="shared" ca="1" si="25"/>
        <v>6170224.3500000006</v>
      </c>
    </row>
    <row r="14" spans="2:58" x14ac:dyDescent="0.35">
      <c r="B14" s="236"/>
      <c r="C14" s="236"/>
      <c r="D14" s="236"/>
      <c r="E14" s="236"/>
      <c r="F14" s="236"/>
      <c r="I14" t="s">
        <v>309</v>
      </c>
      <c r="J14" s="12">
        <f>J13</f>
        <v>0</v>
      </c>
      <c r="K14" s="12">
        <f>K13+J14</f>
        <v>0</v>
      </c>
      <c r="L14" s="12">
        <f t="shared" ref="L14:Q14" si="26">L13+K14</f>
        <v>0</v>
      </c>
      <c r="M14" s="12">
        <f t="shared" si="26"/>
        <v>0</v>
      </c>
      <c r="N14" s="12">
        <f t="shared" si="26"/>
        <v>0</v>
      </c>
      <c r="O14" s="12">
        <f t="shared" si="26"/>
        <v>0</v>
      </c>
      <c r="P14" s="12">
        <f t="shared" si="26"/>
        <v>0</v>
      </c>
      <c r="Q14" s="12">
        <f t="shared" si="26"/>
        <v>0</v>
      </c>
      <c r="R14" s="12">
        <f ca="1">R12+Q14</f>
        <v>51489</v>
      </c>
      <c r="S14" s="12">
        <f ca="1">S12+R14</f>
        <v>111383.15</v>
      </c>
      <c r="T14" s="12">
        <f t="shared" ref="T14:BF14" ca="1" si="27">T12+S14</f>
        <v>171576.65</v>
      </c>
      <c r="U14" s="12">
        <f t="shared" ca="1" si="27"/>
        <v>239809.9</v>
      </c>
      <c r="V14" s="12">
        <f t="shared" ca="1" si="27"/>
        <v>316202.34999999998</v>
      </c>
      <c r="W14" s="12">
        <f t="shared" ca="1" si="27"/>
        <v>402337.69999999995</v>
      </c>
      <c r="X14" s="12">
        <f t="shared" ca="1" si="27"/>
        <v>497637.19999999995</v>
      </c>
      <c r="Y14" s="12">
        <f t="shared" ca="1" si="27"/>
        <v>602130.6</v>
      </c>
      <c r="Z14" s="12">
        <f t="shared" ca="1" si="27"/>
        <v>717471.39999999991</v>
      </c>
      <c r="AA14" s="12">
        <f t="shared" ca="1" si="27"/>
        <v>843030.99999999988</v>
      </c>
      <c r="AB14" s="12">
        <f t="shared" ca="1" si="27"/>
        <v>978879.04999999981</v>
      </c>
      <c r="AC14" s="12">
        <f t="shared" ca="1" si="27"/>
        <v>1126579.3499999999</v>
      </c>
      <c r="AD14" s="12">
        <f t="shared" ca="1" si="27"/>
        <v>1285513.2999999998</v>
      </c>
      <c r="AE14" s="12">
        <f t="shared" ca="1" si="27"/>
        <v>1463570.0499999998</v>
      </c>
      <c r="AF14" s="12">
        <f t="shared" ca="1" si="27"/>
        <v>1651152.15</v>
      </c>
      <c r="AG14" s="12">
        <f t="shared" ca="1" si="27"/>
        <v>1851012.5999999999</v>
      </c>
      <c r="AH14" s="12">
        <f t="shared" ca="1" si="27"/>
        <v>2063221.0999999999</v>
      </c>
      <c r="AI14" s="12">
        <f t="shared" ca="1" si="27"/>
        <v>2289480.9499999997</v>
      </c>
      <c r="AJ14" s="12">
        <f t="shared" ca="1" si="27"/>
        <v>2529063.9</v>
      </c>
      <c r="AK14" s="12">
        <f t="shared" ca="1" si="27"/>
        <v>2781989.85</v>
      </c>
      <c r="AL14" s="12">
        <f t="shared" ca="1" si="27"/>
        <v>3049952.15</v>
      </c>
      <c r="AM14" s="12">
        <f t="shared" ca="1" si="27"/>
        <v>3332222.5999999996</v>
      </c>
      <c r="AN14" s="12">
        <f t="shared" ca="1" si="27"/>
        <v>3628791.1999999997</v>
      </c>
      <c r="AO14" s="12">
        <f t="shared" ca="1" si="27"/>
        <v>3941480.8499999996</v>
      </c>
      <c r="AP14" s="12">
        <f t="shared" ca="1" si="27"/>
        <v>4269443.6999999993</v>
      </c>
      <c r="AQ14" s="12">
        <f t="shared" ca="1" si="27"/>
        <v>4619911.5499999989</v>
      </c>
      <c r="AR14" s="12">
        <f t="shared" ca="1" si="27"/>
        <v>4984163.9499999993</v>
      </c>
      <c r="AS14" s="12">
        <f t="shared" ca="1" si="27"/>
        <v>5364604.9499999993</v>
      </c>
      <c r="AT14" s="12">
        <f t="shared" ca="1" si="27"/>
        <v>5761204.6999999993</v>
      </c>
      <c r="AU14" s="12">
        <f t="shared" ca="1" si="27"/>
        <v>6175686.4999999991</v>
      </c>
      <c r="AV14" s="12">
        <f t="shared" ca="1" si="27"/>
        <v>6607202.5999999987</v>
      </c>
      <c r="AW14" s="12">
        <f t="shared" ca="1" si="27"/>
        <v>7055703.2499999991</v>
      </c>
      <c r="AX14" s="12">
        <f t="shared" ca="1" si="27"/>
        <v>7507611.4999999991</v>
      </c>
      <c r="AY14" s="12">
        <f t="shared" ca="1" si="27"/>
        <v>7970386.6999999993</v>
      </c>
      <c r="AZ14" s="12">
        <f t="shared" ca="1" si="27"/>
        <v>8443480.1499999985</v>
      </c>
      <c r="BA14" s="12">
        <f t="shared" ca="1" si="27"/>
        <v>8926941.5999999978</v>
      </c>
      <c r="BB14" s="12">
        <f t="shared" ca="1" si="27"/>
        <v>9422075.8999999985</v>
      </c>
      <c r="BC14" s="12">
        <f t="shared" ca="1" si="27"/>
        <v>9934938.5499999989</v>
      </c>
      <c r="BD14" s="12">
        <f ca="1">BD12+BC14</f>
        <v>10455982.699999999</v>
      </c>
      <c r="BE14" s="12">
        <f ca="1">BE12+BD14</f>
        <v>10989475.799999999</v>
      </c>
      <c r="BF14" s="12">
        <f t="shared" ca="1" si="27"/>
        <v>11534829.299999999</v>
      </c>
    </row>
    <row r="15" spans="2:58" x14ac:dyDescent="0.35">
      <c r="B15" s="236"/>
      <c r="C15" s="236"/>
      <c r="D15" s="236"/>
      <c r="E15" s="236"/>
      <c r="F15" s="236"/>
    </row>
    <row r="16" spans="2:58" x14ac:dyDescent="0.35">
      <c r="B16" s="236"/>
      <c r="C16" s="236"/>
      <c r="D16" s="236"/>
      <c r="E16" s="236"/>
      <c r="F16" s="236"/>
      <c r="J16" s="22"/>
    </row>
    <row r="17" spans="2:58" ht="15" thickBot="1" x14ac:dyDescent="0.4">
      <c r="B17" s="236"/>
      <c r="C17" s="236"/>
      <c r="D17" s="236"/>
      <c r="E17" s="236"/>
      <c r="F17" s="236"/>
      <c r="I17" s="14" t="s">
        <v>1</v>
      </c>
      <c r="J17" s="13" t="s">
        <v>2</v>
      </c>
      <c r="K17" s="13" t="s">
        <v>3</v>
      </c>
      <c r="L17" s="13" t="s">
        <v>4</v>
      </c>
      <c r="M17" s="13" t="s">
        <v>5</v>
      </c>
      <c r="N17" s="13" t="s">
        <v>6</v>
      </c>
      <c r="O17" s="13" t="s">
        <v>7</v>
      </c>
      <c r="P17" s="13" t="s">
        <v>8</v>
      </c>
      <c r="Q17" s="13" t="s">
        <v>9</v>
      </c>
      <c r="R17" s="13" t="s">
        <v>10</v>
      </c>
      <c r="S17" s="13" t="s">
        <v>11</v>
      </c>
      <c r="T17" s="13" t="s">
        <v>12</v>
      </c>
      <c r="U17" s="13" t="s">
        <v>13</v>
      </c>
      <c r="V17" s="13" t="s">
        <v>14</v>
      </c>
      <c r="W17" s="13" t="s">
        <v>15</v>
      </c>
      <c r="X17" s="13" t="s">
        <v>16</v>
      </c>
      <c r="Y17" s="13" t="s">
        <v>17</v>
      </c>
      <c r="Z17" s="13" t="s">
        <v>18</v>
      </c>
      <c r="AA17" s="13" t="s">
        <v>19</v>
      </c>
      <c r="AB17" s="13" t="s">
        <v>20</v>
      </c>
      <c r="AC17" s="13" t="s">
        <v>21</v>
      </c>
      <c r="AD17" s="13" t="s">
        <v>22</v>
      </c>
      <c r="AE17" s="13" t="s">
        <v>23</v>
      </c>
      <c r="AF17" s="13" t="s">
        <v>24</v>
      </c>
      <c r="AG17" s="13" t="s">
        <v>25</v>
      </c>
      <c r="AH17" s="13" t="s">
        <v>27</v>
      </c>
      <c r="AI17" s="13" t="s">
        <v>28</v>
      </c>
      <c r="AJ17" s="13" t="s">
        <v>29</v>
      </c>
      <c r="AK17" s="13" t="s">
        <v>30</v>
      </c>
      <c r="AL17" s="13" t="s">
        <v>31</v>
      </c>
      <c r="AM17" s="13" t="s">
        <v>32</v>
      </c>
      <c r="AN17" s="13" t="s">
        <v>33</v>
      </c>
      <c r="AO17" s="13" t="s">
        <v>34</v>
      </c>
      <c r="AP17" s="13" t="s">
        <v>35</v>
      </c>
      <c r="AQ17" s="13" t="s">
        <v>36</v>
      </c>
      <c r="AR17" s="13" t="s">
        <v>37</v>
      </c>
      <c r="AS17" s="13" t="s">
        <v>38</v>
      </c>
      <c r="AT17" s="13" t="s">
        <v>95</v>
      </c>
      <c r="AU17" s="13" t="s">
        <v>96</v>
      </c>
      <c r="AV17" s="13" t="s">
        <v>97</v>
      </c>
      <c r="AW17" s="13" t="s">
        <v>98</v>
      </c>
      <c r="AX17" s="13" t="s">
        <v>99</v>
      </c>
      <c r="AY17" s="13" t="s">
        <v>100</v>
      </c>
      <c r="AZ17" s="13" t="s">
        <v>101</v>
      </c>
      <c r="BA17" s="13" t="s">
        <v>102</v>
      </c>
      <c r="BB17" s="13" t="s">
        <v>103</v>
      </c>
      <c r="BC17" s="13" t="s">
        <v>104</v>
      </c>
      <c r="BD17" s="13" t="s">
        <v>105</v>
      </c>
      <c r="BE17" s="15" t="s">
        <v>106</v>
      </c>
      <c r="BF17" s="13" t="s">
        <v>295</v>
      </c>
    </row>
    <row r="18" spans="2:58" ht="15" thickTop="1" x14ac:dyDescent="0.35">
      <c r="I18" s="204" t="s">
        <v>136</v>
      </c>
      <c r="J18" s="204">
        <f>IFERROR(ROUNDUP((J7*Cashflow!$G$16)/1000,0),0)</f>
        <v>0</v>
      </c>
      <c r="K18" s="204">
        <f>IFERROR(ROUNDUP((K7*Cashflow!$G$16)/1000,0),0)</f>
        <v>0</v>
      </c>
      <c r="L18" s="204">
        <f>IFERROR(ROUNDUP((L7*Cashflow!$G$16)/1000,0),0)</f>
        <v>0</v>
      </c>
      <c r="M18" s="204">
        <f>IFERROR(ROUNDUP((M7*Cashflow!$G$16)/1000,0),0)</f>
        <v>0</v>
      </c>
      <c r="N18" s="204">
        <f>IFERROR(ROUNDUP((N7*Cashflow!$G$16)/1000,0),0)</f>
        <v>0</v>
      </c>
      <c r="O18" s="204">
        <f>IFERROR(ROUNDUP((O7*Cashflow!$G$16)/1000,0),0)</f>
        <v>0</v>
      </c>
      <c r="P18" s="204">
        <f>IFERROR(ROUNDUP((P7*Cashflow!$G$16)/1000,0),0)</f>
        <v>0</v>
      </c>
      <c r="Q18" s="204">
        <f>IFERROR(ROUNDUP((Q7*Cashflow!$G$16)/1000,0),0)</f>
        <v>0</v>
      </c>
      <c r="R18" s="204">
        <f ca="1">IFERROR(ROUNDUP((R7*Cashflow!$G$16)/1000,0),0)</f>
        <v>8</v>
      </c>
      <c r="S18" s="204">
        <f ca="1">IFERROR(ROUNDUP((S7*Cashflow!$G$16)/1000,0),0)</f>
        <v>12</v>
      </c>
      <c r="T18" s="204">
        <f ca="1">IFERROR(ROUNDUP((T7*Cashflow!$G$16)/1000,0),0)</f>
        <v>14</v>
      </c>
      <c r="U18" s="204">
        <f ca="1">IFERROR(ROUNDUP((U7*Cashflow!$G$16)/1000,0),0)</f>
        <v>16</v>
      </c>
      <c r="V18" s="204">
        <f ca="1">IFERROR(ROUNDUP((V7*Cashflow!$G$16)/1000,0),0)</f>
        <v>18</v>
      </c>
      <c r="W18" s="204">
        <f ca="1">IFERROR(ROUNDUP((W7*Cashflow!$G$16)/1000,0),0)</f>
        <v>20</v>
      </c>
      <c r="X18" s="204">
        <f ca="1">IFERROR(ROUNDUP((X7*Cashflow!$G$16)/1000,0),0)</f>
        <v>23</v>
      </c>
      <c r="Y18" s="204">
        <f ca="1">IFERROR(ROUNDUP((Y7*Cashflow!$G$16)/1000,0),0)</f>
        <v>25</v>
      </c>
      <c r="Z18" s="204">
        <f ca="1">IFERROR(ROUNDUP((Z7*Cashflow!$G$16)/1000,0),0)</f>
        <v>27</v>
      </c>
      <c r="AA18" s="204">
        <f ca="1">IFERROR(ROUNDUP((AA7*Cashflow!$G$16)/1000,0),0)</f>
        <v>30</v>
      </c>
      <c r="AB18" s="204">
        <f ca="1">IFERROR(ROUNDUP((AB7*Cashflow!$G$16)/1000,0),0)</f>
        <v>33</v>
      </c>
      <c r="AC18" s="204">
        <f ca="1">IFERROR(ROUNDUP((AC7*Cashflow!$G$16)/1000,0),0)</f>
        <v>35</v>
      </c>
      <c r="AD18" s="204">
        <f ca="1">IFERROR(ROUNDUP((AD7*Cashflow!$G$16)/1000,0),0)</f>
        <v>38</v>
      </c>
      <c r="AE18" s="204">
        <f ca="1">IFERROR(ROUNDUP((AE7*Cashflow!$G$16)/1000,0),0)</f>
        <v>42</v>
      </c>
      <c r="AF18" s="204">
        <f ca="1">IFERROR(ROUNDUP((AF7*Cashflow!$G$16)/1000,0),0)</f>
        <v>45</v>
      </c>
      <c r="AG18" s="204">
        <f ca="1">IFERROR(ROUNDUP((AG7*Cashflow!$G$16)/1000,0),0)</f>
        <v>48</v>
      </c>
      <c r="AH18" s="204">
        <f ca="1">IFERROR(ROUNDUP((AH7*Cashflow!$G$16)/1000,0),0)</f>
        <v>51</v>
      </c>
      <c r="AI18" s="204">
        <f ca="1">IFERROR(ROUNDUP((AI7*Cashflow!$G$16)/1000,0),0)</f>
        <v>55</v>
      </c>
      <c r="AJ18" s="204">
        <f ca="1">IFERROR(ROUNDUP((AJ7*Cashflow!$G$16)/1000,0),0)</f>
        <v>58</v>
      </c>
      <c r="AK18" s="204">
        <f ca="1">IFERROR(ROUNDUP((AK7*Cashflow!$G$16)/1000,0),0)</f>
        <v>61</v>
      </c>
      <c r="AL18" s="204">
        <f ca="1">IFERROR(ROUNDUP((AL7*Cashflow!$G$16)/1000,0),0)</f>
        <v>65</v>
      </c>
      <c r="AM18" s="204">
        <f ca="1">IFERROR(ROUNDUP((AM7*Cashflow!$G$16)/1000,0),0)</f>
        <v>69</v>
      </c>
      <c r="AN18" s="204">
        <f ca="1">IFERROR(ROUNDUP((AN7*Cashflow!$G$16)/1000,0),0)</f>
        <v>72</v>
      </c>
      <c r="AO18" s="204">
        <f ca="1">IFERROR(ROUNDUP((AO7*Cashflow!$G$16)/1000,0),0)</f>
        <v>76</v>
      </c>
      <c r="AP18" s="204">
        <f ca="1">IFERROR(ROUNDUP((AP7*Cashflow!$G$16)/1000,0),0)</f>
        <v>80</v>
      </c>
      <c r="AQ18" s="204">
        <f ca="1">IFERROR(ROUNDUP((AQ7*Cashflow!$G$16)/1000,0),0)</f>
        <v>85</v>
      </c>
      <c r="AR18" s="204">
        <f ca="1">IFERROR(ROUNDUP((AR7*Cashflow!$G$16)/1000,0),0)</f>
        <v>89</v>
      </c>
      <c r="AS18" s="204">
        <f ca="1">IFERROR(ROUNDUP((AS7*Cashflow!$G$16)/1000,0),0)</f>
        <v>93</v>
      </c>
      <c r="AT18" s="204">
        <f ca="1">IFERROR(ROUNDUP((AT7*Cashflow!$G$16)/1000,0),0)</f>
        <v>97</v>
      </c>
      <c r="AU18" s="204">
        <f ca="1">IFERROR(ROUNDUP((AU7*Cashflow!$G$16)/1000,0),0)</f>
        <v>101</v>
      </c>
      <c r="AV18" s="204">
        <f ca="1">IFERROR(ROUNDUP((AV7*Cashflow!$G$16)/1000,0),0)</f>
        <v>105</v>
      </c>
      <c r="AW18" s="204">
        <f ca="1">IFERROR(ROUNDUP((AW7*Cashflow!$G$16)/1000,0),0)</f>
        <v>110</v>
      </c>
      <c r="AX18" s="204">
        <f ca="1">IFERROR(ROUNDUP((AX7*Cashflow!$G$16)/1000,0),0)</f>
        <v>112</v>
      </c>
      <c r="AY18" s="204">
        <f ca="1">IFERROR(ROUNDUP((AY7*Cashflow!$G$16)/1000,0),0)</f>
        <v>115</v>
      </c>
      <c r="AZ18" s="204">
        <f ca="1">IFERROR(ROUNDUP((AZ7*Cashflow!$G$16)/1000,0),0)</f>
        <v>117</v>
      </c>
      <c r="BA18" s="204">
        <f ca="1">IFERROR(ROUNDUP((BA7*Cashflow!$G$16)/1000,0),0)</f>
        <v>120</v>
      </c>
      <c r="BB18" s="204">
        <f ca="1">IFERROR(ROUNDUP((BB7*Cashflow!$G$16)/1000,0),0)</f>
        <v>123</v>
      </c>
      <c r="BC18" s="204">
        <f ca="1">IFERROR(ROUNDUP((BC7*Cashflow!$G$16)/1000,0),0)</f>
        <v>126</v>
      </c>
      <c r="BD18" s="204">
        <f ca="1">IFERROR(ROUNDUP((BD7*Cashflow!$G$16)/1000,0),0)</f>
        <v>129</v>
      </c>
      <c r="BE18" s="204">
        <f ca="1">IFERROR(ROUNDUP((BE7*Cashflow!$G$16)/1000,0),0)</f>
        <v>132</v>
      </c>
      <c r="BF18" s="204">
        <f ca="1">IFERROR(ROUNDUP((BF7*Cashflow!$G$16)/1000,0),0)</f>
        <v>135</v>
      </c>
    </row>
    <row r="19" spans="2:58" x14ac:dyDescent="0.35">
      <c r="I19" s="205" t="s">
        <v>137</v>
      </c>
      <c r="J19" s="205">
        <f>-J18*Cashflow!$G$15</f>
        <v>0</v>
      </c>
      <c r="K19" s="205">
        <f>-K18*Cashflow!$G$15</f>
        <v>0</v>
      </c>
      <c r="L19" s="205">
        <f>-L18*Cashflow!$G$15</f>
        <v>0</v>
      </c>
      <c r="M19" s="205">
        <f>-M18*Cashflow!$G$15</f>
        <v>0</v>
      </c>
      <c r="N19" s="205">
        <f>-N18*Cashflow!$G$15</f>
        <v>0</v>
      </c>
      <c r="O19" s="205">
        <f>-O18*Cashflow!$G$15</f>
        <v>0</v>
      </c>
      <c r="P19" s="205">
        <f>-P18*Cashflow!$G$15</f>
        <v>0</v>
      </c>
      <c r="Q19" s="205">
        <f>-Q18*Cashflow!$G$15</f>
        <v>0</v>
      </c>
      <c r="R19" s="205">
        <f ca="1">-R18*Cashflow!$G$15</f>
        <v>-832.32</v>
      </c>
      <c r="S19" s="205">
        <f ca="1">-S18*Cashflow!$G$15</f>
        <v>-1248.48</v>
      </c>
      <c r="T19" s="205">
        <f ca="1">-T18*Cashflow!$G$15</f>
        <v>-1456.5600000000002</v>
      </c>
      <c r="U19" s="205">
        <f ca="1">-U18*Cashflow!$G$15</f>
        <v>-1664.64</v>
      </c>
      <c r="V19" s="205">
        <f ca="1">-V18*Cashflow!$G$15</f>
        <v>-1872.72</v>
      </c>
      <c r="W19" s="205">
        <f ca="1">-W18*Cashflow!$G$15</f>
        <v>-2080.8000000000002</v>
      </c>
      <c r="X19" s="205">
        <f ca="1">-X18*Cashflow!$G$15</f>
        <v>-2392.92</v>
      </c>
      <c r="Y19" s="205">
        <f ca="1">-Y18*Cashflow!$G$15</f>
        <v>-2601</v>
      </c>
      <c r="Z19" s="205">
        <f ca="1">-Z18*Cashflow!$G$15</f>
        <v>-2809.0800000000004</v>
      </c>
      <c r="AA19" s="205">
        <f ca="1">-AA18*Cashflow!$G$15</f>
        <v>-3121.2000000000003</v>
      </c>
      <c r="AB19" s="205">
        <f ca="1">-AB18*Cashflow!$G$15</f>
        <v>-3433.32</v>
      </c>
      <c r="AC19" s="205">
        <f ca="1">-AC18*Cashflow!$G$15</f>
        <v>-3641.4</v>
      </c>
      <c r="AD19" s="205">
        <f ca="1">-AD18*Cashflow!$G$15</f>
        <v>-3953.5200000000004</v>
      </c>
      <c r="AE19" s="205">
        <f ca="1">-AE18*Cashflow!$G$15</f>
        <v>-4369.68</v>
      </c>
      <c r="AF19" s="205">
        <f ca="1">-AF18*Cashflow!$G$15</f>
        <v>-4681.8</v>
      </c>
      <c r="AG19" s="205">
        <f ca="1">-AG18*Cashflow!$G$15</f>
        <v>-4993.92</v>
      </c>
      <c r="AH19" s="205">
        <f ca="1">-AH18*Cashflow!$G$15</f>
        <v>-5306.04</v>
      </c>
      <c r="AI19" s="205">
        <f ca="1">-AI18*Cashflow!$G$15</f>
        <v>-5722.2000000000007</v>
      </c>
      <c r="AJ19" s="205">
        <f ca="1">-AJ18*Cashflow!$G$15</f>
        <v>-6034.3200000000006</v>
      </c>
      <c r="AK19" s="205">
        <f ca="1">-AK18*Cashflow!$G$15</f>
        <v>-6346.4400000000005</v>
      </c>
      <c r="AL19" s="205">
        <f ca="1">-AL18*Cashflow!$G$15</f>
        <v>-6762.6</v>
      </c>
      <c r="AM19" s="205">
        <f ca="1">-AM18*Cashflow!$G$15</f>
        <v>-7178.76</v>
      </c>
      <c r="AN19" s="205">
        <f ca="1">-AN18*Cashflow!$G$15</f>
        <v>-7490.88</v>
      </c>
      <c r="AO19" s="205">
        <f ca="1">-AO18*Cashflow!$G$15</f>
        <v>-7907.0400000000009</v>
      </c>
      <c r="AP19" s="205">
        <f ca="1">-AP18*Cashflow!$G$15</f>
        <v>-8323.2000000000007</v>
      </c>
      <c r="AQ19" s="205">
        <f ca="1">-AQ18*Cashflow!$G$15</f>
        <v>-8843.4</v>
      </c>
      <c r="AR19" s="205">
        <f ca="1">-AR18*Cashflow!$G$15</f>
        <v>-9259.5600000000013</v>
      </c>
      <c r="AS19" s="205">
        <f ca="1">-AS18*Cashflow!$G$15</f>
        <v>-9675.7200000000012</v>
      </c>
      <c r="AT19" s="205">
        <f ca="1">-AT18*Cashflow!$G$15</f>
        <v>-10091.880000000001</v>
      </c>
      <c r="AU19" s="205">
        <f ca="1">-AU18*Cashflow!$G$15</f>
        <v>-10508.04</v>
      </c>
      <c r="AV19" s="205">
        <f ca="1">-AV18*Cashflow!$G$15</f>
        <v>-10924.2</v>
      </c>
      <c r="AW19" s="205">
        <f ca="1">-AW18*Cashflow!$G$15</f>
        <v>-11444.400000000001</v>
      </c>
      <c r="AX19" s="205">
        <f ca="1">-AX18*Cashflow!$G$15</f>
        <v>-11652.480000000001</v>
      </c>
      <c r="AY19" s="205">
        <f ca="1">-AY18*Cashflow!$G$15</f>
        <v>-11964.6</v>
      </c>
      <c r="AZ19" s="205">
        <f ca="1">-AZ18*Cashflow!$G$15</f>
        <v>-12172.68</v>
      </c>
      <c r="BA19" s="205">
        <f ca="1">-BA18*Cashflow!$G$15</f>
        <v>-12484.800000000001</v>
      </c>
      <c r="BB19" s="205">
        <f ca="1">-BB18*Cashflow!$G$15</f>
        <v>-12796.92</v>
      </c>
      <c r="BC19" s="205">
        <f ca="1">-BC18*Cashflow!$G$15</f>
        <v>-13109.04</v>
      </c>
      <c r="BD19" s="205">
        <f ca="1">-BD18*Cashflow!$G$15</f>
        <v>-13421.160000000002</v>
      </c>
      <c r="BE19" s="205">
        <f ca="1">-BE18*Cashflow!$G$15</f>
        <v>-13733.28</v>
      </c>
      <c r="BF19" s="205">
        <f ca="1">-BF18*Cashflow!$G$15</f>
        <v>-14045.400000000001</v>
      </c>
    </row>
    <row r="21" spans="2:58" x14ac:dyDescent="0.35">
      <c r="I21" s="195" t="s">
        <v>139</v>
      </c>
      <c r="J21" s="195">
        <f>Cashflow!$G$18*J10</f>
        <v>0</v>
      </c>
      <c r="K21" s="195">
        <f>Cashflow!$G$18*K10</f>
        <v>0</v>
      </c>
      <c r="L21" s="195">
        <f>Cashflow!$G$18*L10</f>
        <v>0</v>
      </c>
      <c r="M21" s="195">
        <f>Cashflow!$G$18*M9</f>
        <v>0</v>
      </c>
      <c r="N21" s="195">
        <f>Cashflow!$G$18*N9</f>
        <v>0</v>
      </c>
      <c r="O21" s="195">
        <f>Cashflow!$G$18*O9</f>
        <v>0</v>
      </c>
      <c r="P21" s="195">
        <f>Cashflow!$G$18*P9</f>
        <v>0</v>
      </c>
      <c r="Q21" s="195">
        <f>Cashflow!$G$18*Q9</f>
        <v>0</v>
      </c>
      <c r="R21" s="195">
        <f ca="1">Cashflow!$G$18*R9</f>
        <v>6894</v>
      </c>
      <c r="S21" s="195">
        <f ca="1">Cashflow!$G$18*S9</f>
        <v>4194</v>
      </c>
      <c r="T21" s="195">
        <f ca="1">Cashflow!$G$18*T9</f>
        <v>1908</v>
      </c>
      <c r="U21" s="195">
        <f ca="1">Cashflow!$G$18*U9</f>
        <v>1926</v>
      </c>
      <c r="V21" s="195">
        <f ca="1">Cashflow!$G$18*V9</f>
        <v>1950</v>
      </c>
      <c r="W21" s="195">
        <f ca="1">Cashflow!$G$18*W9</f>
        <v>2172</v>
      </c>
      <c r="X21" s="195">
        <f ca="1">Cashflow!$G$18*X9</f>
        <v>2196</v>
      </c>
      <c r="Y21" s="195">
        <f ca="1">Cashflow!$G$18*Y9</f>
        <v>2208</v>
      </c>
      <c r="Z21" s="195">
        <f ca="1">Cashflow!$G$18*Z9</f>
        <v>2436</v>
      </c>
      <c r="AA21" s="195">
        <f ca="1">Cashflow!$G$18*AA9</f>
        <v>2454</v>
      </c>
      <c r="AB21" s="195">
        <f ca="1">Cashflow!$G$18*AB9</f>
        <v>2472</v>
      </c>
      <c r="AC21" s="195">
        <f ca="1">Cashflow!$G$18*AC9</f>
        <v>2688</v>
      </c>
      <c r="AD21" s="195">
        <f ca="1">Cashflow!$G$18*AD9</f>
        <v>2700</v>
      </c>
      <c r="AE21" s="195">
        <f ca="1">Cashflow!$G$18*AE9</f>
        <v>3762</v>
      </c>
      <c r="AF21" s="195">
        <f ca="1">Cashflow!$G$18*AF9</f>
        <v>2952</v>
      </c>
      <c r="AG21" s="195">
        <f ca="1">Cashflow!$G$18*AG9</f>
        <v>2958</v>
      </c>
      <c r="AH21" s="195">
        <f ca="1">Cashflow!$G$18*AH9</f>
        <v>2970</v>
      </c>
      <c r="AI21" s="195">
        <f ca="1">Cashflow!$G$18*AI9</f>
        <v>3204</v>
      </c>
      <c r="AJ21" s="195">
        <f ca="1">Cashflow!$G$18*AJ9</f>
        <v>3210</v>
      </c>
      <c r="AK21" s="195">
        <f ca="1">Cashflow!$G$18*AK9</f>
        <v>3216</v>
      </c>
      <c r="AL21" s="195">
        <f ca="1">Cashflow!$G$18*AL9</f>
        <v>3444</v>
      </c>
      <c r="AM21" s="195">
        <f ca="1">Cashflow!$G$18*AM9</f>
        <v>3450</v>
      </c>
      <c r="AN21" s="195">
        <f ca="1">Cashflow!$G$18*AN9</f>
        <v>3450</v>
      </c>
      <c r="AO21" s="195">
        <f ca="1">Cashflow!$G$18*AO9</f>
        <v>3696</v>
      </c>
      <c r="AP21" s="195">
        <f ca="1">Cashflow!$G$18*AP9</f>
        <v>3690</v>
      </c>
      <c r="AQ21" s="195">
        <f ca="1">Cashflow!$G$18*AQ9</f>
        <v>4656</v>
      </c>
      <c r="AR21" s="195">
        <f ca="1">Cashflow!$G$18*AR9</f>
        <v>3918</v>
      </c>
      <c r="AS21" s="195">
        <f ca="1">Cashflow!$G$18*AS9</f>
        <v>3912</v>
      </c>
      <c r="AT21" s="195">
        <f ca="1">Cashflow!$G$18*AT9</f>
        <v>3906</v>
      </c>
      <c r="AU21" s="195">
        <f ca="1">Cashflow!$G$18*AU9</f>
        <v>4134</v>
      </c>
      <c r="AV21" s="195">
        <f ca="1">Cashflow!$G$18*AV9</f>
        <v>4122</v>
      </c>
      <c r="AW21" s="195">
        <f ca="1">Cashflow!$G$18*AW9</f>
        <v>4110</v>
      </c>
      <c r="AX21" s="195">
        <f ca="1">Cashflow!$G$18*AX9</f>
        <v>2286</v>
      </c>
      <c r="AY21" s="195">
        <f ca="1">Cashflow!$G$18*AY9</f>
        <v>2472</v>
      </c>
      <c r="AZ21" s="195">
        <f ca="1">Cashflow!$G$18*AZ9</f>
        <v>2484</v>
      </c>
      <c r="BA21" s="195">
        <f ca="1">Cashflow!$G$18*BA9</f>
        <v>2496</v>
      </c>
      <c r="BB21" s="195">
        <f ca="1">Cashflow!$G$18*BB9</f>
        <v>2676</v>
      </c>
      <c r="BC21" s="195">
        <f ca="1">Cashflow!$G$18*BC9</f>
        <v>3564</v>
      </c>
      <c r="BD21" s="195">
        <f ca="1">Cashflow!$G$18*BD9</f>
        <v>2682</v>
      </c>
      <c r="BE21" s="195">
        <f ca="1">Cashflow!$G$18*BE9</f>
        <v>2862</v>
      </c>
      <c r="BF21" s="195">
        <f ca="1">Cashflow!$G$18*BF9</f>
        <v>2862</v>
      </c>
    </row>
    <row r="23" spans="2:58" x14ac:dyDescent="0.35">
      <c r="I23" t="s">
        <v>354</v>
      </c>
      <c r="J23" t="s">
        <v>49</v>
      </c>
      <c r="K23" t="s">
        <v>3</v>
      </c>
      <c r="L23" t="s">
        <v>4</v>
      </c>
      <c r="M23" t="s">
        <v>5</v>
      </c>
      <c r="N23" t="s">
        <v>6</v>
      </c>
      <c r="O23" t="s">
        <v>7</v>
      </c>
      <c r="P23" t="s">
        <v>8</v>
      </c>
      <c r="Q23" t="s">
        <v>9</v>
      </c>
      <c r="R23" t="s">
        <v>10</v>
      </c>
      <c r="S23" t="s">
        <v>11</v>
      </c>
      <c r="T23" t="s">
        <v>12</v>
      </c>
      <c r="U23" t="s">
        <v>13</v>
      </c>
      <c r="V23" t="s">
        <v>14</v>
      </c>
      <c r="W23" t="s">
        <v>15</v>
      </c>
      <c r="X23" t="s">
        <v>16</v>
      </c>
      <c r="Y23" t="s">
        <v>17</v>
      </c>
      <c r="Z23" t="s">
        <v>18</v>
      </c>
      <c r="AA23" t="s">
        <v>19</v>
      </c>
      <c r="AB23" t="s">
        <v>20</v>
      </c>
      <c r="AC23" t="s">
        <v>21</v>
      </c>
      <c r="AD23" t="s">
        <v>22</v>
      </c>
      <c r="AE23" t="s">
        <v>23</v>
      </c>
      <c r="AF23" t="s">
        <v>24</v>
      </c>
      <c r="AG23" t="s">
        <v>25</v>
      </c>
      <c r="AH23" t="s">
        <v>27</v>
      </c>
      <c r="AI23" t="s">
        <v>28</v>
      </c>
      <c r="AJ23" t="s">
        <v>29</v>
      </c>
      <c r="AK23" t="s">
        <v>30</v>
      </c>
      <c r="AL23" t="s">
        <v>31</v>
      </c>
      <c r="AM23" t="s">
        <v>32</v>
      </c>
      <c r="AN23" t="s">
        <v>33</v>
      </c>
      <c r="AO23" t="s">
        <v>34</v>
      </c>
      <c r="AP23" t="s">
        <v>35</v>
      </c>
      <c r="AQ23" t="s">
        <v>36</v>
      </c>
      <c r="AR23" t="s">
        <v>37</v>
      </c>
      <c r="AS23" t="s">
        <v>38</v>
      </c>
      <c r="AT23" t="s">
        <v>95</v>
      </c>
      <c r="AU23" t="s">
        <v>96</v>
      </c>
      <c r="AV23" t="s">
        <v>97</v>
      </c>
      <c r="AW23" t="s">
        <v>98</v>
      </c>
      <c r="AX23" t="s">
        <v>99</v>
      </c>
      <c r="AY23" t="s">
        <v>100</v>
      </c>
      <c r="AZ23" t="s">
        <v>101</v>
      </c>
      <c r="BA23" t="s">
        <v>102</v>
      </c>
      <c r="BB23" t="s">
        <v>103</v>
      </c>
      <c r="BC23" t="s">
        <v>104</v>
      </c>
      <c r="BD23" t="s">
        <v>105</v>
      </c>
      <c r="BE23" t="s">
        <v>106</v>
      </c>
      <c r="BF23" t="s">
        <v>295</v>
      </c>
    </row>
    <row r="24" spans="2:58" x14ac:dyDescent="0.35">
      <c r="I24" t="s">
        <v>169</v>
      </c>
      <c r="J24" s="22">
        <f t="shared" ref="J24:AO24" si="28">J12*GEOMEAN($C$40,$C$41)</f>
        <v>0</v>
      </c>
      <c r="K24" s="22">
        <f t="shared" si="28"/>
        <v>0</v>
      </c>
      <c r="L24" s="22">
        <f t="shared" si="28"/>
        <v>0</v>
      </c>
      <c r="M24" s="22">
        <f t="shared" si="28"/>
        <v>0</v>
      </c>
      <c r="N24" s="22">
        <f t="shared" si="28"/>
        <v>0</v>
      </c>
      <c r="O24" s="22">
        <f t="shared" si="28"/>
        <v>0</v>
      </c>
      <c r="P24" s="22">
        <f t="shared" si="28"/>
        <v>0</v>
      </c>
      <c r="Q24" s="22">
        <f t="shared" si="28"/>
        <v>0</v>
      </c>
      <c r="R24" s="22">
        <f t="shared" ca="1" si="28"/>
        <v>7723.3499999999995</v>
      </c>
      <c r="S24" s="22">
        <f t="shared" ca="1" si="28"/>
        <v>8984.1224999999995</v>
      </c>
      <c r="T24" s="22">
        <f t="shared" ca="1" si="28"/>
        <v>9029.0249999999978</v>
      </c>
      <c r="U24" s="22">
        <f t="shared" ca="1" si="28"/>
        <v>10234.987499999999</v>
      </c>
      <c r="V24" s="22">
        <f t="shared" ca="1" si="28"/>
        <v>11458.867499999998</v>
      </c>
      <c r="W24" s="22">
        <f t="shared" ca="1" si="28"/>
        <v>12920.302499999998</v>
      </c>
      <c r="X24" s="22">
        <f t="shared" ca="1" si="28"/>
        <v>14294.924999999997</v>
      </c>
      <c r="Y24" s="22">
        <f t="shared" ca="1" si="28"/>
        <v>15674.009999999998</v>
      </c>
      <c r="Z24" s="22">
        <f t="shared" ca="1" si="28"/>
        <v>17301.12</v>
      </c>
      <c r="AA24" s="22">
        <f t="shared" ca="1" si="28"/>
        <v>18833.939999999999</v>
      </c>
      <c r="AB24" s="22">
        <f t="shared" ca="1" si="28"/>
        <v>20377.207499999997</v>
      </c>
      <c r="AC24" s="22">
        <f t="shared" ca="1" si="28"/>
        <v>22155.044999999998</v>
      </c>
      <c r="AD24" s="22">
        <f t="shared" ca="1" si="28"/>
        <v>23840.092499999995</v>
      </c>
      <c r="AE24" s="22">
        <f t="shared" ca="1" si="28"/>
        <v>26708.512499999993</v>
      </c>
      <c r="AF24" s="22">
        <f t="shared" ca="1" si="28"/>
        <v>28137.314999999995</v>
      </c>
      <c r="AG24" s="22">
        <f t="shared" ca="1" si="28"/>
        <v>29979.067499999997</v>
      </c>
      <c r="AH24" s="22">
        <f t="shared" ca="1" si="28"/>
        <v>31831.274999999998</v>
      </c>
      <c r="AI24" s="22">
        <f t="shared" ca="1" si="28"/>
        <v>33938.977499999994</v>
      </c>
      <c r="AJ24" s="22">
        <f t="shared" ca="1" si="28"/>
        <v>35937.442499999997</v>
      </c>
      <c r="AK24" s="22">
        <f t="shared" ca="1" si="28"/>
        <v>37938.892499999994</v>
      </c>
      <c r="AL24" s="22">
        <f t="shared" ca="1" si="28"/>
        <v>40194.344999999994</v>
      </c>
      <c r="AM24" s="22">
        <f t="shared" ca="1" si="28"/>
        <v>42340.56749999999</v>
      </c>
      <c r="AN24" s="22">
        <f t="shared" ca="1" si="28"/>
        <v>44485.289999999994</v>
      </c>
      <c r="AO24" s="22">
        <f t="shared" ca="1" si="28"/>
        <v>46903.447499999995</v>
      </c>
      <c r="AP24" s="22">
        <f t="shared" ref="AP24:BF24" ca="1" si="29">AP12*GEOMEAN($C$40,$C$41)</f>
        <v>49194.427499999998</v>
      </c>
      <c r="AQ24" s="22">
        <f t="shared" ca="1" si="29"/>
        <v>52570.177499999998</v>
      </c>
      <c r="AR24" s="22">
        <f t="shared" ca="1" si="29"/>
        <v>54637.859999999993</v>
      </c>
      <c r="AS24" s="22">
        <f t="shared" ca="1" si="29"/>
        <v>57066.15</v>
      </c>
      <c r="AT24" s="22">
        <f t="shared" ca="1" si="29"/>
        <v>59489.962499999994</v>
      </c>
      <c r="AU24" s="22">
        <f t="shared" ca="1" si="29"/>
        <v>62172.27</v>
      </c>
      <c r="AV24" s="22">
        <f t="shared" ca="1" si="29"/>
        <v>64727.414999999994</v>
      </c>
      <c r="AW24" s="22">
        <f t="shared" ca="1" si="29"/>
        <v>67275.097499999989</v>
      </c>
      <c r="AX24" s="22">
        <f t="shared" ca="1" si="29"/>
        <v>67786.237500000003</v>
      </c>
      <c r="AY24" s="22">
        <f t="shared" ca="1" si="29"/>
        <v>69416.28</v>
      </c>
      <c r="AZ24" s="22">
        <f t="shared" ca="1" si="29"/>
        <v>70964.017499999987</v>
      </c>
      <c r="BA24" s="22">
        <f t="shared" ca="1" si="29"/>
        <v>72519.217499999984</v>
      </c>
      <c r="BB24" s="22">
        <f t="shared" ca="1" si="29"/>
        <v>74270.14499999999</v>
      </c>
      <c r="BC24" s="22">
        <f t="shared" ca="1" si="29"/>
        <v>76929.397499999992</v>
      </c>
      <c r="BD24" s="22">
        <f t="shared" ca="1" si="29"/>
        <v>78156.622499999998</v>
      </c>
      <c r="BE24" s="22">
        <f t="shared" ca="1" si="29"/>
        <v>80023.964999999997</v>
      </c>
      <c r="BF24" s="22">
        <f t="shared" ca="1" si="29"/>
        <v>81803.024999999994</v>
      </c>
    </row>
    <row r="27" spans="2:58" x14ac:dyDescent="0.35">
      <c r="N27" s="22"/>
    </row>
    <row r="39" spans="2:3" ht="15" thickBot="1" x14ac:dyDescent="0.4"/>
    <row r="40" spans="2:3" x14ac:dyDescent="0.35">
      <c r="B40" s="196" t="s">
        <v>355</v>
      </c>
      <c r="C40" s="198">
        <v>0.15</v>
      </c>
    </row>
    <row r="41" spans="2:3" ht="15" thickBot="1" x14ac:dyDescent="0.4">
      <c r="B41" s="197" t="s">
        <v>356</v>
      </c>
      <c r="C41" s="199">
        <v>0.15</v>
      </c>
    </row>
  </sheetData>
  <mergeCells count="9">
    <mergeCell ref="B7:F17"/>
    <mergeCell ref="V1:AG2"/>
    <mergeCell ref="AH1:AS2"/>
    <mergeCell ref="AT1:BE2"/>
    <mergeCell ref="I1:I2"/>
    <mergeCell ref="J1:U1"/>
    <mergeCell ref="K2:O2"/>
    <mergeCell ref="P2:R2"/>
    <mergeCell ref="S2:U2"/>
  </mergeCells>
  <phoneticPr fontId="1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294E-0FD0-42A3-AF96-DD7D9831F0E5}">
  <dimension ref="B2:AY43"/>
  <sheetViews>
    <sheetView topLeftCell="E1" zoomScale="62" workbookViewId="0">
      <selection activeCell="R26" sqref="R26"/>
    </sheetView>
  </sheetViews>
  <sheetFormatPr baseColWidth="10" defaultColWidth="10.7265625" defaultRowHeight="14.5" x14ac:dyDescent="0.35"/>
  <cols>
    <col min="2" max="2" width="34.54296875" customWidth="1"/>
  </cols>
  <sheetData>
    <row r="2" spans="2:51" ht="15" thickBot="1" x14ac:dyDescent="0.4">
      <c r="B2" s="14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 t="s">
        <v>21</v>
      </c>
      <c r="W2" s="13" t="s">
        <v>22</v>
      </c>
      <c r="X2" s="13" t="s">
        <v>23</v>
      </c>
      <c r="Y2" s="13" t="s">
        <v>24</v>
      </c>
      <c r="Z2" s="13" t="s">
        <v>25</v>
      </c>
      <c r="AA2" s="13" t="s">
        <v>27</v>
      </c>
      <c r="AB2" s="13" t="s">
        <v>28</v>
      </c>
      <c r="AC2" s="13" t="s">
        <v>29</v>
      </c>
      <c r="AD2" s="13" t="s">
        <v>30</v>
      </c>
      <c r="AE2" s="13" t="s">
        <v>31</v>
      </c>
      <c r="AF2" s="13" t="s">
        <v>32</v>
      </c>
      <c r="AG2" s="13" t="s">
        <v>33</v>
      </c>
      <c r="AH2" s="13" t="s">
        <v>34</v>
      </c>
      <c r="AI2" s="13" t="s">
        <v>35</v>
      </c>
      <c r="AJ2" s="13" t="s">
        <v>36</v>
      </c>
      <c r="AK2" s="13" t="s">
        <v>37</v>
      </c>
      <c r="AL2" s="13" t="s">
        <v>38</v>
      </c>
      <c r="AM2" s="13" t="s">
        <v>95</v>
      </c>
      <c r="AN2" s="13" t="s">
        <v>96</v>
      </c>
      <c r="AO2" s="13" t="s">
        <v>97</v>
      </c>
      <c r="AP2" s="13" t="s">
        <v>98</v>
      </c>
      <c r="AQ2" s="13" t="s">
        <v>99</v>
      </c>
      <c r="AR2" s="13" t="s">
        <v>100</v>
      </c>
      <c r="AS2" s="13" t="s">
        <v>101</v>
      </c>
      <c r="AT2" s="13" t="s">
        <v>102</v>
      </c>
      <c r="AU2" s="13" t="s">
        <v>103</v>
      </c>
      <c r="AV2" s="13" t="s">
        <v>104</v>
      </c>
      <c r="AW2" s="13" t="s">
        <v>105</v>
      </c>
      <c r="AX2" s="15" t="s">
        <v>106</v>
      </c>
      <c r="AY2" s="15" t="s">
        <v>295</v>
      </c>
    </row>
    <row r="3" spans="2:51" ht="15" thickTop="1" x14ac:dyDescent="0.35">
      <c r="B3" t="s">
        <v>152</v>
      </c>
      <c r="C3">
        <f>Sales!J7-Sales!J8</f>
        <v>0</v>
      </c>
      <c r="D3">
        <f>Sales!K7-Sales!K8</f>
        <v>0</v>
      </c>
      <c r="E3">
        <f>Sales!L7-Sales!L8</f>
        <v>0</v>
      </c>
      <c r="F3">
        <f>Sales!M7-Sales!M8</f>
        <v>0</v>
      </c>
      <c r="G3">
        <f>Sales!N7-Sales!N8</f>
        <v>0</v>
      </c>
      <c r="H3">
        <f>Sales!O7-Sales!O8</f>
        <v>0</v>
      </c>
      <c r="I3">
        <f>Sales!P7-Sales!P8</f>
        <v>0</v>
      </c>
      <c r="J3">
        <f>Sales!Q7-Sales!Q8</f>
        <v>0</v>
      </c>
      <c r="K3">
        <f ca="1">Sales!R7-Sales!R8</f>
        <v>68893</v>
      </c>
      <c r="L3">
        <f ca="1">Sales!S7-Sales!S8</f>
        <v>110831</v>
      </c>
      <c r="M3">
        <f ca="1">Sales!T7-Sales!T8</f>
        <v>129874</v>
      </c>
      <c r="N3">
        <f ca="1">Sales!U7-Sales!U8</f>
        <v>149133</v>
      </c>
      <c r="O3">
        <f ca="1">Sales!V7-Sales!V8</f>
        <v>168601</v>
      </c>
      <c r="P3">
        <f ca="1">Sales!W7-Sales!W8</f>
        <v>190321</v>
      </c>
      <c r="Q3">
        <f ca="1">Sales!X7-Sales!X8</f>
        <v>212233</v>
      </c>
      <c r="R3">
        <f ca="1">Sales!Y7-Sales!Y8</f>
        <v>234335</v>
      </c>
      <c r="S3">
        <f ca="1">Sales!Z7-Sales!Z8</f>
        <v>258666</v>
      </c>
      <c r="T3">
        <f ca="1">Sales!AA7-Sales!AA8</f>
        <v>283164</v>
      </c>
      <c r="U3">
        <f ca="1">Sales!AB7-Sales!AB8</f>
        <v>307826</v>
      </c>
      <c r="V3">
        <f ca="1">Sales!AC7-Sales!AC8</f>
        <v>334692</v>
      </c>
      <c r="W3">
        <f ca="1">Sales!AD7-Sales!AD8</f>
        <v>361699</v>
      </c>
      <c r="X3">
        <f ca="1">Sales!AE7-Sales!AE8</f>
        <v>399298</v>
      </c>
      <c r="Y3">
        <f ca="1">Sales!AF7-Sales!AF8</f>
        <v>428768</v>
      </c>
      <c r="Z3">
        <f ca="1">Sales!AG7-Sales!AG8</f>
        <v>458346</v>
      </c>
      <c r="AA3">
        <f ca="1">Sales!AH7-Sales!AH8</f>
        <v>488027</v>
      </c>
      <c r="AB3">
        <f ca="1">Sales!AI7-Sales!AI8</f>
        <v>520039</v>
      </c>
      <c r="AC3">
        <f ca="1">Sales!AJ7-Sales!AJ8</f>
        <v>552122</v>
      </c>
      <c r="AD3">
        <f ca="1">Sales!AK7-Sales!AK8</f>
        <v>584274</v>
      </c>
      <c r="AE3">
        <f ca="1">Sales!AL7-Sales!AL8</f>
        <v>618702</v>
      </c>
      <c r="AF3">
        <f ca="1">Sales!AM7-Sales!AM8</f>
        <v>653164</v>
      </c>
      <c r="AG3">
        <f ca="1">Sales!AN7-Sales!AN8</f>
        <v>687656</v>
      </c>
      <c r="AH3">
        <f ca="1">Sales!AO7-Sales!AO8</f>
        <v>724565</v>
      </c>
      <c r="AI3">
        <f ca="1">Sales!AP7-Sales!AP8</f>
        <v>761464</v>
      </c>
      <c r="AJ3">
        <f ca="1">Sales!AQ7-Sales!AQ8</f>
        <v>808006</v>
      </c>
      <c r="AK3">
        <f ca="1">Sales!AR7-Sales!AR8</f>
        <v>847159</v>
      </c>
      <c r="AL3">
        <f ca="1">Sales!AS7-Sales!AS8</f>
        <v>886255</v>
      </c>
      <c r="AM3">
        <f ca="1">Sales!AT7-Sales!AT8</f>
        <v>925290</v>
      </c>
      <c r="AN3">
        <f ca="1">Sales!AU7-Sales!AU8</f>
        <v>966578</v>
      </c>
      <c r="AO3">
        <f ca="1">Sales!AV7-Sales!AV8</f>
        <v>1007760</v>
      </c>
      <c r="AP3">
        <f ca="1">Sales!AW7-Sales!AW8</f>
        <v>1048830</v>
      </c>
      <c r="AQ3">
        <f ca="1">Sales!AX7-Sales!AX8</f>
        <v>1071683</v>
      </c>
      <c r="AR3">
        <f ca="1">Sales!AY7-Sales!AY8</f>
        <v>1096394</v>
      </c>
      <c r="AS3">
        <f ca="1">Sales!AZ7-Sales!AZ8</f>
        <v>1121202</v>
      </c>
      <c r="AT3">
        <f ca="1">Sales!BA7-Sales!BA8</f>
        <v>1146101</v>
      </c>
      <c r="AU3">
        <f ca="1">Sales!BB7-Sales!BB8</f>
        <v>1172826</v>
      </c>
      <c r="AV3">
        <f ca="1">Sales!BC7-Sales!BC8</f>
        <v>1208452</v>
      </c>
      <c r="AW3">
        <f ca="1">Sales!BD7-Sales!BD8</f>
        <v>1235256</v>
      </c>
      <c r="AX3">
        <f ca="1">Sales!BE7-Sales!BE8</f>
        <v>1263842</v>
      </c>
      <c r="AY3">
        <f ca="1">Sales!BF7-Sales!BF8</f>
        <v>1292466</v>
      </c>
    </row>
    <row r="4" spans="2:51" x14ac:dyDescent="0.35">
      <c r="B4" t="s">
        <v>157</v>
      </c>
      <c r="C4">
        <f>C3*Cashflow!$G$27*Cashflow!$G$26*30</f>
        <v>0</v>
      </c>
      <c r="D4">
        <f>D3*Cashflow!$G$27*Cashflow!$G$26*30</f>
        <v>0</v>
      </c>
      <c r="E4">
        <f>E3*Cashflow!$G$27*Cashflow!$G$26*30</f>
        <v>0</v>
      </c>
      <c r="F4">
        <f>F3*Cashflow!$G$27*Cashflow!$G$26*30</f>
        <v>0</v>
      </c>
      <c r="G4">
        <f>G3*Cashflow!$G$27*Cashflow!$G$26*30</f>
        <v>0</v>
      </c>
      <c r="H4">
        <f>H3*Cashflow!$G$27*Cashflow!$G$26*30</f>
        <v>0</v>
      </c>
      <c r="I4">
        <f>I3*Cashflow!$G$27*Cashflow!$G$26*30</f>
        <v>0</v>
      </c>
      <c r="J4">
        <f>J3*Cashflow!$G$27*Cashflow!$G$26*30</f>
        <v>0</v>
      </c>
      <c r="K4">
        <f ca="1">K3*Cashflow!$G$27*Cashflow!$G$26*30</f>
        <v>2066790</v>
      </c>
      <c r="L4">
        <f ca="1">L3*Cashflow!$G$27*Cashflow!$G$26*30</f>
        <v>3324930</v>
      </c>
      <c r="M4">
        <f ca="1">M3*Cashflow!$G$27*Cashflow!$G$26*30</f>
        <v>3896220.0000000005</v>
      </c>
      <c r="N4">
        <f ca="1">N3*Cashflow!$G$27*Cashflow!$G$26*30</f>
        <v>4473990</v>
      </c>
      <c r="O4">
        <f ca="1">O3*Cashflow!$G$27*Cashflow!$G$26*30</f>
        <v>5058030.0000000009</v>
      </c>
      <c r="P4">
        <f ca="1">P3*Cashflow!$G$27*Cashflow!$G$26*30</f>
        <v>5709630.0000000009</v>
      </c>
      <c r="Q4">
        <f ca="1">Q3*Cashflow!$G$27*Cashflow!$G$26*30</f>
        <v>6366990.0000000009</v>
      </c>
      <c r="R4">
        <f ca="1">R3*Cashflow!$G$27*Cashflow!$G$26*30</f>
        <v>7030050</v>
      </c>
      <c r="S4">
        <f ca="1">S3*Cashflow!$G$27*Cashflow!$G$26*30</f>
        <v>7759980.0000000009</v>
      </c>
      <c r="T4">
        <f ca="1">T3*Cashflow!$G$27*Cashflow!$G$26*30</f>
        <v>8494920</v>
      </c>
      <c r="U4">
        <f ca="1">U3*Cashflow!$G$27*Cashflow!$G$26*30</f>
        <v>9234780</v>
      </c>
      <c r="V4">
        <f ca="1">V3*Cashflow!$G$27*Cashflow!$G$26*30</f>
        <v>10040760.000000002</v>
      </c>
      <c r="W4">
        <f ca="1">W3*Cashflow!$G$27*Cashflow!$G$26*30</f>
        <v>10850970</v>
      </c>
      <c r="X4">
        <f ca="1">X3*Cashflow!$G$27*Cashflow!$G$26*30</f>
        <v>11978940</v>
      </c>
      <c r="Y4">
        <f ca="1">Y3*Cashflow!$G$27*Cashflow!$G$26*30</f>
        <v>12863040</v>
      </c>
      <c r="Z4">
        <f ca="1">Z3*Cashflow!$G$27*Cashflow!$G$26*30</f>
        <v>13750380.000000002</v>
      </c>
      <c r="AA4">
        <f ca="1">AA3*Cashflow!$G$27*Cashflow!$G$26*30</f>
        <v>14640810.000000002</v>
      </c>
      <c r="AB4">
        <f ca="1">AB3*Cashflow!$G$27*Cashflow!$G$26*30</f>
        <v>15601170</v>
      </c>
      <c r="AC4">
        <f ca="1">AC3*Cashflow!$G$27*Cashflow!$G$26*30</f>
        <v>16563660</v>
      </c>
      <c r="AD4">
        <f ca="1">AD3*Cashflow!$G$27*Cashflow!$G$26*30</f>
        <v>17528220</v>
      </c>
      <c r="AE4">
        <f ca="1">AE3*Cashflow!$G$27*Cashflow!$G$26*30</f>
        <v>18561060</v>
      </c>
      <c r="AF4">
        <f ca="1">AF3*Cashflow!$G$27*Cashflow!$G$26*30</f>
        <v>19594920</v>
      </c>
      <c r="AG4">
        <f ca="1">AG3*Cashflow!$G$27*Cashflow!$G$26*30</f>
        <v>20629680</v>
      </c>
      <c r="AH4">
        <f ca="1">AH3*Cashflow!$G$27*Cashflow!$G$26*30</f>
        <v>21736950</v>
      </c>
      <c r="AI4">
        <f ca="1">AI3*Cashflow!$G$27*Cashflow!$G$26*30</f>
        <v>22843920.000000004</v>
      </c>
      <c r="AJ4">
        <f ca="1">AJ3*Cashflow!$G$27*Cashflow!$G$26*30</f>
        <v>24240180</v>
      </c>
      <c r="AK4">
        <f ca="1">AK3*Cashflow!$G$27*Cashflow!$G$26*30</f>
        <v>25414770.000000004</v>
      </c>
      <c r="AL4">
        <f ca="1">AL3*Cashflow!$G$27*Cashflow!$G$26*30</f>
        <v>26587650</v>
      </c>
      <c r="AM4">
        <f ca="1">AM3*Cashflow!$G$27*Cashflow!$G$26*30</f>
        <v>27758700</v>
      </c>
      <c r="AN4">
        <f ca="1">AN3*Cashflow!$G$27*Cashflow!$G$26*30</f>
        <v>28997340</v>
      </c>
      <c r="AO4">
        <f ca="1">AO3*Cashflow!$G$27*Cashflow!$G$26*30</f>
        <v>30232800</v>
      </c>
      <c r="AP4">
        <f ca="1">AP3*Cashflow!$G$27*Cashflow!$G$26*30</f>
        <v>31464900</v>
      </c>
      <c r="AQ4">
        <f ca="1">AQ3*Cashflow!$G$27*Cashflow!$G$26*30</f>
        <v>32150490</v>
      </c>
      <c r="AR4">
        <f ca="1">AR3*Cashflow!$G$27*Cashflow!$G$26*30</f>
        <v>32891820</v>
      </c>
      <c r="AS4">
        <f ca="1">AS3*Cashflow!$G$27*Cashflow!$G$26*30</f>
        <v>33636060</v>
      </c>
      <c r="AT4">
        <f ca="1">AT3*Cashflow!$G$27*Cashflow!$G$26*30</f>
        <v>34383030</v>
      </c>
      <c r="AU4">
        <f ca="1">AU3*Cashflow!$G$27*Cashflow!$G$26*30</f>
        <v>35184780</v>
      </c>
      <c r="AV4">
        <f ca="1">AV3*Cashflow!$G$27*Cashflow!$G$26*30</f>
        <v>36253560</v>
      </c>
      <c r="AW4">
        <f ca="1">AW3*Cashflow!$G$27*Cashflow!$G$26*30</f>
        <v>37057680</v>
      </c>
      <c r="AX4">
        <f ca="1">AX3*Cashflow!$G$27*Cashflow!$G$26*30</f>
        <v>37915260</v>
      </c>
      <c r="AY4">
        <f ca="1">AY3*Cashflow!$G$27*Cashflow!$G$26*30</f>
        <v>38773980</v>
      </c>
    </row>
    <row r="5" spans="2:51" x14ac:dyDescent="0.35">
      <c r="B5" t="s">
        <v>155</v>
      </c>
      <c r="C5">
        <f>C4*Cashflow!$G$28/1000</f>
        <v>0</v>
      </c>
      <c r="D5">
        <f>D4*Cashflow!$G$28/1000</f>
        <v>0</v>
      </c>
      <c r="E5">
        <f>E4*Cashflow!$G$28/1000</f>
        <v>0</v>
      </c>
      <c r="F5">
        <f>F4*Cashflow!$G$28/1000</f>
        <v>0</v>
      </c>
      <c r="G5">
        <f>G4*Cashflow!$G$28/1000</f>
        <v>0</v>
      </c>
      <c r="H5">
        <f>H4*Cashflow!$G$28/1000</f>
        <v>0</v>
      </c>
      <c r="I5">
        <f>I4*Cashflow!$G$28/1000</f>
        <v>0</v>
      </c>
      <c r="J5">
        <f>J4*Cashflow!$G$28/1000</f>
        <v>0</v>
      </c>
      <c r="K5">
        <f ca="1">K4*Cashflow!$G$28/1000</f>
        <v>3100.1849999999999</v>
      </c>
      <c r="L5">
        <f ca="1">L4*Cashflow!$G$28/1000</f>
        <v>4987.3950000000004</v>
      </c>
      <c r="M5">
        <f ca="1">M4*Cashflow!$G$28/1000</f>
        <v>5844.3300000000008</v>
      </c>
      <c r="N5">
        <f ca="1">N4*Cashflow!$G$28/1000</f>
        <v>6710.9849999999997</v>
      </c>
      <c r="O5">
        <f ca="1">O4*Cashflow!$G$28/1000</f>
        <v>7587.0450000000019</v>
      </c>
      <c r="P5">
        <f ca="1">P4*Cashflow!$G$28/1000</f>
        <v>8564.4450000000015</v>
      </c>
      <c r="Q5">
        <f ca="1">Q4*Cashflow!$G$28/1000</f>
        <v>9550.4850000000024</v>
      </c>
      <c r="R5">
        <f ca="1">R4*Cashflow!$G$28/1000</f>
        <v>10545.075000000001</v>
      </c>
      <c r="S5">
        <f ca="1">S4*Cashflow!$G$28/1000</f>
        <v>11639.970000000001</v>
      </c>
      <c r="T5">
        <f ca="1">T4*Cashflow!$G$28/1000</f>
        <v>12742.38</v>
      </c>
      <c r="U5">
        <f ca="1">U4*Cashflow!$G$28/1000</f>
        <v>13852.17</v>
      </c>
      <c r="V5">
        <f ca="1">V4*Cashflow!$G$28/1000</f>
        <v>15061.140000000003</v>
      </c>
      <c r="W5">
        <f ca="1">W4*Cashflow!$G$28/1000</f>
        <v>16276.455</v>
      </c>
      <c r="X5">
        <f ca="1">X4*Cashflow!$G$28/1000</f>
        <v>17968.41</v>
      </c>
      <c r="Y5">
        <f ca="1">Y4*Cashflow!$G$28/1000</f>
        <v>19294.560000000001</v>
      </c>
      <c r="Z5">
        <f ca="1">Z4*Cashflow!$G$28/1000</f>
        <v>20625.570000000003</v>
      </c>
      <c r="AA5">
        <f ca="1">AA4*Cashflow!$G$28/1000</f>
        <v>21961.215000000004</v>
      </c>
      <c r="AB5">
        <f ca="1">AB4*Cashflow!$G$28/1000</f>
        <v>23401.755000000001</v>
      </c>
      <c r="AC5">
        <f ca="1">AC4*Cashflow!$G$28/1000</f>
        <v>24845.49</v>
      </c>
      <c r="AD5">
        <f ca="1">AD4*Cashflow!$G$28/1000</f>
        <v>26292.33</v>
      </c>
      <c r="AE5">
        <f ca="1">AE4*Cashflow!$G$28/1000</f>
        <v>27841.59</v>
      </c>
      <c r="AF5">
        <f ca="1">AF4*Cashflow!$G$28/1000</f>
        <v>29392.38</v>
      </c>
      <c r="AG5">
        <f ca="1">AG4*Cashflow!$G$28/1000</f>
        <v>30944.52</v>
      </c>
      <c r="AH5">
        <f ca="1">AH4*Cashflow!$G$28/1000</f>
        <v>32605.424999999999</v>
      </c>
      <c r="AI5">
        <f ca="1">AI4*Cashflow!$G$28/1000</f>
        <v>34265.880000000005</v>
      </c>
      <c r="AJ5">
        <f ca="1">AJ4*Cashflow!$G$28/1000</f>
        <v>36360.269999999997</v>
      </c>
      <c r="AK5">
        <f ca="1">AK4*Cashflow!$G$28/1000</f>
        <v>38122.155000000006</v>
      </c>
      <c r="AL5">
        <f ca="1">AL4*Cashflow!$G$28/1000</f>
        <v>39881.474999999999</v>
      </c>
      <c r="AM5">
        <f ca="1">AM4*Cashflow!$G$28/1000</f>
        <v>41638.050000000003</v>
      </c>
      <c r="AN5">
        <f ca="1">AN4*Cashflow!$G$28/1000</f>
        <v>43496.01</v>
      </c>
      <c r="AO5">
        <f ca="1">AO4*Cashflow!$G$28/1000</f>
        <v>45349.2</v>
      </c>
      <c r="AP5">
        <f ca="1">AP4*Cashflow!$G$28/1000</f>
        <v>47197.35</v>
      </c>
      <c r="AQ5">
        <f ca="1">AQ4*Cashflow!$G$28/1000</f>
        <v>48225.735000000001</v>
      </c>
      <c r="AR5">
        <f ca="1">AR4*Cashflow!$G$28/1000</f>
        <v>49337.73</v>
      </c>
      <c r="AS5">
        <f ca="1">AS4*Cashflow!$G$28/1000</f>
        <v>50454.09</v>
      </c>
      <c r="AT5">
        <f ca="1">AT4*Cashflow!$G$28/1000</f>
        <v>51574.544999999998</v>
      </c>
      <c r="AU5">
        <f ca="1">AU4*Cashflow!$G$28/1000</f>
        <v>52777.17</v>
      </c>
      <c r="AV5">
        <f ca="1">AV4*Cashflow!$G$28/1000</f>
        <v>54380.34</v>
      </c>
      <c r="AW5">
        <f ca="1">AW4*Cashflow!$G$28/1000</f>
        <v>55586.52</v>
      </c>
      <c r="AX5">
        <f ca="1">AX4*Cashflow!$G$28/1000</f>
        <v>56872.89</v>
      </c>
      <c r="AY5">
        <f ca="1">AY4*Cashflow!$G$28/1000</f>
        <v>58160.97</v>
      </c>
    </row>
    <row r="7" spans="2:51" ht="15" thickBot="1" x14ac:dyDescent="0.4">
      <c r="B7" s="14" t="s">
        <v>1</v>
      </c>
      <c r="C7" s="13" t="s">
        <v>2</v>
      </c>
      <c r="D7" s="13" t="s">
        <v>3</v>
      </c>
      <c r="E7" s="13" t="s">
        <v>4</v>
      </c>
      <c r="F7" s="13" t="s">
        <v>5</v>
      </c>
      <c r="G7" s="13" t="s">
        <v>6</v>
      </c>
      <c r="H7" s="13" t="s">
        <v>7</v>
      </c>
      <c r="I7" s="13" t="s">
        <v>8</v>
      </c>
      <c r="J7" s="13" t="s">
        <v>9</v>
      </c>
      <c r="K7" s="13" t="s">
        <v>10</v>
      </c>
      <c r="L7" s="13" t="s">
        <v>11</v>
      </c>
      <c r="M7" s="13" t="s">
        <v>12</v>
      </c>
      <c r="N7" s="13" t="s">
        <v>13</v>
      </c>
      <c r="O7" s="13" t="s">
        <v>14</v>
      </c>
      <c r="P7" s="13" t="s">
        <v>15</v>
      </c>
      <c r="Q7" s="13" t="s">
        <v>16</v>
      </c>
      <c r="R7" s="13" t="s">
        <v>17</v>
      </c>
      <c r="S7" s="13" t="s">
        <v>18</v>
      </c>
      <c r="T7" s="13" t="s">
        <v>19</v>
      </c>
      <c r="U7" s="13" t="s">
        <v>20</v>
      </c>
      <c r="V7" s="13" t="s">
        <v>21</v>
      </c>
      <c r="W7" s="13" t="s">
        <v>22</v>
      </c>
      <c r="X7" s="13" t="s">
        <v>23</v>
      </c>
      <c r="Y7" s="13" t="s">
        <v>24</v>
      </c>
      <c r="Z7" s="13" t="s">
        <v>25</v>
      </c>
      <c r="AA7" s="13" t="s">
        <v>27</v>
      </c>
      <c r="AB7" s="13" t="s">
        <v>28</v>
      </c>
      <c r="AC7" s="13" t="s">
        <v>29</v>
      </c>
      <c r="AD7" s="13" t="s">
        <v>30</v>
      </c>
      <c r="AE7" s="13" t="s">
        <v>31</v>
      </c>
      <c r="AF7" s="13" t="s">
        <v>32</v>
      </c>
      <c r="AG7" s="13" t="s">
        <v>33</v>
      </c>
      <c r="AH7" s="13" t="s">
        <v>34</v>
      </c>
      <c r="AI7" s="13" t="s">
        <v>35</v>
      </c>
      <c r="AJ7" s="13" t="s">
        <v>36</v>
      </c>
      <c r="AK7" s="13" t="s">
        <v>37</v>
      </c>
      <c r="AL7" s="13" t="s">
        <v>38</v>
      </c>
      <c r="AM7" s="13" t="s">
        <v>95</v>
      </c>
      <c r="AN7" s="13" t="s">
        <v>96</v>
      </c>
      <c r="AO7" s="13" t="s">
        <v>97</v>
      </c>
      <c r="AP7" s="13" t="s">
        <v>98</v>
      </c>
      <c r="AQ7" s="13" t="s">
        <v>99</v>
      </c>
      <c r="AR7" s="13" t="s">
        <v>100</v>
      </c>
      <c r="AS7" s="13" t="s">
        <v>101</v>
      </c>
      <c r="AT7" s="13" t="s">
        <v>102</v>
      </c>
      <c r="AU7" s="13" t="s">
        <v>103</v>
      </c>
      <c r="AV7" s="13" t="s">
        <v>104</v>
      </c>
      <c r="AW7" s="13" t="s">
        <v>105</v>
      </c>
      <c r="AX7" s="15" t="s">
        <v>106</v>
      </c>
      <c r="AY7" s="15" t="s">
        <v>295</v>
      </c>
    </row>
    <row r="8" spans="2:51" ht="15" thickTop="1" x14ac:dyDescent="0.35">
      <c r="B8" t="s">
        <v>164</v>
      </c>
      <c r="C8">
        <f>Sales!J7</f>
        <v>0</v>
      </c>
      <c r="D8">
        <f>Sales!K7</f>
        <v>0</v>
      </c>
      <c r="E8">
        <f>Sales!L7</f>
        <v>0</v>
      </c>
      <c r="F8">
        <f>Sales!M7</f>
        <v>0</v>
      </c>
      <c r="G8">
        <f>Sales!N7</f>
        <v>0</v>
      </c>
      <c r="H8">
        <f>Sales!O7</f>
        <v>0</v>
      </c>
      <c r="I8">
        <f>Sales!P7</f>
        <v>0</v>
      </c>
      <c r="J8">
        <f>Sales!Q7</f>
        <v>0</v>
      </c>
      <c r="K8">
        <f ca="1">Sales!R7</f>
        <v>71764</v>
      </c>
      <c r="L8">
        <f ca="1">Sales!S7</f>
        <v>115449</v>
      </c>
      <c r="M8">
        <f ca="1">Sales!T7</f>
        <v>135286</v>
      </c>
      <c r="N8">
        <f ca="1">Sales!U7</f>
        <v>155347</v>
      </c>
      <c r="O8">
        <f ca="1">Sales!V7</f>
        <v>175627</v>
      </c>
      <c r="P8">
        <f ca="1">Sales!W7</f>
        <v>198252</v>
      </c>
      <c r="Q8">
        <f ca="1">Sales!X7</f>
        <v>221077</v>
      </c>
      <c r="R8">
        <f ca="1">Sales!Y7</f>
        <v>244099</v>
      </c>
      <c r="S8">
        <f ca="1">Sales!Z7</f>
        <v>269444</v>
      </c>
      <c r="T8">
        <f ca="1">Sales!AA7</f>
        <v>294963</v>
      </c>
      <c r="U8">
        <f ca="1">Sales!AB7</f>
        <v>320653</v>
      </c>
      <c r="V8">
        <f ca="1">Sales!AC7</f>
        <v>348638</v>
      </c>
      <c r="W8">
        <f ca="1">Sales!AD7</f>
        <v>376770</v>
      </c>
      <c r="X8">
        <f ca="1">Sales!AE7</f>
        <v>415936</v>
      </c>
      <c r="Y8">
        <f ca="1">Sales!AF7</f>
        <v>446634</v>
      </c>
      <c r="Z8">
        <f ca="1">Sales!AG7</f>
        <v>477444</v>
      </c>
      <c r="AA8">
        <f ca="1">Sales!AH7</f>
        <v>508362</v>
      </c>
      <c r="AB8">
        <f ca="1">Sales!AI7</f>
        <v>541708</v>
      </c>
      <c r="AC8">
        <f ca="1">Sales!AJ7</f>
        <v>575128</v>
      </c>
      <c r="AD8">
        <f ca="1">Sales!AK7</f>
        <v>608619</v>
      </c>
      <c r="AE8">
        <f ca="1">Sales!AL7</f>
        <v>644482</v>
      </c>
      <c r="AF8">
        <f ca="1">Sales!AM7</f>
        <v>680380</v>
      </c>
      <c r="AG8">
        <f ca="1">Sales!AN7</f>
        <v>716309</v>
      </c>
      <c r="AH8">
        <f ca="1">Sales!AO7</f>
        <v>754756</v>
      </c>
      <c r="AI8">
        <f ca="1">Sales!AP7</f>
        <v>793192</v>
      </c>
      <c r="AJ8">
        <f ca="1">Sales!AQ7</f>
        <v>841673</v>
      </c>
      <c r="AK8">
        <f ca="1">Sales!AR7</f>
        <v>882458</v>
      </c>
      <c r="AL8">
        <f ca="1">Sales!AS7</f>
        <v>923183</v>
      </c>
      <c r="AM8">
        <f ca="1">Sales!AT7</f>
        <v>963844</v>
      </c>
      <c r="AN8">
        <f ca="1">Sales!AU7</f>
        <v>1006853</v>
      </c>
      <c r="AO8">
        <f ca="1">Sales!AV7</f>
        <v>1049751</v>
      </c>
      <c r="AP8">
        <f ca="1">Sales!AW7</f>
        <v>1092532</v>
      </c>
      <c r="AQ8">
        <f ca="1">Sales!AX7</f>
        <v>1116337</v>
      </c>
      <c r="AR8">
        <f ca="1">Sales!AY7</f>
        <v>1142078</v>
      </c>
      <c r="AS8">
        <f ca="1">Sales!AZ7</f>
        <v>1167919</v>
      </c>
      <c r="AT8">
        <f ca="1">Sales!BA7</f>
        <v>1193856</v>
      </c>
      <c r="AU8">
        <f ca="1">Sales!BB7</f>
        <v>1221694</v>
      </c>
      <c r="AV8">
        <f ca="1">Sales!BC7</f>
        <v>1258805</v>
      </c>
      <c r="AW8">
        <f ca="1">Sales!BD7</f>
        <v>1286726</v>
      </c>
      <c r="AX8">
        <f ca="1">Sales!BE7</f>
        <v>1316503</v>
      </c>
      <c r="AY8">
        <f ca="1">Sales!BF7</f>
        <v>1346319</v>
      </c>
    </row>
    <row r="9" spans="2:51" x14ac:dyDescent="0.35">
      <c r="B9" t="s">
        <v>165</v>
      </c>
      <c r="C9">
        <f>ROUNDUP(C8*Cashflow!$G$30/10000,0)</f>
        <v>0</v>
      </c>
      <c r="D9">
        <f>ROUNDUP(D8*Cashflow!$G$30/10000,0)</f>
        <v>0</v>
      </c>
      <c r="E9">
        <f>ROUNDUP(E8*Cashflow!$G$30/10000,0)</f>
        <v>0</v>
      </c>
      <c r="F9">
        <f>ROUNDUP(F8*Cashflow!$G$30/10000,0)</f>
        <v>0</v>
      </c>
      <c r="G9">
        <f>ROUNDUP(G8*Cashflow!$G$30/10000,0)</f>
        <v>0</v>
      </c>
      <c r="H9">
        <f>ROUNDUP(H8*Cashflow!$G$30/10000,0)</f>
        <v>0</v>
      </c>
      <c r="I9">
        <f>ROUNDUP(I8*Cashflow!$G$30/10000,0)</f>
        <v>0</v>
      </c>
      <c r="J9">
        <f>ROUNDUP(J8*Cashflow!$G$30/10000,0)</f>
        <v>0</v>
      </c>
      <c r="K9">
        <f ca="1">ROUNDUP(K8*Cashflow!$G$30/10000,0)</f>
        <v>72</v>
      </c>
      <c r="L9">
        <f ca="1">ROUNDUP(L8*Cashflow!$G$30/10000,0)</f>
        <v>116</v>
      </c>
      <c r="M9">
        <f ca="1">ROUNDUP(M8*Cashflow!$G$30/10000,0)</f>
        <v>136</v>
      </c>
      <c r="N9">
        <f ca="1">ROUNDUP(N8*Cashflow!$G$30/10000,0)</f>
        <v>156</v>
      </c>
      <c r="O9">
        <f ca="1">ROUNDUP(O8*Cashflow!$G$30/10000,0)</f>
        <v>176</v>
      </c>
      <c r="P9">
        <f ca="1">ROUNDUP(P8*Cashflow!$G$30/10000,0)</f>
        <v>199</v>
      </c>
      <c r="Q9">
        <f ca="1">ROUNDUP(Q8*Cashflow!$G$30/10000,0)</f>
        <v>222</v>
      </c>
      <c r="R9">
        <f ca="1">ROUNDUP(R8*Cashflow!$G$30/10000,0)</f>
        <v>245</v>
      </c>
      <c r="S9">
        <f ca="1">ROUNDUP(S8*Cashflow!$G$30/10000,0)</f>
        <v>270</v>
      </c>
      <c r="T9">
        <f ca="1">ROUNDUP(T8*Cashflow!$G$30/10000,0)</f>
        <v>295</v>
      </c>
      <c r="U9">
        <f ca="1">ROUNDUP(U8*Cashflow!$G$30/10000,0)</f>
        <v>321</v>
      </c>
      <c r="V9">
        <f ca="1">ROUNDUP(V8*Cashflow!$G$30/10000,0)</f>
        <v>349</v>
      </c>
      <c r="W9">
        <f ca="1">ROUNDUP(W8*Cashflow!$G$30/10000,0)</f>
        <v>377</v>
      </c>
      <c r="X9">
        <f ca="1">ROUNDUP(X8*Cashflow!$G$30/10000,0)</f>
        <v>416</v>
      </c>
      <c r="Y9">
        <f ca="1">ROUNDUP(Y8*Cashflow!$G$30/10000,0)</f>
        <v>447</v>
      </c>
      <c r="Z9">
        <f ca="1">ROUNDUP(Z8*Cashflow!$G$30/10000,0)</f>
        <v>478</v>
      </c>
      <c r="AA9">
        <f ca="1">ROUNDUP(AA8*Cashflow!$G$30/10000,0)</f>
        <v>509</v>
      </c>
      <c r="AB9">
        <f ca="1">ROUNDUP(AB8*Cashflow!$G$30/10000,0)</f>
        <v>542</v>
      </c>
      <c r="AC9">
        <f ca="1">ROUNDUP(AC8*Cashflow!$G$30/10000,0)</f>
        <v>576</v>
      </c>
      <c r="AD9">
        <f ca="1">ROUNDUP(AD8*Cashflow!$G$30/10000,0)</f>
        <v>609</v>
      </c>
      <c r="AE9">
        <f ca="1">ROUNDUP(AE8*Cashflow!$G$30/10000,0)</f>
        <v>645</v>
      </c>
      <c r="AF9">
        <f ca="1">ROUNDUP(AF8*Cashflow!$G$30/10000,0)</f>
        <v>681</v>
      </c>
      <c r="AG9">
        <f ca="1">ROUNDUP(AG8*Cashflow!$G$30/10000,0)</f>
        <v>717</v>
      </c>
      <c r="AH9">
        <f ca="1">ROUNDUP(AH8*Cashflow!$G$30/10000,0)</f>
        <v>755</v>
      </c>
      <c r="AI9">
        <f ca="1">ROUNDUP(AI8*Cashflow!$G$30/10000,0)</f>
        <v>794</v>
      </c>
      <c r="AJ9">
        <f ca="1">ROUNDUP(AJ8*Cashflow!$G$30/10000,0)</f>
        <v>842</v>
      </c>
      <c r="AK9">
        <f ca="1">ROUNDUP(AK8*Cashflow!$G$30/10000,0)</f>
        <v>883</v>
      </c>
      <c r="AL9">
        <f ca="1">ROUNDUP(AL8*Cashflow!$G$30/10000,0)</f>
        <v>924</v>
      </c>
      <c r="AM9">
        <f ca="1">ROUNDUP(AM8*Cashflow!$G$30/10000,0)</f>
        <v>964</v>
      </c>
      <c r="AN9">
        <f ca="1">ROUNDUP(AN8*Cashflow!$G$30/10000,0)</f>
        <v>1007</v>
      </c>
      <c r="AO9">
        <f ca="1">ROUNDUP(AO8*Cashflow!$G$30/10000,0)</f>
        <v>1050</v>
      </c>
      <c r="AP9">
        <f ca="1">ROUNDUP(AP8*Cashflow!$G$30/10000,0)</f>
        <v>1093</v>
      </c>
      <c r="AQ9">
        <f ca="1">ROUNDUP(AQ8*Cashflow!$G$30/10000,0)</f>
        <v>1117</v>
      </c>
      <c r="AR9">
        <f ca="1">ROUNDUP(AR8*Cashflow!$G$30/10000,0)</f>
        <v>1143</v>
      </c>
      <c r="AS9">
        <f ca="1">ROUNDUP(AS8*Cashflow!$G$30/10000,0)</f>
        <v>1168</v>
      </c>
      <c r="AT9">
        <f ca="1">ROUNDUP(AT8*Cashflow!$G$30/10000,0)</f>
        <v>1194</v>
      </c>
      <c r="AU9">
        <f ca="1">ROUNDUP(AU8*Cashflow!$G$30/10000,0)</f>
        <v>1222</v>
      </c>
      <c r="AV9">
        <f ca="1">ROUNDUP(AV8*Cashflow!$G$30/10000,0)</f>
        <v>1259</v>
      </c>
      <c r="AW9">
        <f ca="1">ROUNDUP(AW8*Cashflow!$G$30/10000,0)</f>
        <v>1287</v>
      </c>
      <c r="AX9">
        <f ca="1">ROUNDUP(AX8*Cashflow!$G$30/10000,0)</f>
        <v>1317</v>
      </c>
      <c r="AY9">
        <f ca="1">ROUNDUP(AY8*Cashflow!$G$30/10000,0)</f>
        <v>1347</v>
      </c>
    </row>
    <row r="10" spans="2:51" x14ac:dyDescent="0.35">
      <c r="B10" t="s">
        <v>163</v>
      </c>
      <c r="C10">
        <f>C9*Cashflow!$G$31*Cashflow!$G$32</f>
        <v>0</v>
      </c>
      <c r="D10">
        <f>D9*Cashflow!$G$31*Cashflow!$G$32</f>
        <v>0</v>
      </c>
      <c r="E10">
        <f>E9*Cashflow!$G$31*Cashflow!$G$32</f>
        <v>0</v>
      </c>
      <c r="F10">
        <f>F9*Cashflow!$G$31*Cashflow!$G$32</f>
        <v>0</v>
      </c>
      <c r="G10">
        <f>G9*Cashflow!$G$31*Cashflow!$G$32</f>
        <v>0</v>
      </c>
      <c r="H10">
        <f>H9*Cashflow!$G$31*Cashflow!$G$32</f>
        <v>0</v>
      </c>
      <c r="I10">
        <f>I9*Cashflow!$G$31*Cashflow!$G$32</f>
        <v>0</v>
      </c>
      <c r="J10">
        <f>J9*Cashflow!$G$31*Cashflow!$G$32</f>
        <v>0</v>
      </c>
      <c r="K10">
        <f ca="1">K9*Cashflow!$G$31*Cashflow!$G$32</f>
        <v>180</v>
      </c>
      <c r="L10">
        <f ca="1">L9*Cashflow!$G$31*Cashflow!$G$32</f>
        <v>290</v>
      </c>
      <c r="M10">
        <f ca="1">M9*Cashflow!$G$31*Cashflow!$G$32</f>
        <v>340</v>
      </c>
      <c r="N10">
        <f ca="1">N9*Cashflow!$G$31*Cashflow!$G$32</f>
        <v>390</v>
      </c>
      <c r="O10">
        <f ca="1">O9*Cashflow!$G$31*Cashflow!$G$32</f>
        <v>440</v>
      </c>
      <c r="P10">
        <f ca="1">P9*Cashflow!$G$31*Cashflow!$G$32</f>
        <v>497.5</v>
      </c>
      <c r="Q10">
        <f ca="1">Q9*Cashflow!$G$31*Cashflow!$G$32</f>
        <v>555</v>
      </c>
      <c r="R10">
        <f ca="1">R9*Cashflow!$G$31*Cashflow!$G$32</f>
        <v>612.5</v>
      </c>
      <c r="S10">
        <f ca="1">S9*Cashflow!$G$31*Cashflow!$G$32</f>
        <v>675</v>
      </c>
      <c r="T10">
        <f ca="1">T9*Cashflow!$G$31*Cashflow!$G$32</f>
        <v>737.5</v>
      </c>
      <c r="U10">
        <f ca="1">U9*Cashflow!$G$31*Cashflow!$G$32</f>
        <v>802.5</v>
      </c>
      <c r="V10">
        <f ca="1">V9*Cashflow!$G$31*Cashflow!$G$32</f>
        <v>872.5</v>
      </c>
      <c r="W10">
        <f ca="1">W9*Cashflow!$G$31*Cashflow!$G$32</f>
        <v>942.5</v>
      </c>
      <c r="X10">
        <f ca="1">X9*Cashflow!$G$31*Cashflow!$G$32</f>
        <v>1040</v>
      </c>
      <c r="Y10">
        <f ca="1">Y9*Cashflow!$G$31*Cashflow!$G$32</f>
        <v>1117.5</v>
      </c>
      <c r="Z10">
        <f ca="1">Z9*Cashflow!$G$31*Cashflow!$G$32</f>
        <v>1195</v>
      </c>
      <c r="AA10">
        <f ca="1">AA9*Cashflow!$G$31*Cashflow!$G$32</f>
        <v>1272.5</v>
      </c>
      <c r="AB10">
        <f ca="1">AB9*Cashflow!$G$31*Cashflow!$G$32</f>
        <v>1355</v>
      </c>
      <c r="AC10">
        <f ca="1">AC9*Cashflow!$G$31*Cashflow!$G$32</f>
        <v>1440</v>
      </c>
      <c r="AD10">
        <f ca="1">AD9*Cashflow!$G$31*Cashflow!$G$32</f>
        <v>1522.5</v>
      </c>
      <c r="AE10">
        <f ca="1">AE9*Cashflow!$G$31*Cashflow!$G$32</f>
        <v>1612.5</v>
      </c>
      <c r="AF10">
        <f ca="1">AF9*Cashflow!$G$31*Cashflow!$G$32</f>
        <v>1702.5</v>
      </c>
      <c r="AG10">
        <f ca="1">AG9*Cashflow!$G$31*Cashflow!$G$32</f>
        <v>1792.5</v>
      </c>
      <c r="AH10">
        <f ca="1">AH9*Cashflow!$G$31*Cashflow!$G$32</f>
        <v>1887.5</v>
      </c>
      <c r="AI10">
        <f ca="1">AI9*Cashflow!$G$31*Cashflow!$G$32</f>
        <v>1985</v>
      </c>
      <c r="AJ10">
        <f ca="1">AJ9*Cashflow!$G$31*Cashflow!$G$32</f>
        <v>2105</v>
      </c>
      <c r="AK10">
        <f ca="1">AK9*Cashflow!$G$31*Cashflow!$G$32</f>
        <v>2207.5</v>
      </c>
      <c r="AL10">
        <f ca="1">AL9*Cashflow!$G$31*Cashflow!$G$32</f>
        <v>2310</v>
      </c>
      <c r="AM10">
        <f ca="1">AM9*Cashflow!$G$31*Cashflow!$G$32</f>
        <v>2410</v>
      </c>
      <c r="AN10">
        <f ca="1">AN9*Cashflow!$G$31*Cashflow!$G$32</f>
        <v>2517.5</v>
      </c>
      <c r="AO10">
        <f ca="1">AO9*Cashflow!$G$31*Cashflow!$G$32</f>
        <v>2625</v>
      </c>
      <c r="AP10">
        <f ca="1">AP9*Cashflow!$G$31*Cashflow!$G$32</f>
        <v>2732.5</v>
      </c>
      <c r="AQ10">
        <f ca="1">AQ9*Cashflow!$G$31*Cashflow!$G$32</f>
        <v>2792.5</v>
      </c>
      <c r="AR10">
        <f ca="1">AR9*Cashflow!$G$31*Cashflow!$G$32</f>
        <v>2857.5</v>
      </c>
      <c r="AS10">
        <f ca="1">AS9*Cashflow!$G$31*Cashflow!$G$32</f>
        <v>2920</v>
      </c>
      <c r="AT10">
        <f ca="1">AT9*Cashflow!$G$31*Cashflow!$G$32</f>
        <v>2985</v>
      </c>
      <c r="AU10">
        <f ca="1">AU9*Cashflow!$G$31*Cashflow!$G$32</f>
        <v>3055</v>
      </c>
      <c r="AV10">
        <f ca="1">AV9*Cashflow!$G$31*Cashflow!$G$32</f>
        <v>3147.5</v>
      </c>
      <c r="AW10">
        <f ca="1">AW9*Cashflow!$G$31*Cashflow!$G$32</f>
        <v>3217.5</v>
      </c>
      <c r="AX10">
        <f ca="1">AX9*Cashflow!$G$31*Cashflow!$G$32</f>
        <v>3292.5</v>
      </c>
      <c r="AY10">
        <f ca="1">AY9*Cashflow!$G$31*Cashflow!$G$32</f>
        <v>3367.5</v>
      </c>
    </row>
    <row r="13" spans="2:51" ht="15" thickBot="1" x14ac:dyDescent="0.4">
      <c r="B13" s="14" t="s">
        <v>1</v>
      </c>
      <c r="C13" s="13" t="s">
        <v>2</v>
      </c>
      <c r="D13" s="13" t="s">
        <v>3</v>
      </c>
      <c r="E13" s="13" t="s">
        <v>4</v>
      </c>
      <c r="F13" s="13" t="s">
        <v>5</v>
      </c>
      <c r="G13" s="13" t="s">
        <v>6</v>
      </c>
      <c r="H13" s="13" t="s">
        <v>7</v>
      </c>
      <c r="I13" s="13" t="s">
        <v>8</v>
      </c>
      <c r="J13" s="13" t="s">
        <v>9</v>
      </c>
      <c r="K13" s="13" t="s">
        <v>10</v>
      </c>
      <c r="L13" s="13" t="s">
        <v>11</v>
      </c>
      <c r="M13" s="13" t="s">
        <v>12</v>
      </c>
      <c r="N13" s="13" t="s">
        <v>13</v>
      </c>
      <c r="O13" s="13" t="s">
        <v>14</v>
      </c>
      <c r="P13" s="13" t="s">
        <v>15</v>
      </c>
      <c r="Q13" s="13" t="s">
        <v>16</v>
      </c>
      <c r="R13" s="13" t="s">
        <v>17</v>
      </c>
      <c r="S13" s="13" t="s">
        <v>18</v>
      </c>
      <c r="T13" s="13" t="s">
        <v>19</v>
      </c>
      <c r="U13" s="13" t="s">
        <v>20</v>
      </c>
      <c r="V13" s="13" t="s">
        <v>21</v>
      </c>
      <c r="W13" s="13" t="s">
        <v>22</v>
      </c>
      <c r="X13" s="13" t="s">
        <v>23</v>
      </c>
      <c r="Y13" s="13" t="s">
        <v>24</v>
      </c>
      <c r="Z13" s="13" t="s">
        <v>25</v>
      </c>
      <c r="AA13" s="13" t="s">
        <v>27</v>
      </c>
      <c r="AB13" s="13" t="s">
        <v>28</v>
      </c>
      <c r="AC13" s="13" t="s">
        <v>29</v>
      </c>
      <c r="AD13" s="13" t="s">
        <v>30</v>
      </c>
      <c r="AE13" s="13" t="s">
        <v>31</v>
      </c>
      <c r="AF13" s="13" t="s">
        <v>32</v>
      </c>
      <c r="AG13" s="13" t="s">
        <v>33</v>
      </c>
      <c r="AH13" s="13" t="s">
        <v>34</v>
      </c>
      <c r="AI13" s="13" t="s">
        <v>35</v>
      </c>
      <c r="AJ13" s="13" t="s">
        <v>36</v>
      </c>
      <c r="AK13" s="13" t="s">
        <v>37</v>
      </c>
      <c r="AL13" s="13" t="s">
        <v>38</v>
      </c>
      <c r="AM13" s="13" t="s">
        <v>95</v>
      </c>
      <c r="AN13" s="13" t="s">
        <v>96</v>
      </c>
      <c r="AO13" s="13" t="s">
        <v>97</v>
      </c>
      <c r="AP13" s="13" t="s">
        <v>98</v>
      </c>
      <c r="AQ13" s="13" t="s">
        <v>99</v>
      </c>
      <c r="AR13" s="13" t="s">
        <v>100</v>
      </c>
      <c r="AS13" s="13" t="s">
        <v>101</v>
      </c>
      <c r="AT13" s="13" t="s">
        <v>102</v>
      </c>
      <c r="AU13" s="13" t="s">
        <v>103</v>
      </c>
      <c r="AV13" s="13" t="s">
        <v>104</v>
      </c>
      <c r="AW13" s="13" t="s">
        <v>105</v>
      </c>
      <c r="AX13" s="15" t="s">
        <v>106</v>
      </c>
      <c r="AY13" s="15" t="s">
        <v>295</v>
      </c>
    </row>
    <row r="14" spans="2:51" ht="15" thickTop="1" x14ac:dyDescent="0.35">
      <c r="B14" t="s">
        <v>164</v>
      </c>
      <c r="C14">
        <f>Sales!J7</f>
        <v>0</v>
      </c>
      <c r="D14">
        <f>Sales!K7</f>
        <v>0</v>
      </c>
      <c r="E14">
        <f>Sales!L7</f>
        <v>0</v>
      </c>
      <c r="F14">
        <f>Sales!M7</f>
        <v>0</v>
      </c>
      <c r="G14">
        <f>Sales!N7</f>
        <v>0</v>
      </c>
      <c r="H14">
        <f>Sales!O7</f>
        <v>0</v>
      </c>
      <c r="I14">
        <f>Sales!P7</f>
        <v>0</v>
      </c>
      <c r="J14">
        <f>Sales!Q7</f>
        <v>0</v>
      </c>
      <c r="K14">
        <f ca="1">Sales!R7</f>
        <v>71764</v>
      </c>
      <c r="L14">
        <f ca="1">Sales!S7</f>
        <v>115449</v>
      </c>
      <c r="M14">
        <f ca="1">Sales!T7</f>
        <v>135286</v>
      </c>
      <c r="N14">
        <f ca="1">Sales!U7</f>
        <v>155347</v>
      </c>
      <c r="O14">
        <f ca="1">Sales!V7</f>
        <v>175627</v>
      </c>
      <c r="P14">
        <f ca="1">Sales!W7</f>
        <v>198252</v>
      </c>
      <c r="Q14">
        <f ca="1">Sales!X7</f>
        <v>221077</v>
      </c>
      <c r="R14">
        <f ca="1">Sales!Y7</f>
        <v>244099</v>
      </c>
      <c r="S14">
        <f ca="1">Sales!Z7</f>
        <v>269444</v>
      </c>
      <c r="T14">
        <f ca="1">Sales!AA7</f>
        <v>294963</v>
      </c>
      <c r="U14">
        <f ca="1">Sales!AB7</f>
        <v>320653</v>
      </c>
      <c r="V14">
        <f ca="1">Sales!AC7</f>
        <v>348638</v>
      </c>
      <c r="W14">
        <f ca="1">Sales!AD7</f>
        <v>376770</v>
      </c>
      <c r="X14">
        <f ca="1">Sales!AE7</f>
        <v>415936</v>
      </c>
      <c r="Y14">
        <f ca="1">Sales!AF7</f>
        <v>446634</v>
      </c>
      <c r="Z14">
        <f ca="1">Sales!AG7</f>
        <v>477444</v>
      </c>
      <c r="AA14">
        <f ca="1">Sales!AH7</f>
        <v>508362</v>
      </c>
      <c r="AB14">
        <f ca="1">Sales!AI7</f>
        <v>541708</v>
      </c>
      <c r="AC14">
        <f ca="1">Sales!AJ7</f>
        <v>575128</v>
      </c>
      <c r="AD14">
        <f ca="1">Sales!AK7</f>
        <v>608619</v>
      </c>
      <c r="AE14">
        <f ca="1">Sales!AL7</f>
        <v>644482</v>
      </c>
      <c r="AF14">
        <f ca="1">Sales!AM7</f>
        <v>680380</v>
      </c>
      <c r="AG14">
        <f ca="1">Sales!AN7</f>
        <v>716309</v>
      </c>
      <c r="AH14">
        <f ca="1">Sales!AO7</f>
        <v>754756</v>
      </c>
      <c r="AI14">
        <f ca="1">Sales!AP7</f>
        <v>793192</v>
      </c>
      <c r="AJ14">
        <f ca="1">Sales!AQ7</f>
        <v>841673</v>
      </c>
      <c r="AK14">
        <f ca="1">Sales!AR7</f>
        <v>882458</v>
      </c>
      <c r="AL14">
        <f ca="1">Sales!AS7</f>
        <v>923183</v>
      </c>
      <c r="AM14">
        <f ca="1">Sales!AT7</f>
        <v>963844</v>
      </c>
      <c r="AN14">
        <f ca="1">Sales!AU7</f>
        <v>1006853</v>
      </c>
      <c r="AO14">
        <f ca="1">Sales!AV7</f>
        <v>1049751</v>
      </c>
      <c r="AP14">
        <f ca="1">Sales!AW7</f>
        <v>1092532</v>
      </c>
      <c r="AQ14">
        <f ca="1">Sales!AX7</f>
        <v>1116337</v>
      </c>
      <c r="AR14">
        <f ca="1">Sales!AY7</f>
        <v>1142078</v>
      </c>
      <c r="AS14">
        <f ca="1">Sales!AZ7</f>
        <v>1167919</v>
      </c>
      <c r="AT14">
        <f ca="1">Sales!BA7</f>
        <v>1193856</v>
      </c>
      <c r="AU14">
        <f ca="1">Sales!BB7</f>
        <v>1221694</v>
      </c>
      <c r="AV14">
        <f ca="1">Sales!BC7</f>
        <v>1258805</v>
      </c>
      <c r="AW14">
        <f ca="1">Sales!BD7</f>
        <v>1286726</v>
      </c>
      <c r="AX14">
        <f ca="1">Sales!BE7</f>
        <v>1316503</v>
      </c>
      <c r="AY14">
        <f ca="1">Sales!BF7</f>
        <v>1346319</v>
      </c>
    </row>
    <row r="15" spans="2:51" x14ac:dyDescent="0.35">
      <c r="B15" t="s">
        <v>166</v>
      </c>
      <c r="C15">
        <f>ROUNDUP(C14*Cashflow!$G$34/1000,0)</f>
        <v>0</v>
      </c>
      <c r="D15">
        <f>ROUNDUP(D14*Cashflow!$G$34/1000,0)</f>
        <v>0</v>
      </c>
      <c r="E15">
        <f>ROUNDUP(E14*Cashflow!$G$34/1000,0)</f>
        <v>0</v>
      </c>
      <c r="F15">
        <f>ROUNDUP(F14*Cashflow!$G$34/1000,0)</f>
        <v>0</v>
      </c>
      <c r="G15">
        <f>ROUNDUP(G14*Cashflow!$G$34/1000,0)</f>
        <v>0</v>
      </c>
      <c r="H15">
        <f>ROUNDUP(H14*Cashflow!$G$34/1000,0)</f>
        <v>0</v>
      </c>
      <c r="I15">
        <f>ROUNDUP(I14*Cashflow!$G$34/1000,0)</f>
        <v>0</v>
      </c>
      <c r="J15">
        <f>ROUNDUP(J14*Cashflow!$G$34/1000,0)</f>
        <v>0</v>
      </c>
      <c r="K15">
        <f ca="1">ROUNDUP(K14*Cashflow!$G$34/1000,0)</f>
        <v>2153</v>
      </c>
      <c r="L15">
        <f ca="1">ROUNDUP(L14*Cashflow!$G$34/1000,0)</f>
        <v>3464</v>
      </c>
      <c r="M15">
        <f ca="1">ROUNDUP(M14*Cashflow!$G$34/1000,0)</f>
        <v>4059</v>
      </c>
      <c r="N15">
        <f ca="1">ROUNDUP(N14*Cashflow!$G$34/1000,0)</f>
        <v>4661</v>
      </c>
      <c r="O15">
        <f ca="1">ROUNDUP(O14*Cashflow!$G$34/1000,0)</f>
        <v>5269</v>
      </c>
      <c r="P15">
        <f ca="1">ROUNDUP(P14*Cashflow!$G$34/1000,0)</f>
        <v>5948</v>
      </c>
      <c r="Q15">
        <f ca="1">ROUNDUP(Q14*Cashflow!$G$34/1000,0)</f>
        <v>6633</v>
      </c>
      <c r="R15">
        <f ca="1">ROUNDUP(R14*Cashflow!$G$34/1000,0)</f>
        <v>7323</v>
      </c>
      <c r="S15">
        <f ca="1">ROUNDUP(S14*Cashflow!$G$34/1000,0)</f>
        <v>8084</v>
      </c>
      <c r="T15">
        <f ca="1">ROUNDUP(T14*Cashflow!$G$34/1000,0)</f>
        <v>8849</v>
      </c>
      <c r="U15">
        <f ca="1">ROUNDUP(U14*Cashflow!$G$34/1000,0)</f>
        <v>9620</v>
      </c>
      <c r="V15">
        <f ca="1">ROUNDUP(V14*Cashflow!$G$34/1000,0)</f>
        <v>10460</v>
      </c>
      <c r="W15">
        <f ca="1">ROUNDUP(W14*Cashflow!$G$34/1000,0)</f>
        <v>11304</v>
      </c>
      <c r="X15">
        <f ca="1">ROUNDUP(X14*Cashflow!$G$34/1000,0)</f>
        <v>12479</v>
      </c>
      <c r="Y15">
        <f ca="1">ROUNDUP(Y14*Cashflow!$G$34/1000,0)</f>
        <v>13400</v>
      </c>
      <c r="Z15">
        <f ca="1">ROUNDUP(Z14*Cashflow!$G$34/1000,0)</f>
        <v>14324</v>
      </c>
      <c r="AA15">
        <f ca="1">ROUNDUP(AA14*Cashflow!$G$34/1000,0)</f>
        <v>15251</v>
      </c>
      <c r="AB15">
        <f ca="1">ROUNDUP(AB14*Cashflow!$G$34/1000,0)</f>
        <v>16252</v>
      </c>
      <c r="AC15">
        <f ca="1">ROUNDUP(AC14*Cashflow!$G$34/1000,0)</f>
        <v>17254</v>
      </c>
      <c r="AD15">
        <f ca="1">ROUNDUP(AD14*Cashflow!$G$34/1000,0)</f>
        <v>18259</v>
      </c>
      <c r="AE15">
        <f ca="1">ROUNDUP(AE14*Cashflow!$G$34/1000,0)</f>
        <v>19335</v>
      </c>
      <c r="AF15">
        <f ca="1">ROUNDUP(AF14*Cashflow!$G$34/1000,0)</f>
        <v>20412</v>
      </c>
      <c r="AG15">
        <f ca="1">ROUNDUP(AG14*Cashflow!$G$34/1000,0)</f>
        <v>21490</v>
      </c>
      <c r="AH15">
        <f ca="1">ROUNDUP(AH14*Cashflow!$G$34/1000,0)</f>
        <v>22643</v>
      </c>
      <c r="AI15">
        <f ca="1">ROUNDUP(AI14*Cashflow!$G$34/1000,0)</f>
        <v>23796</v>
      </c>
      <c r="AJ15">
        <f ca="1">ROUNDUP(AJ14*Cashflow!$G$34/1000,0)</f>
        <v>25251</v>
      </c>
      <c r="AK15">
        <f ca="1">ROUNDUP(AK14*Cashflow!$G$34/1000,0)</f>
        <v>26474</v>
      </c>
      <c r="AL15">
        <f ca="1">ROUNDUP(AL14*Cashflow!$G$34/1000,0)</f>
        <v>27696</v>
      </c>
      <c r="AM15">
        <f ca="1">ROUNDUP(AM14*Cashflow!$G$34/1000,0)</f>
        <v>28916</v>
      </c>
      <c r="AN15">
        <f ca="1">ROUNDUP(AN14*Cashflow!$G$34/1000,0)</f>
        <v>30206</v>
      </c>
      <c r="AO15">
        <f ca="1">ROUNDUP(AO14*Cashflow!$G$34/1000,0)</f>
        <v>31493</v>
      </c>
      <c r="AP15">
        <f ca="1">ROUNDUP(AP14*Cashflow!$G$34/1000,0)</f>
        <v>32776</v>
      </c>
      <c r="AQ15">
        <f ca="1">ROUNDUP(AQ14*Cashflow!$G$34/1000,0)</f>
        <v>33491</v>
      </c>
      <c r="AR15">
        <f ca="1">ROUNDUP(AR14*Cashflow!$G$34/1000,0)</f>
        <v>34263</v>
      </c>
      <c r="AS15">
        <f ca="1">ROUNDUP(AS14*Cashflow!$G$34/1000,0)</f>
        <v>35038</v>
      </c>
      <c r="AT15">
        <f ca="1">ROUNDUP(AT14*Cashflow!$G$34/1000,0)</f>
        <v>35816</v>
      </c>
      <c r="AU15">
        <f ca="1">ROUNDUP(AU14*Cashflow!$G$34/1000,0)</f>
        <v>36651</v>
      </c>
      <c r="AV15">
        <f ca="1">ROUNDUP(AV14*Cashflow!$G$34/1000,0)</f>
        <v>37765</v>
      </c>
      <c r="AW15">
        <f ca="1">ROUNDUP(AW14*Cashflow!$G$34/1000,0)</f>
        <v>38602</v>
      </c>
      <c r="AX15">
        <f ca="1">ROUNDUP(AX14*Cashflow!$G$34/1000,0)</f>
        <v>39496</v>
      </c>
      <c r="AY15">
        <f ca="1">ROUNDUP(AY14*Cashflow!$G$34/1000,0)</f>
        <v>40390</v>
      </c>
    </row>
    <row r="16" spans="2:51" x14ac:dyDescent="0.35">
      <c r="B16" t="s">
        <v>163</v>
      </c>
      <c r="C16">
        <f>C15*Cashflow!$G$35*Cashflow!$G$36</f>
        <v>0</v>
      </c>
      <c r="D16">
        <f>D15*Cashflow!$G$35*Cashflow!$G$36</f>
        <v>0</v>
      </c>
      <c r="E16">
        <f>E15*Cashflow!$G$35*Cashflow!$G$36</f>
        <v>0</v>
      </c>
      <c r="F16">
        <f>F15*Cashflow!$G$35*Cashflow!$G$36</f>
        <v>0</v>
      </c>
      <c r="G16">
        <f>G15*Cashflow!$G$35*Cashflow!$G$36</f>
        <v>0</v>
      </c>
      <c r="H16">
        <f>H15*Cashflow!$G$35*Cashflow!$G$36</f>
        <v>0</v>
      </c>
      <c r="I16">
        <f>I15*Cashflow!$G$35*Cashflow!$G$36</f>
        <v>0</v>
      </c>
      <c r="J16">
        <f>J15*Cashflow!$G$35*Cashflow!$G$36</f>
        <v>0</v>
      </c>
      <c r="K16">
        <f ca="1">K15*Cashflow!$G$35*Cashflow!$G$36</f>
        <v>4306</v>
      </c>
      <c r="L16">
        <f ca="1">L15*Cashflow!$G$35*Cashflow!$G$36</f>
        <v>6928</v>
      </c>
      <c r="M16">
        <f ca="1">M15*Cashflow!$G$35*Cashflow!$G$36</f>
        <v>8118</v>
      </c>
      <c r="N16">
        <f ca="1">N15*Cashflow!$G$35*Cashflow!$G$36</f>
        <v>9322</v>
      </c>
      <c r="O16">
        <f ca="1">O15*Cashflow!$G$35*Cashflow!$G$36</f>
        <v>10538</v>
      </c>
      <c r="P16">
        <f ca="1">P15*Cashflow!$G$35*Cashflow!$G$36</f>
        <v>11896</v>
      </c>
      <c r="Q16">
        <f ca="1">Q15*Cashflow!$G$35*Cashflow!$G$36</f>
        <v>13266</v>
      </c>
      <c r="R16">
        <f ca="1">R15*Cashflow!$G$35*Cashflow!$G$36</f>
        <v>14646</v>
      </c>
      <c r="S16">
        <f ca="1">S15*Cashflow!$G$35*Cashflow!$G$36</f>
        <v>16168</v>
      </c>
      <c r="T16">
        <f ca="1">T15*Cashflow!$G$35*Cashflow!$G$36</f>
        <v>17698</v>
      </c>
      <c r="U16">
        <f ca="1">U15*Cashflow!$G$35*Cashflow!$G$36</f>
        <v>19240</v>
      </c>
      <c r="V16">
        <f ca="1">V15*Cashflow!$G$35*Cashflow!$G$36</f>
        <v>20920</v>
      </c>
      <c r="W16">
        <f ca="1">W15*Cashflow!$G$35*Cashflow!$G$36</f>
        <v>22608</v>
      </c>
      <c r="X16">
        <f ca="1">X15*Cashflow!$G$35*Cashflow!$G$36</f>
        <v>24958</v>
      </c>
      <c r="Y16">
        <f ca="1">Y15*Cashflow!$G$35*Cashflow!$G$36</f>
        <v>26800</v>
      </c>
      <c r="Z16">
        <f ca="1">Z15*Cashflow!$G$35*Cashflow!$G$36</f>
        <v>28648</v>
      </c>
      <c r="AA16">
        <f ca="1">AA15*Cashflow!$G$35*Cashflow!$G$36</f>
        <v>30502</v>
      </c>
      <c r="AB16">
        <f ca="1">AB15*Cashflow!$G$35*Cashflow!$G$36</f>
        <v>32504</v>
      </c>
      <c r="AC16">
        <f ca="1">AC15*Cashflow!$G$35*Cashflow!$G$36</f>
        <v>34508</v>
      </c>
      <c r="AD16">
        <f ca="1">AD15*Cashflow!$G$35*Cashflow!$G$36</f>
        <v>36518</v>
      </c>
      <c r="AE16">
        <f ca="1">AE15*Cashflow!$G$35*Cashflow!$G$36</f>
        <v>38670</v>
      </c>
      <c r="AF16">
        <f ca="1">AF15*Cashflow!$G$35*Cashflow!$G$36</f>
        <v>40824</v>
      </c>
      <c r="AG16">
        <f ca="1">AG15*Cashflow!$G$35*Cashflow!$G$36</f>
        <v>42980</v>
      </c>
      <c r="AH16">
        <f ca="1">AH15*Cashflow!$G$35*Cashflow!$G$36</f>
        <v>45286</v>
      </c>
      <c r="AI16">
        <f ca="1">AI15*Cashflow!$G$35*Cashflow!$G$36</f>
        <v>47592</v>
      </c>
      <c r="AJ16">
        <f ca="1">AJ15*Cashflow!$G$35*Cashflow!$G$36</f>
        <v>50502</v>
      </c>
      <c r="AK16">
        <f ca="1">AK15*Cashflow!$G$35*Cashflow!$G$36</f>
        <v>52948</v>
      </c>
      <c r="AL16">
        <f ca="1">AL15*Cashflow!$G$35*Cashflow!$G$36</f>
        <v>55392</v>
      </c>
      <c r="AM16">
        <f ca="1">AM15*Cashflow!$G$35*Cashflow!$G$36</f>
        <v>57832</v>
      </c>
      <c r="AN16">
        <f ca="1">AN15*Cashflow!$G$35*Cashflow!$G$36</f>
        <v>60412</v>
      </c>
      <c r="AO16">
        <f ca="1">AO15*Cashflow!$G$35*Cashflow!$G$36</f>
        <v>62986</v>
      </c>
      <c r="AP16">
        <f ca="1">AP15*Cashflow!$G$35*Cashflow!$G$36</f>
        <v>65552</v>
      </c>
      <c r="AQ16">
        <f ca="1">AQ15*Cashflow!$G$35*Cashflow!$G$36</f>
        <v>66982</v>
      </c>
      <c r="AR16">
        <f ca="1">AR15*Cashflow!$G$35*Cashflow!$G$36</f>
        <v>68526</v>
      </c>
      <c r="AS16">
        <f ca="1">AS15*Cashflow!$G$35*Cashflow!$G$36</f>
        <v>70076</v>
      </c>
      <c r="AT16">
        <f ca="1">AT15*Cashflow!$G$35*Cashflow!$G$36</f>
        <v>71632</v>
      </c>
      <c r="AU16">
        <f ca="1">AU15*Cashflow!$G$35*Cashflow!$G$36</f>
        <v>73302</v>
      </c>
      <c r="AV16">
        <f ca="1">AV15*Cashflow!$G$35*Cashflow!$G$36</f>
        <v>75530</v>
      </c>
      <c r="AW16">
        <f ca="1">AW15*Cashflow!$G$35*Cashflow!$G$36</f>
        <v>77204</v>
      </c>
      <c r="AX16">
        <f ca="1">AX15*Cashflow!$G$35*Cashflow!$G$36</f>
        <v>78992</v>
      </c>
      <c r="AY16">
        <f ca="1">AY15*Cashflow!$G$35*Cashflow!$G$36</f>
        <v>80780</v>
      </c>
    </row>
    <row r="40" spans="2:51" ht="15" thickBot="1" x14ac:dyDescent="0.4">
      <c r="B40" s="14"/>
      <c r="C40" s="13" t="s">
        <v>2</v>
      </c>
      <c r="D40" s="13" t="s">
        <v>3</v>
      </c>
      <c r="E40" s="13" t="s">
        <v>4</v>
      </c>
      <c r="F40" s="13" t="s">
        <v>5</v>
      </c>
      <c r="G40" s="13" t="s">
        <v>6</v>
      </c>
      <c r="H40" s="13" t="s">
        <v>7</v>
      </c>
      <c r="I40" s="13" t="s">
        <v>8</v>
      </c>
      <c r="J40" s="13" t="s">
        <v>9</v>
      </c>
      <c r="K40" s="13" t="s">
        <v>10</v>
      </c>
      <c r="L40" s="13" t="s">
        <v>11</v>
      </c>
      <c r="M40" s="13" t="s">
        <v>12</v>
      </c>
      <c r="N40" s="13" t="s">
        <v>13</v>
      </c>
      <c r="O40" s="13" t="s">
        <v>14</v>
      </c>
      <c r="P40" s="13" t="s">
        <v>15</v>
      </c>
      <c r="Q40" s="13" t="s">
        <v>16</v>
      </c>
      <c r="R40" s="13" t="s">
        <v>17</v>
      </c>
      <c r="S40" s="13" t="s">
        <v>18</v>
      </c>
      <c r="T40" s="13" t="s">
        <v>19</v>
      </c>
      <c r="U40" s="13" t="s">
        <v>20</v>
      </c>
      <c r="V40" s="13" t="s">
        <v>21</v>
      </c>
      <c r="W40" s="13" t="s">
        <v>22</v>
      </c>
      <c r="X40" s="13" t="s">
        <v>23</v>
      </c>
      <c r="Y40" s="13" t="s">
        <v>24</v>
      </c>
      <c r="Z40" s="13" t="s">
        <v>25</v>
      </c>
      <c r="AA40" s="13" t="s">
        <v>27</v>
      </c>
      <c r="AB40" s="13" t="s">
        <v>28</v>
      </c>
      <c r="AC40" s="13" t="s">
        <v>29</v>
      </c>
      <c r="AD40" s="13" t="s">
        <v>30</v>
      </c>
      <c r="AE40" s="13" t="s">
        <v>31</v>
      </c>
      <c r="AF40" s="13" t="s">
        <v>32</v>
      </c>
      <c r="AG40" s="13" t="s">
        <v>33</v>
      </c>
      <c r="AH40" s="13" t="s">
        <v>34</v>
      </c>
      <c r="AI40" s="13" t="s">
        <v>35</v>
      </c>
      <c r="AJ40" s="13" t="s">
        <v>36</v>
      </c>
      <c r="AK40" s="13" t="s">
        <v>37</v>
      </c>
      <c r="AL40" s="13" t="s">
        <v>38</v>
      </c>
      <c r="AM40" s="13" t="s">
        <v>95</v>
      </c>
      <c r="AN40" s="13" t="s">
        <v>96</v>
      </c>
      <c r="AO40" s="13" t="s">
        <v>97</v>
      </c>
      <c r="AP40" s="13" t="s">
        <v>98</v>
      </c>
      <c r="AQ40" s="13" t="s">
        <v>99</v>
      </c>
      <c r="AR40" s="13" t="s">
        <v>100</v>
      </c>
      <c r="AS40" s="13" t="s">
        <v>101</v>
      </c>
      <c r="AT40" s="13" t="s">
        <v>102</v>
      </c>
      <c r="AU40" s="13" t="s">
        <v>103</v>
      </c>
      <c r="AV40" s="13" t="s">
        <v>104</v>
      </c>
      <c r="AW40" s="13" t="s">
        <v>105</v>
      </c>
      <c r="AX40" s="15" t="s">
        <v>106</v>
      </c>
      <c r="AY40" s="15" t="s">
        <v>295</v>
      </c>
    </row>
    <row r="41" spans="2:51" ht="15" thickTop="1" x14ac:dyDescent="0.35">
      <c r="B41" t="s">
        <v>353</v>
      </c>
      <c r="C41">
        <f t="shared" ref="C41:AH41" si="0">C16</f>
        <v>0</v>
      </c>
      <c r="D41">
        <f t="shared" si="0"/>
        <v>0</v>
      </c>
      <c r="E41">
        <f t="shared" si="0"/>
        <v>0</v>
      </c>
      <c r="F41">
        <f t="shared" si="0"/>
        <v>0</v>
      </c>
      <c r="G41">
        <f t="shared" si="0"/>
        <v>0</v>
      </c>
      <c r="H41">
        <f t="shared" si="0"/>
        <v>0</v>
      </c>
      <c r="I41">
        <f t="shared" si="0"/>
        <v>0</v>
      </c>
      <c r="J41">
        <f t="shared" si="0"/>
        <v>0</v>
      </c>
      <c r="K41">
        <f t="shared" ca="1" si="0"/>
        <v>4306</v>
      </c>
      <c r="L41">
        <f t="shared" ca="1" si="0"/>
        <v>6928</v>
      </c>
      <c r="M41">
        <f t="shared" ca="1" si="0"/>
        <v>8118</v>
      </c>
      <c r="N41">
        <f t="shared" ca="1" si="0"/>
        <v>9322</v>
      </c>
      <c r="O41">
        <f t="shared" ca="1" si="0"/>
        <v>10538</v>
      </c>
      <c r="P41">
        <f t="shared" ca="1" si="0"/>
        <v>11896</v>
      </c>
      <c r="Q41">
        <f t="shared" ca="1" si="0"/>
        <v>13266</v>
      </c>
      <c r="R41">
        <f t="shared" ca="1" si="0"/>
        <v>14646</v>
      </c>
      <c r="S41">
        <f t="shared" ca="1" si="0"/>
        <v>16168</v>
      </c>
      <c r="T41">
        <f t="shared" ca="1" si="0"/>
        <v>17698</v>
      </c>
      <c r="U41">
        <f t="shared" ca="1" si="0"/>
        <v>19240</v>
      </c>
      <c r="V41">
        <f t="shared" ca="1" si="0"/>
        <v>20920</v>
      </c>
      <c r="W41">
        <f t="shared" ca="1" si="0"/>
        <v>22608</v>
      </c>
      <c r="X41">
        <f t="shared" ca="1" si="0"/>
        <v>24958</v>
      </c>
      <c r="Y41">
        <f t="shared" ca="1" si="0"/>
        <v>26800</v>
      </c>
      <c r="Z41">
        <f t="shared" ca="1" si="0"/>
        <v>28648</v>
      </c>
      <c r="AA41">
        <f t="shared" ca="1" si="0"/>
        <v>30502</v>
      </c>
      <c r="AB41">
        <f t="shared" ca="1" si="0"/>
        <v>32504</v>
      </c>
      <c r="AC41">
        <f t="shared" ca="1" si="0"/>
        <v>34508</v>
      </c>
      <c r="AD41">
        <f t="shared" ca="1" si="0"/>
        <v>36518</v>
      </c>
      <c r="AE41">
        <f t="shared" ca="1" si="0"/>
        <v>38670</v>
      </c>
      <c r="AF41">
        <f t="shared" ca="1" si="0"/>
        <v>40824</v>
      </c>
      <c r="AG41">
        <f t="shared" ca="1" si="0"/>
        <v>42980</v>
      </c>
      <c r="AH41">
        <f t="shared" ca="1" si="0"/>
        <v>45286</v>
      </c>
      <c r="AI41">
        <f t="shared" ref="AI41:AY41" ca="1" si="1">AI16</f>
        <v>47592</v>
      </c>
      <c r="AJ41">
        <f t="shared" ca="1" si="1"/>
        <v>50502</v>
      </c>
      <c r="AK41">
        <f t="shared" ca="1" si="1"/>
        <v>52948</v>
      </c>
      <c r="AL41">
        <f t="shared" ca="1" si="1"/>
        <v>55392</v>
      </c>
      <c r="AM41">
        <f t="shared" ca="1" si="1"/>
        <v>57832</v>
      </c>
      <c r="AN41">
        <f t="shared" ca="1" si="1"/>
        <v>60412</v>
      </c>
      <c r="AO41">
        <f t="shared" ca="1" si="1"/>
        <v>62986</v>
      </c>
      <c r="AP41">
        <f t="shared" ca="1" si="1"/>
        <v>65552</v>
      </c>
      <c r="AQ41">
        <f t="shared" ca="1" si="1"/>
        <v>66982</v>
      </c>
      <c r="AR41">
        <f t="shared" ca="1" si="1"/>
        <v>68526</v>
      </c>
      <c r="AS41">
        <f t="shared" ca="1" si="1"/>
        <v>70076</v>
      </c>
      <c r="AT41">
        <f t="shared" ca="1" si="1"/>
        <v>71632</v>
      </c>
      <c r="AU41">
        <f t="shared" ca="1" si="1"/>
        <v>73302</v>
      </c>
      <c r="AV41">
        <f t="shared" ca="1" si="1"/>
        <v>75530</v>
      </c>
      <c r="AW41">
        <f t="shared" ca="1" si="1"/>
        <v>77204</v>
      </c>
      <c r="AX41">
        <f t="shared" ca="1" si="1"/>
        <v>78992</v>
      </c>
      <c r="AY41">
        <f t="shared" ca="1" si="1"/>
        <v>80780</v>
      </c>
    </row>
    <row r="42" spans="2:51" x14ac:dyDescent="0.35">
      <c r="B42" t="s">
        <v>351</v>
      </c>
      <c r="C42">
        <f t="shared" ref="C42:AH42" si="2">C10</f>
        <v>0</v>
      </c>
      <c r="D42">
        <f t="shared" si="2"/>
        <v>0</v>
      </c>
      <c r="E42">
        <f t="shared" si="2"/>
        <v>0</v>
      </c>
      <c r="F42">
        <f t="shared" si="2"/>
        <v>0</v>
      </c>
      <c r="G42">
        <f t="shared" si="2"/>
        <v>0</v>
      </c>
      <c r="H42">
        <f t="shared" si="2"/>
        <v>0</v>
      </c>
      <c r="I42">
        <f t="shared" si="2"/>
        <v>0</v>
      </c>
      <c r="J42">
        <f t="shared" si="2"/>
        <v>0</v>
      </c>
      <c r="K42">
        <f t="shared" ca="1" si="2"/>
        <v>180</v>
      </c>
      <c r="L42">
        <f t="shared" ca="1" si="2"/>
        <v>290</v>
      </c>
      <c r="M42">
        <f t="shared" ca="1" si="2"/>
        <v>340</v>
      </c>
      <c r="N42">
        <f t="shared" ca="1" si="2"/>
        <v>390</v>
      </c>
      <c r="O42">
        <f t="shared" ca="1" si="2"/>
        <v>440</v>
      </c>
      <c r="P42">
        <f t="shared" ca="1" si="2"/>
        <v>497.5</v>
      </c>
      <c r="Q42">
        <f t="shared" ca="1" si="2"/>
        <v>555</v>
      </c>
      <c r="R42">
        <f t="shared" ca="1" si="2"/>
        <v>612.5</v>
      </c>
      <c r="S42">
        <f t="shared" ca="1" si="2"/>
        <v>675</v>
      </c>
      <c r="T42">
        <f t="shared" ca="1" si="2"/>
        <v>737.5</v>
      </c>
      <c r="U42">
        <f t="shared" ca="1" si="2"/>
        <v>802.5</v>
      </c>
      <c r="V42">
        <f t="shared" ca="1" si="2"/>
        <v>872.5</v>
      </c>
      <c r="W42">
        <f t="shared" ca="1" si="2"/>
        <v>942.5</v>
      </c>
      <c r="X42">
        <f t="shared" ca="1" si="2"/>
        <v>1040</v>
      </c>
      <c r="Y42">
        <f t="shared" ca="1" si="2"/>
        <v>1117.5</v>
      </c>
      <c r="Z42">
        <f t="shared" ca="1" si="2"/>
        <v>1195</v>
      </c>
      <c r="AA42">
        <f t="shared" ca="1" si="2"/>
        <v>1272.5</v>
      </c>
      <c r="AB42">
        <f t="shared" ca="1" si="2"/>
        <v>1355</v>
      </c>
      <c r="AC42">
        <f t="shared" ca="1" si="2"/>
        <v>1440</v>
      </c>
      <c r="AD42">
        <f t="shared" ca="1" si="2"/>
        <v>1522.5</v>
      </c>
      <c r="AE42">
        <f t="shared" ca="1" si="2"/>
        <v>1612.5</v>
      </c>
      <c r="AF42">
        <f t="shared" ca="1" si="2"/>
        <v>1702.5</v>
      </c>
      <c r="AG42">
        <f t="shared" ca="1" si="2"/>
        <v>1792.5</v>
      </c>
      <c r="AH42">
        <f t="shared" ca="1" si="2"/>
        <v>1887.5</v>
      </c>
      <c r="AI42">
        <f t="shared" ref="AI42:AY42" ca="1" si="3">AI10</f>
        <v>1985</v>
      </c>
      <c r="AJ42">
        <f t="shared" ca="1" si="3"/>
        <v>2105</v>
      </c>
      <c r="AK42">
        <f t="shared" ca="1" si="3"/>
        <v>2207.5</v>
      </c>
      <c r="AL42">
        <f t="shared" ca="1" si="3"/>
        <v>2310</v>
      </c>
      <c r="AM42">
        <f t="shared" ca="1" si="3"/>
        <v>2410</v>
      </c>
      <c r="AN42">
        <f t="shared" ca="1" si="3"/>
        <v>2517.5</v>
      </c>
      <c r="AO42">
        <f t="shared" ca="1" si="3"/>
        <v>2625</v>
      </c>
      <c r="AP42">
        <f t="shared" ca="1" si="3"/>
        <v>2732.5</v>
      </c>
      <c r="AQ42">
        <f t="shared" ca="1" si="3"/>
        <v>2792.5</v>
      </c>
      <c r="AR42">
        <f t="shared" ca="1" si="3"/>
        <v>2857.5</v>
      </c>
      <c r="AS42">
        <f t="shared" ca="1" si="3"/>
        <v>2920</v>
      </c>
      <c r="AT42">
        <f t="shared" ca="1" si="3"/>
        <v>2985</v>
      </c>
      <c r="AU42">
        <f t="shared" ca="1" si="3"/>
        <v>3055</v>
      </c>
      <c r="AV42">
        <f t="shared" ca="1" si="3"/>
        <v>3147.5</v>
      </c>
      <c r="AW42">
        <f t="shared" ca="1" si="3"/>
        <v>3217.5</v>
      </c>
      <c r="AX42">
        <f t="shared" ca="1" si="3"/>
        <v>3292.5</v>
      </c>
      <c r="AY42">
        <f t="shared" ca="1" si="3"/>
        <v>3367.5</v>
      </c>
    </row>
    <row r="43" spans="2:51" x14ac:dyDescent="0.35">
      <c r="B43" t="s">
        <v>352</v>
      </c>
      <c r="C43">
        <f t="shared" ref="C43:AH43" si="4">C5</f>
        <v>0</v>
      </c>
      <c r="D43">
        <f t="shared" si="4"/>
        <v>0</v>
      </c>
      <c r="E43">
        <f t="shared" si="4"/>
        <v>0</v>
      </c>
      <c r="F43">
        <f t="shared" si="4"/>
        <v>0</v>
      </c>
      <c r="G43">
        <f t="shared" si="4"/>
        <v>0</v>
      </c>
      <c r="H43">
        <f t="shared" si="4"/>
        <v>0</v>
      </c>
      <c r="I43">
        <f t="shared" si="4"/>
        <v>0</v>
      </c>
      <c r="J43">
        <f t="shared" si="4"/>
        <v>0</v>
      </c>
      <c r="K43">
        <f t="shared" ca="1" si="4"/>
        <v>3100.1849999999999</v>
      </c>
      <c r="L43">
        <f t="shared" ca="1" si="4"/>
        <v>4987.3950000000004</v>
      </c>
      <c r="M43">
        <f t="shared" ca="1" si="4"/>
        <v>5844.3300000000008</v>
      </c>
      <c r="N43">
        <f t="shared" ca="1" si="4"/>
        <v>6710.9849999999997</v>
      </c>
      <c r="O43">
        <f t="shared" ca="1" si="4"/>
        <v>7587.0450000000019</v>
      </c>
      <c r="P43">
        <f t="shared" ca="1" si="4"/>
        <v>8564.4450000000015</v>
      </c>
      <c r="Q43">
        <f t="shared" ca="1" si="4"/>
        <v>9550.4850000000024</v>
      </c>
      <c r="R43">
        <f t="shared" ca="1" si="4"/>
        <v>10545.075000000001</v>
      </c>
      <c r="S43">
        <f t="shared" ca="1" si="4"/>
        <v>11639.970000000001</v>
      </c>
      <c r="T43">
        <f t="shared" ca="1" si="4"/>
        <v>12742.38</v>
      </c>
      <c r="U43">
        <f t="shared" ca="1" si="4"/>
        <v>13852.17</v>
      </c>
      <c r="V43">
        <f t="shared" ca="1" si="4"/>
        <v>15061.140000000003</v>
      </c>
      <c r="W43">
        <f t="shared" ca="1" si="4"/>
        <v>16276.455</v>
      </c>
      <c r="X43">
        <f t="shared" ca="1" si="4"/>
        <v>17968.41</v>
      </c>
      <c r="Y43">
        <f t="shared" ca="1" si="4"/>
        <v>19294.560000000001</v>
      </c>
      <c r="Z43">
        <f t="shared" ca="1" si="4"/>
        <v>20625.570000000003</v>
      </c>
      <c r="AA43">
        <f t="shared" ca="1" si="4"/>
        <v>21961.215000000004</v>
      </c>
      <c r="AB43">
        <f t="shared" ca="1" si="4"/>
        <v>23401.755000000001</v>
      </c>
      <c r="AC43">
        <f t="shared" ca="1" si="4"/>
        <v>24845.49</v>
      </c>
      <c r="AD43">
        <f t="shared" ca="1" si="4"/>
        <v>26292.33</v>
      </c>
      <c r="AE43">
        <f t="shared" ca="1" si="4"/>
        <v>27841.59</v>
      </c>
      <c r="AF43">
        <f t="shared" ca="1" si="4"/>
        <v>29392.38</v>
      </c>
      <c r="AG43">
        <f t="shared" ca="1" si="4"/>
        <v>30944.52</v>
      </c>
      <c r="AH43">
        <f t="shared" ca="1" si="4"/>
        <v>32605.424999999999</v>
      </c>
      <c r="AI43">
        <f t="shared" ref="AI43:AY43" ca="1" si="5">AI5</f>
        <v>34265.880000000005</v>
      </c>
      <c r="AJ43">
        <f t="shared" ca="1" si="5"/>
        <v>36360.269999999997</v>
      </c>
      <c r="AK43">
        <f t="shared" ca="1" si="5"/>
        <v>38122.155000000006</v>
      </c>
      <c r="AL43">
        <f t="shared" ca="1" si="5"/>
        <v>39881.474999999999</v>
      </c>
      <c r="AM43">
        <f t="shared" ca="1" si="5"/>
        <v>41638.050000000003</v>
      </c>
      <c r="AN43">
        <f t="shared" ca="1" si="5"/>
        <v>43496.01</v>
      </c>
      <c r="AO43">
        <f t="shared" ca="1" si="5"/>
        <v>45349.2</v>
      </c>
      <c r="AP43">
        <f t="shared" ca="1" si="5"/>
        <v>47197.35</v>
      </c>
      <c r="AQ43">
        <f t="shared" ca="1" si="5"/>
        <v>48225.735000000001</v>
      </c>
      <c r="AR43">
        <f t="shared" ca="1" si="5"/>
        <v>49337.73</v>
      </c>
      <c r="AS43">
        <f t="shared" ca="1" si="5"/>
        <v>50454.09</v>
      </c>
      <c r="AT43">
        <f t="shared" ca="1" si="5"/>
        <v>51574.544999999998</v>
      </c>
      <c r="AU43">
        <f t="shared" ca="1" si="5"/>
        <v>52777.17</v>
      </c>
      <c r="AV43">
        <f t="shared" ca="1" si="5"/>
        <v>54380.34</v>
      </c>
      <c r="AW43">
        <f t="shared" ca="1" si="5"/>
        <v>55586.52</v>
      </c>
      <c r="AX43">
        <f t="shared" ca="1" si="5"/>
        <v>56872.89</v>
      </c>
      <c r="AY43">
        <f t="shared" ca="1" si="5"/>
        <v>58160.97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0887-C127-4CB6-9E76-9F497803AA3A}">
  <dimension ref="B3:BO31"/>
  <sheetViews>
    <sheetView topLeftCell="S2" zoomScale="152" zoomScaleNormal="130" workbookViewId="0">
      <selection activeCell="BO8" sqref="BO8"/>
    </sheetView>
  </sheetViews>
  <sheetFormatPr baseColWidth="10" defaultColWidth="10.7265625" defaultRowHeight="14.5" x14ac:dyDescent="0.35"/>
  <cols>
    <col min="4" max="4" width="12.26953125" customWidth="1"/>
    <col min="6" max="6" width="11.81640625" bestFit="1" customWidth="1"/>
    <col min="7" max="7" width="19.26953125" customWidth="1"/>
    <col min="14" max="14" width="16" customWidth="1"/>
    <col min="15" max="15" width="16.26953125" customWidth="1"/>
    <col min="16" max="16" width="23.453125" customWidth="1"/>
    <col min="19" max="19" width="22.7265625" customWidth="1"/>
  </cols>
  <sheetData>
    <row r="3" spans="2:67" x14ac:dyDescent="0.35">
      <c r="B3" t="s">
        <v>231</v>
      </c>
      <c r="C3" t="s">
        <v>285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125</v>
      </c>
      <c r="J3" t="s">
        <v>126</v>
      </c>
      <c r="K3" t="s">
        <v>127</v>
      </c>
      <c r="L3" t="s">
        <v>69</v>
      </c>
      <c r="M3" t="s">
        <v>232</v>
      </c>
      <c r="N3" t="s">
        <v>129</v>
      </c>
      <c r="O3" t="s">
        <v>131</v>
      </c>
      <c r="P3" t="s">
        <v>132</v>
      </c>
      <c r="S3" t="s">
        <v>229</v>
      </c>
      <c r="T3" t="s">
        <v>234</v>
      </c>
      <c r="U3" t="s">
        <v>235</v>
      </c>
      <c r="V3" t="s">
        <v>236</v>
      </c>
      <c r="W3" t="s">
        <v>237</v>
      </c>
      <c r="X3" t="s">
        <v>238</v>
      </c>
      <c r="Y3" t="s">
        <v>239</v>
      </c>
      <c r="Z3" t="s">
        <v>240</v>
      </c>
      <c r="AA3" t="s">
        <v>241</v>
      </c>
      <c r="AB3" t="s">
        <v>242</v>
      </c>
      <c r="AC3" t="s">
        <v>243</v>
      </c>
      <c r="AD3" t="s">
        <v>244</v>
      </c>
      <c r="AE3" t="s">
        <v>245</v>
      </c>
      <c r="AF3" t="s">
        <v>246</v>
      </c>
      <c r="AG3" t="s">
        <v>247</v>
      </c>
      <c r="AH3" t="s">
        <v>248</v>
      </c>
      <c r="AI3" t="s">
        <v>249</v>
      </c>
      <c r="AJ3" t="s">
        <v>250</v>
      </c>
      <c r="AK3" t="s">
        <v>251</v>
      </c>
      <c r="AL3" t="s">
        <v>252</v>
      </c>
      <c r="AM3" t="s">
        <v>253</v>
      </c>
      <c r="AN3" t="s">
        <v>254</v>
      </c>
      <c r="AO3" t="s">
        <v>255</v>
      </c>
      <c r="AP3" t="s">
        <v>256</v>
      </c>
      <c r="AQ3" t="s">
        <v>257</v>
      </c>
      <c r="AR3" t="s">
        <v>258</v>
      </c>
      <c r="AS3" t="s">
        <v>259</v>
      </c>
      <c r="AT3" t="s">
        <v>260</v>
      </c>
      <c r="AU3" t="s">
        <v>261</v>
      </c>
      <c r="AV3" t="s">
        <v>262</v>
      </c>
      <c r="AW3" t="s">
        <v>263</v>
      </c>
      <c r="AX3" t="s">
        <v>264</v>
      </c>
      <c r="AY3" t="s">
        <v>265</v>
      </c>
      <c r="AZ3" t="s">
        <v>266</v>
      </c>
      <c r="BA3" t="s">
        <v>267</v>
      </c>
      <c r="BB3" t="s">
        <v>268</v>
      </c>
      <c r="BC3" t="s">
        <v>269</v>
      </c>
      <c r="BD3" t="s">
        <v>270</v>
      </c>
      <c r="BE3" t="s">
        <v>271</v>
      </c>
      <c r="BF3" t="s">
        <v>272</v>
      </c>
      <c r="BG3" t="s">
        <v>273</v>
      </c>
      <c r="BH3" t="s">
        <v>274</v>
      </c>
      <c r="BI3" t="s">
        <v>275</v>
      </c>
      <c r="BJ3" t="s">
        <v>276</v>
      </c>
      <c r="BK3" t="s">
        <v>277</v>
      </c>
      <c r="BL3" t="s">
        <v>278</v>
      </c>
      <c r="BM3" t="s">
        <v>279</v>
      </c>
      <c r="BN3" t="s">
        <v>280</v>
      </c>
      <c r="BO3" t="s">
        <v>281</v>
      </c>
    </row>
    <row r="4" spans="2:67" x14ac:dyDescent="0.35">
      <c r="B4" t="s">
        <v>118</v>
      </c>
      <c r="C4">
        <f ca="1">MAX(T11:BO11)</f>
        <v>1</v>
      </c>
      <c r="D4">
        <v>7</v>
      </c>
      <c r="E4">
        <v>25000</v>
      </c>
      <c r="F4">
        <v>75000</v>
      </c>
      <c r="G4" s="18">
        <v>5.0000000000000001E-3</v>
      </c>
      <c r="H4" s="20">
        <f>Cashflow!$G$21</f>
        <v>3.3369999999999997E-2</v>
      </c>
      <c r="I4" s="19">
        <f>3.25%+3%</f>
        <v>6.25E-2</v>
      </c>
      <c r="J4">
        <f ca="1">MAX(T12:BO12)</f>
        <v>75000</v>
      </c>
      <c r="K4">
        <f>Cashflow!$G$22</f>
        <v>7</v>
      </c>
      <c r="L4">
        <f ca="1">($J4*(1+$G4)*(($H4+$I4)/12))/(1-(1+(($H4+$I4)/12))^(-$K4*12))*12*$K4</f>
        <v>103764.23107991696</v>
      </c>
      <c r="M4">
        <f ca="1">$L4-$J4</f>
        <v>28764.231079916965</v>
      </c>
      <c r="N4">
        <f ca="1">$M4/(12*$K4)</f>
        <v>342.43132237996389</v>
      </c>
      <c r="O4">
        <f ca="1">$L4/12/$K4</f>
        <v>1235.2884652371067</v>
      </c>
      <c r="P4">
        <f ca="1">$O4-$N4</f>
        <v>892.85714285714289</v>
      </c>
      <c r="S4">
        <f ca="1">IF(MIN(Tabla7[[#Totals],[Month 1 ]:[Month 48]])&gt;0,0,1)</f>
        <v>1</v>
      </c>
      <c r="T4" t="s">
        <v>177</v>
      </c>
      <c r="U4" t="s">
        <v>178</v>
      </c>
      <c r="V4" t="s">
        <v>179</v>
      </c>
      <c r="W4" t="s">
        <v>180</v>
      </c>
      <c r="X4" t="s">
        <v>181</v>
      </c>
      <c r="Y4" t="s">
        <v>182</v>
      </c>
      <c r="Z4" t="s">
        <v>183</v>
      </c>
      <c r="AA4" t="s">
        <v>184</v>
      </c>
      <c r="AB4" t="s">
        <v>185</v>
      </c>
      <c r="AC4" t="s">
        <v>186</v>
      </c>
      <c r="AD4" t="s">
        <v>187</v>
      </c>
      <c r="AE4" t="s">
        <v>188</v>
      </c>
      <c r="AF4" t="s">
        <v>189</v>
      </c>
      <c r="AG4" t="s">
        <v>190</v>
      </c>
      <c r="AH4" t="s">
        <v>191</v>
      </c>
      <c r="AI4" t="s">
        <v>192</v>
      </c>
      <c r="AJ4" t="s">
        <v>193</v>
      </c>
      <c r="AK4" t="s">
        <v>194</v>
      </c>
      <c r="AL4" t="s">
        <v>195</v>
      </c>
      <c r="AM4" t="s">
        <v>196</v>
      </c>
      <c r="AN4" t="s">
        <v>197</v>
      </c>
      <c r="AO4" t="s">
        <v>198</v>
      </c>
      <c r="AP4" t="s">
        <v>199</v>
      </c>
      <c r="AQ4" t="s">
        <v>200</v>
      </c>
      <c r="AR4" t="s">
        <v>201</v>
      </c>
      <c r="AS4" t="s">
        <v>202</v>
      </c>
      <c r="AT4" t="s">
        <v>203</v>
      </c>
      <c r="AU4" t="s">
        <v>204</v>
      </c>
      <c r="AV4" t="s">
        <v>205</v>
      </c>
      <c r="AW4" t="s">
        <v>206</v>
      </c>
      <c r="AX4" t="s">
        <v>207</v>
      </c>
      <c r="AY4" t="s">
        <v>208</v>
      </c>
      <c r="AZ4" t="s">
        <v>209</v>
      </c>
      <c r="BA4" t="s">
        <v>210</v>
      </c>
      <c r="BB4" t="s">
        <v>211</v>
      </c>
      <c r="BC4" t="s">
        <v>212</v>
      </c>
      <c r="BD4" t="s">
        <v>213</v>
      </c>
      <c r="BE4" t="s">
        <v>214</v>
      </c>
      <c r="BF4" t="s">
        <v>215</v>
      </c>
      <c r="BG4" t="s">
        <v>216</v>
      </c>
      <c r="BH4" t="s">
        <v>217</v>
      </c>
      <c r="BI4" t="s">
        <v>218</v>
      </c>
      <c r="BJ4" t="s">
        <v>219</v>
      </c>
      <c r="BK4" t="s">
        <v>220</v>
      </c>
      <c r="BL4" t="s">
        <v>221</v>
      </c>
      <c r="BM4" t="s">
        <v>222</v>
      </c>
      <c r="BN4" t="s">
        <v>223</v>
      </c>
      <c r="BO4" t="s">
        <v>224</v>
      </c>
    </row>
    <row r="5" spans="2:67" x14ac:dyDescent="0.35">
      <c r="B5" t="s">
        <v>130</v>
      </c>
      <c r="C5">
        <f ca="1">MAX(S17:BO17)</f>
        <v>1</v>
      </c>
      <c r="D5">
        <v>9</v>
      </c>
      <c r="E5">
        <v>25000</v>
      </c>
      <c r="F5">
        <v>1500000</v>
      </c>
      <c r="G5" s="18">
        <v>5.0000000000000001E-3</v>
      </c>
      <c r="H5" s="20">
        <f>Cashflow!$G$21</f>
        <v>3.3369999999999997E-2</v>
      </c>
      <c r="I5" s="19">
        <f>3.75%+4%</f>
        <v>7.7499999999999999E-2</v>
      </c>
      <c r="J5">
        <f ca="1">MAX(T18:BO18)</f>
        <v>361000</v>
      </c>
      <c r="K5">
        <f>Cashflow!$G$22</f>
        <v>7</v>
      </c>
      <c r="L5">
        <f ca="1">($J5*(1+$G5)*(($H5+$I5)/12))/(1-(1+(($H5+$I5)/12))^(-$K5*12))*12*$K5</f>
        <v>523211.98316394875</v>
      </c>
      <c r="M5">
        <f ca="1">$L5-$J5</f>
        <v>162211.98316394875</v>
      </c>
      <c r="N5">
        <f ca="1">$M5/(12*$K5)</f>
        <v>1931.0950376660567</v>
      </c>
      <c r="O5">
        <f ca="1">$L5/12/$K5</f>
        <v>6228.7140852851035</v>
      </c>
      <c r="P5">
        <f ca="1">$O5-$N5</f>
        <v>4297.6190476190468</v>
      </c>
      <c r="S5" t="s">
        <v>226</v>
      </c>
      <c r="T5">
        <f>IF(Tabla7[[#Totals],[Month 2]]&gt;0,0,1)</f>
        <v>0</v>
      </c>
      <c r="U5">
        <f>IF(Tabla7[[#Totals],[Month 3]]&gt;0,0,1)</f>
        <v>0</v>
      </c>
      <c r="V5">
        <f>IF(Tabla7[[#Totals],[Month 4]]&gt;0,0,1)</f>
        <v>0</v>
      </c>
      <c r="W5">
        <f>IF(Tabla7[[#Totals],[Month 5]]&gt;0,0,1)</f>
        <v>0</v>
      </c>
      <c r="X5">
        <f>IF(Tabla7[[#Totals],[Month 6]]&gt;0,0,1)</f>
        <v>0</v>
      </c>
      <c r="Y5">
        <f>IF(Tabla7[[#Totals],[Month 7]]&gt;0,0,1)</f>
        <v>1</v>
      </c>
      <c r="Z5">
        <f>IF(Tabla7[[#Totals],[Month 8]]&gt;0,0,1)</f>
        <v>1</v>
      </c>
      <c r="AA5">
        <f ca="1">IF(Tabla7[[#Totals],[Month 9]]&gt;0,0,1)</f>
        <v>1</v>
      </c>
      <c r="AB5">
        <f ca="1">IF(Tabla7[[#Totals],[Month 10]]&gt;0,0,1)</f>
        <v>1</v>
      </c>
      <c r="AC5">
        <f ca="1">IF(Tabla7[[#Totals],[Month 11]]&gt;0,0,1)</f>
        <v>1</v>
      </c>
      <c r="AD5">
        <f ca="1">IF(Tabla7[[#Totals],[Month 12]]&gt;0,0,1)</f>
        <v>1</v>
      </c>
      <c r="AE5">
        <f ca="1">IF(Tabla7[[#Totals],[Month 13]]&gt;0,0,1)</f>
        <v>1</v>
      </c>
      <c r="AF5">
        <f ca="1">IF(Tabla7[[#Totals],[Month 14]]&gt;0,0,1)</f>
        <v>1</v>
      </c>
      <c r="AG5">
        <f ca="1">IF(Tabla7[[#Totals],[Month 15]]&gt;0,0,1)</f>
        <v>1</v>
      </c>
      <c r="AH5">
        <f ca="1">IF(Tabla7[[#Totals],[Month 16]]&gt;0,0,1)</f>
        <v>1</v>
      </c>
      <c r="AI5">
        <f ca="1">IF(Tabla7[[#Totals],[Month 17]]&gt;0,0,1)</f>
        <v>1</v>
      </c>
      <c r="AJ5">
        <f ca="1">IF(Tabla7[[#Totals],[Month 18]]&gt;0,0,1)</f>
        <v>1</v>
      </c>
      <c r="AK5">
        <f ca="1">IF(Tabla7[[#Totals],[Month 19]]&gt;0,0,1)</f>
        <v>1</v>
      </c>
      <c r="AL5">
        <f ca="1">IF(Tabla7[[#Totals],[Month 20]]&gt;0,0,1)</f>
        <v>1</v>
      </c>
      <c r="AM5">
        <f ca="1">IF(Tabla7[[#Totals],[Month 21]]&gt;0,0,1)</f>
        <v>1</v>
      </c>
      <c r="AN5">
        <f ca="1">IF(Tabla7[[#Totals],[Month 22]]&gt;0,0,1)</f>
        <v>1</v>
      </c>
      <c r="AO5">
        <f ca="1">IF(Tabla7[[#Totals],[Month 23]]&gt;0,0,1)</f>
        <v>1</v>
      </c>
      <c r="AP5">
        <f ca="1">IF(Tabla7[[#Totals],[Month 24]]&gt;0,0,1)</f>
        <v>0</v>
      </c>
      <c r="AQ5">
        <f ca="1">IF(Tabla7[[#Totals],[Month 25]]&gt;0,0,1)</f>
        <v>1</v>
      </c>
      <c r="AR5">
        <f ca="1">IF(Tabla7[[#Totals],[Month 26]]&gt;0,0,1)</f>
        <v>0</v>
      </c>
      <c r="AS5">
        <f ca="1">IF(Tabla7[[#Totals],[Month 27]]&gt;0,0,1)</f>
        <v>0</v>
      </c>
      <c r="AT5">
        <f ca="1">IF(Tabla7[[#Totals],[Month 28]]&gt;0,0,1)</f>
        <v>0</v>
      </c>
      <c r="AU5">
        <f ca="1">IF(Tabla7[[#Totals],[Month 29]]&gt;0,0,1)</f>
        <v>0</v>
      </c>
      <c r="AV5">
        <f ca="1">IF(Tabla7[[#Totals],[Month 30]]&gt;0,0,1)</f>
        <v>0</v>
      </c>
      <c r="AW5">
        <f ca="1">IF(Tabla7[[#Totals],[Month 31]]&gt;0,0,1)</f>
        <v>0</v>
      </c>
      <c r="AX5">
        <f ca="1">IF(Tabla7[[#Totals],[Month 32]]&gt;0,0,1)</f>
        <v>0</v>
      </c>
      <c r="AY5">
        <f ca="1">IF(Tabla7[[#Totals],[Month 33]]&gt;0,0,1)</f>
        <v>0</v>
      </c>
      <c r="AZ5">
        <f ca="1">IF(Tabla7[[#Totals],[Month 34]]&gt;0,0,1)</f>
        <v>0</v>
      </c>
      <c r="BA5">
        <f ca="1">IF(Tabla7[[#Totals],[Month 35]]&gt;0,0,1)</f>
        <v>0</v>
      </c>
      <c r="BB5">
        <f ca="1">IF(Tabla7[[#Totals],[Month 36]]&gt;0,0,1)</f>
        <v>0</v>
      </c>
      <c r="BC5">
        <f ca="1">IF(Tabla7[[#Totals],[Month 37]]&gt;0,0,1)</f>
        <v>0</v>
      </c>
      <c r="BD5">
        <f ca="1">IF(Tabla7[[#Totals],[Month 38]]&gt;0,0,1)</f>
        <v>0</v>
      </c>
      <c r="BE5">
        <f ca="1">IF(Tabla7[[#Totals],[Month 39]]&gt;0,0,1)</f>
        <v>0</v>
      </c>
      <c r="BF5">
        <f ca="1">IF(Tabla7[[#Totals],[Month 40]]&gt;0,0,1)</f>
        <v>0</v>
      </c>
      <c r="BG5">
        <f ca="1">IF(Tabla7[[#Totals],[Month 41]]&gt;0,0,1)</f>
        <v>0</v>
      </c>
      <c r="BH5">
        <f ca="1">IF(Tabla7[[#Totals],[Month 42]]&gt;0,0,1)</f>
        <v>0</v>
      </c>
      <c r="BI5">
        <f ca="1">IF(Tabla7[[#Totals],[Month 43]]&gt;0,0,1)</f>
        <v>0</v>
      </c>
      <c r="BJ5">
        <f ca="1">IF(Tabla7[[#Totals],[Month 44]]&gt;0,0,1)</f>
        <v>0</v>
      </c>
      <c r="BK5">
        <f ca="1">IF(Tabla7[[#Totals],[Month 45]]&gt;0,0,1)</f>
        <v>0</v>
      </c>
      <c r="BL5">
        <f ca="1">IF(Tabla7[[#Totals],[Month 46]]&gt;0,0,1)</f>
        <v>0</v>
      </c>
      <c r="BM5">
        <f ca="1">IF(Tabla7[[#Totals],[Month 47]]&gt;0,0,1)</f>
        <v>0</v>
      </c>
      <c r="BN5">
        <f ca="1">IF(Tabla7[[#Totals],[Month 48]]&gt;0,0,1)</f>
        <v>0</v>
      </c>
      <c r="BO5">
        <f>IF(Tabla7[[#Totals],[Month]]&gt;0,0,1)</f>
        <v>0</v>
      </c>
    </row>
    <row r="6" spans="2:67" x14ac:dyDescent="0.35">
      <c r="B6" t="s">
        <v>291</v>
      </c>
      <c r="C6">
        <v>0</v>
      </c>
      <c r="D6">
        <v>7</v>
      </c>
      <c r="E6">
        <v>0</v>
      </c>
      <c r="F6">
        <v>1500000</v>
      </c>
      <c r="G6" s="18">
        <v>7.4999999999999997E-3</v>
      </c>
      <c r="H6" s="20">
        <f>Cashflow!$G$21</f>
        <v>3.3369999999999997E-2</v>
      </c>
      <c r="I6" s="19">
        <f>3.75%+7%</f>
        <v>0.10750000000000001</v>
      </c>
      <c r="J6">
        <f ca="1">MAX(T19:BO19)</f>
        <v>1000</v>
      </c>
      <c r="K6">
        <f>Cashflow!$G$22</f>
        <v>7</v>
      </c>
      <c r="L6">
        <f ca="1">($J6*(1+$G6)*(($H6+$I6)/12))/(1-(1+(($H6+$I6)/12))^(-$K6*12))*12*$K6</f>
        <v>1590.0373049981467</v>
      </c>
      <c r="M6">
        <f ca="1">$L6-$J6</f>
        <v>590.03730499814674</v>
      </c>
      <c r="N6">
        <f ca="1">$M6/(12*$K6)</f>
        <v>7.0242536309303185</v>
      </c>
      <c r="O6">
        <f ca="1">$L6/12/$K6</f>
        <v>18.929015535692223</v>
      </c>
      <c r="P6">
        <f ca="1">$O6-$N6</f>
        <v>11.904761904761905</v>
      </c>
      <c r="S6" t="s">
        <v>227</v>
      </c>
      <c r="T6">
        <f>IF(AND(S5=0,T5=1,U5=0),3,IF(AND(U5=0,T5=1),2,IF(OR(AND(S5=0,T5=1),AND(T5=1,NOT(ISNUMBER(S5)))),1,0)))</f>
        <v>0</v>
      </c>
      <c r="U6">
        <f t="shared" ref="U6:BN6" si="0">IF(AND(T5=0,U5=1,V5=0),3,IF(AND(V5=0,U5=1),2,IF(AND(T5=0,U5=1),1,0)))</f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1</v>
      </c>
      <c r="Z6">
        <f t="shared" ca="1" si="0"/>
        <v>0</v>
      </c>
      <c r="AA6">
        <f t="shared" ca="1" si="0"/>
        <v>0</v>
      </c>
      <c r="AB6">
        <f t="shared" ca="1" si="0"/>
        <v>0</v>
      </c>
      <c r="AC6">
        <f t="shared" ca="1" si="0"/>
        <v>0</v>
      </c>
      <c r="AD6">
        <f t="shared" ca="1" si="0"/>
        <v>0</v>
      </c>
      <c r="AE6">
        <f t="shared" ca="1" si="0"/>
        <v>0</v>
      </c>
      <c r="AF6">
        <f t="shared" ca="1" si="0"/>
        <v>0</v>
      </c>
      <c r="AG6">
        <f t="shared" ca="1" si="0"/>
        <v>0</v>
      </c>
      <c r="AH6">
        <f t="shared" ca="1" si="0"/>
        <v>0</v>
      </c>
      <c r="AI6">
        <f t="shared" ca="1" si="0"/>
        <v>0</v>
      </c>
      <c r="AJ6">
        <f t="shared" ca="1" si="0"/>
        <v>0</v>
      </c>
      <c r="AK6">
        <f t="shared" ca="1" si="0"/>
        <v>0</v>
      </c>
      <c r="AL6">
        <f t="shared" ca="1" si="0"/>
        <v>0</v>
      </c>
      <c r="AM6">
        <f t="shared" ca="1" si="0"/>
        <v>0</v>
      </c>
      <c r="AN6">
        <f t="shared" ca="1" si="0"/>
        <v>0</v>
      </c>
      <c r="AO6">
        <f t="shared" ca="1" si="0"/>
        <v>2</v>
      </c>
      <c r="AP6">
        <f t="shared" ca="1" si="0"/>
        <v>0</v>
      </c>
      <c r="AQ6">
        <f t="shared" ca="1" si="0"/>
        <v>3</v>
      </c>
      <c r="AR6">
        <f t="shared" ca="1" si="0"/>
        <v>0</v>
      </c>
      <c r="AS6">
        <f t="shared" ca="1" si="0"/>
        <v>0</v>
      </c>
      <c r="AT6">
        <f t="shared" ca="1" si="0"/>
        <v>0</v>
      </c>
      <c r="AU6">
        <f t="shared" ca="1" si="0"/>
        <v>0</v>
      </c>
      <c r="AV6">
        <f t="shared" ca="1" si="0"/>
        <v>0</v>
      </c>
      <c r="AW6">
        <f t="shared" ca="1" si="0"/>
        <v>0</v>
      </c>
      <c r="AX6">
        <f t="shared" ca="1" si="0"/>
        <v>0</v>
      </c>
      <c r="AY6">
        <f t="shared" ca="1" si="0"/>
        <v>0</v>
      </c>
      <c r="AZ6">
        <f t="shared" ca="1" si="0"/>
        <v>0</v>
      </c>
      <c r="BA6">
        <f t="shared" ca="1" si="0"/>
        <v>0</v>
      </c>
      <c r="BB6">
        <f t="shared" ca="1" si="0"/>
        <v>0</v>
      </c>
      <c r="BC6">
        <f t="shared" ca="1" si="0"/>
        <v>0</v>
      </c>
      <c r="BD6">
        <f t="shared" ca="1" si="0"/>
        <v>0</v>
      </c>
      <c r="BE6">
        <f t="shared" ca="1" si="0"/>
        <v>0</v>
      </c>
      <c r="BF6">
        <f t="shared" ca="1" si="0"/>
        <v>0</v>
      </c>
      <c r="BG6">
        <f t="shared" ca="1" si="0"/>
        <v>0</v>
      </c>
      <c r="BH6">
        <f t="shared" ca="1" si="0"/>
        <v>0</v>
      </c>
      <c r="BI6">
        <f t="shared" ca="1" si="0"/>
        <v>0</v>
      </c>
      <c r="BJ6">
        <f t="shared" ca="1" si="0"/>
        <v>0</v>
      </c>
      <c r="BK6">
        <f t="shared" ca="1" si="0"/>
        <v>0</v>
      </c>
      <c r="BL6">
        <f t="shared" ca="1" si="0"/>
        <v>0</v>
      </c>
      <c r="BM6">
        <f t="shared" ca="1" si="0"/>
        <v>0</v>
      </c>
      <c r="BN6">
        <f t="shared" ca="1" si="0"/>
        <v>0</v>
      </c>
      <c r="BO6">
        <f ca="1">IF(AND(BN5=0,BO5=1,Cashflow!BP27=0),3,IF(AND(Cashflow!BP27=0,BO5=1),2,IF(AND(BN5=0,BO5=1),1,0)))</f>
        <v>0</v>
      </c>
    </row>
    <row r="7" spans="2:67" x14ac:dyDescent="0.35">
      <c r="S7" t="s">
        <v>228</v>
      </c>
      <c r="T7">
        <f t="shared" ref="T7:BM7" ca="1" si="1">IF(T6=2,1,IF(AND(U7&gt;0,T6&lt;1),U7+1,0))</f>
        <v>0</v>
      </c>
      <c r="U7">
        <f t="shared" ca="1" si="1"/>
        <v>0</v>
      </c>
      <c r="V7">
        <f t="shared" ca="1" si="1"/>
        <v>0</v>
      </c>
      <c r="W7">
        <f t="shared" ca="1" si="1"/>
        <v>0</v>
      </c>
      <c r="X7">
        <f t="shared" ca="1" si="1"/>
        <v>0</v>
      </c>
      <c r="Y7">
        <f t="shared" ca="1" si="1"/>
        <v>0</v>
      </c>
      <c r="Z7">
        <f t="shared" ca="1" si="1"/>
        <v>16</v>
      </c>
      <c r="AA7">
        <f t="shared" ca="1" si="1"/>
        <v>15</v>
      </c>
      <c r="AB7">
        <f t="shared" ca="1" si="1"/>
        <v>14</v>
      </c>
      <c r="AC7">
        <f t="shared" ca="1" si="1"/>
        <v>13</v>
      </c>
      <c r="AD7">
        <f t="shared" ca="1" si="1"/>
        <v>12</v>
      </c>
      <c r="AE7">
        <f t="shared" ca="1" si="1"/>
        <v>11</v>
      </c>
      <c r="AF7">
        <f t="shared" ca="1" si="1"/>
        <v>10</v>
      </c>
      <c r="AG7">
        <f t="shared" ca="1" si="1"/>
        <v>9</v>
      </c>
      <c r="AH7">
        <f t="shared" ca="1" si="1"/>
        <v>8</v>
      </c>
      <c r="AI7">
        <f t="shared" ca="1" si="1"/>
        <v>7</v>
      </c>
      <c r="AJ7">
        <f t="shared" ca="1" si="1"/>
        <v>6</v>
      </c>
      <c r="AK7">
        <f t="shared" ca="1" si="1"/>
        <v>5</v>
      </c>
      <c r="AL7">
        <f t="shared" ca="1" si="1"/>
        <v>4</v>
      </c>
      <c r="AM7">
        <f t="shared" ca="1" si="1"/>
        <v>3</v>
      </c>
      <c r="AN7">
        <f ca="1">IF(AN6=2,1,IF(AND(AO7&gt;0,AN6&lt;1),AO7+1,0))</f>
        <v>2</v>
      </c>
      <c r="AO7">
        <f ca="1">IF(AO6=2,1,IF(AND(AP7&gt;0,AO6&lt;1),AP7+1,0))</f>
        <v>1</v>
      </c>
      <c r="AP7">
        <f ca="1">IF(AP6=2,1,IF(AND(AQ7&gt;0,AP6&lt;1),AQ7+1,0))</f>
        <v>0</v>
      </c>
      <c r="AQ7">
        <f ca="1">IF(AQ6=2,1,IF(AND(AR7&gt;0,AQ6&lt;1),AR7+1,0))</f>
        <v>0</v>
      </c>
      <c r="AR7">
        <f t="shared" ca="1" si="1"/>
        <v>0</v>
      </c>
      <c r="AS7">
        <f t="shared" ca="1" si="1"/>
        <v>0</v>
      </c>
      <c r="AT7">
        <f t="shared" ca="1" si="1"/>
        <v>0</v>
      </c>
      <c r="AU7">
        <f t="shared" ca="1" si="1"/>
        <v>0</v>
      </c>
      <c r="AV7">
        <f t="shared" ca="1" si="1"/>
        <v>0</v>
      </c>
      <c r="AW7">
        <f t="shared" ca="1" si="1"/>
        <v>0</v>
      </c>
      <c r="AX7">
        <f t="shared" ca="1" si="1"/>
        <v>0</v>
      </c>
      <c r="AY7">
        <f t="shared" ca="1" si="1"/>
        <v>0</v>
      </c>
      <c r="AZ7">
        <f t="shared" ca="1" si="1"/>
        <v>0</v>
      </c>
      <c r="BA7">
        <f t="shared" ca="1" si="1"/>
        <v>0</v>
      </c>
      <c r="BB7">
        <f t="shared" ca="1" si="1"/>
        <v>0</v>
      </c>
      <c r="BC7">
        <f t="shared" ca="1" si="1"/>
        <v>0</v>
      </c>
      <c r="BD7">
        <f t="shared" ca="1" si="1"/>
        <v>0</v>
      </c>
      <c r="BE7">
        <f t="shared" ca="1" si="1"/>
        <v>0</v>
      </c>
      <c r="BF7">
        <f t="shared" ca="1" si="1"/>
        <v>0</v>
      </c>
      <c r="BG7">
        <f t="shared" ca="1" si="1"/>
        <v>0</v>
      </c>
      <c r="BH7">
        <f t="shared" ca="1" si="1"/>
        <v>0</v>
      </c>
      <c r="BI7">
        <f t="shared" ca="1" si="1"/>
        <v>0</v>
      </c>
      <c r="BJ7">
        <f t="shared" ca="1" si="1"/>
        <v>0</v>
      </c>
      <c r="BK7">
        <f t="shared" ca="1" si="1"/>
        <v>0</v>
      </c>
      <c r="BL7">
        <f t="shared" ca="1" si="1"/>
        <v>0</v>
      </c>
      <c r="BM7">
        <f t="shared" ca="1" si="1"/>
        <v>0</v>
      </c>
      <c r="BN7">
        <f ca="1">IF(BN6=2,1,IF(AND(BO7&gt;0,BN6&lt;1),BO7+1,0))</f>
        <v>0</v>
      </c>
      <c r="BO7">
        <f ca="1">IF(BO6=2,1,IF(AND(Cashflow!BO7&gt;0,BO6&lt;1),Cashflow!BO24+1,0))</f>
        <v>0</v>
      </c>
    </row>
    <row r="8" spans="2:67" x14ac:dyDescent="0.35">
      <c r="S8" t="s">
        <v>225</v>
      </c>
      <c r="T8">
        <f ca="1">IF(T6=1,-MIN(OFFSET(Cashflow!T25,0,0,1,U7+1)),IF(T6=3,-Tabla7[[#Totals],[Month 44]],0))</f>
        <v>0</v>
      </c>
      <c r="U8">
        <f ca="1">IF(U6=1,-MIN(OFFSET(Cashflow!U25,0,0,1,V7+1)),IF(U6=3,-Tabla7[[#Totals],[Month 45]],0))</f>
        <v>0</v>
      </c>
      <c r="V8">
        <f ca="1">IF(V6=1,-MIN(OFFSET(Cashflow!V25,0,0,1,W7+1)),IF(V6=3,-Tabla7[[#Totals],[Month 46]],0))</f>
        <v>0</v>
      </c>
      <c r="W8">
        <f ca="1">IF(W6=1,-MIN(OFFSET(Cashflow!W25,0,0,1,X7+1)),IF(W6=3,-Tabla7[[#Totals],[Month 47]],0))</f>
        <v>0</v>
      </c>
      <c r="X8">
        <f ca="1">IF(X6=1,-MIN(OFFSET(Cashflow!X25,0,0,1,Y7+1)),IF(X6=3,-Tabla7[[#Totals],[Month 48]],0))</f>
        <v>0</v>
      </c>
      <c r="Y8">
        <f ca="1">IF(Y6=1,-MIN(OFFSET(Cashflow!Y25,0,0,1,Z7+1)),IF(Y6=3,-Tabla7[[#Totals],[Month 7]],0))</f>
        <v>362666.69126946875</v>
      </c>
      <c r="Z8">
        <f ca="1">IF(Z6=1,-MIN(OFFSET(Cashflow!Z25,0,0,1,AA7+1)),IF(Z6=3,-Tabla7[[#Totals],[Month 8]],0))</f>
        <v>0</v>
      </c>
      <c r="AA8">
        <f ca="1">IF(AA6=1,-MIN(OFFSET(Cashflow!AA25,0,0,1,AB7+1)),IF(AA6=3,-Tabla7[[#Totals],[Month 9]],0))</f>
        <v>0</v>
      </c>
      <c r="AB8">
        <f ca="1">IF(AB6=1,-MIN(OFFSET(Cashflow!AB25,0,0,1,AC7+1)),IF(AB6=3,-Tabla7[[#Totals],[Month 10]],0))</f>
        <v>0</v>
      </c>
      <c r="AC8">
        <f ca="1">IF(AC6=1,-MIN(OFFSET(Cashflow!AC25,0,0,1,AD7+1)),IF(AC6=3,-Tabla7[[#Totals],[Month 11]],0))</f>
        <v>0</v>
      </c>
      <c r="AD8">
        <f ca="1">IF(AD6=1,-MIN(OFFSET(Cashflow!AD25,0,0,1,AE7+1)),IF(AD6=3,-Tabla7[[#Totals],[Month 12]],0))</f>
        <v>0</v>
      </c>
      <c r="AE8">
        <f ca="1">IF(AE6=1,-MIN(OFFSET(Cashflow!AE25,0,0,1,AF7+1)),IF(AE6=3,-Tabla7[[#Totals],[Month 13]],0))</f>
        <v>0</v>
      </c>
      <c r="AF8">
        <f ca="1">IF(AF6=1,-MIN(OFFSET(Cashflow!AF25,0,0,1,AG7+1)),IF(AF6=3,-Tabla7[[#Totals],[Month 14]],0))</f>
        <v>0</v>
      </c>
      <c r="AG8">
        <f ca="1">IF(AG6=1,-MIN(OFFSET(Cashflow!AG25,0,0,1,AH7+1)),IF(AG6=3,-Tabla7[[#Totals],[Month 15]],0))</f>
        <v>0</v>
      </c>
      <c r="AH8">
        <f ca="1">IF(AH6=1,-MIN(OFFSET(Cashflow!AH25,0,0,1,AI7+1)),IF(AH6=3,-Tabla7[[#Totals],[Month 16]],0))</f>
        <v>0</v>
      </c>
      <c r="AI8">
        <f ca="1">IF(AI6=1,-MIN(OFFSET(Cashflow!AI25,0,0,1,AJ7+1)),IF(AI6=3,-Tabla7[[#Totals],[Month 17]],0))</f>
        <v>0</v>
      </c>
      <c r="AJ8">
        <f ca="1">IF(AJ6=1,-MIN(OFFSET(Cashflow!AJ25,0,0,1,AK7+1)),IF(AJ6=3,-Tabla7[[#Totals],[Month 18]],0))</f>
        <v>0</v>
      </c>
      <c r="AK8">
        <f ca="1">IF(AK6=1,-MIN(OFFSET(Cashflow!AK25,0,0,1,AL7+1)),IF(AK6=3,-Tabla7[[#Totals],[Month 19]],0))</f>
        <v>0</v>
      </c>
      <c r="AL8">
        <f ca="1">IF(AL6=1,-MIN(OFFSET(Cashflow!AL25,0,0,1,AM7+1)),IF(AL6=3,-Tabla7[[#Totals],[Month 20]],0))</f>
        <v>0</v>
      </c>
      <c r="AM8">
        <f ca="1">IF(AM6=1,-MIN(OFFSET(Cashflow!AM25,0,0,1,AN7+1)),IF(AM6=3,-Tabla7[[#Totals],[Month 21]],0))</f>
        <v>0</v>
      </c>
      <c r="AN8">
        <f ca="1">IF(AN6=1,-MIN(OFFSET(Cashflow!AN25,0,0,1,AO7+1)),IF(AN6=3,-Tabla7[[#Totals],[Month 22]],0))</f>
        <v>0</v>
      </c>
      <c r="AO8">
        <f ca="1">IF(AO6=1,-MIN(OFFSET(Cashflow!AO25,0,0,1,AP7+1)),IF(AO6=3,-Tabla7[[#Totals],[Month 23]],0))</f>
        <v>0</v>
      </c>
      <c r="AP8">
        <f ca="1">IF(AP6=1,-MIN(OFFSET(Cashflow!AP25,0,0,1,AQ7+1)),IF(AP6=3,-Tabla7[[#Totals],[Month 24]],0))</f>
        <v>0</v>
      </c>
      <c r="AQ8">
        <f ca="1">IF(AQ6=1,-MIN(OFFSET(Cashflow!AQ25,0,0,1,AR7+1)),IF(AQ6=3,-Tabla7[[#Totals],[Month 25]],0))</f>
        <v>451.90260895327083</v>
      </c>
      <c r="AR8">
        <f ca="1">IF(AR6=1,-MIN(OFFSET(Cashflow!AR25,0,0,1,AS7+1)),IF(AR6=3,-Tabla7[[#Totals],[Month 26]],0))</f>
        <v>0</v>
      </c>
      <c r="AS8">
        <f ca="1">IF(AS6=1,-MIN(OFFSET(Cashflow!AS25,0,0,1,AT7+1)),IF(AS6=3,-Tabla7[[#Totals],[Month 27]],0))</f>
        <v>0</v>
      </c>
      <c r="AT8">
        <f ca="1">IF(AT6=1,-MIN(OFFSET(Cashflow!AT25,0,0,1,AU7+1)),IF(AT6=3,-Tabla7[[#Totals],[Month 28]],0))</f>
        <v>0</v>
      </c>
      <c r="AU8">
        <f ca="1">IF(AU6=1,-MIN(OFFSET(Cashflow!AU25,0,0,1,AV7+1)),IF(AU6=3,-Tabla7[[#Totals],[Month 29]],0))</f>
        <v>0</v>
      </c>
      <c r="AV8">
        <f ca="1">IF(AV6=1,-MIN(OFFSET(Cashflow!AV25,0,0,1,AW7+1)),IF(AV6=3,-Tabla7[[#Totals],[Month 30]],0))</f>
        <v>0</v>
      </c>
      <c r="AW8">
        <f ca="1">IF(AW6=1,-MIN(OFFSET(Cashflow!AW25,0,0,1,AX7+1)),IF(AW6=3,-Tabla7[[#Totals],[Month 31]],0))</f>
        <v>0</v>
      </c>
      <c r="AX8">
        <f ca="1">IF(AX6=1,-MIN(OFFSET(Cashflow!AX25,0,0,1,AY7+1)),IF(AX6=3,-Tabla7[[#Totals],[Month 32]],0))</f>
        <v>0</v>
      </c>
      <c r="AY8">
        <f ca="1">IF(AY6=1,-MIN(OFFSET(Cashflow!AY25,0,0,1,AZ7+1)),IF(AY6=3,-Tabla7[[#Totals],[Month 33]],0))</f>
        <v>0</v>
      </c>
      <c r="AZ8">
        <f ca="1">IF(AZ6=1,-MIN(OFFSET(Cashflow!AZ25,0,0,1,BA7+1)),IF(AZ6=3,-Tabla7[[#Totals],[Month 34]],0))</f>
        <v>0</v>
      </c>
      <c r="BA8">
        <f ca="1">IF(BA6=1,-MIN(OFFSET(Cashflow!BA25,0,0,1,BB7+1)),IF(BA6=3,-Tabla7[[#Totals],[Month 35]],0))</f>
        <v>0</v>
      </c>
      <c r="BB8">
        <f ca="1">IF(BB6=1,-MIN(OFFSET(Cashflow!BB25,0,0,1,BC7+1)),IF(BB6=3,-Tabla7[[#Totals],[Month 36]],0))</f>
        <v>0</v>
      </c>
      <c r="BC8">
        <f ca="1">IF(BC6=1,-MIN(OFFSET(Cashflow!BC25,0,0,1,BD7+1)),IF(BC6=3,-Tabla7[[#Totals],[Month 37]],0))</f>
        <v>0</v>
      </c>
      <c r="BD8">
        <f ca="1">IF(BD6=1,-MIN(OFFSET(Cashflow!BD25,0,0,1,BE7+1)),IF(BD6=3,-Tabla7[[#Totals],[Month 38]],0))</f>
        <v>0</v>
      </c>
      <c r="BE8">
        <f ca="1">IF(BE6=1,-MIN(OFFSET(Cashflow!BE25,0,0,1,BF7+1)),IF(BE6=3,-Tabla7[[#Totals],[Month 39]],0))</f>
        <v>0</v>
      </c>
      <c r="BF8">
        <f ca="1">IF(BF6=1,-MIN(OFFSET(Cashflow!BF25,0,0,1,BG7+1)),IF(BF6=3,-Tabla7[[#Totals],[Month 40]],0))</f>
        <v>0</v>
      </c>
      <c r="BG8">
        <f ca="1">IF(BG6=1,-MIN(OFFSET(Cashflow!BG25,0,0,1,BH7+1)),IF(BG6=3,-Tabla7[[#Totals],[Month 41]],0))</f>
        <v>0</v>
      </c>
      <c r="BH8">
        <f ca="1">IF(BH6=1,-MIN(OFFSET(Cashflow!BH25,0,0,1,BI7+1)),IF(BH6=3,-Tabla7[[#Totals],[Month 42]],0))</f>
        <v>0</v>
      </c>
      <c r="BI8">
        <f ca="1">IF(BI6=1,-MIN(OFFSET(Cashflow!BI25,0,0,1,BJ7+1)),IF(BI6=3,-Tabla7[[#Totals],[Month 43]],0))</f>
        <v>0</v>
      </c>
      <c r="BJ8">
        <f ca="1">IF(BJ6=1,-MIN(OFFSET(Cashflow!BJ25,0,0,1,BK7+1)),IF(BJ6=3,-Tabla7[[#Totals],[Month 44]],0))</f>
        <v>0</v>
      </c>
      <c r="BK8">
        <f ca="1">IF(BK6=1,-MIN(OFFSET(Cashflow!BK25,0,0,1,BL7+1)),IF(BK6=3,-Tabla7[[#Totals],[Month 45]],0))</f>
        <v>0</v>
      </c>
      <c r="BL8">
        <f ca="1">IF(BL6=1,-MIN(OFFSET(Cashflow!BL25,0,0,1,BM7+1)),IF(BL6=3,-Tabla7[[#Totals],[Month 46]],0))</f>
        <v>0</v>
      </c>
      <c r="BM8">
        <f ca="1">IF(BM6=1,-MIN(OFFSET(Cashflow!BM25,0,0,1,BN7+1)),IF(BM6=3,-Tabla7[[#Totals],[Month 47]],0))</f>
        <v>0</v>
      </c>
      <c r="BN8">
        <f ca="1">IF(BN6=1,-MIN(OFFSET(Cashflow!BN25,0,0,1,BO7+1)),IF(BN6=3,-Tabla7[[#Totals],[Month 48]],0))</f>
        <v>0</v>
      </c>
      <c r="BO8">
        <f ca="1">IF(BO6=1,-MIN(OFFSET(Cashflow!BO25,0,0,1,Cashflow!BP29+1)),IF(BO6=3,-Tabla7[[#Totals],[Month]],0))</f>
        <v>0</v>
      </c>
    </row>
    <row r="9" spans="2:67" x14ac:dyDescent="0.35">
      <c r="S9" t="s">
        <v>233</v>
      </c>
      <c r="T9">
        <f ca="1">ROUNDUP(T8,-3)</f>
        <v>0</v>
      </c>
      <c r="U9">
        <f ca="1">ROUNDUP(U8*1.05,-3)</f>
        <v>0</v>
      </c>
      <c r="V9">
        <f ca="1">ROUNDUP(V8*1.05,-3)</f>
        <v>0</v>
      </c>
      <c r="W9">
        <f ca="1">ROUNDUP(W8*1.05,-3)</f>
        <v>0</v>
      </c>
      <c r="X9">
        <f ca="1">ROUNDUP(X8*1.05,-3)</f>
        <v>0</v>
      </c>
      <c r="Y9">
        <f ca="1">ROUNDUP(Y8*1.2,-3)</f>
        <v>436000</v>
      </c>
      <c r="Z9">
        <f t="shared" ref="Z9:BO9" ca="1" si="2">ROUNDUP(Z8*1.05,-3)</f>
        <v>0</v>
      </c>
      <c r="AA9">
        <f t="shared" ca="1" si="2"/>
        <v>0</v>
      </c>
      <c r="AB9">
        <f t="shared" ca="1" si="2"/>
        <v>0</v>
      </c>
      <c r="AC9">
        <f t="shared" ca="1" si="2"/>
        <v>0</v>
      </c>
      <c r="AD9">
        <f t="shared" ca="1" si="2"/>
        <v>0</v>
      </c>
      <c r="AE9">
        <f t="shared" ca="1" si="2"/>
        <v>0</v>
      </c>
      <c r="AF9">
        <f t="shared" ca="1" si="2"/>
        <v>0</v>
      </c>
      <c r="AG9">
        <f t="shared" ca="1" si="2"/>
        <v>0</v>
      </c>
      <c r="AH9">
        <f t="shared" ca="1" si="2"/>
        <v>0</v>
      </c>
      <c r="AI9">
        <f t="shared" ca="1" si="2"/>
        <v>0</v>
      </c>
      <c r="AJ9">
        <f t="shared" ca="1" si="2"/>
        <v>0</v>
      </c>
      <c r="AK9">
        <f t="shared" ca="1" si="2"/>
        <v>0</v>
      </c>
      <c r="AL9">
        <f t="shared" ca="1" si="2"/>
        <v>0</v>
      </c>
      <c r="AM9">
        <f t="shared" ca="1" si="2"/>
        <v>0</v>
      </c>
      <c r="AN9">
        <f t="shared" ca="1" si="2"/>
        <v>0</v>
      </c>
      <c r="AO9">
        <f t="shared" ca="1" si="2"/>
        <v>0</v>
      </c>
      <c r="AP9">
        <f t="shared" ca="1" si="2"/>
        <v>0</v>
      </c>
      <c r="AQ9">
        <f t="shared" ca="1" si="2"/>
        <v>1000</v>
      </c>
      <c r="AR9">
        <f t="shared" ca="1" si="2"/>
        <v>0</v>
      </c>
      <c r="AS9">
        <f t="shared" ca="1" si="2"/>
        <v>0</v>
      </c>
      <c r="AT9">
        <f t="shared" ca="1" si="2"/>
        <v>0</v>
      </c>
      <c r="AU9">
        <f t="shared" ca="1" si="2"/>
        <v>0</v>
      </c>
      <c r="AV9">
        <f t="shared" ca="1" si="2"/>
        <v>0</v>
      </c>
      <c r="AW9">
        <f t="shared" ca="1" si="2"/>
        <v>0</v>
      </c>
      <c r="AX9">
        <f t="shared" ca="1" si="2"/>
        <v>0</v>
      </c>
      <c r="AY9">
        <f t="shared" ca="1" si="2"/>
        <v>0</v>
      </c>
      <c r="AZ9">
        <f t="shared" ca="1" si="2"/>
        <v>0</v>
      </c>
      <c r="BA9">
        <f t="shared" ca="1" si="2"/>
        <v>0</v>
      </c>
      <c r="BB9">
        <f t="shared" ca="1" si="2"/>
        <v>0</v>
      </c>
      <c r="BC9">
        <f t="shared" ca="1" si="2"/>
        <v>0</v>
      </c>
      <c r="BD9">
        <f t="shared" ca="1" si="2"/>
        <v>0</v>
      </c>
      <c r="BE9">
        <f t="shared" ca="1" si="2"/>
        <v>0</v>
      </c>
      <c r="BF9">
        <f t="shared" ca="1" si="2"/>
        <v>0</v>
      </c>
      <c r="BG9">
        <f t="shared" ca="1" si="2"/>
        <v>0</v>
      </c>
      <c r="BH9">
        <f t="shared" ca="1" si="2"/>
        <v>0</v>
      </c>
      <c r="BI9">
        <f t="shared" ca="1" si="2"/>
        <v>0</v>
      </c>
      <c r="BJ9">
        <f t="shared" ca="1" si="2"/>
        <v>0</v>
      </c>
      <c r="BK9">
        <f t="shared" ca="1" si="2"/>
        <v>0</v>
      </c>
      <c r="BL9">
        <f t="shared" ca="1" si="2"/>
        <v>0</v>
      </c>
      <c r="BM9">
        <f t="shared" ca="1" si="2"/>
        <v>0</v>
      </c>
      <c r="BN9">
        <f t="shared" ca="1" si="2"/>
        <v>0</v>
      </c>
      <c r="BO9">
        <f t="shared" ca="1" si="2"/>
        <v>0</v>
      </c>
    </row>
    <row r="11" spans="2:67" x14ac:dyDescent="0.35">
      <c r="S11" t="s">
        <v>285</v>
      </c>
      <c r="T11">
        <f ca="1">IF(T12&gt;0,1,0)</f>
        <v>0</v>
      </c>
      <c r="U11">
        <f t="shared" ref="U11:BO11" ca="1" si="3">IF(OR(U12&gt;0,T11&gt;0),1,0)</f>
        <v>0</v>
      </c>
      <c r="V11">
        <f t="shared" ca="1" si="3"/>
        <v>0</v>
      </c>
      <c r="W11">
        <f t="shared" ca="1" si="3"/>
        <v>0</v>
      </c>
      <c r="X11">
        <f t="shared" ca="1" si="3"/>
        <v>0</v>
      </c>
      <c r="Y11">
        <f t="shared" ca="1" si="3"/>
        <v>1</v>
      </c>
      <c r="Z11">
        <f t="shared" ca="1" si="3"/>
        <v>1</v>
      </c>
      <c r="AA11">
        <f t="shared" ca="1" si="3"/>
        <v>1</v>
      </c>
      <c r="AB11">
        <f t="shared" ca="1" si="3"/>
        <v>1</v>
      </c>
      <c r="AC11">
        <f t="shared" ca="1" si="3"/>
        <v>1</v>
      </c>
      <c r="AD11">
        <f t="shared" ca="1" si="3"/>
        <v>1</v>
      </c>
      <c r="AE11">
        <f t="shared" ca="1" si="3"/>
        <v>1</v>
      </c>
      <c r="AF11">
        <f t="shared" ca="1" si="3"/>
        <v>1</v>
      </c>
      <c r="AG11">
        <f t="shared" ca="1" si="3"/>
        <v>1</v>
      </c>
      <c r="AH11">
        <f t="shared" ca="1" si="3"/>
        <v>1</v>
      </c>
      <c r="AI11">
        <f t="shared" ca="1" si="3"/>
        <v>1</v>
      </c>
      <c r="AJ11">
        <f t="shared" ca="1" si="3"/>
        <v>1</v>
      </c>
      <c r="AK11">
        <f t="shared" ca="1" si="3"/>
        <v>1</v>
      </c>
      <c r="AL11">
        <f t="shared" ca="1" si="3"/>
        <v>1</v>
      </c>
      <c r="AM11">
        <f t="shared" ca="1" si="3"/>
        <v>1</v>
      </c>
      <c r="AN11">
        <f t="shared" ca="1" si="3"/>
        <v>1</v>
      </c>
      <c r="AO11">
        <f t="shared" ca="1" si="3"/>
        <v>1</v>
      </c>
      <c r="AP11">
        <f t="shared" ca="1" si="3"/>
        <v>1</v>
      </c>
      <c r="AQ11">
        <f t="shared" ca="1" si="3"/>
        <v>1</v>
      </c>
      <c r="AR11">
        <f t="shared" ca="1" si="3"/>
        <v>1</v>
      </c>
      <c r="AS11">
        <f t="shared" ca="1" si="3"/>
        <v>1</v>
      </c>
      <c r="AT11">
        <f t="shared" ca="1" si="3"/>
        <v>1</v>
      </c>
      <c r="AU11">
        <f t="shared" ca="1" si="3"/>
        <v>1</v>
      </c>
      <c r="AV11">
        <f t="shared" ca="1" si="3"/>
        <v>1</v>
      </c>
      <c r="AW11">
        <f t="shared" ca="1" si="3"/>
        <v>1</v>
      </c>
      <c r="AX11">
        <f t="shared" ca="1" si="3"/>
        <v>1</v>
      </c>
      <c r="AY11">
        <f t="shared" ca="1" si="3"/>
        <v>1</v>
      </c>
      <c r="AZ11">
        <f t="shared" ca="1" si="3"/>
        <v>1</v>
      </c>
      <c r="BA11">
        <f t="shared" ca="1" si="3"/>
        <v>1</v>
      </c>
      <c r="BB11">
        <f t="shared" ca="1" si="3"/>
        <v>1</v>
      </c>
      <c r="BC11">
        <f t="shared" ca="1" si="3"/>
        <v>1</v>
      </c>
      <c r="BD11">
        <f t="shared" ca="1" si="3"/>
        <v>1</v>
      </c>
      <c r="BE11">
        <f t="shared" ca="1" si="3"/>
        <v>1</v>
      </c>
      <c r="BF11">
        <f t="shared" ca="1" si="3"/>
        <v>1</v>
      </c>
      <c r="BG11">
        <f t="shared" ca="1" si="3"/>
        <v>1</v>
      </c>
      <c r="BH11">
        <f t="shared" ca="1" si="3"/>
        <v>1</v>
      </c>
      <c r="BI11">
        <f t="shared" ca="1" si="3"/>
        <v>1</v>
      </c>
      <c r="BJ11">
        <f t="shared" ca="1" si="3"/>
        <v>1</v>
      </c>
      <c r="BK11">
        <f t="shared" ca="1" si="3"/>
        <v>1</v>
      </c>
      <c r="BL11">
        <f t="shared" ca="1" si="3"/>
        <v>1</v>
      </c>
      <c r="BM11">
        <f t="shared" ca="1" si="3"/>
        <v>1</v>
      </c>
      <c r="BN11">
        <f t="shared" ca="1" si="3"/>
        <v>1</v>
      </c>
      <c r="BO11">
        <f t="shared" ca="1" si="3"/>
        <v>1</v>
      </c>
    </row>
    <row r="12" spans="2:67" x14ac:dyDescent="0.35">
      <c r="S12" t="str">
        <f>B4</f>
        <v>"Jóvenes Emprendedores"</v>
      </c>
      <c r="T12">
        <f t="shared" ref="T12:BO12" ca="1" si="4">T9-T13</f>
        <v>0</v>
      </c>
      <c r="U12">
        <f t="shared" ca="1" si="4"/>
        <v>0</v>
      </c>
      <c r="V12">
        <f t="shared" ca="1" si="4"/>
        <v>0</v>
      </c>
      <c r="W12">
        <f t="shared" ca="1" si="4"/>
        <v>0</v>
      </c>
      <c r="X12">
        <f t="shared" ca="1" si="4"/>
        <v>0</v>
      </c>
      <c r="Y12">
        <f t="shared" ca="1" si="4"/>
        <v>75000</v>
      </c>
      <c r="Z12">
        <f t="shared" ca="1" si="4"/>
        <v>0</v>
      </c>
      <c r="AA12">
        <f t="shared" ca="1" si="4"/>
        <v>0</v>
      </c>
      <c r="AB12">
        <f t="shared" ca="1" si="4"/>
        <v>0</v>
      </c>
      <c r="AC12">
        <f t="shared" ca="1" si="4"/>
        <v>0</v>
      </c>
      <c r="AD12">
        <f t="shared" ca="1" si="4"/>
        <v>0</v>
      </c>
      <c r="AE12">
        <f t="shared" ca="1" si="4"/>
        <v>0</v>
      </c>
      <c r="AF12">
        <f t="shared" ca="1" si="4"/>
        <v>0</v>
      </c>
      <c r="AG12">
        <f t="shared" ca="1" si="4"/>
        <v>0</v>
      </c>
      <c r="AH12">
        <f t="shared" ca="1" si="4"/>
        <v>0</v>
      </c>
      <c r="AI12">
        <f t="shared" ca="1" si="4"/>
        <v>0</v>
      </c>
      <c r="AJ12">
        <f t="shared" ca="1" si="4"/>
        <v>0</v>
      </c>
      <c r="AK12">
        <f t="shared" ca="1" si="4"/>
        <v>0</v>
      </c>
      <c r="AL12">
        <f t="shared" ca="1" si="4"/>
        <v>0</v>
      </c>
      <c r="AM12">
        <f t="shared" ca="1" si="4"/>
        <v>0</v>
      </c>
      <c r="AN12">
        <f t="shared" ca="1" si="4"/>
        <v>0</v>
      </c>
      <c r="AO12">
        <f t="shared" ca="1" si="4"/>
        <v>0</v>
      </c>
      <c r="AP12">
        <f t="shared" ca="1" si="4"/>
        <v>0</v>
      </c>
      <c r="AQ12">
        <f t="shared" ca="1" si="4"/>
        <v>0</v>
      </c>
      <c r="AR12">
        <f t="shared" ca="1" si="4"/>
        <v>0</v>
      </c>
      <c r="AS12">
        <f t="shared" ca="1" si="4"/>
        <v>0</v>
      </c>
      <c r="AT12">
        <f t="shared" ca="1" si="4"/>
        <v>0</v>
      </c>
      <c r="AU12">
        <f t="shared" ca="1" si="4"/>
        <v>0</v>
      </c>
      <c r="AV12">
        <f t="shared" ca="1" si="4"/>
        <v>0</v>
      </c>
      <c r="AW12">
        <f t="shared" ca="1" si="4"/>
        <v>0</v>
      </c>
      <c r="AX12">
        <f t="shared" ca="1" si="4"/>
        <v>0</v>
      </c>
      <c r="AY12">
        <f t="shared" ca="1" si="4"/>
        <v>0</v>
      </c>
      <c r="AZ12">
        <f t="shared" ca="1" si="4"/>
        <v>0</v>
      </c>
      <c r="BA12">
        <f t="shared" ca="1" si="4"/>
        <v>0</v>
      </c>
      <c r="BB12">
        <f t="shared" ca="1" si="4"/>
        <v>0</v>
      </c>
      <c r="BC12">
        <f t="shared" ca="1" si="4"/>
        <v>0</v>
      </c>
      <c r="BD12">
        <f t="shared" ca="1" si="4"/>
        <v>0</v>
      </c>
      <c r="BE12">
        <f t="shared" ca="1" si="4"/>
        <v>0</v>
      </c>
      <c r="BF12">
        <f t="shared" ca="1" si="4"/>
        <v>0</v>
      </c>
      <c r="BG12">
        <f t="shared" ca="1" si="4"/>
        <v>0</v>
      </c>
      <c r="BH12">
        <f t="shared" ca="1" si="4"/>
        <v>0</v>
      </c>
      <c r="BI12">
        <f t="shared" ca="1" si="4"/>
        <v>0</v>
      </c>
      <c r="BJ12">
        <f t="shared" ca="1" si="4"/>
        <v>0</v>
      </c>
      <c r="BK12">
        <f t="shared" ca="1" si="4"/>
        <v>0</v>
      </c>
      <c r="BL12">
        <f t="shared" ca="1" si="4"/>
        <v>0</v>
      </c>
      <c r="BM12">
        <f t="shared" ca="1" si="4"/>
        <v>0</v>
      </c>
      <c r="BN12">
        <f t="shared" ca="1" si="4"/>
        <v>0</v>
      </c>
      <c r="BO12">
        <f t="shared" ca="1" si="4"/>
        <v>0</v>
      </c>
    </row>
    <row r="13" spans="2:67" x14ac:dyDescent="0.35">
      <c r="S13" t="s">
        <v>283</v>
      </c>
      <c r="T13">
        <f ca="1">IF(T9&gt;$F4,T9-$F4,IF(T9&lt;$E4,0,T9))</f>
        <v>0</v>
      </c>
      <c r="U13">
        <f t="shared" ref="U13:BO13" ca="1" si="5">IF(T11=0,IF(U9&gt;$F4,U9-$F4,IF(U9&lt;$E4,U9,0)),U9)</f>
        <v>0</v>
      </c>
      <c r="V13">
        <f t="shared" ca="1" si="5"/>
        <v>0</v>
      </c>
      <c r="W13">
        <f t="shared" ca="1" si="5"/>
        <v>0</v>
      </c>
      <c r="X13">
        <f t="shared" ca="1" si="5"/>
        <v>0</v>
      </c>
      <c r="Y13">
        <f t="shared" ca="1" si="5"/>
        <v>361000</v>
      </c>
      <c r="Z13">
        <f t="shared" ca="1" si="5"/>
        <v>0</v>
      </c>
      <c r="AA13">
        <f t="shared" ca="1" si="5"/>
        <v>0</v>
      </c>
      <c r="AB13">
        <f t="shared" ca="1" si="5"/>
        <v>0</v>
      </c>
      <c r="AC13">
        <f t="shared" ca="1" si="5"/>
        <v>0</v>
      </c>
      <c r="AD13">
        <f t="shared" ca="1" si="5"/>
        <v>0</v>
      </c>
      <c r="AE13">
        <f t="shared" ca="1" si="5"/>
        <v>0</v>
      </c>
      <c r="AF13">
        <f t="shared" ca="1" si="5"/>
        <v>0</v>
      </c>
      <c r="AG13">
        <f t="shared" ca="1" si="5"/>
        <v>0</v>
      </c>
      <c r="AH13">
        <f t="shared" ca="1" si="5"/>
        <v>0</v>
      </c>
      <c r="AI13">
        <f t="shared" ca="1" si="5"/>
        <v>0</v>
      </c>
      <c r="AJ13">
        <f t="shared" ca="1" si="5"/>
        <v>0</v>
      </c>
      <c r="AK13">
        <f t="shared" ca="1" si="5"/>
        <v>0</v>
      </c>
      <c r="AL13">
        <f t="shared" ca="1" si="5"/>
        <v>0</v>
      </c>
      <c r="AM13">
        <f t="shared" ca="1" si="5"/>
        <v>0</v>
      </c>
      <c r="AN13">
        <f t="shared" ca="1" si="5"/>
        <v>0</v>
      </c>
      <c r="AO13">
        <f t="shared" ca="1" si="5"/>
        <v>0</v>
      </c>
      <c r="AP13">
        <f t="shared" ca="1" si="5"/>
        <v>0</v>
      </c>
      <c r="AQ13">
        <f t="shared" ca="1" si="5"/>
        <v>1000</v>
      </c>
      <c r="AR13">
        <f t="shared" ca="1" si="5"/>
        <v>0</v>
      </c>
      <c r="AS13">
        <f t="shared" ca="1" si="5"/>
        <v>0</v>
      </c>
      <c r="AT13">
        <f t="shared" ca="1" si="5"/>
        <v>0</v>
      </c>
      <c r="AU13">
        <f t="shared" ca="1" si="5"/>
        <v>0</v>
      </c>
      <c r="AV13">
        <f t="shared" ca="1" si="5"/>
        <v>0</v>
      </c>
      <c r="AW13">
        <f t="shared" ca="1" si="5"/>
        <v>0</v>
      </c>
      <c r="AX13">
        <f t="shared" ca="1" si="5"/>
        <v>0</v>
      </c>
      <c r="AY13">
        <f t="shared" ca="1" si="5"/>
        <v>0</v>
      </c>
      <c r="AZ13">
        <f t="shared" ca="1" si="5"/>
        <v>0</v>
      </c>
      <c r="BA13">
        <f t="shared" ca="1" si="5"/>
        <v>0</v>
      </c>
      <c r="BB13">
        <f t="shared" ca="1" si="5"/>
        <v>0</v>
      </c>
      <c r="BC13">
        <f t="shared" ca="1" si="5"/>
        <v>0</v>
      </c>
      <c r="BD13">
        <f t="shared" ca="1" si="5"/>
        <v>0</v>
      </c>
      <c r="BE13">
        <f t="shared" ca="1" si="5"/>
        <v>0</v>
      </c>
      <c r="BF13">
        <f t="shared" ca="1" si="5"/>
        <v>0</v>
      </c>
      <c r="BG13">
        <f t="shared" ca="1" si="5"/>
        <v>0</v>
      </c>
      <c r="BH13">
        <f t="shared" ca="1" si="5"/>
        <v>0</v>
      </c>
      <c r="BI13">
        <f t="shared" ca="1" si="5"/>
        <v>0</v>
      </c>
      <c r="BJ13">
        <f t="shared" ca="1" si="5"/>
        <v>0</v>
      </c>
      <c r="BK13">
        <f t="shared" ca="1" si="5"/>
        <v>0</v>
      </c>
      <c r="BL13">
        <f t="shared" ca="1" si="5"/>
        <v>0</v>
      </c>
      <c r="BM13">
        <f t="shared" ca="1" si="5"/>
        <v>0</v>
      </c>
      <c r="BN13">
        <f t="shared" ca="1" si="5"/>
        <v>0</v>
      </c>
      <c r="BO13">
        <f t="shared" ca="1" si="5"/>
        <v>0</v>
      </c>
    </row>
    <row r="14" spans="2:67" x14ac:dyDescent="0.35">
      <c r="S14" t="s">
        <v>125</v>
      </c>
      <c r="T14">
        <f t="shared" ref="T14:BO14" ca="1" si="6">IF(T11&gt;0,$N$4,0)</f>
        <v>0</v>
      </c>
      <c r="U14">
        <f t="shared" ca="1" si="6"/>
        <v>0</v>
      </c>
      <c r="V14">
        <f t="shared" ca="1" si="6"/>
        <v>0</v>
      </c>
      <c r="W14">
        <f t="shared" ca="1" si="6"/>
        <v>0</v>
      </c>
      <c r="X14">
        <f t="shared" ca="1" si="6"/>
        <v>0</v>
      </c>
      <c r="Y14">
        <f t="shared" ca="1" si="6"/>
        <v>342.43132237996389</v>
      </c>
      <c r="Z14">
        <f t="shared" ca="1" si="6"/>
        <v>342.43132237996389</v>
      </c>
      <c r="AA14">
        <f t="shared" ca="1" si="6"/>
        <v>342.43132237996389</v>
      </c>
      <c r="AB14">
        <f t="shared" ca="1" si="6"/>
        <v>342.43132237996389</v>
      </c>
      <c r="AC14">
        <f t="shared" ca="1" si="6"/>
        <v>342.43132237996389</v>
      </c>
      <c r="AD14">
        <f t="shared" ca="1" si="6"/>
        <v>342.43132237996389</v>
      </c>
      <c r="AE14">
        <f t="shared" ca="1" si="6"/>
        <v>342.43132237996389</v>
      </c>
      <c r="AF14">
        <f t="shared" ca="1" si="6"/>
        <v>342.43132237996389</v>
      </c>
      <c r="AG14">
        <f t="shared" ca="1" si="6"/>
        <v>342.43132237996389</v>
      </c>
      <c r="AH14">
        <f t="shared" ca="1" si="6"/>
        <v>342.43132237996389</v>
      </c>
      <c r="AI14">
        <f t="shared" ca="1" si="6"/>
        <v>342.43132237996389</v>
      </c>
      <c r="AJ14">
        <f t="shared" ca="1" si="6"/>
        <v>342.43132237996389</v>
      </c>
      <c r="AK14">
        <f t="shared" ca="1" si="6"/>
        <v>342.43132237996389</v>
      </c>
      <c r="AL14">
        <f t="shared" ca="1" si="6"/>
        <v>342.43132237996389</v>
      </c>
      <c r="AM14">
        <f t="shared" ca="1" si="6"/>
        <v>342.43132237996389</v>
      </c>
      <c r="AN14">
        <f t="shared" ca="1" si="6"/>
        <v>342.43132237996389</v>
      </c>
      <c r="AO14">
        <f t="shared" ca="1" si="6"/>
        <v>342.43132237996389</v>
      </c>
      <c r="AP14">
        <f t="shared" ca="1" si="6"/>
        <v>342.43132237996389</v>
      </c>
      <c r="AQ14">
        <f t="shared" ca="1" si="6"/>
        <v>342.43132237996389</v>
      </c>
      <c r="AR14">
        <f t="shared" ca="1" si="6"/>
        <v>342.43132237996389</v>
      </c>
      <c r="AS14">
        <f t="shared" ca="1" si="6"/>
        <v>342.43132237996389</v>
      </c>
      <c r="AT14">
        <f t="shared" ca="1" si="6"/>
        <v>342.43132237996389</v>
      </c>
      <c r="AU14">
        <f t="shared" ca="1" si="6"/>
        <v>342.43132237996389</v>
      </c>
      <c r="AV14">
        <f t="shared" ca="1" si="6"/>
        <v>342.43132237996389</v>
      </c>
      <c r="AW14">
        <f t="shared" ca="1" si="6"/>
        <v>342.43132237996389</v>
      </c>
      <c r="AX14">
        <f t="shared" ca="1" si="6"/>
        <v>342.43132237996389</v>
      </c>
      <c r="AY14">
        <f t="shared" ca="1" si="6"/>
        <v>342.43132237996389</v>
      </c>
      <c r="AZ14">
        <f t="shared" ca="1" si="6"/>
        <v>342.43132237996389</v>
      </c>
      <c r="BA14">
        <f t="shared" ca="1" si="6"/>
        <v>342.43132237996389</v>
      </c>
      <c r="BB14">
        <f t="shared" ca="1" si="6"/>
        <v>342.43132237996389</v>
      </c>
      <c r="BC14">
        <f t="shared" ca="1" si="6"/>
        <v>342.43132237996389</v>
      </c>
      <c r="BD14">
        <f t="shared" ca="1" si="6"/>
        <v>342.43132237996389</v>
      </c>
      <c r="BE14">
        <f t="shared" ca="1" si="6"/>
        <v>342.43132237996389</v>
      </c>
      <c r="BF14">
        <f t="shared" ca="1" si="6"/>
        <v>342.43132237996389</v>
      </c>
      <c r="BG14">
        <f t="shared" ca="1" si="6"/>
        <v>342.43132237996389</v>
      </c>
      <c r="BH14">
        <f t="shared" ca="1" si="6"/>
        <v>342.43132237996389</v>
      </c>
      <c r="BI14">
        <f t="shared" ca="1" si="6"/>
        <v>342.43132237996389</v>
      </c>
      <c r="BJ14">
        <f t="shared" ca="1" si="6"/>
        <v>342.43132237996389</v>
      </c>
      <c r="BK14">
        <f t="shared" ca="1" si="6"/>
        <v>342.43132237996389</v>
      </c>
      <c r="BL14">
        <f t="shared" ca="1" si="6"/>
        <v>342.43132237996389</v>
      </c>
      <c r="BM14">
        <f t="shared" ca="1" si="6"/>
        <v>342.43132237996389</v>
      </c>
      <c r="BN14">
        <f t="shared" ca="1" si="6"/>
        <v>342.43132237996389</v>
      </c>
      <c r="BO14">
        <f t="shared" ca="1" si="6"/>
        <v>342.43132237996389</v>
      </c>
    </row>
    <row r="15" spans="2:67" x14ac:dyDescent="0.35">
      <c r="F15" s="21"/>
      <c r="G15" s="21"/>
      <c r="S15" t="s">
        <v>284</v>
      </c>
      <c r="T15">
        <f t="shared" ref="T15:BO15" ca="1" si="7">IF(T11&gt;0,$P$4,0)</f>
        <v>0</v>
      </c>
      <c r="U15">
        <f t="shared" ca="1" si="7"/>
        <v>0</v>
      </c>
      <c r="V15">
        <f t="shared" ca="1" si="7"/>
        <v>0</v>
      </c>
      <c r="W15">
        <f t="shared" ca="1" si="7"/>
        <v>0</v>
      </c>
      <c r="X15">
        <f t="shared" ca="1" si="7"/>
        <v>0</v>
      </c>
      <c r="Y15">
        <f t="shared" ca="1" si="7"/>
        <v>892.85714285714289</v>
      </c>
      <c r="Z15">
        <f t="shared" ca="1" si="7"/>
        <v>892.85714285714289</v>
      </c>
      <c r="AA15">
        <f t="shared" ca="1" si="7"/>
        <v>892.85714285714289</v>
      </c>
      <c r="AB15">
        <f t="shared" ca="1" si="7"/>
        <v>892.85714285714289</v>
      </c>
      <c r="AC15">
        <f t="shared" ca="1" si="7"/>
        <v>892.85714285714289</v>
      </c>
      <c r="AD15">
        <f t="shared" ca="1" si="7"/>
        <v>892.85714285714289</v>
      </c>
      <c r="AE15">
        <f t="shared" ca="1" si="7"/>
        <v>892.85714285714289</v>
      </c>
      <c r="AF15">
        <f t="shared" ca="1" si="7"/>
        <v>892.85714285714289</v>
      </c>
      <c r="AG15">
        <f t="shared" ca="1" si="7"/>
        <v>892.85714285714289</v>
      </c>
      <c r="AH15">
        <f t="shared" ca="1" si="7"/>
        <v>892.85714285714289</v>
      </c>
      <c r="AI15">
        <f t="shared" ca="1" si="7"/>
        <v>892.85714285714289</v>
      </c>
      <c r="AJ15">
        <f t="shared" ca="1" si="7"/>
        <v>892.85714285714289</v>
      </c>
      <c r="AK15">
        <f t="shared" ca="1" si="7"/>
        <v>892.85714285714289</v>
      </c>
      <c r="AL15">
        <f t="shared" ca="1" si="7"/>
        <v>892.85714285714289</v>
      </c>
      <c r="AM15">
        <f t="shared" ca="1" si="7"/>
        <v>892.85714285714289</v>
      </c>
      <c r="AN15">
        <f t="shared" ca="1" si="7"/>
        <v>892.85714285714289</v>
      </c>
      <c r="AO15">
        <f t="shared" ca="1" si="7"/>
        <v>892.85714285714289</v>
      </c>
      <c r="AP15">
        <f t="shared" ca="1" si="7"/>
        <v>892.85714285714289</v>
      </c>
      <c r="AQ15">
        <f t="shared" ca="1" si="7"/>
        <v>892.85714285714289</v>
      </c>
      <c r="AR15">
        <f t="shared" ca="1" si="7"/>
        <v>892.85714285714289</v>
      </c>
      <c r="AS15">
        <f t="shared" ca="1" si="7"/>
        <v>892.85714285714289</v>
      </c>
      <c r="AT15">
        <f t="shared" ca="1" si="7"/>
        <v>892.85714285714289</v>
      </c>
      <c r="AU15">
        <f t="shared" ca="1" si="7"/>
        <v>892.85714285714289</v>
      </c>
      <c r="AV15">
        <f t="shared" ca="1" si="7"/>
        <v>892.85714285714289</v>
      </c>
      <c r="AW15">
        <f t="shared" ca="1" si="7"/>
        <v>892.85714285714289</v>
      </c>
      <c r="AX15">
        <f t="shared" ca="1" si="7"/>
        <v>892.85714285714289</v>
      </c>
      <c r="AY15">
        <f t="shared" ca="1" si="7"/>
        <v>892.85714285714289</v>
      </c>
      <c r="AZ15">
        <f t="shared" ca="1" si="7"/>
        <v>892.85714285714289</v>
      </c>
      <c r="BA15">
        <f t="shared" ca="1" si="7"/>
        <v>892.85714285714289</v>
      </c>
      <c r="BB15">
        <f t="shared" ca="1" si="7"/>
        <v>892.85714285714289</v>
      </c>
      <c r="BC15">
        <f t="shared" ca="1" si="7"/>
        <v>892.85714285714289</v>
      </c>
      <c r="BD15">
        <f t="shared" ca="1" si="7"/>
        <v>892.85714285714289</v>
      </c>
      <c r="BE15">
        <f t="shared" ca="1" si="7"/>
        <v>892.85714285714289</v>
      </c>
      <c r="BF15">
        <f t="shared" ca="1" si="7"/>
        <v>892.85714285714289</v>
      </c>
      <c r="BG15">
        <f t="shared" ca="1" si="7"/>
        <v>892.85714285714289</v>
      </c>
      <c r="BH15">
        <f t="shared" ca="1" si="7"/>
        <v>892.85714285714289</v>
      </c>
      <c r="BI15">
        <f t="shared" ca="1" si="7"/>
        <v>892.85714285714289</v>
      </c>
      <c r="BJ15">
        <f t="shared" ca="1" si="7"/>
        <v>892.85714285714289</v>
      </c>
      <c r="BK15">
        <f t="shared" ca="1" si="7"/>
        <v>892.85714285714289</v>
      </c>
      <c r="BL15">
        <f t="shared" ca="1" si="7"/>
        <v>892.85714285714289</v>
      </c>
      <c r="BM15">
        <f t="shared" ca="1" si="7"/>
        <v>892.85714285714289</v>
      </c>
      <c r="BN15">
        <f t="shared" ca="1" si="7"/>
        <v>892.85714285714289</v>
      </c>
      <c r="BO15">
        <f t="shared" ca="1" si="7"/>
        <v>892.85714285714289</v>
      </c>
    </row>
    <row r="16" spans="2:67" x14ac:dyDescent="0.35">
      <c r="F16" s="21"/>
      <c r="G16" s="21"/>
    </row>
    <row r="17" spans="19:67" x14ac:dyDescent="0.35">
      <c r="S17" t="s">
        <v>285</v>
      </c>
      <c r="T17">
        <f ca="1">IF(T18&gt;0,1,0)</f>
        <v>0</v>
      </c>
      <c r="U17">
        <f t="shared" ref="U17:BO17" ca="1" si="8">IF(OR(U18&gt;0,T17&gt;0),1,0)</f>
        <v>0</v>
      </c>
      <c r="V17">
        <f t="shared" ca="1" si="8"/>
        <v>0</v>
      </c>
      <c r="W17">
        <f t="shared" ca="1" si="8"/>
        <v>0</v>
      </c>
      <c r="X17">
        <f t="shared" ca="1" si="8"/>
        <v>0</v>
      </c>
      <c r="Y17">
        <f t="shared" ca="1" si="8"/>
        <v>1</v>
      </c>
      <c r="Z17">
        <f t="shared" ca="1" si="8"/>
        <v>1</v>
      </c>
      <c r="AA17">
        <f t="shared" ca="1" si="8"/>
        <v>1</v>
      </c>
      <c r="AB17">
        <f t="shared" ca="1" si="8"/>
        <v>1</v>
      </c>
      <c r="AC17">
        <f t="shared" ca="1" si="8"/>
        <v>1</v>
      </c>
      <c r="AD17">
        <f t="shared" ca="1" si="8"/>
        <v>1</v>
      </c>
      <c r="AE17">
        <f t="shared" ca="1" si="8"/>
        <v>1</v>
      </c>
      <c r="AF17">
        <f t="shared" ca="1" si="8"/>
        <v>1</v>
      </c>
      <c r="AG17">
        <f t="shared" ca="1" si="8"/>
        <v>1</v>
      </c>
      <c r="AH17">
        <f t="shared" ca="1" si="8"/>
        <v>1</v>
      </c>
      <c r="AI17">
        <f t="shared" ca="1" si="8"/>
        <v>1</v>
      </c>
      <c r="AJ17">
        <f t="shared" ca="1" si="8"/>
        <v>1</v>
      </c>
      <c r="AK17">
        <f t="shared" ca="1" si="8"/>
        <v>1</v>
      </c>
      <c r="AL17">
        <f t="shared" ca="1" si="8"/>
        <v>1</v>
      </c>
      <c r="AM17">
        <f t="shared" ca="1" si="8"/>
        <v>1</v>
      </c>
      <c r="AN17">
        <f t="shared" ca="1" si="8"/>
        <v>1</v>
      </c>
      <c r="AO17">
        <f t="shared" ca="1" si="8"/>
        <v>1</v>
      </c>
      <c r="AP17">
        <f t="shared" ca="1" si="8"/>
        <v>1</v>
      </c>
      <c r="AQ17">
        <f t="shared" ca="1" si="8"/>
        <v>1</v>
      </c>
      <c r="AR17">
        <f t="shared" ca="1" si="8"/>
        <v>1</v>
      </c>
      <c r="AS17">
        <f t="shared" ca="1" si="8"/>
        <v>1</v>
      </c>
      <c r="AT17">
        <f t="shared" ca="1" si="8"/>
        <v>1</v>
      </c>
      <c r="AU17">
        <f t="shared" ca="1" si="8"/>
        <v>1</v>
      </c>
      <c r="AV17">
        <f t="shared" ca="1" si="8"/>
        <v>1</v>
      </c>
      <c r="AW17">
        <f t="shared" ca="1" si="8"/>
        <v>1</v>
      </c>
      <c r="AX17">
        <f t="shared" ca="1" si="8"/>
        <v>1</v>
      </c>
      <c r="AY17">
        <f t="shared" ca="1" si="8"/>
        <v>1</v>
      </c>
      <c r="AZ17">
        <f t="shared" ca="1" si="8"/>
        <v>1</v>
      </c>
      <c r="BA17">
        <f t="shared" ca="1" si="8"/>
        <v>1</v>
      </c>
      <c r="BB17">
        <f t="shared" ca="1" si="8"/>
        <v>1</v>
      </c>
      <c r="BC17">
        <f t="shared" ca="1" si="8"/>
        <v>1</v>
      </c>
      <c r="BD17">
        <f t="shared" ca="1" si="8"/>
        <v>1</v>
      </c>
      <c r="BE17">
        <f t="shared" ca="1" si="8"/>
        <v>1</v>
      </c>
      <c r="BF17">
        <f t="shared" ca="1" si="8"/>
        <v>1</v>
      </c>
      <c r="BG17">
        <f t="shared" ca="1" si="8"/>
        <v>1</v>
      </c>
      <c r="BH17">
        <f t="shared" ca="1" si="8"/>
        <v>1</v>
      </c>
      <c r="BI17">
        <f t="shared" ca="1" si="8"/>
        <v>1</v>
      </c>
      <c r="BJ17">
        <f t="shared" ca="1" si="8"/>
        <v>1</v>
      </c>
      <c r="BK17">
        <f t="shared" ca="1" si="8"/>
        <v>1</v>
      </c>
      <c r="BL17">
        <f t="shared" ca="1" si="8"/>
        <v>1</v>
      </c>
      <c r="BM17">
        <f t="shared" ca="1" si="8"/>
        <v>1</v>
      </c>
      <c r="BN17">
        <f t="shared" ca="1" si="8"/>
        <v>1</v>
      </c>
      <c r="BO17">
        <f t="shared" ca="1" si="8"/>
        <v>1</v>
      </c>
    </row>
    <row r="18" spans="19:67" x14ac:dyDescent="0.35">
      <c r="S18" t="str">
        <f>B5</f>
        <v>"Emprendedores digitales"</v>
      </c>
      <c r="T18">
        <f t="shared" ref="T18:BO18" ca="1" si="9">T13-T19</f>
        <v>0</v>
      </c>
      <c r="U18">
        <f t="shared" ca="1" si="9"/>
        <v>0</v>
      </c>
      <c r="V18">
        <f t="shared" ca="1" si="9"/>
        <v>0</v>
      </c>
      <c r="W18">
        <f t="shared" ca="1" si="9"/>
        <v>0</v>
      </c>
      <c r="X18">
        <f t="shared" ca="1" si="9"/>
        <v>0</v>
      </c>
      <c r="Y18">
        <f t="shared" ca="1" si="9"/>
        <v>361000</v>
      </c>
      <c r="Z18">
        <f t="shared" ca="1" si="9"/>
        <v>0</v>
      </c>
      <c r="AA18">
        <f t="shared" ca="1" si="9"/>
        <v>0</v>
      </c>
      <c r="AB18">
        <f t="shared" ca="1" si="9"/>
        <v>0</v>
      </c>
      <c r="AC18">
        <f t="shared" ca="1" si="9"/>
        <v>0</v>
      </c>
      <c r="AD18">
        <f t="shared" ca="1" si="9"/>
        <v>0</v>
      </c>
      <c r="AE18">
        <f t="shared" ca="1" si="9"/>
        <v>0</v>
      </c>
      <c r="AF18">
        <f t="shared" ca="1" si="9"/>
        <v>0</v>
      </c>
      <c r="AG18">
        <f t="shared" ca="1" si="9"/>
        <v>0</v>
      </c>
      <c r="AH18">
        <f t="shared" ca="1" si="9"/>
        <v>0</v>
      </c>
      <c r="AI18">
        <f t="shared" ca="1" si="9"/>
        <v>0</v>
      </c>
      <c r="AJ18">
        <f t="shared" ca="1" si="9"/>
        <v>0</v>
      </c>
      <c r="AK18">
        <f t="shared" ca="1" si="9"/>
        <v>0</v>
      </c>
      <c r="AL18">
        <f t="shared" ca="1" si="9"/>
        <v>0</v>
      </c>
      <c r="AM18">
        <f t="shared" ca="1" si="9"/>
        <v>0</v>
      </c>
      <c r="AN18">
        <f t="shared" ca="1" si="9"/>
        <v>0</v>
      </c>
      <c r="AO18">
        <f t="shared" ca="1" si="9"/>
        <v>0</v>
      </c>
      <c r="AP18">
        <f t="shared" ca="1" si="9"/>
        <v>0</v>
      </c>
      <c r="AQ18">
        <f t="shared" ca="1" si="9"/>
        <v>0</v>
      </c>
      <c r="AR18">
        <f t="shared" ca="1" si="9"/>
        <v>0</v>
      </c>
      <c r="AS18">
        <f t="shared" ca="1" si="9"/>
        <v>0</v>
      </c>
      <c r="AT18">
        <f t="shared" ca="1" si="9"/>
        <v>0</v>
      </c>
      <c r="AU18">
        <f t="shared" ca="1" si="9"/>
        <v>0</v>
      </c>
      <c r="AV18">
        <f t="shared" ca="1" si="9"/>
        <v>0</v>
      </c>
      <c r="AW18">
        <f t="shared" ca="1" si="9"/>
        <v>0</v>
      </c>
      <c r="AX18">
        <f t="shared" ca="1" si="9"/>
        <v>0</v>
      </c>
      <c r="AY18">
        <f t="shared" ca="1" si="9"/>
        <v>0</v>
      </c>
      <c r="AZ18">
        <f t="shared" ca="1" si="9"/>
        <v>0</v>
      </c>
      <c r="BA18">
        <f t="shared" ca="1" si="9"/>
        <v>0</v>
      </c>
      <c r="BB18">
        <f t="shared" ca="1" si="9"/>
        <v>0</v>
      </c>
      <c r="BC18">
        <f t="shared" ca="1" si="9"/>
        <v>0</v>
      </c>
      <c r="BD18">
        <f t="shared" ca="1" si="9"/>
        <v>0</v>
      </c>
      <c r="BE18">
        <f t="shared" ca="1" si="9"/>
        <v>0</v>
      </c>
      <c r="BF18">
        <f t="shared" ca="1" si="9"/>
        <v>0</v>
      </c>
      <c r="BG18">
        <f t="shared" ca="1" si="9"/>
        <v>0</v>
      </c>
      <c r="BH18">
        <f t="shared" ca="1" si="9"/>
        <v>0</v>
      </c>
      <c r="BI18">
        <f t="shared" ca="1" si="9"/>
        <v>0</v>
      </c>
      <c r="BJ18">
        <f t="shared" ca="1" si="9"/>
        <v>0</v>
      </c>
      <c r="BK18">
        <f t="shared" ca="1" si="9"/>
        <v>0</v>
      </c>
      <c r="BL18">
        <f t="shared" ca="1" si="9"/>
        <v>0</v>
      </c>
      <c r="BM18">
        <f t="shared" ca="1" si="9"/>
        <v>0</v>
      </c>
      <c r="BN18">
        <f t="shared" ca="1" si="9"/>
        <v>0</v>
      </c>
      <c r="BO18">
        <f t="shared" ca="1" si="9"/>
        <v>0</v>
      </c>
    </row>
    <row r="19" spans="19:67" x14ac:dyDescent="0.35">
      <c r="S19" t="s">
        <v>282</v>
      </c>
      <c r="T19">
        <f ca="1">IF(T13&gt;$F5,T13-$F5,IF(T13&lt;$E5,0,T13))</f>
        <v>0</v>
      </c>
      <c r="U19">
        <f t="shared" ref="U19:BO19" ca="1" si="10">IF(T17=0,IF(U13&gt;$F5,U13-$F5,IF(U13&lt;$E5,U13,0)),U13)</f>
        <v>0</v>
      </c>
      <c r="V19">
        <f t="shared" ca="1" si="10"/>
        <v>0</v>
      </c>
      <c r="W19">
        <f t="shared" ca="1" si="10"/>
        <v>0</v>
      </c>
      <c r="X19">
        <f t="shared" ca="1" si="10"/>
        <v>0</v>
      </c>
      <c r="Y19">
        <f t="shared" ca="1" si="10"/>
        <v>0</v>
      </c>
      <c r="Z19">
        <f t="shared" ca="1" si="10"/>
        <v>0</v>
      </c>
      <c r="AA19">
        <f t="shared" ca="1" si="10"/>
        <v>0</v>
      </c>
      <c r="AB19">
        <f t="shared" ca="1" si="10"/>
        <v>0</v>
      </c>
      <c r="AC19">
        <f t="shared" ca="1" si="10"/>
        <v>0</v>
      </c>
      <c r="AD19">
        <f t="shared" ca="1" si="10"/>
        <v>0</v>
      </c>
      <c r="AE19">
        <f t="shared" ca="1" si="10"/>
        <v>0</v>
      </c>
      <c r="AF19">
        <f t="shared" ca="1" si="10"/>
        <v>0</v>
      </c>
      <c r="AG19">
        <f t="shared" ca="1" si="10"/>
        <v>0</v>
      </c>
      <c r="AH19">
        <f t="shared" ca="1" si="10"/>
        <v>0</v>
      </c>
      <c r="AI19">
        <f t="shared" ca="1" si="10"/>
        <v>0</v>
      </c>
      <c r="AJ19">
        <f t="shared" ca="1" si="10"/>
        <v>0</v>
      </c>
      <c r="AK19">
        <f t="shared" ca="1" si="10"/>
        <v>0</v>
      </c>
      <c r="AL19">
        <f t="shared" ca="1" si="10"/>
        <v>0</v>
      </c>
      <c r="AM19">
        <f t="shared" ca="1" si="10"/>
        <v>0</v>
      </c>
      <c r="AN19">
        <f t="shared" ca="1" si="10"/>
        <v>0</v>
      </c>
      <c r="AO19">
        <f t="shared" ca="1" si="10"/>
        <v>0</v>
      </c>
      <c r="AP19">
        <f t="shared" ca="1" si="10"/>
        <v>0</v>
      </c>
      <c r="AQ19">
        <f t="shared" ca="1" si="10"/>
        <v>1000</v>
      </c>
      <c r="AR19">
        <f t="shared" ca="1" si="10"/>
        <v>0</v>
      </c>
      <c r="AS19">
        <f t="shared" ca="1" si="10"/>
        <v>0</v>
      </c>
      <c r="AT19">
        <f t="shared" ca="1" si="10"/>
        <v>0</v>
      </c>
      <c r="AU19">
        <f t="shared" ca="1" si="10"/>
        <v>0</v>
      </c>
      <c r="AV19">
        <f t="shared" ca="1" si="10"/>
        <v>0</v>
      </c>
      <c r="AW19">
        <f t="shared" ca="1" si="10"/>
        <v>0</v>
      </c>
      <c r="AX19">
        <f t="shared" ca="1" si="10"/>
        <v>0</v>
      </c>
      <c r="AY19">
        <f t="shared" ca="1" si="10"/>
        <v>0</v>
      </c>
      <c r="AZ19">
        <f t="shared" ca="1" si="10"/>
        <v>0</v>
      </c>
      <c r="BA19">
        <f t="shared" ca="1" si="10"/>
        <v>0</v>
      </c>
      <c r="BB19">
        <f t="shared" ca="1" si="10"/>
        <v>0</v>
      </c>
      <c r="BC19">
        <f t="shared" ca="1" si="10"/>
        <v>0</v>
      </c>
      <c r="BD19">
        <f t="shared" ca="1" si="10"/>
        <v>0</v>
      </c>
      <c r="BE19">
        <f t="shared" ca="1" si="10"/>
        <v>0</v>
      </c>
      <c r="BF19">
        <f t="shared" ca="1" si="10"/>
        <v>0</v>
      </c>
      <c r="BG19">
        <f t="shared" ca="1" si="10"/>
        <v>0</v>
      </c>
      <c r="BH19">
        <f t="shared" ca="1" si="10"/>
        <v>0</v>
      </c>
      <c r="BI19">
        <f t="shared" ca="1" si="10"/>
        <v>0</v>
      </c>
      <c r="BJ19">
        <f t="shared" ca="1" si="10"/>
        <v>0</v>
      </c>
      <c r="BK19">
        <f t="shared" ca="1" si="10"/>
        <v>0</v>
      </c>
      <c r="BL19">
        <f t="shared" ca="1" si="10"/>
        <v>0</v>
      </c>
      <c r="BM19">
        <f t="shared" ca="1" si="10"/>
        <v>0</v>
      </c>
      <c r="BN19">
        <f t="shared" ca="1" si="10"/>
        <v>0</v>
      </c>
      <c r="BO19">
        <f t="shared" ca="1" si="10"/>
        <v>0</v>
      </c>
    </row>
    <row r="20" spans="19:67" x14ac:dyDescent="0.35">
      <c r="S20" t="s">
        <v>125</v>
      </c>
      <c r="T20">
        <f t="shared" ref="T20:BO20" ca="1" si="11">IF(T17&gt;0,$N$5,0)</f>
        <v>0</v>
      </c>
      <c r="U20">
        <f t="shared" ca="1" si="11"/>
        <v>0</v>
      </c>
      <c r="V20">
        <f t="shared" ca="1" si="11"/>
        <v>0</v>
      </c>
      <c r="W20">
        <f t="shared" ca="1" si="11"/>
        <v>0</v>
      </c>
      <c r="X20">
        <f t="shared" ca="1" si="11"/>
        <v>0</v>
      </c>
      <c r="Y20">
        <f t="shared" ca="1" si="11"/>
        <v>1931.0950376660567</v>
      </c>
      <c r="Z20">
        <f t="shared" ca="1" si="11"/>
        <v>1931.0950376660567</v>
      </c>
      <c r="AA20">
        <f t="shared" ca="1" si="11"/>
        <v>1931.0950376660567</v>
      </c>
      <c r="AB20">
        <f t="shared" ca="1" si="11"/>
        <v>1931.0950376660567</v>
      </c>
      <c r="AC20">
        <f t="shared" ca="1" si="11"/>
        <v>1931.0950376660567</v>
      </c>
      <c r="AD20">
        <f t="shared" ca="1" si="11"/>
        <v>1931.0950376660567</v>
      </c>
      <c r="AE20">
        <f t="shared" ca="1" si="11"/>
        <v>1931.0950376660567</v>
      </c>
      <c r="AF20">
        <f t="shared" ca="1" si="11"/>
        <v>1931.0950376660567</v>
      </c>
      <c r="AG20">
        <f t="shared" ca="1" si="11"/>
        <v>1931.0950376660567</v>
      </c>
      <c r="AH20">
        <f t="shared" ca="1" si="11"/>
        <v>1931.0950376660567</v>
      </c>
      <c r="AI20">
        <f t="shared" ca="1" si="11"/>
        <v>1931.0950376660567</v>
      </c>
      <c r="AJ20">
        <f t="shared" ca="1" si="11"/>
        <v>1931.0950376660567</v>
      </c>
      <c r="AK20">
        <f t="shared" ca="1" si="11"/>
        <v>1931.0950376660567</v>
      </c>
      <c r="AL20">
        <f t="shared" ca="1" si="11"/>
        <v>1931.0950376660567</v>
      </c>
      <c r="AM20">
        <f t="shared" ca="1" si="11"/>
        <v>1931.0950376660567</v>
      </c>
      <c r="AN20">
        <f t="shared" ca="1" si="11"/>
        <v>1931.0950376660567</v>
      </c>
      <c r="AO20">
        <f t="shared" ca="1" si="11"/>
        <v>1931.0950376660567</v>
      </c>
      <c r="AP20">
        <f t="shared" ca="1" si="11"/>
        <v>1931.0950376660567</v>
      </c>
      <c r="AQ20">
        <f t="shared" ca="1" si="11"/>
        <v>1931.0950376660567</v>
      </c>
      <c r="AR20">
        <f t="shared" ca="1" si="11"/>
        <v>1931.0950376660567</v>
      </c>
      <c r="AS20">
        <f t="shared" ca="1" si="11"/>
        <v>1931.0950376660567</v>
      </c>
      <c r="AT20">
        <f t="shared" ca="1" si="11"/>
        <v>1931.0950376660567</v>
      </c>
      <c r="AU20">
        <f t="shared" ca="1" si="11"/>
        <v>1931.0950376660567</v>
      </c>
      <c r="AV20">
        <f t="shared" ca="1" si="11"/>
        <v>1931.0950376660567</v>
      </c>
      <c r="AW20">
        <f t="shared" ca="1" si="11"/>
        <v>1931.0950376660567</v>
      </c>
      <c r="AX20">
        <f t="shared" ca="1" si="11"/>
        <v>1931.0950376660567</v>
      </c>
      <c r="AY20">
        <f t="shared" ca="1" si="11"/>
        <v>1931.0950376660567</v>
      </c>
      <c r="AZ20">
        <f t="shared" ca="1" si="11"/>
        <v>1931.0950376660567</v>
      </c>
      <c r="BA20">
        <f t="shared" ca="1" si="11"/>
        <v>1931.0950376660567</v>
      </c>
      <c r="BB20">
        <f t="shared" ca="1" si="11"/>
        <v>1931.0950376660567</v>
      </c>
      <c r="BC20">
        <f t="shared" ca="1" si="11"/>
        <v>1931.0950376660567</v>
      </c>
      <c r="BD20">
        <f t="shared" ca="1" si="11"/>
        <v>1931.0950376660567</v>
      </c>
      <c r="BE20">
        <f t="shared" ca="1" si="11"/>
        <v>1931.0950376660567</v>
      </c>
      <c r="BF20">
        <f t="shared" ca="1" si="11"/>
        <v>1931.0950376660567</v>
      </c>
      <c r="BG20">
        <f t="shared" ca="1" si="11"/>
        <v>1931.0950376660567</v>
      </c>
      <c r="BH20">
        <f t="shared" ca="1" si="11"/>
        <v>1931.0950376660567</v>
      </c>
      <c r="BI20">
        <f t="shared" ca="1" si="11"/>
        <v>1931.0950376660567</v>
      </c>
      <c r="BJ20">
        <f t="shared" ca="1" si="11"/>
        <v>1931.0950376660567</v>
      </c>
      <c r="BK20">
        <f t="shared" ca="1" si="11"/>
        <v>1931.0950376660567</v>
      </c>
      <c r="BL20">
        <f t="shared" ca="1" si="11"/>
        <v>1931.0950376660567</v>
      </c>
      <c r="BM20">
        <f t="shared" ca="1" si="11"/>
        <v>1931.0950376660567</v>
      </c>
      <c r="BN20">
        <f t="shared" ca="1" si="11"/>
        <v>1931.0950376660567</v>
      </c>
      <c r="BO20">
        <f t="shared" ca="1" si="11"/>
        <v>1931.0950376660567</v>
      </c>
    </row>
    <row r="21" spans="19:67" x14ac:dyDescent="0.35">
      <c r="S21" t="s">
        <v>284</v>
      </c>
      <c r="T21">
        <f t="shared" ref="T21:BO21" ca="1" si="12">IF(T17&gt;0,$P$5,0)</f>
        <v>0</v>
      </c>
      <c r="U21">
        <f t="shared" ca="1" si="12"/>
        <v>0</v>
      </c>
      <c r="V21">
        <f t="shared" ca="1" si="12"/>
        <v>0</v>
      </c>
      <c r="W21">
        <f t="shared" ca="1" si="12"/>
        <v>0</v>
      </c>
      <c r="X21">
        <f t="shared" ca="1" si="12"/>
        <v>0</v>
      </c>
      <c r="Y21">
        <f t="shared" ca="1" si="12"/>
        <v>4297.6190476190468</v>
      </c>
      <c r="Z21">
        <f t="shared" ca="1" si="12"/>
        <v>4297.6190476190468</v>
      </c>
      <c r="AA21">
        <f t="shared" ca="1" si="12"/>
        <v>4297.6190476190468</v>
      </c>
      <c r="AB21">
        <f t="shared" ca="1" si="12"/>
        <v>4297.6190476190468</v>
      </c>
      <c r="AC21">
        <f t="shared" ca="1" si="12"/>
        <v>4297.6190476190468</v>
      </c>
      <c r="AD21">
        <f t="shared" ca="1" si="12"/>
        <v>4297.6190476190468</v>
      </c>
      <c r="AE21">
        <f t="shared" ca="1" si="12"/>
        <v>4297.6190476190468</v>
      </c>
      <c r="AF21">
        <f t="shared" ca="1" si="12"/>
        <v>4297.6190476190468</v>
      </c>
      <c r="AG21">
        <f t="shared" ca="1" si="12"/>
        <v>4297.6190476190468</v>
      </c>
      <c r="AH21">
        <f t="shared" ca="1" si="12"/>
        <v>4297.6190476190468</v>
      </c>
      <c r="AI21">
        <f t="shared" ca="1" si="12"/>
        <v>4297.6190476190468</v>
      </c>
      <c r="AJ21">
        <f t="shared" ca="1" si="12"/>
        <v>4297.6190476190468</v>
      </c>
      <c r="AK21">
        <f t="shared" ca="1" si="12"/>
        <v>4297.6190476190468</v>
      </c>
      <c r="AL21">
        <f t="shared" ca="1" si="12"/>
        <v>4297.6190476190468</v>
      </c>
      <c r="AM21">
        <f t="shared" ca="1" si="12"/>
        <v>4297.6190476190468</v>
      </c>
      <c r="AN21">
        <f t="shared" ca="1" si="12"/>
        <v>4297.6190476190468</v>
      </c>
      <c r="AO21">
        <f t="shared" ca="1" si="12"/>
        <v>4297.6190476190468</v>
      </c>
      <c r="AP21">
        <f t="shared" ca="1" si="12"/>
        <v>4297.6190476190468</v>
      </c>
      <c r="AQ21">
        <f t="shared" ca="1" si="12"/>
        <v>4297.6190476190468</v>
      </c>
      <c r="AR21">
        <f t="shared" ca="1" si="12"/>
        <v>4297.6190476190468</v>
      </c>
      <c r="AS21">
        <f t="shared" ca="1" si="12"/>
        <v>4297.6190476190468</v>
      </c>
      <c r="AT21">
        <f t="shared" ca="1" si="12"/>
        <v>4297.6190476190468</v>
      </c>
      <c r="AU21">
        <f t="shared" ca="1" si="12"/>
        <v>4297.6190476190468</v>
      </c>
      <c r="AV21">
        <f t="shared" ca="1" si="12"/>
        <v>4297.6190476190468</v>
      </c>
      <c r="AW21">
        <f t="shared" ca="1" si="12"/>
        <v>4297.6190476190468</v>
      </c>
      <c r="AX21">
        <f t="shared" ca="1" si="12"/>
        <v>4297.6190476190468</v>
      </c>
      <c r="AY21">
        <f t="shared" ca="1" si="12"/>
        <v>4297.6190476190468</v>
      </c>
      <c r="AZ21">
        <f t="shared" ca="1" si="12"/>
        <v>4297.6190476190468</v>
      </c>
      <c r="BA21">
        <f t="shared" ca="1" si="12"/>
        <v>4297.6190476190468</v>
      </c>
      <c r="BB21">
        <f t="shared" ca="1" si="12"/>
        <v>4297.6190476190468</v>
      </c>
      <c r="BC21">
        <f t="shared" ca="1" si="12"/>
        <v>4297.6190476190468</v>
      </c>
      <c r="BD21">
        <f t="shared" ca="1" si="12"/>
        <v>4297.6190476190468</v>
      </c>
      <c r="BE21">
        <f t="shared" ca="1" si="12"/>
        <v>4297.6190476190468</v>
      </c>
      <c r="BF21">
        <f t="shared" ca="1" si="12"/>
        <v>4297.6190476190468</v>
      </c>
      <c r="BG21">
        <f t="shared" ca="1" si="12"/>
        <v>4297.6190476190468</v>
      </c>
      <c r="BH21">
        <f t="shared" ca="1" si="12"/>
        <v>4297.6190476190468</v>
      </c>
      <c r="BI21">
        <f t="shared" ca="1" si="12"/>
        <v>4297.6190476190468</v>
      </c>
      <c r="BJ21">
        <f t="shared" ca="1" si="12"/>
        <v>4297.6190476190468</v>
      </c>
      <c r="BK21">
        <f t="shared" ca="1" si="12"/>
        <v>4297.6190476190468</v>
      </c>
      <c r="BL21">
        <f t="shared" ca="1" si="12"/>
        <v>4297.6190476190468</v>
      </c>
      <c r="BM21">
        <f t="shared" ca="1" si="12"/>
        <v>4297.6190476190468</v>
      </c>
      <c r="BN21">
        <f t="shared" ca="1" si="12"/>
        <v>4297.6190476190468</v>
      </c>
      <c r="BO21">
        <f t="shared" ca="1" si="12"/>
        <v>4297.6190476190468</v>
      </c>
    </row>
    <row r="23" spans="19:67" x14ac:dyDescent="0.35">
      <c r="S23" t="s">
        <v>285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9:67" x14ac:dyDescent="0.35">
      <c r="S24" t="str">
        <f>B6</f>
        <v>Bank loan</v>
      </c>
      <c r="T24">
        <f t="shared" ref="T24:BO24" ca="1" si="13">T19-T25</f>
        <v>0</v>
      </c>
      <c r="U24">
        <f t="shared" ca="1" si="13"/>
        <v>0</v>
      </c>
      <c r="V24">
        <f t="shared" ca="1" si="13"/>
        <v>0</v>
      </c>
      <c r="W24">
        <f t="shared" ca="1" si="13"/>
        <v>0</v>
      </c>
      <c r="X24">
        <f t="shared" ca="1" si="13"/>
        <v>0</v>
      </c>
      <c r="Y24">
        <f t="shared" ca="1" si="13"/>
        <v>0</v>
      </c>
      <c r="Z24">
        <f t="shared" ca="1" si="13"/>
        <v>0</v>
      </c>
      <c r="AA24">
        <f t="shared" ca="1" si="13"/>
        <v>0</v>
      </c>
      <c r="AB24">
        <f t="shared" ca="1" si="13"/>
        <v>0</v>
      </c>
      <c r="AC24">
        <f t="shared" ca="1" si="13"/>
        <v>0</v>
      </c>
      <c r="AD24">
        <f t="shared" ca="1" si="13"/>
        <v>0</v>
      </c>
      <c r="AE24">
        <f t="shared" ca="1" si="13"/>
        <v>0</v>
      </c>
      <c r="AF24">
        <f t="shared" ca="1" si="13"/>
        <v>0</v>
      </c>
      <c r="AG24">
        <f t="shared" ca="1" si="13"/>
        <v>0</v>
      </c>
      <c r="AH24">
        <f t="shared" ca="1" si="13"/>
        <v>0</v>
      </c>
      <c r="AI24">
        <f t="shared" ca="1" si="13"/>
        <v>0</v>
      </c>
      <c r="AJ24">
        <f t="shared" ca="1" si="13"/>
        <v>0</v>
      </c>
      <c r="AK24">
        <f t="shared" ca="1" si="13"/>
        <v>0</v>
      </c>
      <c r="AL24">
        <f t="shared" ca="1" si="13"/>
        <v>0</v>
      </c>
      <c r="AM24">
        <f t="shared" ca="1" si="13"/>
        <v>0</v>
      </c>
      <c r="AN24">
        <f t="shared" ca="1" si="13"/>
        <v>0</v>
      </c>
      <c r="AO24">
        <f t="shared" ca="1" si="13"/>
        <v>0</v>
      </c>
      <c r="AP24">
        <f t="shared" ca="1" si="13"/>
        <v>0</v>
      </c>
      <c r="AQ24">
        <f t="shared" ca="1" si="13"/>
        <v>0</v>
      </c>
      <c r="AR24">
        <f t="shared" ca="1" si="13"/>
        <v>0</v>
      </c>
      <c r="AS24">
        <f t="shared" ca="1" si="13"/>
        <v>0</v>
      </c>
      <c r="AT24">
        <f t="shared" ca="1" si="13"/>
        <v>0</v>
      </c>
      <c r="AU24">
        <f t="shared" ca="1" si="13"/>
        <v>0</v>
      </c>
      <c r="AV24">
        <f t="shared" ca="1" si="13"/>
        <v>0</v>
      </c>
      <c r="AW24">
        <f t="shared" ca="1" si="13"/>
        <v>0</v>
      </c>
      <c r="AX24">
        <f t="shared" ca="1" si="13"/>
        <v>0</v>
      </c>
      <c r="AY24">
        <f t="shared" ca="1" si="13"/>
        <v>0</v>
      </c>
      <c r="AZ24">
        <f t="shared" ca="1" si="13"/>
        <v>0</v>
      </c>
      <c r="BA24">
        <f t="shared" ca="1" si="13"/>
        <v>0</v>
      </c>
      <c r="BB24">
        <f t="shared" ca="1" si="13"/>
        <v>0</v>
      </c>
      <c r="BC24">
        <f t="shared" ca="1" si="13"/>
        <v>0</v>
      </c>
      <c r="BD24">
        <f t="shared" ca="1" si="13"/>
        <v>0</v>
      </c>
      <c r="BE24">
        <f t="shared" ca="1" si="13"/>
        <v>0</v>
      </c>
      <c r="BF24">
        <f t="shared" ca="1" si="13"/>
        <v>0</v>
      </c>
      <c r="BG24">
        <f t="shared" ca="1" si="13"/>
        <v>0</v>
      </c>
      <c r="BH24">
        <f t="shared" ca="1" si="13"/>
        <v>0</v>
      </c>
      <c r="BI24">
        <f t="shared" ca="1" si="13"/>
        <v>0</v>
      </c>
      <c r="BJ24">
        <f t="shared" ca="1" si="13"/>
        <v>0</v>
      </c>
      <c r="BK24">
        <f t="shared" ca="1" si="13"/>
        <v>0</v>
      </c>
      <c r="BL24">
        <f t="shared" ca="1" si="13"/>
        <v>0</v>
      </c>
      <c r="BM24">
        <f t="shared" ca="1" si="13"/>
        <v>0</v>
      </c>
      <c r="BN24">
        <f t="shared" ca="1" si="13"/>
        <v>0</v>
      </c>
      <c r="BO24">
        <f t="shared" ca="1" si="13"/>
        <v>0</v>
      </c>
    </row>
    <row r="25" spans="19:67" x14ac:dyDescent="0.35">
      <c r="S25" t="s">
        <v>282</v>
      </c>
      <c r="T25">
        <f ca="1">IF(T19&gt;$F11,T19-$F11,IF(T19&lt;$E11,0,T19))</f>
        <v>0</v>
      </c>
      <c r="U25">
        <f t="shared" ref="U25:BO25" ca="1" si="14">IF(T23=0,IF(U19&gt;$F11,U19-$F11,IF(U19&lt;$E11,U19,0)),U19)</f>
        <v>0</v>
      </c>
      <c r="V25">
        <f t="shared" ca="1" si="14"/>
        <v>0</v>
      </c>
      <c r="W25">
        <f t="shared" ca="1" si="14"/>
        <v>0</v>
      </c>
      <c r="X25">
        <f t="shared" ca="1" si="14"/>
        <v>0</v>
      </c>
      <c r="Y25">
        <f t="shared" ca="1" si="14"/>
        <v>0</v>
      </c>
      <c r="Z25">
        <f t="shared" ca="1" si="14"/>
        <v>0</v>
      </c>
      <c r="AA25">
        <f t="shared" ca="1" si="14"/>
        <v>0</v>
      </c>
      <c r="AB25">
        <f t="shared" ca="1" si="14"/>
        <v>0</v>
      </c>
      <c r="AC25">
        <f t="shared" ca="1" si="14"/>
        <v>0</v>
      </c>
      <c r="AD25">
        <f t="shared" ca="1" si="14"/>
        <v>0</v>
      </c>
      <c r="AE25">
        <f t="shared" ca="1" si="14"/>
        <v>0</v>
      </c>
      <c r="AF25">
        <f t="shared" ca="1" si="14"/>
        <v>0</v>
      </c>
      <c r="AG25">
        <f t="shared" ca="1" si="14"/>
        <v>0</v>
      </c>
      <c r="AH25">
        <f t="shared" ca="1" si="14"/>
        <v>0</v>
      </c>
      <c r="AI25">
        <f t="shared" ca="1" si="14"/>
        <v>0</v>
      </c>
      <c r="AJ25">
        <f t="shared" ca="1" si="14"/>
        <v>0</v>
      </c>
      <c r="AK25">
        <f t="shared" ca="1" si="14"/>
        <v>0</v>
      </c>
      <c r="AL25">
        <f t="shared" ca="1" si="14"/>
        <v>0</v>
      </c>
      <c r="AM25">
        <f t="shared" ca="1" si="14"/>
        <v>0</v>
      </c>
      <c r="AN25">
        <f t="shared" ca="1" si="14"/>
        <v>0</v>
      </c>
      <c r="AO25">
        <f t="shared" ca="1" si="14"/>
        <v>0</v>
      </c>
      <c r="AP25">
        <f t="shared" ca="1" si="14"/>
        <v>0</v>
      </c>
      <c r="AQ25">
        <f t="shared" ca="1" si="14"/>
        <v>1000</v>
      </c>
      <c r="AR25">
        <f t="shared" ca="1" si="14"/>
        <v>0</v>
      </c>
      <c r="AS25">
        <f t="shared" ca="1" si="14"/>
        <v>0</v>
      </c>
      <c r="AT25">
        <f t="shared" ca="1" si="14"/>
        <v>0</v>
      </c>
      <c r="AU25">
        <f t="shared" ca="1" si="14"/>
        <v>0</v>
      </c>
      <c r="AV25">
        <f t="shared" ca="1" si="14"/>
        <v>0</v>
      </c>
      <c r="AW25">
        <f t="shared" ca="1" si="14"/>
        <v>0</v>
      </c>
      <c r="AX25">
        <f t="shared" ca="1" si="14"/>
        <v>0</v>
      </c>
      <c r="AY25">
        <f t="shared" ca="1" si="14"/>
        <v>0</v>
      </c>
      <c r="AZ25">
        <f t="shared" ca="1" si="14"/>
        <v>0</v>
      </c>
      <c r="BA25">
        <f t="shared" ca="1" si="14"/>
        <v>0</v>
      </c>
      <c r="BB25">
        <f t="shared" ca="1" si="14"/>
        <v>0</v>
      </c>
      <c r="BC25">
        <f t="shared" ca="1" si="14"/>
        <v>0</v>
      </c>
      <c r="BD25">
        <f t="shared" ca="1" si="14"/>
        <v>0</v>
      </c>
      <c r="BE25">
        <f t="shared" ca="1" si="14"/>
        <v>0</v>
      </c>
      <c r="BF25">
        <f t="shared" ca="1" si="14"/>
        <v>0</v>
      </c>
      <c r="BG25">
        <f t="shared" ca="1" si="14"/>
        <v>0</v>
      </c>
      <c r="BH25">
        <f t="shared" ca="1" si="14"/>
        <v>0</v>
      </c>
      <c r="BI25">
        <f t="shared" ca="1" si="14"/>
        <v>0</v>
      </c>
      <c r="BJ25">
        <f t="shared" ca="1" si="14"/>
        <v>0</v>
      </c>
      <c r="BK25">
        <f t="shared" ca="1" si="14"/>
        <v>0</v>
      </c>
      <c r="BL25">
        <f t="shared" ca="1" si="14"/>
        <v>0</v>
      </c>
      <c r="BM25">
        <f t="shared" ca="1" si="14"/>
        <v>0</v>
      </c>
      <c r="BN25">
        <f t="shared" ca="1" si="14"/>
        <v>0</v>
      </c>
      <c r="BO25">
        <f t="shared" ca="1" si="14"/>
        <v>0</v>
      </c>
    </row>
    <row r="26" spans="19:67" x14ac:dyDescent="0.35">
      <c r="S26" t="s">
        <v>125</v>
      </c>
      <c r="T26">
        <f t="shared" ref="T26:BO26" si="15">IF(T23&gt;0,$N$5,0)</f>
        <v>0</v>
      </c>
      <c r="U26">
        <f t="shared" si="15"/>
        <v>0</v>
      </c>
      <c r="V26">
        <f t="shared" si="15"/>
        <v>0</v>
      </c>
      <c r="W26">
        <f t="shared" si="15"/>
        <v>0</v>
      </c>
      <c r="X26">
        <f t="shared" si="15"/>
        <v>0</v>
      </c>
      <c r="Y26">
        <f t="shared" si="15"/>
        <v>0</v>
      </c>
      <c r="Z26">
        <f t="shared" si="15"/>
        <v>0</v>
      </c>
      <c r="AA26">
        <f t="shared" si="15"/>
        <v>0</v>
      </c>
      <c r="AB26">
        <f t="shared" si="15"/>
        <v>0</v>
      </c>
      <c r="AC26">
        <f t="shared" si="15"/>
        <v>0</v>
      </c>
      <c r="AD26">
        <f t="shared" si="15"/>
        <v>0</v>
      </c>
      <c r="AE26">
        <f t="shared" si="15"/>
        <v>0</v>
      </c>
      <c r="AF26">
        <f t="shared" si="15"/>
        <v>0</v>
      </c>
      <c r="AG26">
        <f t="shared" si="15"/>
        <v>0</v>
      </c>
      <c r="AH26">
        <f t="shared" si="15"/>
        <v>0</v>
      </c>
      <c r="AI26">
        <f t="shared" si="15"/>
        <v>0</v>
      </c>
      <c r="AJ26">
        <f t="shared" si="15"/>
        <v>0</v>
      </c>
      <c r="AK26">
        <f t="shared" si="15"/>
        <v>0</v>
      </c>
      <c r="AL26">
        <f t="shared" si="15"/>
        <v>0</v>
      </c>
      <c r="AM26">
        <f t="shared" si="15"/>
        <v>0</v>
      </c>
      <c r="AN26">
        <f t="shared" si="15"/>
        <v>0</v>
      </c>
      <c r="AO26">
        <f t="shared" si="15"/>
        <v>0</v>
      </c>
      <c r="AP26">
        <f t="shared" si="15"/>
        <v>0</v>
      </c>
      <c r="AQ26">
        <f t="shared" si="15"/>
        <v>0</v>
      </c>
      <c r="AR26">
        <f t="shared" si="15"/>
        <v>0</v>
      </c>
      <c r="AS26">
        <f t="shared" si="15"/>
        <v>0</v>
      </c>
      <c r="AT26">
        <f t="shared" si="15"/>
        <v>0</v>
      </c>
      <c r="AU26">
        <f t="shared" si="15"/>
        <v>0</v>
      </c>
      <c r="AV26">
        <f t="shared" si="15"/>
        <v>0</v>
      </c>
      <c r="AW26">
        <f t="shared" si="15"/>
        <v>0</v>
      </c>
      <c r="AX26">
        <f t="shared" si="15"/>
        <v>0</v>
      </c>
      <c r="AY26">
        <f t="shared" si="15"/>
        <v>0</v>
      </c>
      <c r="AZ26">
        <f t="shared" si="15"/>
        <v>0</v>
      </c>
      <c r="BA26">
        <f t="shared" si="15"/>
        <v>0</v>
      </c>
      <c r="BB26">
        <f t="shared" si="15"/>
        <v>0</v>
      </c>
      <c r="BC26">
        <f t="shared" si="15"/>
        <v>0</v>
      </c>
      <c r="BD26">
        <f t="shared" si="15"/>
        <v>0</v>
      </c>
      <c r="BE26">
        <f t="shared" si="15"/>
        <v>0</v>
      </c>
      <c r="BF26">
        <f t="shared" si="15"/>
        <v>0</v>
      </c>
      <c r="BG26">
        <f t="shared" si="15"/>
        <v>0</v>
      </c>
      <c r="BH26">
        <f t="shared" si="15"/>
        <v>0</v>
      </c>
      <c r="BI26">
        <f t="shared" si="15"/>
        <v>0</v>
      </c>
      <c r="BJ26">
        <f t="shared" si="15"/>
        <v>0</v>
      </c>
      <c r="BK26">
        <f t="shared" si="15"/>
        <v>0</v>
      </c>
      <c r="BL26">
        <f t="shared" si="15"/>
        <v>0</v>
      </c>
      <c r="BM26">
        <f t="shared" si="15"/>
        <v>0</v>
      </c>
      <c r="BN26">
        <f t="shared" si="15"/>
        <v>0</v>
      </c>
      <c r="BO26">
        <f t="shared" si="15"/>
        <v>0</v>
      </c>
    </row>
    <row r="27" spans="19:67" x14ac:dyDescent="0.35">
      <c r="S27" t="s">
        <v>284</v>
      </c>
      <c r="T27">
        <f t="shared" ref="T27:BO27" si="16">IF(T23&gt;0,$P$5,0)</f>
        <v>0</v>
      </c>
      <c r="U27">
        <f t="shared" si="16"/>
        <v>0</v>
      </c>
      <c r="V27">
        <f t="shared" si="16"/>
        <v>0</v>
      </c>
      <c r="W27">
        <f t="shared" si="16"/>
        <v>0</v>
      </c>
      <c r="X27">
        <f t="shared" si="16"/>
        <v>0</v>
      </c>
      <c r="Y27">
        <f t="shared" si="16"/>
        <v>0</v>
      </c>
      <c r="Z27">
        <f t="shared" si="16"/>
        <v>0</v>
      </c>
      <c r="AA27">
        <f t="shared" si="16"/>
        <v>0</v>
      </c>
      <c r="AB27">
        <f t="shared" si="16"/>
        <v>0</v>
      </c>
      <c r="AC27">
        <f t="shared" si="16"/>
        <v>0</v>
      </c>
      <c r="AD27">
        <f t="shared" si="16"/>
        <v>0</v>
      </c>
      <c r="AE27">
        <f t="shared" si="16"/>
        <v>0</v>
      </c>
      <c r="AF27">
        <f t="shared" si="16"/>
        <v>0</v>
      </c>
      <c r="AG27">
        <f t="shared" si="16"/>
        <v>0</v>
      </c>
      <c r="AH27">
        <f t="shared" si="16"/>
        <v>0</v>
      </c>
      <c r="AI27">
        <f t="shared" si="16"/>
        <v>0</v>
      </c>
      <c r="AJ27">
        <f t="shared" si="16"/>
        <v>0</v>
      </c>
      <c r="AK27">
        <f t="shared" si="16"/>
        <v>0</v>
      </c>
      <c r="AL27">
        <f t="shared" si="16"/>
        <v>0</v>
      </c>
      <c r="AM27">
        <f t="shared" si="16"/>
        <v>0</v>
      </c>
      <c r="AN27">
        <f t="shared" si="16"/>
        <v>0</v>
      </c>
      <c r="AO27">
        <f t="shared" si="16"/>
        <v>0</v>
      </c>
      <c r="AP27">
        <f t="shared" si="16"/>
        <v>0</v>
      </c>
      <c r="AQ27">
        <f t="shared" si="16"/>
        <v>0</v>
      </c>
      <c r="AR27">
        <f t="shared" si="16"/>
        <v>0</v>
      </c>
      <c r="AS27">
        <f t="shared" si="16"/>
        <v>0</v>
      </c>
      <c r="AT27">
        <f t="shared" si="16"/>
        <v>0</v>
      </c>
      <c r="AU27">
        <f t="shared" si="16"/>
        <v>0</v>
      </c>
      <c r="AV27">
        <f t="shared" si="16"/>
        <v>0</v>
      </c>
      <c r="AW27">
        <f t="shared" si="16"/>
        <v>0</v>
      </c>
      <c r="AX27">
        <f t="shared" si="16"/>
        <v>0</v>
      </c>
      <c r="AY27">
        <f t="shared" si="16"/>
        <v>0</v>
      </c>
      <c r="AZ27">
        <f t="shared" si="16"/>
        <v>0</v>
      </c>
      <c r="BA27">
        <f t="shared" si="16"/>
        <v>0</v>
      </c>
      <c r="BB27">
        <f t="shared" si="16"/>
        <v>0</v>
      </c>
      <c r="BC27">
        <f t="shared" si="16"/>
        <v>0</v>
      </c>
      <c r="BD27">
        <f t="shared" si="16"/>
        <v>0</v>
      </c>
      <c r="BE27">
        <f t="shared" si="16"/>
        <v>0</v>
      </c>
      <c r="BF27">
        <f t="shared" si="16"/>
        <v>0</v>
      </c>
      <c r="BG27">
        <f t="shared" si="16"/>
        <v>0</v>
      </c>
      <c r="BH27">
        <f t="shared" si="16"/>
        <v>0</v>
      </c>
      <c r="BI27">
        <f t="shared" si="16"/>
        <v>0</v>
      </c>
      <c r="BJ27">
        <f t="shared" si="16"/>
        <v>0</v>
      </c>
      <c r="BK27">
        <f t="shared" si="16"/>
        <v>0</v>
      </c>
      <c r="BL27">
        <f t="shared" si="16"/>
        <v>0</v>
      </c>
      <c r="BM27">
        <f t="shared" si="16"/>
        <v>0</v>
      </c>
      <c r="BN27">
        <f t="shared" si="16"/>
        <v>0</v>
      </c>
      <c r="BO27">
        <f t="shared" si="16"/>
        <v>0</v>
      </c>
    </row>
    <row r="29" spans="19:67" x14ac:dyDescent="0.35">
      <c r="S29" t="s">
        <v>288</v>
      </c>
      <c r="T29" t="s">
        <v>234</v>
      </c>
      <c r="U29" t="s">
        <v>235</v>
      </c>
      <c r="V29" t="s">
        <v>236</v>
      </c>
      <c r="W29" t="s">
        <v>237</v>
      </c>
      <c r="X29" t="s">
        <v>238</v>
      </c>
      <c r="Y29" t="s">
        <v>239</v>
      </c>
      <c r="Z29" t="s">
        <v>240</v>
      </c>
      <c r="AA29" t="s">
        <v>241</v>
      </c>
      <c r="AB29" t="s">
        <v>242</v>
      </c>
      <c r="AC29" t="s">
        <v>243</v>
      </c>
      <c r="AD29" t="s">
        <v>244</v>
      </c>
      <c r="AE29" t="s">
        <v>245</v>
      </c>
      <c r="AF29" t="s">
        <v>246</v>
      </c>
      <c r="AG29" t="s">
        <v>247</v>
      </c>
      <c r="AH29" t="s">
        <v>248</v>
      </c>
      <c r="AI29" t="s">
        <v>249</v>
      </c>
      <c r="AJ29" t="s">
        <v>250</v>
      </c>
      <c r="AK29" t="s">
        <v>251</v>
      </c>
      <c r="AL29" t="s">
        <v>252</v>
      </c>
      <c r="AM29" t="s">
        <v>253</v>
      </c>
      <c r="AN29" t="s">
        <v>254</v>
      </c>
      <c r="AO29" t="s">
        <v>255</v>
      </c>
      <c r="AP29" t="s">
        <v>256</v>
      </c>
      <c r="AQ29" t="s">
        <v>257</v>
      </c>
      <c r="AR29" t="s">
        <v>258</v>
      </c>
      <c r="AS29" t="s">
        <v>259</v>
      </c>
      <c r="AT29" t="s">
        <v>260</v>
      </c>
      <c r="AU29" t="s">
        <v>261</v>
      </c>
      <c r="AV29" t="s">
        <v>262</v>
      </c>
      <c r="AW29" t="s">
        <v>263</v>
      </c>
      <c r="AX29" t="s">
        <v>264</v>
      </c>
      <c r="AY29" t="s">
        <v>265</v>
      </c>
      <c r="AZ29" t="s">
        <v>266</v>
      </c>
      <c r="BA29" t="s">
        <v>267</v>
      </c>
      <c r="BB29" t="s">
        <v>268</v>
      </c>
      <c r="BC29" t="s">
        <v>269</v>
      </c>
      <c r="BD29" t="s">
        <v>270</v>
      </c>
      <c r="BE29" t="s">
        <v>271</v>
      </c>
      <c r="BF29" t="s">
        <v>272</v>
      </c>
      <c r="BG29" t="s">
        <v>273</v>
      </c>
      <c r="BH29" t="s">
        <v>274</v>
      </c>
      <c r="BI29" t="s">
        <v>275</v>
      </c>
      <c r="BJ29" t="s">
        <v>276</v>
      </c>
      <c r="BK29" t="s">
        <v>277</v>
      </c>
      <c r="BL29" t="s">
        <v>278</v>
      </c>
      <c r="BM29" t="s">
        <v>279</v>
      </c>
      <c r="BN29" t="s">
        <v>280</v>
      </c>
      <c r="BO29" t="s">
        <v>281</v>
      </c>
    </row>
    <row r="30" spans="19:67" x14ac:dyDescent="0.35">
      <c r="S30" t="s">
        <v>286</v>
      </c>
      <c r="T30">
        <f ca="1">-SUM(T20,T14,T26)</f>
        <v>0</v>
      </c>
      <c r="U30">
        <f t="shared" ref="U30:BO30" ca="1" si="17">-SUM(U20,U14)</f>
        <v>0</v>
      </c>
      <c r="V30">
        <f t="shared" ca="1" si="17"/>
        <v>0</v>
      </c>
      <c r="W30">
        <f t="shared" ca="1" si="17"/>
        <v>0</v>
      </c>
      <c r="X30">
        <f t="shared" ca="1" si="17"/>
        <v>0</v>
      </c>
      <c r="Y30">
        <f t="shared" ca="1" si="17"/>
        <v>-2273.5263600460207</v>
      </c>
      <c r="Z30">
        <f t="shared" ca="1" si="17"/>
        <v>-2273.5263600460207</v>
      </c>
      <c r="AA30">
        <f t="shared" ca="1" si="17"/>
        <v>-2273.5263600460207</v>
      </c>
      <c r="AB30">
        <f t="shared" ca="1" si="17"/>
        <v>-2273.5263600460207</v>
      </c>
      <c r="AC30">
        <f t="shared" ca="1" si="17"/>
        <v>-2273.5263600460207</v>
      </c>
      <c r="AD30">
        <f t="shared" ca="1" si="17"/>
        <v>-2273.5263600460207</v>
      </c>
      <c r="AE30">
        <f t="shared" ca="1" si="17"/>
        <v>-2273.5263600460207</v>
      </c>
      <c r="AF30">
        <f t="shared" ca="1" si="17"/>
        <v>-2273.5263600460207</v>
      </c>
      <c r="AG30">
        <f t="shared" ca="1" si="17"/>
        <v>-2273.5263600460207</v>
      </c>
      <c r="AH30">
        <f t="shared" ca="1" si="17"/>
        <v>-2273.5263600460207</v>
      </c>
      <c r="AI30">
        <f t="shared" ca="1" si="17"/>
        <v>-2273.5263600460207</v>
      </c>
      <c r="AJ30">
        <f t="shared" ca="1" si="17"/>
        <v>-2273.5263600460207</v>
      </c>
      <c r="AK30">
        <f t="shared" ca="1" si="17"/>
        <v>-2273.5263600460207</v>
      </c>
      <c r="AL30">
        <f t="shared" ca="1" si="17"/>
        <v>-2273.5263600460207</v>
      </c>
      <c r="AM30">
        <f t="shared" ca="1" si="17"/>
        <v>-2273.5263600460207</v>
      </c>
      <c r="AN30">
        <f t="shared" ca="1" si="17"/>
        <v>-2273.5263600460207</v>
      </c>
      <c r="AO30">
        <f t="shared" ca="1" si="17"/>
        <v>-2273.5263600460207</v>
      </c>
      <c r="AP30">
        <f t="shared" ca="1" si="17"/>
        <v>-2273.5263600460207</v>
      </c>
      <c r="AQ30">
        <f t="shared" ca="1" si="17"/>
        <v>-2273.5263600460207</v>
      </c>
      <c r="AR30">
        <f t="shared" ca="1" si="17"/>
        <v>-2273.5263600460207</v>
      </c>
      <c r="AS30">
        <f t="shared" ca="1" si="17"/>
        <v>-2273.5263600460207</v>
      </c>
      <c r="AT30">
        <f t="shared" ca="1" si="17"/>
        <v>-2273.5263600460207</v>
      </c>
      <c r="AU30">
        <f t="shared" ca="1" si="17"/>
        <v>-2273.5263600460207</v>
      </c>
      <c r="AV30">
        <f t="shared" ca="1" si="17"/>
        <v>-2273.5263600460207</v>
      </c>
      <c r="AW30">
        <f t="shared" ca="1" si="17"/>
        <v>-2273.5263600460207</v>
      </c>
      <c r="AX30">
        <f t="shared" ca="1" si="17"/>
        <v>-2273.5263600460207</v>
      </c>
      <c r="AY30">
        <f t="shared" ca="1" si="17"/>
        <v>-2273.5263600460207</v>
      </c>
      <c r="AZ30">
        <f t="shared" ca="1" si="17"/>
        <v>-2273.5263600460207</v>
      </c>
      <c r="BA30">
        <f t="shared" ca="1" si="17"/>
        <v>-2273.5263600460207</v>
      </c>
      <c r="BB30">
        <f t="shared" ca="1" si="17"/>
        <v>-2273.5263600460207</v>
      </c>
      <c r="BC30">
        <f t="shared" ca="1" si="17"/>
        <v>-2273.5263600460207</v>
      </c>
      <c r="BD30">
        <f t="shared" ca="1" si="17"/>
        <v>-2273.5263600460207</v>
      </c>
      <c r="BE30">
        <f t="shared" ca="1" si="17"/>
        <v>-2273.5263600460207</v>
      </c>
      <c r="BF30">
        <f t="shared" ca="1" si="17"/>
        <v>-2273.5263600460207</v>
      </c>
      <c r="BG30">
        <f t="shared" ca="1" si="17"/>
        <v>-2273.5263600460207</v>
      </c>
      <c r="BH30">
        <f t="shared" ca="1" si="17"/>
        <v>-2273.5263600460207</v>
      </c>
      <c r="BI30">
        <f t="shared" ca="1" si="17"/>
        <v>-2273.5263600460207</v>
      </c>
      <c r="BJ30">
        <f t="shared" ca="1" si="17"/>
        <v>-2273.5263600460207</v>
      </c>
      <c r="BK30">
        <f t="shared" ca="1" si="17"/>
        <v>-2273.5263600460207</v>
      </c>
      <c r="BL30">
        <f t="shared" ca="1" si="17"/>
        <v>-2273.5263600460207</v>
      </c>
      <c r="BM30">
        <f t="shared" ca="1" si="17"/>
        <v>-2273.5263600460207</v>
      </c>
      <c r="BN30">
        <f t="shared" ca="1" si="17"/>
        <v>-2273.5263600460207</v>
      </c>
      <c r="BO30">
        <f t="shared" ca="1" si="17"/>
        <v>-2273.5263600460207</v>
      </c>
    </row>
    <row r="31" spans="19:67" x14ac:dyDescent="0.35">
      <c r="S31" t="s">
        <v>287</v>
      </c>
      <c r="T31">
        <f ca="1">-SUM(T21,T15,T27)</f>
        <v>0</v>
      </c>
      <c r="U31">
        <f t="shared" ref="U31:BO31" ca="1" si="18">-SUM(U21,U15)</f>
        <v>0</v>
      </c>
      <c r="V31">
        <f t="shared" ca="1" si="18"/>
        <v>0</v>
      </c>
      <c r="W31">
        <f t="shared" ca="1" si="18"/>
        <v>0</v>
      </c>
      <c r="X31">
        <f t="shared" ca="1" si="18"/>
        <v>0</v>
      </c>
      <c r="Y31">
        <f t="shared" ca="1" si="18"/>
        <v>-5190.4761904761899</v>
      </c>
      <c r="Z31">
        <f t="shared" ca="1" si="18"/>
        <v>-5190.4761904761899</v>
      </c>
      <c r="AA31">
        <f t="shared" ca="1" si="18"/>
        <v>-5190.4761904761899</v>
      </c>
      <c r="AB31">
        <f t="shared" ca="1" si="18"/>
        <v>-5190.4761904761899</v>
      </c>
      <c r="AC31">
        <f t="shared" ca="1" si="18"/>
        <v>-5190.4761904761899</v>
      </c>
      <c r="AD31">
        <f t="shared" ca="1" si="18"/>
        <v>-5190.4761904761899</v>
      </c>
      <c r="AE31">
        <f t="shared" ca="1" si="18"/>
        <v>-5190.4761904761899</v>
      </c>
      <c r="AF31">
        <f t="shared" ca="1" si="18"/>
        <v>-5190.4761904761899</v>
      </c>
      <c r="AG31">
        <f t="shared" ca="1" si="18"/>
        <v>-5190.4761904761899</v>
      </c>
      <c r="AH31">
        <f t="shared" ca="1" si="18"/>
        <v>-5190.4761904761899</v>
      </c>
      <c r="AI31">
        <f t="shared" ca="1" si="18"/>
        <v>-5190.4761904761899</v>
      </c>
      <c r="AJ31">
        <f t="shared" ca="1" si="18"/>
        <v>-5190.4761904761899</v>
      </c>
      <c r="AK31">
        <f t="shared" ca="1" si="18"/>
        <v>-5190.4761904761899</v>
      </c>
      <c r="AL31">
        <f t="shared" ca="1" si="18"/>
        <v>-5190.4761904761899</v>
      </c>
      <c r="AM31">
        <f t="shared" ca="1" si="18"/>
        <v>-5190.4761904761899</v>
      </c>
      <c r="AN31">
        <f t="shared" ca="1" si="18"/>
        <v>-5190.4761904761899</v>
      </c>
      <c r="AO31">
        <f t="shared" ca="1" si="18"/>
        <v>-5190.4761904761899</v>
      </c>
      <c r="AP31">
        <f t="shared" ca="1" si="18"/>
        <v>-5190.4761904761899</v>
      </c>
      <c r="AQ31">
        <f t="shared" ca="1" si="18"/>
        <v>-5190.4761904761899</v>
      </c>
      <c r="AR31">
        <f t="shared" ca="1" si="18"/>
        <v>-5190.4761904761899</v>
      </c>
      <c r="AS31">
        <f t="shared" ca="1" si="18"/>
        <v>-5190.4761904761899</v>
      </c>
      <c r="AT31">
        <f t="shared" ca="1" si="18"/>
        <v>-5190.4761904761899</v>
      </c>
      <c r="AU31">
        <f t="shared" ca="1" si="18"/>
        <v>-5190.4761904761899</v>
      </c>
      <c r="AV31">
        <f t="shared" ca="1" si="18"/>
        <v>-5190.4761904761899</v>
      </c>
      <c r="AW31">
        <f t="shared" ca="1" si="18"/>
        <v>-5190.4761904761899</v>
      </c>
      <c r="AX31">
        <f t="shared" ca="1" si="18"/>
        <v>-5190.4761904761899</v>
      </c>
      <c r="AY31">
        <f t="shared" ca="1" si="18"/>
        <v>-5190.4761904761899</v>
      </c>
      <c r="AZ31">
        <f t="shared" ca="1" si="18"/>
        <v>-5190.4761904761899</v>
      </c>
      <c r="BA31">
        <f t="shared" ca="1" si="18"/>
        <v>-5190.4761904761899</v>
      </c>
      <c r="BB31">
        <f t="shared" ca="1" si="18"/>
        <v>-5190.4761904761899</v>
      </c>
      <c r="BC31">
        <f t="shared" ca="1" si="18"/>
        <v>-5190.4761904761899</v>
      </c>
      <c r="BD31">
        <f t="shared" ca="1" si="18"/>
        <v>-5190.4761904761899</v>
      </c>
      <c r="BE31">
        <f t="shared" ca="1" si="18"/>
        <v>-5190.4761904761899</v>
      </c>
      <c r="BF31">
        <f t="shared" ca="1" si="18"/>
        <v>-5190.4761904761899</v>
      </c>
      <c r="BG31">
        <f t="shared" ca="1" si="18"/>
        <v>-5190.4761904761899</v>
      </c>
      <c r="BH31">
        <f t="shared" ca="1" si="18"/>
        <v>-5190.4761904761899</v>
      </c>
      <c r="BI31">
        <f t="shared" ca="1" si="18"/>
        <v>-5190.4761904761899</v>
      </c>
      <c r="BJ31">
        <f t="shared" ca="1" si="18"/>
        <v>-5190.4761904761899</v>
      </c>
      <c r="BK31">
        <f t="shared" ca="1" si="18"/>
        <v>-5190.4761904761899</v>
      </c>
      <c r="BL31">
        <f t="shared" ca="1" si="18"/>
        <v>-5190.4761904761899</v>
      </c>
      <c r="BM31">
        <f t="shared" ca="1" si="18"/>
        <v>-5190.4761904761899</v>
      </c>
      <c r="BN31">
        <f t="shared" ca="1" si="18"/>
        <v>-5190.4761904761899</v>
      </c>
      <c r="BO31">
        <f t="shared" ca="1" si="18"/>
        <v>-5190.4761904761899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0945-6083-4952-9359-9E8F4B12113C}">
  <dimension ref="B2:BC53"/>
  <sheetViews>
    <sheetView topLeftCell="B48" zoomScale="67" zoomScaleNormal="100" workbookViewId="0">
      <selection activeCell="D19" sqref="D19"/>
    </sheetView>
  </sheetViews>
  <sheetFormatPr baseColWidth="10" defaultColWidth="10.7265625" defaultRowHeight="14.5" x14ac:dyDescent="0.35"/>
  <cols>
    <col min="1" max="1" width="12.54296875" customWidth="1"/>
    <col min="2" max="2" width="26.26953125" customWidth="1"/>
    <col min="3" max="3" width="12.54296875" customWidth="1"/>
    <col min="4" max="4" width="14.1796875" customWidth="1"/>
    <col min="5" max="5" width="23.453125" customWidth="1"/>
    <col min="7" max="7" width="23.54296875" customWidth="1"/>
    <col min="8" max="55" width="20.1796875" customWidth="1"/>
  </cols>
  <sheetData>
    <row r="2" spans="2:55" ht="15" thickBot="1" x14ac:dyDescent="0.4">
      <c r="B2" s="11" t="s">
        <v>39</v>
      </c>
      <c r="C2" t="s">
        <v>55</v>
      </c>
      <c r="D2" t="s">
        <v>56</v>
      </c>
      <c r="E2" s="11" t="s">
        <v>50</v>
      </c>
      <c r="G2" s="8" t="s">
        <v>54</v>
      </c>
      <c r="H2" s="7" t="s">
        <v>49</v>
      </c>
      <c r="I2" s="7" t="s">
        <v>3</v>
      </c>
      <c r="J2" s="7" t="s">
        <v>4</v>
      </c>
      <c r="K2" s="7" t="s">
        <v>5</v>
      </c>
      <c r="L2" s="7" t="s">
        <v>6</v>
      </c>
      <c r="M2" s="7" t="s">
        <v>7</v>
      </c>
      <c r="N2" s="7" t="s">
        <v>8</v>
      </c>
      <c r="O2" s="7" t="s">
        <v>9</v>
      </c>
      <c r="P2" s="7" t="s">
        <v>10</v>
      </c>
      <c r="Q2" s="7" t="s">
        <v>11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22</v>
      </c>
      <c r="AC2" s="7" t="s">
        <v>23</v>
      </c>
      <c r="AD2" s="7" t="s">
        <v>24</v>
      </c>
      <c r="AE2" s="7" t="s">
        <v>25</v>
      </c>
      <c r="AF2" s="7" t="s">
        <v>27</v>
      </c>
      <c r="AG2" s="7" t="s">
        <v>28</v>
      </c>
      <c r="AH2" s="7" t="s">
        <v>29</v>
      </c>
      <c r="AI2" s="7" t="s">
        <v>30</v>
      </c>
      <c r="AJ2" s="7" t="s">
        <v>31</v>
      </c>
      <c r="AK2" s="7" t="s">
        <v>32</v>
      </c>
      <c r="AL2" s="7" t="s">
        <v>33</v>
      </c>
      <c r="AM2" s="7" t="s">
        <v>34</v>
      </c>
      <c r="AN2" s="7" t="s">
        <v>35</v>
      </c>
      <c r="AO2" s="7" t="s">
        <v>36</v>
      </c>
      <c r="AP2" s="7" t="s">
        <v>37</v>
      </c>
      <c r="AQ2" s="7" t="s">
        <v>38</v>
      </c>
      <c r="AR2" s="7" t="s">
        <v>95</v>
      </c>
      <c r="AS2" s="7" t="s">
        <v>96</v>
      </c>
      <c r="AT2" s="7" t="s">
        <v>97</v>
      </c>
      <c r="AU2" s="7" t="s">
        <v>98</v>
      </c>
      <c r="AV2" s="7" t="s">
        <v>99</v>
      </c>
      <c r="AW2" s="7" t="s">
        <v>100</v>
      </c>
      <c r="AX2" s="7" t="s">
        <v>101</v>
      </c>
      <c r="AY2" s="7" t="s">
        <v>102</v>
      </c>
      <c r="AZ2" s="7" t="s">
        <v>103</v>
      </c>
      <c r="BA2" s="7" t="s">
        <v>104</v>
      </c>
      <c r="BB2" s="7" t="s">
        <v>105</v>
      </c>
      <c r="BC2" s="7" t="s">
        <v>106</v>
      </c>
    </row>
    <row r="3" spans="2:55" x14ac:dyDescent="0.35">
      <c r="B3" s="11" t="s">
        <v>46</v>
      </c>
      <c r="C3" s="12">
        <f t="shared" ref="C3:C13" si="0">ROUNDDOWN(D3/14,0)</f>
        <v>1485</v>
      </c>
      <c r="D3" s="12">
        <v>20800</v>
      </c>
      <c r="E3" s="11" t="s">
        <v>52</v>
      </c>
      <c r="G3" s="3" t="s">
        <v>46</v>
      </c>
      <c r="H3" s="2">
        <v>0</v>
      </c>
      <c r="I3" s="2">
        <v>4</v>
      </c>
      <c r="J3" s="2">
        <v>4</v>
      </c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3</v>
      </c>
      <c r="Q3" s="2">
        <v>3</v>
      </c>
      <c r="R3" s="2">
        <v>3</v>
      </c>
      <c r="S3" s="2">
        <v>3</v>
      </c>
      <c r="T3" s="2">
        <v>3</v>
      </c>
      <c r="U3" s="2">
        <v>3</v>
      </c>
      <c r="V3" s="2">
        <v>3</v>
      </c>
      <c r="W3" s="2">
        <v>3</v>
      </c>
      <c r="X3" s="2">
        <v>4</v>
      </c>
      <c r="Y3" s="2">
        <v>4</v>
      </c>
      <c r="Z3" s="2">
        <v>4</v>
      </c>
      <c r="AA3" s="2">
        <v>4</v>
      </c>
      <c r="AB3" s="2">
        <v>4</v>
      </c>
      <c r="AC3" s="2">
        <v>4</v>
      </c>
      <c r="AD3" s="2">
        <v>4</v>
      </c>
      <c r="AE3" s="2">
        <v>4</v>
      </c>
      <c r="AF3" s="2">
        <v>4</v>
      </c>
      <c r="AG3" s="2">
        <v>4</v>
      </c>
      <c r="AH3" s="2">
        <v>4</v>
      </c>
      <c r="AI3" s="2">
        <v>4</v>
      </c>
      <c r="AJ3" s="2">
        <v>4</v>
      </c>
      <c r="AK3" s="2">
        <v>4</v>
      </c>
      <c r="AL3" s="2">
        <v>4</v>
      </c>
      <c r="AM3" s="2">
        <v>4</v>
      </c>
      <c r="AN3" s="2">
        <v>4</v>
      </c>
      <c r="AO3" s="2">
        <v>4</v>
      </c>
      <c r="AP3" s="2">
        <v>4</v>
      </c>
      <c r="AQ3" s="2">
        <v>4</v>
      </c>
      <c r="AR3" s="2">
        <v>4</v>
      </c>
      <c r="AS3" s="2">
        <v>4</v>
      </c>
      <c r="AT3" s="2">
        <v>4</v>
      </c>
      <c r="AU3" s="2">
        <v>4</v>
      </c>
      <c r="AV3" s="2">
        <v>4</v>
      </c>
      <c r="AW3" s="2">
        <v>4</v>
      </c>
      <c r="AX3" s="2">
        <v>4</v>
      </c>
      <c r="AY3" s="2">
        <v>4</v>
      </c>
      <c r="AZ3" s="2">
        <v>4</v>
      </c>
      <c r="BA3" s="2">
        <v>4</v>
      </c>
      <c r="BB3" s="2">
        <v>4</v>
      </c>
      <c r="BC3" s="2">
        <v>4</v>
      </c>
    </row>
    <row r="4" spans="2:55" x14ac:dyDescent="0.35">
      <c r="B4" s="11" t="s">
        <v>47</v>
      </c>
      <c r="C4" s="12">
        <f t="shared" si="0"/>
        <v>3785</v>
      </c>
      <c r="D4" s="12">
        <v>53000</v>
      </c>
      <c r="E4" s="11" t="s">
        <v>53</v>
      </c>
      <c r="G4" s="5" t="s">
        <v>47</v>
      </c>
      <c r="H4">
        <v>0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</row>
    <row r="5" spans="2:55" x14ac:dyDescent="0.35">
      <c r="B5" s="11" t="s">
        <v>48</v>
      </c>
      <c r="C5" s="12">
        <f t="shared" si="0"/>
        <v>1407</v>
      </c>
      <c r="D5" s="12">
        <v>19700</v>
      </c>
      <c r="E5" s="11" t="s">
        <v>52</v>
      </c>
      <c r="G5" s="5" t="s">
        <v>48</v>
      </c>
      <c r="H5">
        <v>0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6</v>
      </c>
      <c r="AJ5">
        <v>6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>
        <v>6</v>
      </c>
      <c r="BA5">
        <v>6</v>
      </c>
      <c r="BB5">
        <v>6</v>
      </c>
      <c r="BC5">
        <v>6</v>
      </c>
    </row>
    <row r="6" spans="2:55" ht="15" thickBot="1" x14ac:dyDescent="0.4">
      <c r="B6" s="11" t="s">
        <v>40</v>
      </c>
      <c r="C6" s="12">
        <f t="shared" si="0"/>
        <v>1482</v>
      </c>
      <c r="D6" s="12">
        <v>20750</v>
      </c>
      <c r="E6" s="11" t="s">
        <v>52</v>
      </c>
      <c r="G6" s="8" t="s">
        <v>40</v>
      </c>
      <c r="H6" s="7">
        <v>0</v>
      </c>
      <c r="I6" s="7">
        <v>3</v>
      </c>
      <c r="J6" s="7">
        <v>3</v>
      </c>
      <c r="K6" s="7">
        <v>3</v>
      </c>
      <c r="L6" s="7">
        <v>3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</row>
    <row r="7" spans="2:55" x14ac:dyDescent="0.35">
      <c r="B7" s="11" t="s">
        <v>64</v>
      </c>
      <c r="C7" s="12">
        <f t="shared" si="0"/>
        <v>3021</v>
      </c>
      <c r="D7" s="12">
        <v>42300</v>
      </c>
      <c r="E7" t="s">
        <v>51</v>
      </c>
      <c r="G7" s="3" t="s">
        <v>64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</row>
    <row r="8" spans="2:55" x14ac:dyDescent="0.35">
      <c r="B8" s="11" t="s">
        <v>58</v>
      </c>
      <c r="C8" s="12">
        <f t="shared" si="0"/>
        <v>1157</v>
      </c>
      <c r="D8" s="12">
        <v>16200</v>
      </c>
      <c r="E8" s="11" t="s">
        <v>52</v>
      </c>
      <c r="G8" s="5" t="s">
        <v>58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>
        <v>2</v>
      </c>
      <c r="P8">
        <v>3</v>
      </c>
      <c r="Q8">
        <v>3</v>
      </c>
      <c r="R8">
        <v>3</v>
      </c>
      <c r="S8">
        <v>3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</row>
    <row r="9" spans="2:55" ht="15" thickBot="1" x14ac:dyDescent="0.4">
      <c r="B9" s="11" t="s">
        <v>59</v>
      </c>
      <c r="C9" s="12">
        <f t="shared" si="0"/>
        <v>2333</v>
      </c>
      <c r="D9" s="12">
        <v>32670</v>
      </c>
      <c r="E9" s="11" t="s">
        <v>51</v>
      </c>
      <c r="G9" s="8" t="s">
        <v>59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7">
        <v>1</v>
      </c>
      <c r="AX9" s="7">
        <v>1</v>
      </c>
      <c r="AY9" s="7">
        <v>1</v>
      </c>
      <c r="AZ9" s="7">
        <v>1</v>
      </c>
      <c r="BA9" s="7">
        <v>1</v>
      </c>
      <c r="BB9" s="7">
        <v>1</v>
      </c>
      <c r="BC9" s="7">
        <v>1</v>
      </c>
    </row>
    <row r="10" spans="2:55" x14ac:dyDescent="0.35">
      <c r="B10" s="11" t="s">
        <v>60</v>
      </c>
      <c r="C10" s="12">
        <f t="shared" si="0"/>
        <v>3107</v>
      </c>
      <c r="D10" s="12">
        <v>43500</v>
      </c>
      <c r="E10" s="11" t="s">
        <v>51</v>
      </c>
      <c r="G10" s="3" t="s">
        <v>60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</row>
    <row r="11" spans="2:55" x14ac:dyDescent="0.35">
      <c r="B11" s="11" t="s">
        <v>61</v>
      </c>
      <c r="C11" s="12">
        <f t="shared" si="0"/>
        <v>1710</v>
      </c>
      <c r="D11" s="12">
        <v>23940</v>
      </c>
      <c r="E11" s="11" t="s">
        <v>51</v>
      </c>
      <c r="G11" s="5" t="s">
        <v>61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</row>
    <row r="12" spans="2:55" x14ac:dyDescent="0.35">
      <c r="B12" s="11" t="s">
        <v>62</v>
      </c>
      <c r="C12" s="12">
        <f t="shared" si="0"/>
        <v>1217</v>
      </c>
      <c r="D12" s="12">
        <v>17040</v>
      </c>
      <c r="E12" s="11" t="s">
        <v>51</v>
      </c>
      <c r="G12" s="5" t="s">
        <v>62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</row>
    <row r="13" spans="2:55" ht="15" thickBot="1" x14ac:dyDescent="0.4">
      <c r="B13" s="11" t="s">
        <v>63</v>
      </c>
      <c r="C13" s="12">
        <f t="shared" si="0"/>
        <v>1442</v>
      </c>
      <c r="D13" s="12">
        <v>20200</v>
      </c>
      <c r="E13" s="11" t="s">
        <v>51</v>
      </c>
      <c r="G13" s="5" t="s">
        <v>63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</row>
    <row r="14" spans="2:55" ht="15" thickBot="1" x14ac:dyDescent="0.4">
      <c r="G14" s="23" t="s">
        <v>69</v>
      </c>
      <c r="H14" s="24">
        <f t="shared" ref="H14:BC14" si="1">SUBTOTAL(109,H3:H13)</f>
        <v>4</v>
      </c>
      <c r="I14" s="24">
        <f t="shared" si="1"/>
        <v>20</v>
      </c>
      <c r="J14" s="24">
        <f t="shared" si="1"/>
        <v>20</v>
      </c>
      <c r="K14" s="24">
        <f t="shared" si="1"/>
        <v>21</v>
      </c>
      <c r="L14" s="24">
        <f t="shared" si="1"/>
        <v>21</v>
      </c>
      <c r="M14" s="24">
        <f t="shared" si="1"/>
        <v>21</v>
      </c>
      <c r="N14" s="24">
        <f t="shared" si="1"/>
        <v>21</v>
      </c>
      <c r="O14" s="24">
        <f t="shared" si="1"/>
        <v>21</v>
      </c>
      <c r="P14" s="24">
        <f t="shared" si="1"/>
        <v>23</v>
      </c>
      <c r="Q14" s="24">
        <f t="shared" si="1"/>
        <v>23</v>
      </c>
      <c r="R14" s="24">
        <f t="shared" si="1"/>
        <v>23</v>
      </c>
      <c r="S14" s="24">
        <f t="shared" si="1"/>
        <v>23</v>
      </c>
      <c r="T14" s="24">
        <f t="shared" si="1"/>
        <v>25</v>
      </c>
      <c r="U14" s="24">
        <f t="shared" si="1"/>
        <v>25</v>
      </c>
      <c r="V14" s="24">
        <f t="shared" si="1"/>
        <v>25</v>
      </c>
      <c r="W14" s="24">
        <f t="shared" si="1"/>
        <v>25</v>
      </c>
      <c r="X14" s="24">
        <f t="shared" si="1"/>
        <v>27</v>
      </c>
      <c r="Y14" s="24">
        <f t="shared" si="1"/>
        <v>27</v>
      </c>
      <c r="Z14" s="24">
        <f t="shared" si="1"/>
        <v>27</v>
      </c>
      <c r="AA14" s="24">
        <f t="shared" si="1"/>
        <v>27</v>
      </c>
      <c r="AB14" s="24">
        <f t="shared" si="1"/>
        <v>27</v>
      </c>
      <c r="AC14" s="24">
        <f t="shared" si="1"/>
        <v>27</v>
      </c>
      <c r="AD14" s="24">
        <f t="shared" si="1"/>
        <v>27</v>
      </c>
      <c r="AE14" s="24">
        <f t="shared" si="1"/>
        <v>27</v>
      </c>
      <c r="AF14" s="24">
        <f t="shared" si="1"/>
        <v>27</v>
      </c>
      <c r="AG14" s="24">
        <f t="shared" si="1"/>
        <v>27</v>
      </c>
      <c r="AH14" s="24">
        <f t="shared" si="1"/>
        <v>27</v>
      </c>
      <c r="AI14" s="24">
        <f t="shared" si="1"/>
        <v>27</v>
      </c>
      <c r="AJ14" s="24">
        <f t="shared" si="1"/>
        <v>27</v>
      </c>
      <c r="AK14" s="24">
        <f t="shared" si="1"/>
        <v>27</v>
      </c>
      <c r="AL14" s="24">
        <f t="shared" si="1"/>
        <v>27</v>
      </c>
      <c r="AM14" s="24">
        <f t="shared" si="1"/>
        <v>27</v>
      </c>
      <c r="AN14" s="24">
        <f t="shared" si="1"/>
        <v>27</v>
      </c>
      <c r="AO14" s="24">
        <f t="shared" si="1"/>
        <v>27</v>
      </c>
      <c r="AP14" s="24">
        <f t="shared" si="1"/>
        <v>27</v>
      </c>
      <c r="AQ14" s="24">
        <f t="shared" si="1"/>
        <v>27</v>
      </c>
      <c r="AR14" s="24">
        <f t="shared" si="1"/>
        <v>27</v>
      </c>
      <c r="AS14" s="24">
        <f t="shared" si="1"/>
        <v>27</v>
      </c>
      <c r="AT14" s="24">
        <f t="shared" si="1"/>
        <v>27</v>
      </c>
      <c r="AU14" s="24">
        <f t="shared" si="1"/>
        <v>27</v>
      </c>
      <c r="AV14" s="24">
        <f t="shared" si="1"/>
        <v>27</v>
      </c>
      <c r="AW14" s="24">
        <f t="shared" si="1"/>
        <v>27</v>
      </c>
      <c r="AX14" s="24">
        <f t="shared" si="1"/>
        <v>27</v>
      </c>
      <c r="AY14" s="24">
        <f t="shared" si="1"/>
        <v>27</v>
      </c>
      <c r="AZ14" s="24">
        <f t="shared" si="1"/>
        <v>27</v>
      </c>
      <c r="BA14" s="24">
        <f t="shared" si="1"/>
        <v>27</v>
      </c>
      <c r="BB14" s="24">
        <f t="shared" si="1"/>
        <v>27</v>
      </c>
      <c r="BC14" s="25">
        <f t="shared" si="1"/>
        <v>27</v>
      </c>
    </row>
    <row r="17" spans="2:55" x14ac:dyDescent="0.35">
      <c r="G17" t="s">
        <v>327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</row>
    <row r="18" spans="2:55" x14ac:dyDescent="0.35">
      <c r="B18" t="s">
        <v>324</v>
      </c>
      <c r="G18" t="s">
        <v>326</v>
      </c>
      <c r="H18">
        <v>1</v>
      </c>
      <c r="I18">
        <v>2</v>
      </c>
      <c r="J18">
        <v>3</v>
      </c>
      <c r="K18">
        <v>4</v>
      </c>
      <c r="L18">
        <v>5</v>
      </c>
      <c r="M18">
        <v>6</v>
      </c>
      <c r="N18">
        <v>7</v>
      </c>
      <c r="O18">
        <v>8</v>
      </c>
      <c r="P18">
        <v>9</v>
      </c>
      <c r="Q18">
        <v>10</v>
      </c>
      <c r="R18">
        <v>11</v>
      </c>
      <c r="S18">
        <v>12</v>
      </c>
      <c r="T18">
        <v>1</v>
      </c>
      <c r="U18">
        <v>2</v>
      </c>
      <c r="V18">
        <v>3</v>
      </c>
      <c r="W18">
        <v>4</v>
      </c>
      <c r="X18">
        <v>5</v>
      </c>
      <c r="Y18">
        <v>6</v>
      </c>
      <c r="Z18">
        <v>7</v>
      </c>
      <c r="AA18">
        <v>8</v>
      </c>
      <c r="AB18">
        <v>9</v>
      </c>
      <c r="AC18">
        <v>10</v>
      </c>
      <c r="AD18">
        <v>11</v>
      </c>
      <c r="AE18">
        <v>12</v>
      </c>
      <c r="AF18">
        <v>1</v>
      </c>
      <c r="AG18">
        <v>2</v>
      </c>
      <c r="AH18">
        <v>3</v>
      </c>
      <c r="AI18">
        <v>4</v>
      </c>
      <c r="AJ18">
        <v>5</v>
      </c>
      <c r="AK18">
        <v>6</v>
      </c>
      <c r="AL18">
        <v>7</v>
      </c>
      <c r="AM18">
        <v>8</v>
      </c>
      <c r="AN18">
        <v>9</v>
      </c>
      <c r="AO18">
        <v>10</v>
      </c>
      <c r="AP18">
        <v>11</v>
      </c>
      <c r="AQ18">
        <v>12</v>
      </c>
      <c r="AR18">
        <v>1</v>
      </c>
      <c r="AS18">
        <v>2</v>
      </c>
      <c r="AT18">
        <v>3</v>
      </c>
      <c r="AU18">
        <v>4</v>
      </c>
      <c r="AV18">
        <v>5</v>
      </c>
      <c r="AW18">
        <v>6</v>
      </c>
      <c r="AX18">
        <v>7</v>
      </c>
      <c r="AY18">
        <v>8</v>
      </c>
      <c r="AZ18">
        <v>9</v>
      </c>
      <c r="BA18">
        <v>10</v>
      </c>
      <c r="BB18">
        <v>11</v>
      </c>
      <c r="BC18">
        <v>12</v>
      </c>
    </row>
    <row r="19" spans="2:55" ht="15" thickBot="1" x14ac:dyDescent="0.4">
      <c r="B19" s="206" t="s">
        <v>325</v>
      </c>
      <c r="C19" s="207">
        <v>0.05</v>
      </c>
      <c r="G19" s="9" t="s">
        <v>57</v>
      </c>
      <c r="H19" s="7" t="s">
        <v>49</v>
      </c>
      <c r="I19" s="7" t="s">
        <v>3</v>
      </c>
      <c r="J19" s="7" t="s">
        <v>4</v>
      </c>
      <c r="K19" s="7" t="s">
        <v>5</v>
      </c>
      <c r="L19" s="7" t="s">
        <v>6</v>
      </c>
      <c r="M19" s="7" t="s">
        <v>7</v>
      </c>
      <c r="N19" s="7" t="s">
        <v>8</v>
      </c>
      <c r="O19" s="7" t="s">
        <v>9</v>
      </c>
      <c r="P19" s="7" t="s">
        <v>10</v>
      </c>
      <c r="Q19" s="7" t="s">
        <v>11</v>
      </c>
      <c r="R19" s="7" t="s">
        <v>12</v>
      </c>
      <c r="S19" s="7" t="s">
        <v>13</v>
      </c>
      <c r="T19" s="7" t="s">
        <v>14</v>
      </c>
      <c r="U19" s="7" t="s">
        <v>15</v>
      </c>
      <c r="V19" s="7" t="s">
        <v>16</v>
      </c>
      <c r="W19" s="7" t="s">
        <v>17</v>
      </c>
      <c r="X19" s="7" t="s">
        <v>18</v>
      </c>
      <c r="Y19" s="7" t="s">
        <v>19</v>
      </c>
      <c r="Z19" s="7" t="s">
        <v>20</v>
      </c>
      <c r="AA19" s="7" t="s">
        <v>21</v>
      </c>
      <c r="AB19" s="7" t="s">
        <v>22</v>
      </c>
      <c r="AC19" s="7" t="s">
        <v>23</v>
      </c>
      <c r="AD19" s="7" t="s">
        <v>24</v>
      </c>
      <c r="AE19" s="7" t="s">
        <v>25</v>
      </c>
      <c r="AF19" s="7" t="s">
        <v>27</v>
      </c>
      <c r="AG19" s="7" t="s">
        <v>28</v>
      </c>
      <c r="AH19" s="7" t="s">
        <v>29</v>
      </c>
      <c r="AI19" s="7" t="s">
        <v>30</v>
      </c>
      <c r="AJ19" s="7" t="s">
        <v>31</v>
      </c>
      <c r="AK19" s="7" t="s">
        <v>32</v>
      </c>
      <c r="AL19" s="7" t="s">
        <v>33</v>
      </c>
      <c r="AM19" s="7" t="s">
        <v>34</v>
      </c>
      <c r="AN19" s="7" t="s">
        <v>35</v>
      </c>
      <c r="AO19" s="7" t="s">
        <v>36</v>
      </c>
      <c r="AP19" s="7" t="s">
        <v>37</v>
      </c>
      <c r="AQ19" s="8" t="s">
        <v>38</v>
      </c>
      <c r="AR19" s="7" t="s">
        <v>95</v>
      </c>
      <c r="AS19" s="7" t="s">
        <v>96</v>
      </c>
      <c r="AT19" s="7" t="s">
        <v>97</v>
      </c>
      <c r="AU19" s="7" t="s">
        <v>98</v>
      </c>
      <c r="AV19" s="7" t="s">
        <v>99</v>
      </c>
      <c r="AW19" s="7" t="s">
        <v>100</v>
      </c>
      <c r="AX19" s="7" t="s">
        <v>101</v>
      </c>
      <c r="AY19" s="7" t="s">
        <v>102</v>
      </c>
      <c r="AZ19" s="7" t="s">
        <v>103</v>
      </c>
      <c r="BA19" s="7" t="s">
        <v>104</v>
      </c>
      <c r="BB19" s="7" t="s">
        <v>105</v>
      </c>
      <c r="BC19" s="8" t="s">
        <v>106</v>
      </c>
    </row>
    <row r="20" spans="2:55" x14ac:dyDescent="0.35">
      <c r="G20" s="1" t="s">
        <v>46</v>
      </c>
      <c r="H20" s="40">
        <f t="shared" ref="H20:W30" si="2">($C3*H3+IF(OR(H$18=6,H$18=12),$C3,0))*(1+$C$19*H$17)</f>
        <v>0</v>
      </c>
      <c r="I20" s="40">
        <f t="shared" si="2"/>
        <v>5940</v>
      </c>
      <c r="J20" s="40">
        <f t="shared" si="2"/>
        <v>5940</v>
      </c>
      <c r="K20" s="40">
        <f t="shared" si="2"/>
        <v>5940</v>
      </c>
      <c r="L20" s="40">
        <f t="shared" si="2"/>
        <v>5940</v>
      </c>
      <c r="M20" s="40">
        <f t="shared" si="2"/>
        <v>7425</v>
      </c>
      <c r="N20" s="40">
        <f t="shared" si="2"/>
        <v>5940</v>
      </c>
      <c r="O20" s="40">
        <f t="shared" si="2"/>
        <v>5940</v>
      </c>
      <c r="P20" s="40">
        <f t="shared" si="2"/>
        <v>4455</v>
      </c>
      <c r="Q20" s="40">
        <f t="shared" si="2"/>
        <v>4455</v>
      </c>
      <c r="R20" s="40">
        <f t="shared" si="2"/>
        <v>4455</v>
      </c>
      <c r="S20" s="40">
        <f t="shared" si="2"/>
        <v>5940</v>
      </c>
      <c r="T20" s="40">
        <f t="shared" si="2"/>
        <v>4677.75</v>
      </c>
      <c r="U20" s="40">
        <f t="shared" si="2"/>
        <v>4677.75</v>
      </c>
      <c r="V20" s="40">
        <f>($C3*V3+IF(OR(V$18=6,V$18=12),$C3,0))*(1+$C$19*V$17)</f>
        <v>4677.75</v>
      </c>
      <c r="W20" s="40">
        <f t="shared" si="2"/>
        <v>4677.75</v>
      </c>
      <c r="X20" s="40">
        <f t="shared" ref="I20:BC25" si="3">($C3*X3+IF(OR(X$18=6,X$18=12),$C3,0))*(1+$C$19*X$17)</f>
        <v>6237</v>
      </c>
      <c r="Y20" s="40">
        <f t="shared" si="3"/>
        <v>7796.25</v>
      </c>
      <c r="Z20" s="40">
        <f t="shared" si="3"/>
        <v>6237</v>
      </c>
      <c r="AA20" s="40">
        <f t="shared" si="3"/>
        <v>6237</v>
      </c>
      <c r="AB20" s="40">
        <f t="shared" si="3"/>
        <v>6237</v>
      </c>
      <c r="AC20" s="40">
        <f t="shared" si="3"/>
        <v>6237</v>
      </c>
      <c r="AD20" s="40">
        <f t="shared" si="3"/>
        <v>6237</v>
      </c>
      <c r="AE20" s="40">
        <f t="shared" si="3"/>
        <v>7796.25</v>
      </c>
      <c r="AF20" s="40">
        <f t="shared" si="3"/>
        <v>6534.0000000000009</v>
      </c>
      <c r="AG20" s="40">
        <f t="shared" si="3"/>
        <v>6534.0000000000009</v>
      </c>
      <c r="AH20" s="40">
        <f t="shared" si="3"/>
        <v>6534.0000000000009</v>
      </c>
      <c r="AI20" s="40">
        <f t="shared" si="3"/>
        <v>6534.0000000000009</v>
      </c>
      <c r="AJ20" s="40">
        <f t="shared" si="3"/>
        <v>6534.0000000000009</v>
      </c>
      <c r="AK20" s="40">
        <f t="shared" si="3"/>
        <v>8167.5000000000009</v>
      </c>
      <c r="AL20" s="40">
        <f t="shared" si="3"/>
        <v>6534.0000000000009</v>
      </c>
      <c r="AM20" s="40">
        <f t="shared" si="3"/>
        <v>6534.0000000000009</v>
      </c>
      <c r="AN20" s="40">
        <f t="shared" si="3"/>
        <v>6534.0000000000009</v>
      </c>
      <c r="AO20" s="40">
        <f t="shared" si="3"/>
        <v>6534.0000000000009</v>
      </c>
      <c r="AP20" s="40">
        <f t="shared" si="3"/>
        <v>6534.0000000000009</v>
      </c>
      <c r="AQ20" s="40">
        <f t="shared" si="3"/>
        <v>8167.5000000000009</v>
      </c>
      <c r="AR20" s="40">
        <f t="shared" si="3"/>
        <v>6830.9999999999991</v>
      </c>
      <c r="AS20" s="40">
        <f t="shared" si="3"/>
        <v>6830.9999999999991</v>
      </c>
      <c r="AT20" s="40">
        <f t="shared" si="3"/>
        <v>6830.9999999999991</v>
      </c>
      <c r="AU20" s="40">
        <f t="shared" si="3"/>
        <v>6830.9999999999991</v>
      </c>
      <c r="AV20" s="40">
        <f t="shared" si="3"/>
        <v>6830.9999999999991</v>
      </c>
      <c r="AW20" s="40">
        <f t="shared" si="3"/>
        <v>8538.75</v>
      </c>
      <c r="AX20" s="40">
        <f t="shared" si="3"/>
        <v>6830.9999999999991</v>
      </c>
      <c r="AY20" s="40">
        <f t="shared" si="3"/>
        <v>6830.9999999999991</v>
      </c>
      <c r="AZ20" s="40">
        <f t="shared" si="3"/>
        <v>6830.9999999999991</v>
      </c>
      <c r="BA20" s="40">
        <f t="shared" si="3"/>
        <v>6830.9999999999991</v>
      </c>
      <c r="BB20" s="40">
        <f t="shared" si="3"/>
        <v>6830.9999999999991</v>
      </c>
      <c r="BC20" s="40">
        <f t="shared" si="3"/>
        <v>8538.75</v>
      </c>
    </row>
    <row r="21" spans="2:55" x14ac:dyDescent="0.35">
      <c r="G21" s="4" t="s">
        <v>47</v>
      </c>
      <c r="H21" s="22">
        <f t="shared" si="2"/>
        <v>0</v>
      </c>
      <c r="I21" s="22">
        <f t="shared" si="3"/>
        <v>7570</v>
      </c>
      <c r="J21" s="22">
        <f t="shared" si="3"/>
        <v>7570</v>
      </c>
      <c r="K21" s="22">
        <f t="shared" si="3"/>
        <v>7570</v>
      </c>
      <c r="L21" s="22">
        <f t="shared" si="3"/>
        <v>7570</v>
      </c>
      <c r="M21" s="22">
        <f t="shared" si="3"/>
        <v>11355</v>
      </c>
      <c r="N21" s="22">
        <f t="shared" si="3"/>
        <v>7570</v>
      </c>
      <c r="O21" s="22">
        <f t="shared" si="3"/>
        <v>7570</v>
      </c>
      <c r="P21" s="22">
        <f t="shared" si="3"/>
        <v>7570</v>
      </c>
      <c r="Q21" s="22">
        <f t="shared" si="3"/>
        <v>7570</v>
      </c>
      <c r="R21" s="22">
        <f t="shared" si="3"/>
        <v>7570</v>
      </c>
      <c r="S21" s="22">
        <f t="shared" si="3"/>
        <v>11355</v>
      </c>
      <c r="T21" s="22">
        <f t="shared" si="3"/>
        <v>7948.5</v>
      </c>
      <c r="U21" s="22">
        <f t="shared" si="3"/>
        <v>7948.5</v>
      </c>
      <c r="V21" s="22">
        <f t="shared" si="3"/>
        <v>7948.5</v>
      </c>
      <c r="W21" s="22">
        <f t="shared" si="3"/>
        <v>7948.5</v>
      </c>
      <c r="X21" s="22">
        <f t="shared" si="3"/>
        <v>7948.5</v>
      </c>
      <c r="Y21" s="22">
        <f t="shared" si="3"/>
        <v>11922.75</v>
      </c>
      <c r="Z21" s="22">
        <f t="shared" si="3"/>
        <v>7948.5</v>
      </c>
      <c r="AA21" s="22">
        <f t="shared" si="3"/>
        <v>7948.5</v>
      </c>
      <c r="AB21" s="22">
        <f t="shared" si="3"/>
        <v>7948.5</v>
      </c>
      <c r="AC21" s="22">
        <f t="shared" si="3"/>
        <v>7948.5</v>
      </c>
      <c r="AD21" s="22">
        <f t="shared" si="3"/>
        <v>7948.5</v>
      </c>
      <c r="AE21" s="22">
        <f t="shared" si="3"/>
        <v>11922.75</v>
      </c>
      <c r="AF21" s="22">
        <f t="shared" si="3"/>
        <v>8327</v>
      </c>
      <c r="AG21" s="22">
        <f t="shared" si="3"/>
        <v>8327</v>
      </c>
      <c r="AH21" s="22">
        <f t="shared" si="3"/>
        <v>8327</v>
      </c>
      <c r="AI21" s="22">
        <f t="shared" si="3"/>
        <v>8327</v>
      </c>
      <c r="AJ21" s="22">
        <f t="shared" si="3"/>
        <v>8327</v>
      </c>
      <c r="AK21" s="22">
        <f t="shared" si="3"/>
        <v>12490.500000000002</v>
      </c>
      <c r="AL21" s="22">
        <f t="shared" si="3"/>
        <v>8327</v>
      </c>
      <c r="AM21" s="22">
        <f t="shared" si="3"/>
        <v>8327</v>
      </c>
      <c r="AN21" s="22">
        <f t="shared" si="3"/>
        <v>8327</v>
      </c>
      <c r="AO21" s="22">
        <f t="shared" si="3"/>
        <v>8327</v>
      </c>
      <c r="AP21" s="22">
        <f t="shared" si="3"/>
        <v>8327</v>
      </c>
      <c r="AQ21" s="22">
        <f t="shared" si="3"/>
        <v>12490.500000000002</v>
      </c>
      <c r="AR21" s="22">
        <f t="shared" si="3"/>
        <v>8705.5</v>
      </c>
      <c r="AS21" s="22">
        <f t="shared" si="3"/>
        <v>8705.5</v>
      </c>
      <c r="AT21" s="22">
        <f t="shared" si="3"/>
        <v>8705.5</v>
      </c>
      <c r="AU21" s="22">
        <f t="shared" si="3"/>
        <v>8705.5</v>
      </c>
      <c r="AV21" s="22">
        <f t="shared" si="3"/>
        <v>8705.5</v>
      </c>
      <c r="AW21" s="22">
        <f t="shared" si="3"/>
        <v>13058.249999999998</v>
      </c>
      <c r="AX21" s="22">
        <f t="shared" si="3"/>
        <v>8705.5</v>
      </c>
      <c r="AY21" s="22">
        <f t="shared" si="3"/>
        <v>8705.5</v>
      </c>
      <c r="AZ21" s="22">
        <f t="shared" si="3"/>
        <v>8705.5</v>
      </c>
      <c r="BA21" s="22">
        <f t="shared" si="3"/>
        <v>8705.5</v>
      </c>
      <c r="BB21" s="22">
        <f t="shared" si="3"/>
        <v>8705.5</v>
      </c>
      <c r="BC21" s="22">
        <f t="shared" si="3"/>
        <v>13058.249999999998</v>
      </c>
    </row>
    <row r="22" spans="2:55" x14ac:dyDescent="0.35">
      <c r="G22" s="4" t="s">
        <v>48</v>
      </c>
      <c r="H22" s="22">
        <f t="shared" si="2"/>
        <v>0</v>
      </c>
      <c r="I22" s="22">
        <f t="shared" si="3"/>
        <v>8442</v>
      </c>
      <c r="J22" s="22">
        <f t="shared" si="3"/>
        <v>8442</v>
      </c>
      <c r="K22" s="22">
        <f t="shared" si="3"/>
        <v>8442</v>
      </c>
      <c r="L22" s="22">
        <f t="shared" si="3"/>
        <v>8442</v>
      </c>
      <c r="M22" s="22">
        <f t="shared" si="3"/>
        <v>9849</v>
      </c>
      <c r="N22" s="22">
        <f t="shared" si="3"/>
        <v>8442</v>
      </c>
      <c r="O22" s="22">
        <f t="shared" si="3"/>
        <v>8442</v>
      </c>
      <c r="P22" s="22">
        <f t="shared" si="3"/>
        <v>7035</v>
      </c>
      <c r="Q22" s="22">
        <f t="shared" si="3"/>
        <v>7035</v>
      </c>
      <c r="R22" s="22">
        <f t="shared" si="3"/>
        <v>7035</v>
      </c>
      <c r="S22" s="22">
        <f t="shared" si="3"/>
        <v>8442</v>
      </c>
      <c r="T22" s="22">
        <f t="shared" si="3"/>
        <v>7386.75</v>
      </c>
      <c r="U22" s="22">
        <f t="shared" si="3"/>
        <v>7386.75</v>
      </c>
      <c r="V22" s="22">
        <f t="shared" si="3"/>
        <v>7386.75</v>
      </c>
      <c r="W22" s="22">
        <f t="shared" si="3"/>
        <v>7386.75</v>
      </c>
      <c r="X22" s="22">
        <f t="shared" si="3"/>
        <v>8864.1</v>
      </c>
      <c r="Y22" s="22">
        <f t="shared" si="3"/>
        <v>10341.450000000001</v>
      </c>
      <c r="Z22" s="22">
        <f t="shared" si="3"/>
        <v>8864.1</v>
      </c>
      <c r="AA22" s="22">
        <f t="shared" si="3"/>
        <v>8864.1</v>
      </c>
      <c r="AB22" s="22">
        <f t="shared" si="3"/>
        <v>8864.1</v>
      </c>
      <c r="AC22" s="22">
        <f t="shared" si="3"/>
        <v>8864.1</v>
      </c>
      <c r="AD22" s="22">
        <f t="shared" si="3"/>
        <v>8864.1</v>
      </c>
      <c r="AE22" s="22">
        <f t="shared" si="3"/>
        <v>10341.450000000001</v>
      </c>
      <c r="AF22" s="22">
        <f t="shared" si="3"/>
        <v>9286.2000000000007</v>
      </c>
      <c r="AG22" s="22">
        <f t="shared" si="3"/>
        <v>9286.2000000000007</v>
      </c>
      <c r="AH22" s="22">
        <f t="shared" si="3"/>
        <v>9286.2000000000007</v>
      </c>
      <c r="AI22" s="22">
        <f t="shared" si="3"/>
        <v>9286.2000000000007</v>
      </c>
      <c r="AJ22" s="22">
        <f t="shared" si="3"/>
        <v>9286.2000000000007</v>
      </c>
      <c r="AK22" s="22">
        <f t="shared" si="3"/>
        <v>10833.900000000001</v>
      </c>
      <c r="AL22" s="22">
        <f t="shared" si="3"/>
        <v>9286.2000000000007</v>
      </c>
      <c r="AM22" s="22">
        <f t="shared" si="3"/>
        <v>9286.2000000000007</v>
      </c>
      <c r="AN22" s="22">
        <f t="shared" si="3"/>
        <v>9286.2000000000007</v>
      </c>
      <c r="AO22" s="22">
        <f t="shared" si="3"/>
        <v>9286.2000000000007</v>
      </c>
      <c r="AP22" s="22">
        <f t="shared" si="3"/>
        <v>9286.2000000000007</v>
      </c>
      <c r="AQ22" s="22">
        <f t="shared" si="3"/>
        <v>10833.900000000001</v>
      </c>
      <c r="AR22" s="22">
        <f t="shared" si="3"/>
        <v>9708.2999999999993</v>
      </c>
      <c r="AS22" s="22">
        <f t="shared" si="3"/>
        <v>9708.2999999999993</v>
      </c>
      <c r="AT22" s="22">
        <f t="shared" si="3"/>
        <v>9708.2999999999993</v>
      </c>
      <c r="AU22" s="22">
        <f t="shared" si="3"/>
        <v>9708.2999999999993</v>
      </c>
      <c r="AV22" s="22">
        <f t="shared" si="3"/>
        <v>9708.2999999999993</v>
      </c>
      <c r="AW22" s="22">
        <f t="shared" si="3"/>
        <v>11326.349999999999</v>
      </c>
      <c r="AX22" s="22">
        <f t="shared" si="3"/>
        <v>9708.2999999999993</v>
      </c>
      <c r="AY22" s="22">
        <f t="shared" si="3"/>
        <v>9708.2999999999993</v>
      </c>
      <c r="AZ22" s="22">
        <f t="shared" si="3"/>
        <v>9708.2999999999993</v>
      </c>
      <c r="BA22" s="22">
        <f t="shared" si="3"/>
        <v>9708.2999999999993</v>
      </c>
      <c r="BB22" s="22">
        <f t="shared" si="3"/>
        <v>9708.2999999999993</v>
      </c>
      <c r="BC22" s="22">
        <f t="shared" si="3"/>
        <v>11326.349999999999</v>
      </c>
    </row>
    <row r="23" spans="2:55" ht="15" thickBot="1" x14ac:dyDescent="0.4">
      <c r="G23" s="6" t="s">
        <v>40</v>
      </c>
      <c r="H23" s="41">
        <f t="shared" si="2"/>
        <v>0</v>
      </c>
      <c r="I23" s="41">
        <f t="shared" si="3"/>
        <v>4446</v>
      </c>
      <c r="J23" s="41">
        <f t="shared" si="3"/>
        <v>4446</v>
      </c>
      <c r="K23" s="41">
        <f t="shared" si="3"/>
        <v>4446</v>
      </c>
      <c r="L23" s="41">
        <f t="shared" si="3"/>
        <v>4446</v>
      </c>
      <c r="M23" s="41">
        <f t="shared" si="3"/>
        <v>1482</v>
      </c>
      <c r="N23" s="41">
        <f t="shared" si="3"/>
        <v>0</v>
      </c>
      <c r="O23" s="41">
        <f t="shared" si="3"/>
        <v>0</v>
      </c>
      <c r="P23" s="41">
        <f t="shared" si="3"/>
        <v>0</v>
      </c>
      <c r="Q23" s="41">
        <f t="shared" si="3"/>
        <v>0</v>
      </c>
      <c r="R23" s="41">
        <f t="shared" si="3"/>
        <v>0</v>
      </c>
      <c r="S23" s="41">
        <f t="shared" si="3"/>
        <v>1482</v>
      </c>
      <c r="T23" s="41">
        <f t="shared" si="3"/>
        <v>0</v>
      </c>
      <c r="U23" s="41">
        <f t="shared" si="3"/>
        <v>0</v>
      </c>
      <c r="V23" s="41">
        <f t="shared" si="3"/>
        <v>0</v>
      </c>
      <c r="W23" s="41">
        <f t="shared" si="3"/>
        <v>0</v>
      </c>
      <c r="X23" s="41">
        <f t="shared" si="3"/>
        <v>0</v>
      </c>
      <c r="Y23" s="41">
        <f t="shared" si="3"/>
        <v>1556.1000000000001</v>
      </c>
      <c r="Z23" s="41">
        <f t="shared" si="3"/>
        <v>0</v>
      </c>
      <c r="AA23" s="41">
        <f t="shared" si="3"/>
        <v>0</v>
      </c>
      <c r="AB23" s="41">
        <f t="shared" si="3"/>
        <v>0</v>
      </c>
      <c r="AC23" s="41">
        <f t="shared" si="3"/>
        <v>0</v>
      </c>
      <c r="AD23" s="41">
        <f t="shared" si="3"/>
        <v>0</v>
      </c>
      <c r="AE23" s="41">
        <f t="shared" si="3"/>
        <v>1556.1000000000001</v>
      </c>
      <c r="AF23" s="41">
        <f t="shared" si="3"/>
        <v>0</v>
      </c>
      <c r="AG23" s="41">
        <f t="shared" si="3"/>
        <v>0</v>
      </c>
      <c r="AH23" s="41">
        <f t="shared" si="3"/>
        <v>0</v>
      </c>
      <c r="AI23" s="41">
        <f t="shared" si="3"/>
        <v>0</v>
      </c>
      <c r="AJ23" s="41">
        <f t="shared" si="3"/>
        <v>0</v>
      </c>
      <c r="AK23" s="41">
        <f t="shared" si="3"/>
        <v>1630.2</v>
      </c>
      <c r="AL23" s="41">
        <f t="shared" si="3"/>
        <v>0</v>
      </c>
      <c r="AM23" s="41">
        <f t="shared" si="3"/>
        <v>0</v>
      </c>
      <c r="AN23" s="41">
        <f t="shared" si="3"/>
        <v>0</v>
      </c>
      <c r="AO23" s="41">
        <f t="shared" si="3"/>
        <v>0</v>
      </c>
      <c r="AP23" s="41">
        <f t="shared" si="3"/>
        <v>0</v>
      </c>
      <c r="AQ23" s="41">
        <f t="shared" si="3"/>
        <v>1630.2</v>
      </c>
      <c r="AR23" s="41">
        <f t="shared" si="3"/>
        <v>0</v>
      </c>
      <c r="AS23" s="41">
        <f t="shared" si="3"/>
        <v>0</v>
      </c>
      <c r="AT23" s="41">
        <f t="shared" si="3"/>
        <v>0</v>
      </c>
      <c r="AU23" s="41">
        <f t="shared" si="3"/>
        <v>0</v>
      </c>
      <c r="AV23" s="41">
        <f t="shared" si="3"/>
        <v>0</v>
      </c>
      <c r="AW23" s="41">
        <f t="shared" si="3"/>
        <v>1704.3</v>
      </c>
      <c r="AX23" s="41">
        <f t="shared" si="3"/>
        <v>0</v>
      </c>
      <c r="AY23" s="41">
        <f t="shared" si="3"/>
        <v>0</v>
      </c>
      <c r="AZ23" s="41">
        <f t="shared" si="3"/>
        <v>0</v>
      </c>
      <c r="BA23" s="41">
        <f t="shared" si="3"/>
        <v>0</v>
      </c>
      <c r="BB23" s="41">
        <f t="shared" si="3"/>
        <v>0</v>
      </c>
      <c r="BC23" s="41">
        <f t="shared" si="3"/>
        <v>1704.3</v>
      </c>
    </row>
    <row r="24" spans="2:55" x14ac:dyDescent="0.35">
      <c r="G24" s="1" t="s">
        <v>64</v>
      </c>
      <c r="H24" s="40">
        <f t="shared" si="2"/>
        <v>0</v>
      </c>
      <c r="I24" s="40">
        <f t="shared" si="3"/>
        <v>0</v>
      </c>
      <c r="J24" s="40">
        <f t="shared" si="3"/>
        <v>0</v>
      </c>
      <c r="K24" s="40">
        <f t="shared" si="3"/>
        <v>0</v>
      </c>
      <c r="L24" s="40">
        <f t="shared" si="3"/>
        <v>0</v>
      </c>
      <c r="M24" s="40">
        <f t="shared" si="3"/>
        <v>3021</v>
      </c>
      <c r="N24" s="40">
        <f t="shared" si="3"/>
        <v>0</v>
      </c>
      <c r="O24" s="40">
        <f t="shared" si="3"/>
        <v>0</v>
      </c>
      <c r="P24" s="40">
        <f t="shared" si="3"/>
        <v>3021</v>
      </c>
      <c r="Q24" s="40">
        <f t="shared" si="3"/>
        <v>3021</v>
      </c>
      <c r="R24" s="40">
        <f t="shared" si="3"/>
        <v>3021</v>
      </c>
      <c r="S24" s="40">
        <f t="shared" si="3"/>
        <v>6042</v>
      </c>
      <c r="T24" s="40">
        <f t="shared" si="3"/>
        <v>3172.05</v>
      </c>
      <c r="U24" s="40">
        <f t="shared" si="3"/>
        <v>3172.05</v>
      </c>
      <c r="V24" s="40">
        <f t="shared" si="3"/>
        <v>3172.05</v>
      </c>
      <c r="W24" s="40">
        <f t="shared" si="3"/>
        <v>3172.05</v>
      </c>
      <c r="X24" s="40">
        <f t="shared" si="3"/>
        <v>3172.05</v>
      </c>
      <c r="Y24" s="40">
        <f t="shared" si="3"/>
        <v>6344.1</v>
      </c>
      <c r="Z24" s="40">
        <f t="shared" si="3"/>
        <v>3172.05</v>
      </c>
      <c r="AA24" s="40">
        <f t="shared" si="3"/>
        <v>3172.05</v>
      </c>
      <c r="AB24" s="40">
        <f t="shared" si="3"/>
        <v>3172.05</v>
      </c>
      <c r="AC24" s="40">
        <f t="shared" si="3"/>
        <v>3172.05</v>
      </c>
      <c r="AD24" s="40">
        <f t="shared" si="3"/>
        <v>3172.05</v>
      </c>
      <c r="AE24" s="40">
        <f t="shared" si="3"/>
        <v>6344.1</v>
      </c>
      <c r="AF24" s="40">
        <f t="shared" si="3"/>
        <v>3323.1000000000004</v>
      </c>
      <c r="AG24" s="40">
        <f t="shared" si="3"/>
        <v>3323.1000000000004</v>
      </c>
      <c r="AH24" s="40">
        <f t="shared" si="3"/>
        <v>3323.1000000000004</v>
      </c>
      <c r="AI24" s="40">
        <f t="shared" si="3"/>
        <v>3323.1000000000004</v>
      </c>
      <c r="AJ24" s="40">
        <f t="shared" si="3"/>
        <v>3323.1000000000004</v>
      </c>
      <c r="AK24" s="40">
        <f t="shared" si="3"/>
        <v>6646.2000000000007</v>
      </c>
      <c r="AL24" s="40">
        <f t="shared" si="3"/>
        <v>3323.1000000000004</v>
      </c>
      <c r="AM24" s="40">
        <f t="shared" si="3"/>
        <v>3323.1000000000004</v>
      </c>
      <c r="AN24" s="40">
        <f t="shared" si="3"/>
        <v>3323.1000000000004</v>
      </c>
      <c r="AO24" s="40">
        <f t="shared" si="3"/>
        <v>3323.1000000000004</v>
      </c>
      <c r="AP24" s="40">
        <f t="shared" si="3"/>
        <v>3323.1000000000004</v>
      </c>
      <c r="AQ24" s="40">
        <f t="shared" si="3"/>
        <v>6646.2000000000007</v>
      </c>
      <c r="AR24" s="40">
        <f t="shared" si="3"/>
        <v>3474.1499999999996</v>
      </c>
      <c r="AS24" s="40">
        <f t="shared" si="3"/>
        <v>3474.1499999999996</v>
      </c>
      <c r="AT24" s="40">
        <f t="shared" si="3"/>
        <v>3474.1499999999996</v>
      </c>
      <c r="AU24" s="40">
        <f t="shared" si="3"/>
        <v>3474.1499999999996</v>
      </c>
      <c r="AV24" s="40">
        <f t="shared" si="3"/>
        <v>3474.1499999999996</v>
      </c>
      <c r="AW24" s="40">
        <f t="shared" si="3"/>
        <v>6948.2999999999993</v>
      </c>
      <c r="AX24" s="40">
        <f t="shared" si="3"/>
        <v>3474.1499999999996</v>
      </c>
      <c r="AY24" s="40">
        <f t="shared" si="3"/>
        <v>3474.1499999999996</v>
      </c>
      <c r="AZ24" s="40">
        <f t="shared" si="3"/>
        <v>3474.1499999999996</v>
      </c>
      <c r="BA24" s="40">
        <f t="shared" si="3"/>
        <v>3474.1499999999996</v>
      </c>
      <c r="BB24" s="40">
        <f t="shared" si="3"/>
        <v>3474.1499999999996</v>
      </c>
      <c r="BC24" s="40">
        <f t="shared" si="3"/>
        <v>6948.2999999999993</v>
      </c>
    </row>
    <row r="25" spans="2:55" x14ac:dyDescent="0.35">
      <c r="G25" s="4" t="s">
        <v>58</v>
      </c>
      <c r="H25" s="22">
        <f t="shared" si="2"/>
        <v>0</v>
      </c>
      <c r="I25" s="22">
        <f t="shared" si="3"/>
        <v>0</v>
      </c>
      <c r="J25" s="22">
        <f t="shared" si="3"/>
        <v>0</v>
      </c>
      <c r="K25" s="22">
        <f t="shared" si="3"/>
        <v>0</v>
      </c>
      <c r="L25" s="22">
        <f t="shared" si="3"/>
        <v>0</v>
      </c>
      <c r="M25" s="22">
        <f t="shared" si="3"/>
        <v>3471</v>
      </c>
      <c r="N25" s="22">
        <f t="shared" si="3"/>
        <v>2314</v>
      </c>
      <c r="O25" s="22">
        <f t="shared" si="3"/>
        <v>2314</v>
      </c>
      <c r="P25" s="22">
        <f t="shared" si="3"/>
        <v>3471</v>
      </c>
      <c r="Q25" s="22">
        <f t="shared" si="3"/>
        <v>3471</v>
      </c>
      <c r="R25" s="22">
        <f t="shared" si="3"/>
        <v>3471</v>
      </c>
      <c r="S25" s="22">
        <f t="shared" si="3"/>
        <v>4628</v>
      </c>
      <c r="T25" s="22">
        <f t="shared" si="3"/>
        <v>6074.25</v>
      </c>
      <c r="U25" s="22">
        <f t="shared" si="3"/>
        <v>6074.25</v>
      </c>
      <c r="V25" s="22">
        <f t="shared" si="3"/>
        <v>6074.25</v>
      </c>
      <c r="W25" s="22">
        <f t="shared" si="3"/>
        <v>6074.25</v>
      </c>
      <c r="X25" s="22">
        <f t="shared" si="3"/>
        <v>6074.25</v>
      </c>
      <c r="Y25" s="22">
        <f t="shared" si="3"/>
        <v>7289.1</v>
      </c>
      <c r="Z25" s="22">
        <f t="shared" si="3"/>
        <v>6074.25</v>
      </c>
      <c r="AA25" s="22">
        <f t="shared" si="3"/>
        <v>6074.25</v>
      </c>
      <c r="AB25" s="22">
        <f t="shared" si="3"/>
        <v>6074.25</v>
      </c>
      <c r="AC25" s="22">
        <f t="shared" si="3"/>
        <v>6074.25</v>
      </c>
      <c r="AD25" s="22">
        <f t="shared" si="3"/>
        <v>6074.25</v>
      </c>
      <c r="AE25" s="22">
        <f t="shared" si="3"/>
        <v>7289.1</v>
      </c>
      <c r="AF25" s="22">
        <f t="shared" si="3"/>
        <v>6363.5000000000009</v>
      </c>
      <c r="AG25" s="22">
        <f t="shared" si="3"/>
        <v>6363.5000000000009</v>
      </c>
      <c r="AH25" s="22">
        <f t="shared" si="3"/>
        <v>6363.5000000000009</v>
      </c>
      <c r="AI25" s="22">
        <f t="shared" si="3"/>
        <v>6363.5000000000009</v>
      </c>
      <c r="AJ25" s="22">
        <f t="shared" si="3"/>
        <v>6363.5000000000009</v>
      </c>
      <c r="AK25" s="22">
        <f t="shared" si="3"/>
        <v>7636.2000000000007</v>
      </c>
      <c r="AL25" s="22">
        <f t="shared" si="3"/>
        <v>6363.5000000000009</v>
      </c>
      <c r="AM25" s="22">
        <f t="shared" si="3"/>
        <v>6363.5000000000009</v>
      </c>
      <c r="AN25" s="22">
        <f t="shared" si="3"/>
        <v>6363.5000000000009</v>
      </c>
      <c r="AO25" s="22">
        <f t="shared" si="3"/>
        <v>6363.5000000000009</v>
      </c>
      <c r="AP25" s="22">
        <f t="shared" si="3"/>
        <v>6363.5000000000009</v>
      </c>
      <c r="AQ25" s="22">
        <f t="shared" si="3"/>
        <v>7636.2000000000007</v>
      </c>
      <c r="AR25" s="22">
        <f t="shared" ref="I25:BC30" si="4">($C8*AR8+IF(OR(AR$18=6,AR$18=12),$C8,0))*(1+$C$19*AR$17)</f>
        <v>6652.7499999999991</v>
      </c>
      <c r="AS25" s="22">
        <f t="shared" si="4"/>
        <v>6652.7499999999991</v>
      </c>
      <c r="AT25" s="22">
        <f t="shared" si="4"/>
        <v>6652.7499999999991</v>
      </c>
      <c r="AU25" s="22">
        <f t="shared" si="4"/>
        <v>6652.7499999999991</v>
      </c>
      <c r="AV25" s="22">
        <f t="shared" si="4"/>
        <v>6652.7499999999991</v>
      </c>
      <c r="AW25" s="22">
        <f t="shared" si="4"/>
        <v>7983.2999999999993</v>
      </c>
      <c r="AX25" s="22">
        <f t="shared" si="4"/>
        <v>6652.7499999999991</v>
      </c>
      <c r="AY25" s="22">
        <f t="shared" si="4"/>
        <v>6652.7499999999991</v>
      </c>
      <c r="AZ25" s="22">
        <f t="shared" si="4"/>
        <v>6652.7499999999991</v>
      </c>
      <c r="BA25" s="22">
        <f t="shared" si="4"/>
        <v>6652.7499999999991</v>
      </c>
      <c r="BB25" s="22">
        <f t="shared" si="4"/>
        <v>6652.7499999999991</v>
      </c>
      <c r="BC25" s="22">
        <f t="shared" si="4"/>
        <v>7983.2999999999993</v>
      </c>
    </row>
    <row r="26" spans="2:55" ht="15" thickBot="1" x14ac:dyDescent="0.4">
      <c r="G26" s="6" t="s">
        <v>59</v>
      </c>
      <c r="H26" s="41">
        <f t="shared" si="2"/>
        <v>0</v>
      </c>
      <c r="I26" s="41">
        <f t="shared" si="4"/>
        <v>0</v>
      </c>
      <c r="J26" s="41">
        <f t="shared" si="4"/>
        <v>0</v>
      </c>
      <c r="K26" s="41">
        <f t="shared" si="4"/>
        <v>0</v>
      </c>
      <c r="L26" s="41">
        <f t="shared" si="4"/>
        <v>0</v>
      </c>
      <c r="M26" s="41">
        <f t="shared" si="4"/>
        <v>4666</v>
      </c>
      <c r="N26" s="41">
        <f t="shared" si="4"/>
        <v>2333</v>
      </c>
      <c r="O26" s="41">
        <f t="shared" si="4"/>
        <v>2333</v>
      </c>
      <c r="P26" s="41">
        <f t="shared" si="4"/>
        <v>2333</v>
      </c>
      <c r="Q26" s="41">
        <f t="shared" si="4"/>
        <v>2333</v>
      </c>
      <c r="R26" s="41">
        <f t="shared" si="4"/>
        <v>2333</v>
      </c>
      <c r="S26" s="41">
        <f t="shared" si="4"/>
        <v>4666</v>
      </c>
      <c r="T26" s="41">
        <f t="shared" si="4"/>
        <v>2449.65</v>
      </c>
      <c r="U26" s="41">
        <f t="shared" si="4"/>
        <v>2449.65</v>
      </c>
      <c r="V26" s="41">
        <f t="shared" si="4"/>
        <v>2449.65</v>
      </c>
      <c r="W26" s="41">
        <f t="shared" si="4"/>
        <v>2449.65</v>
      </c>
      <c r="X26" s="41">
        <f t="shared" si="4"/>
        <v>2449.65</v>
      </c>
      <c r="Y26" s="41">
        <f t="shared" si="4"/>
        <v>4899.3</v>
      </c>
      <c r="Z26" s="41">
        <f t="shared" si="4"/>
        <v>2449.65</v>
      </c>
      <c r="AA26" s="41">
        <f t="shared" si="4"/>
        <v>2449.65</v>
      </c>
      <c r="AB26" s="41">
        <f t="shared" si="4"/>
        <v>2449.65</v>
      </c>
      <c r="AC26" s="41">
        <f t="shared" si="4"/>
        <v>2449.65</v>
      </c>
      <c r="AD26" s="41">
        <f t="shared" si="4"/>
        <v>2449.65</v>
      </c>
      <c r="AE26" s="41">
        <f t="shared" si="4"/>
        <v>4899.3</v>
      </c>
      <c r="AF26" s="41">
        <f t="shared" si="4"/>
        <v>2566.3000000000002</v>
      </c>
      <c r="AG26" s="41">
        <f t="shared" si="4"/>
        <v>2566.3000000000002</v>
      </c>
      <c r="AH26" s="41">
        <f t="shared" si="4"/>
        <v>2566.3000000000002</v>
      </c>
      <c r="AI26" s="41">
        <f t="shared" si="4"/>
        <v>2566.3000000000002</v>
      </c>
      <c r="AJ26" s="41">
        <f t="shared" si="4"/>
        <v>2566.3000000000002</v>
      </c>
      <c r="AK26" s="41">
        <f t="shared" si="4"/>
        <v>5132.6000000000004</v>
      </c>
      <c r="AL26" s="41">
        <f t="shared" si="4"/>
        <v>2566.3000000000002</v>
      </c>
      <c r="AM26" s="41">
        <f t="shared" si="4"/>
        <v>2566.3000000000002</v>
      </c>
      <c r="AN26" s="41">
        <f t="shared" si="4"/>
        <v>2566.3000000000002</v>
      </c>
      <c r="AO26" s="41">
        <f t="shared" si="4"/>
        <v>2566.3000000000002</v>
      </c>
      <c r="AP26" s="41">
        <f t="shared" si="4"/>
        <v>2566.3000000000002</v>
      </c>
      <c r="AQ26" s="41">
        <f t="shared" si="4"/>
        <v>5132.6000000000004</v>
      </c>
      <c r="AR26" s="41">
        <f t="shared" si="4"/>
        <v>2682.95</v>
      </c>
      <c r="AS26" s="41">
        <f t="shared" si="4"/>
        <v>2682.95</v>
      </c>
      <c r="AT26" s="41">
        <f t="shared" si="4"/>
        <v>2682.95</v>
      </c>
      <c r="AU26" s="41">
        <f t="shared" si="4"/>
        <v>2682.95</v>
      </c>
      <c r="AV26" s="41">
        <f t="shared" si="4"/>
        <v>2682.95</v>
      </c>
      <c r="AW26" s="41">
        <f t="shared" si="4"/>
        <v>5365.9</v>
      </c>
      <c r="AX26" s="41">
        <f t="shared" si="4"/>
        <v>2682.95</v>
      </c>
      <c r="AY26" s="41">
        <f t="shared" si="4"/>
        <v>2682.95</v>
      </c>
      <c r="AZ26" s="41">
        <f t="shared" si="4"/>
        <v>2682.95</v>
      </c>
      <c r="BA26" s="41">
        <f t="shared" si="4"/>
        <v>2682.95</v>
      </c>
      <c r="BB26" s="41">
        <f t="shared" si="4"/>
        <v>2682.95</v>
      </c>
      <c r="BC26" s="41">
        <f t="shared" si="4"/>
        <v>5365.9</v>
      </c>
    </row>
    <row r="27" spans="2:55" x14ac:dyDescent="0.35">
      <c r="G27" s="1" t="s">
        <v>60</v>
      </c>
      <c r="H27" s="40">
        <f t="shared" si="2"/>
        <v>0</v>
      </c>
      <c r="I27" s="40">
        <f t="shared" si="4"/>
        <v>0</v>
      </c>
      <c r="J27" s="40">
        <f t="shared" si="4"/>
        <v>0</v>
      </c>
      <c r="K27" s="40">
        <f t="shared" si="4"/>
        <v>3107</v>
      </c>
      <c r="L27" s="40">
        <f t="shared" si="4"/>
        <v>3107</v>
      </c>
      <c r="M27" s="40">
        <f t="shared" si="4"/>
        <v>6214</v>
      </c>
      <c r="N27" s="40">
        <f t="shared" si="4"/>
        <v>3107</v>
      </c>
      <c r="O27" s="40">
        <f t="shared" si="4"/>
        <v>3107</v>
      </c>
      <c r="P27" s="40">
        <f t="shared" si="4"/>
        <v>3107</v>
      </c>
      <c r="Q27" s="40">
        <f t="shared" si="4"/>
        <v>3107</v>
      </c>
      <c r="R27" s="40">
        <f t="shared" si="4"/>
        <v>3107</v>
      </c>
      <c r="S27" s="40">
        <f t="shared" si="4"/>
        <v>6214</v>
      </c>
      <c r="T27" s="40">
        <f t="shared" si="4"/>
        <v>3262.3500000000004</v>
      </c>
      <c r="U27" s="40">
        <f t="shared" si="4"/>
        <v>3262.3500000000004</v>
      </c>
      <c r="V27" s="40">
        <f t="shared" si="4"/>
        <v>3262.3500000000004</v>
      </c>
      <c r="W27" s="40">
        <f t="shared" si="4"/>
        <v>3262.3500000000004</v>
      </c>
      <c r="X27" s="40">
        <f t="shared" si="4"/>
        <v>3262.3500000000004</v>
      </c>
      <c r="Y27" s="40">
        <f t="shared" si="4"/>
        <v>6524.7000000000007</v>
      </c>
      <c r="Z27" s="40">
        <f t="shared" si="4"/>
        <v>3262.3500000000004</v>
      </c>
      <c r="AA27" s="40">
        <f t="shared" si="4"/>
        <v>3262.3500000000004</v>
      </c>
      <c r="AB27" s="40">
        <f t="shared" si="4"/>
        <v>3262.3500000000004</v>
      </c>
      <c r="AC27" s="40">
        <f t="shared" si="4"/>
        <v>3262.3500000000004</v>
      </c>
      <c r="AD27" s="40">
        <f t="shared" si="4"/>
        <v>3262.3500000000004</v>
      </c>
      <c r="AE27" s="40">
        <f t="shared" si="4"/>
        <v>6524.7000000000007</v>
      </c>
      <c r="AF27" s="40">
        <f t="shared" si="4"/>
        <v>3417.7000000000003</v>
      </c>
      <c r="AG27" s="40">
        <f t="shared" si="4"/>
        <v>3417.7000000000003</v>
      </c>
      <c r="AH27" s="40">
        <f t="shared" si="4"/>
        <v>3417.7000000000003</v>
      </c>
      <c r="AI27" s="40">
        <f t="shared" si="4"/>
        <v>3417.7000000000003</v>
      </c>
      <c r="AJ27" s="40">
        <f t="shared" si="4"/>
        <v>3417.7000000000003</v>
      </c>
      <c r="AK27" s="40">
        <f t="shared" si="4"/>
        <v>6835.4000000000005</v>
      </c>
      <c r="AL27" s="40">
        <f t="shared" si="4"/>
        <v>3417.7000000000003</v>
      </c>
      <c r="AM27" s="40">
        <f t="shared" si="4"/>
        <v>3417.7000000000003</v>
      </c>
      <c r="AN27" s="40">
        <f t="shared" si="4"/>
        <v>3417.7000000000003</v>
      </c>
      <c r="AO27" s="40">
        <f t="shared" si="4"/>
        <v>3417.7000000000003</v>
      </c>
      <c r="AP27" s="40">
        <f t="shared" si="4"/>
        <v>3417.7000000000003</v>
      </c>
      <c r="AQ27" s="40">
        <f t="shared" si="4"/>
        <v>6835.4000000000005</v>
      </c>
      <c r="AR27" s="40">
        <f t="shared" si="4"/>
        <v>3573.0499999999997</v>
      </c>
      <c r="AS27" s="40">
        <f t="shared" si="4"/>
        <v>3573.0499999999997</v>
      </c>
      <c r="AT27" s="40">
        <f t="shared" si="4"/>
        <v>3573.0499999999997</v>
      </c>
      <c r="AU27" s="40">
        <f t="shared" si="4"/>
        <v>3573.0499999999997</v>
      </c>
      <c r="AV27" s="40">
        <f t="shared" si="4"/>
        <v>3573.0499999999997</v>
      </c>
      <c r="AW27" s="40">
        <f t="shared" si="4"/>
        <v>7146.0999999999995</v>
      </c>
      <c r="AX27" s="40">
        <f t="shared" si="4"/>
        <v>3573.0499999999997</v>
      </c>
      <c r="AY27" s="40">
        <f t="shared" si="4"/>
        <v>3573.0499999999997</v>
      </c>
      <c r="AZ27" s="40">
        <f t="shared" si="4"/>
        <v>3573.0499999999997</v>
      </c>
      <c r="BA27" s="40">
        <f t="shared" si="4"/>
        <v>3573.0499999999997</v>
      </c>
      <c r="BB27" s="40">
        <f t="shared" si="4"/>
        <v>3573.0499999999997</v>
      </c>
      <c r="BC27" s="40">
        <f t="shared" si="4"/>
        <v>7146.0999999999995</v>
      </c>
    </row>
    <row r="28" spans="2:55" x14ac:dyDescent="0.35">
      <c r="G28" s="4" t="s">
        <v>61</v>
      </c>
      <c r="H28" s="22">
        <f t="shared" si="2"/>
        <v>0</v>
      </c>
      <c r="I28" s="22">
        <f t="shared" si="4"/>
        <v>1710</v>
      </c>
      <c r="J28" s="22">
        <f t="shared" si="4"/>
        <v>1710</v>
      </c>
      <c r="K28" s="22">
        <f t="shared" si="4"/>
        <v>1710</v>
      </c>
      <c r="L28" s="22">
        <f t="shared" si="4"/>
        <v>1710</v>
      </c>
      <c r="M28" s="22">
        <f t="shared" si="4"/>
        <v>3420</v>
      </c>
      <c r="N28" s="22">
        <f t="shared" si="4"/>
        <v>1710</v>
      </c>
      <c r="O28" s="22">
        <f t="shared" si="4"/>
        <v>1710</v>
      </c>
      <c r="P28" s="22">
        <f t="shared" si="4"/>
        <v>3420</v>
      </c>
      <c r="Q28" s="22">
        <f t="shared" si="4"/>
        <v>3420</v>
      </c>
      <c r="R28" s="22">
        <f t="shared" si="4"/>
        <v>3420</v>
      </c>
      <c r="S28" s="22">
        <f t="shared" si="4"/>
        <v>5130</v>
      </c>
      <c r="T28" s="22">
        <f t="shared" si="4"/>
        <v>3591</v>
      </c>
      <c r="U28" s="22">
        <f t="shared" si="4"/>
        <v>3591</v>
      </c>
      <c r="V28" s="22">
        <f t="shared" si="4"/>
        <v>3591</v>
      </c>
      <c r="W28" s="22">
        <f t="shared" si="4"/>
        <v>3591</v>
      </c>
      <c r="X28" s="22">
        <f t="shared" si="4"/>
        <v>3591</v>
      </c>
      <c r="Y28" s="22">
        <f t="shared" si="4"/>
        <v>5386.5</v>
      </c>
      <c r="Z28" s="22">
        <f t="shared" si="4"/>
        <v>3591</v>
      </c>
      <c r="AA28" s="22">
        <f t="shared" si="4"/>
        <v>3591</v>
      </c>
      <c r="AB28" s="22">
        <f t="shared" si="4"/>
        <v>3591</v>
      </c>
      <c r="AC28" s="22">
        <f t="shared" si="4"/>
        <v>3591</v>
      </c>
      <c r="AD28" s="22">
        <f t="shared" si="4"/>
        <v>3591</v>
      </c>
      <c r="AE28" s="22">
        <f t="shared" si="4"/>
        <v>5386.5</v>
      </c>
      <c r="AF28" s="22">
        <f t="shared" si="4"/>
        <v>3762.0000000000005</v>
      </c>
      <c r="AG28" s="22">
        <f t="shared" si="4"/>
        <v>3762.0000000000005</v>
      </c>
      <c r="AH28" s="22">
        <f t="shared" si="4"/>
        <v>3762.0000000000005</v>
      </c>
      <c r="AI28" s="22">
        <f t="shared" si="4"/>
        <v>3762.0000000000005</v>
      </c>
      <c r="AJ28" s="22">
        <f t="shared" si="4"/>
        <v>3762.0000000000005</v>
      </c>
      <c r="AK28" s="22">
        <f t="shared" si="4"/>
        <v>5643.0000000000009</v>
      </c>
      <c r="AL28" s="22">
        <f t="shared" si="4"/>
        <v>3762.0000000000005</v>
      </c>
      <c r="AM28" s="22">
        <f t="shared" si="4"/>
        <v>3762.0000000000005</v>
      </c>
      <c r="AN28" s="22">
        <f t="shared" si="4"/>
        <v>3762.0000000000005</v>
      </c>
      <c r="AO28" s="22">
        <f t="shared" si="4"/>
        <v>3762.0000000000005</v>
      </c>
      <c r="AP28" s="22">
        <f t="shared" si="4"/>
        <v>3762.0000000000005</v>
      </c>
      <c r="AQ28" s="22">
        <f t="shared" si="4"/>
        <v>5643.0000000000009</v>
      </c>
      <c r="AR28" s="22">
        <f t="shared" si="4"/>
        <v>3932.9999999999995</v>
      </c>
      <c r="AS28" s="22">
        <f t="shared" si="4"/>
        <v>3932.9999999999995</v>
      </c>
      <c r="AT28" s="22">
        <f t="shared" si="4"/>
        <v>3932.9999999999995</v>
      </c>
      <c r="AU28" s="22">
        <f t="shared" si="4"/>
        <v>3932.9999999999995</v>
      </c>
      <c r="AV28" s="22">
        <f t="shared" si="4"/>
        <v>3932.9999999999995</v>
      </c>
      <c r="AW28" s="22">
        <f t="shared" si="4"/>
        <v>5899.4999999999991</v>
      </c>
      <c r="AX28" s="22">
        <f t="shared" si="4"/>
        <v>3932.9999999999995</v>
      </c>
      <c r="AY28" s="22">
        <f t="shared" si="4"/>
        <v>3932.9999999999995</v>
      </c>
      <c r="AZ28" s="22">
        <f t="shared" si="4"/>
        <v>3932.9999999999995</v>
      </c>
      <c r="BA28" s="22">
        <f t="shared" si="4"/>
        <v>3932.9999999999995</v>
      </c>
      <c r="BB28" s="22">
        <f t="shared" si="4"/>
        <v>3932.9999999999995</v>
      </c>
      <c r="BC28" s="22">
        <f t="shared" si="4"/>
        <v>5899.4999999999991</v>
      </c>
    </row>
    <row r="29" spans="2:55" x14ac:dyDescent="0.35">
      <c r="G29" s="4" t="s">
        <v>62</v>
      </c>
      <c r="H29" s="22">
        <f t="shared" si="2"/>
        <v>3651</v>
      </c>
      <c r="I29" s="22">
        <f t="shared" si="4"/>
        <v>3651</v>
      </c>
      <c r="J29" s="22">
        <f t="shared" si="4"/>
        <v>3651</v>
      </c>
      <c r="K29" s="22">
        <f t="shared" si="4"/>
        <v>3651</v>
      </c>
      <c r="L29" s="22">
        <f t="shared" si="4"/>
        <v>3651</v>
      </c>
      <c r="M29" s="22">
        <f t="shared" si="4"/>
        <v>4868</v>
      </c>
      <c r="N29" s="22">
        <f t="shared" si="4"/>
        <v>3651</v>
      </c>
      <c r="O29" s="22">
        <f t="shared" si="4"/>
        <v>3651</v>
      </c>
      <c r="P29" s="22">
        <f t="shared" si="4"/>
        <v>3651</v>
      </c>
      <c r="Q29" s="22">
        <f t="shared" si="4"/>
        <v>3651</v>
      </c>
      <c r="R29" s="22">
        <f t="shared" si="4"/>
        <v>3651</v>
      </c>
      <c r="S29" s="22">
        <f t="shared" si="4"/>
        <v>4868</v>
      </c>
      <c r="T29" s="22">
        <f t="shared" si="4"/>
        <v>3833.55</v>
      </c>
      <c r="U29" s="22">
        <f t="shared" si="4"/>
        <v>3833.55</v>
      </c>
      <c r="V29" s="22">
        <f t="shared" si="4"/>
        <v>3833.55</v>
      </c>
      <c r="W29" s="22">
        <f t="shared" si="4"/>
        <v>3833.55</v>
      </c>
      <c r="X29" s="22">
        <f t="shared" si="4"/>
        <v>3833.55</v>
      </c>
      <c r="Y29" s="22">
        <f t="shared" si="4"/>
        <v>5111.4000000000005</v>
      </c>
      <c r="Z29" s="22">
        <f t="shared" si="4"/>
        <v>3833.55</v>
      </c>
      <c r="AA29" s="22">
        <f t="shared" si="4"/>
        <v>3833.55</v>
      </c>
      <c r="AB29" s="22">
        <f t="shared" si="4"/>
        <v>3833.55</v>
      </c>
      <c r="AC29" s="22">
        <f t="shared" si="4"/>
        <v>3833.55</v>
      </c>
      <c r="AD29" s="22">
        <f t="shared" si="4"/>
        <v>3833.55</v>
      </c>
      <c r="AE29" s="22">
        <f t="shared" si="4"/>
        <v>5111.4000000000005</v>
      </c>
      <c r="AF29" s="22">
        <f t="shared" si="4"/>
        <v>4016.1000000000004</v>
      </c>
      <c r="AG29" s="22">
        <f t="shared" si="4"/>
        <v>4016.1000000000004</v>
      </c>
      <c r="AH29" s="22">
        <f t="shared" si="4"/>
        <v>4016.1000000000004</v>
      </c>
      <c r="AI29" s="22">
        <f t="shared" si="4"/>
        <v>4016.1000000000004</v>
      </c>
      <c r="AJ29" s="22">
        <f t="shared" si="4"/>
        <v>4016.1000000000004</v>
      </c>
      <c r="AK29" s="22">
        <f t="shared" si="4"/>
        <v>5354.8</v>
      </c>
      <c r="AL29" s="22">
        <f t="shared" si="4"/>
        <v>4016.1000000000004</v>
      </c>
      <c r="AM29" s="22">
        <f t="shared" si="4"/>
        <v>4016.1000000000004</v>
      </c>
      <c r="AN29" s="22">
        <f t="shared" si="4"/>
        <v>4016.1000000000004</v>
      </c>
      <c r="AO29" s="22">
        <f t="shared" si="4"/>
        <v>4016.1000000000004</v>
      </c>
      <c r="AP29" s="22">
        <f t="shared" si="4"/>
        <v>4016.1000000000004</v>
      </c>
      <c r="AQ29" s="22">
        <f t="shared" si="4"/>
        <v>5354.8</v>
      </c>
      <c r="AR29" s="22">
        <f t="shared" si="4"/>
        <v>4198.6499999999996</v>
      </c>
      <c r="AS29" s="22">
        <f t="shared" si="4"/>
        <v>4198.6499999999996</v>
      </c>
      <c r="AT29" s="22">
        <f t="shared" si="4"/>
        <v>4198.6499999999996</v>
      </c>
      <c r="AU29" s="22">
        <f t="shared" si="4"/>
        <v>4198.6499999999996</v>
      </c>
      <c r="AV29" s="22">
        <f t="shared" si="4"/>
        <v>4198.6499999999996</v>
      </c>
      <c r="AW29" s="22">
        <f t="shared" si="4"/>
        <v>5598.2</v>
      </c>
      <c r="AX29" s="22">
        <f t="shared" si="4"/>
        <v>4198.6499999999996</v>
      </c>
      <c r="AY29" s="22">
        <f t="shared" si="4"/>
        <v>4198.6499999999996</v>
      </c>
      <c r="AZ29" s="22">
        <f t="shared" si="4"/>
        <v>4198.6499999999996</v>
      </c>
      <c r="BA29" s="22">
        <f t="shared" si="4"/>
        <v>4198.6499999999996</v>
      </c>
      <c r="BB29" s="22">
        <f t="shared" si="4"/>
        <v>4198.6499999999996</v>
      </c>
      <c r="BC29" s="22">
        <f t="shared" si="4"/>
        <v>5598.2</v>
      </c>
    </row>
    <row r="30" spans="2:55" ht="15" thickBot="1" x14ac:dyDescent="0.4">
      <c r="G30" s="6" t="s">
        <v>63</v>
      </c>
      <c r="H30" s="41">
        <f t="shared" si="2"/>
        <v>1442</v>
      </c>
      <c r="I30" s="41">
        <f t="shared" si="4"/>
        <v>1442</v>
      </c>
      <c r="J30" s="41">
        <f t="shared" si="4"/>
        <v>1442</v>
      </c>
      <c r="K30" s="41">
        <f t="shared" si="4"/>
        <v>1442</v>
      </c>
      <c r="L30" s="41">
        <f t="shared" si="4"/>
        <v>1442</v>
      </c>
      <c r="M30" s="41">
        <f t="shared" si="4"/>
        <v>2884</v>
      </c>
      <c r="N30" s="41">
        <f t="shared" si="4"/>
        <v>1442</v>
      </c>
      <c r="O30" s="41">
        <f t="shared" si="4"/>
        <v>1442</v>
      </c>
      <c r="P30" s="41">
        <f t="shared" si="4"/>
        <v>2884</v>
      </c>
      <c r="Q30" s="41">
        <f t="shared" si="4"/>
        <v>2884</v>
      </c>
      <c r="R30" s="41">
        <f t="shared" si="4"/>
        <v>2884</v>
      </c>
      <c r="S30" s="41">
        <f t="shared" si="4"/>
        <v>4326</v>
      </c>
      <c r="T30" s="41">
        <f t="shared" si="4"/>
        <v>3028.2000000000003</v>
      </c>
      <c r="U30" s="41">
        <f t="shared" si="4"/>
        <v>3028.2000000000003</v>
      </c>
      <c r="V30" s="41">
        <f t="shared" si="4"/>
        <v>3028.2000000000003</v>
      </c>
      <c r="W30" s="41">
        <f t="shared" si="4"/>
        <v>3028.2000000000003</v>
      </c>
      <c r="X30" s="41">
        <f t="shared" si="4"/>
        <v>3028.2000000000003</v>
      </c>
      <c r="Y30" s="41">
        <f t="shared" si="4"/>
        <v>4542.3</v>
      </c>
      <c r="Z30" s="41">
        <f t="shared" si="4"/>
        <v>3028.2000000000003</v>
      </c>
      <c r="AA30" s="41">
        <f t="shared" si="4"/>
        <v>3028.2000000000003</v>
      </c>
      <c r="AB30" s="41">
        <f t="shared" si="4"/>
        <v>3028.2000000000003</v>
      </c>
      <c r="AC30" s="41">
        <f t="shared" si="4"/>
        <v>3028.2000000000003</v>
      </c>
      <c r="AD30" s="41">
        <f t="shared" si="4"/>
        <v>3028.2000000000003</v>
      </c>
      <c r="AE30" s="41">
        <f t="shared" si="4"/>
        <v>4542.3</v>
      </c>
      <c r="AF30" s="41">
        <f t="shared" si="4"/>
        <v>3172.4</v>
      </c>
      <c r="AG30" s="41">
        <f t="shared" si="4"/>
        <v>3172.4</v>
      </c>
      <c r="AH30" s="41">
        <f t="shared" si="4"/>
        <v>3172.4</v>
      </c>
      <c r="AI30" s="41">
        <f t="shared" si="4"/>
        <v>3172.4</v>
      </c>
      <c r="AJ30" s="41">
        <f t="shared" si="4"/>
        <v>3172.4</v>
      </c>
      <c r="AK30" s="41">
        <f t="shared" si="4"/>
        <v>4758.6000000000004</v>
      </c>
      <c r="AL30" s="41">
        <f t="shared" si="4"/>
        <v>3172.4</v>
      </c>
      <c r="AM30" s="41">
        <f t="shared" si="4"/>
        <v>3172.4</v>
      </c>
      <c r="AN30" s="41">
        <f t="shared" si="4"/>
        <v>3172.4</v>
      </c>
      <c r="AO30" s="41">
        <f t="shared" si="4"/>
        <v>3172.4</v>
      </c>
      <c r="AP30" s="41">
        <f t="shared" si="4"/>
        <v>3172.4</v>
      </c>
      <c r="AQ30" s="41">
        <f t="shared" si="4"/>
        <v>4758.6000000000004</v>
      </c>
      <c r="AR30" s="41">
        <f t="shared" si="4"/>
        <v>3316.6</v>
      </c>
      <c r="AS30" s="41">
        <f t="shared" si="4"/>
        <v>3316.6</v>
      </c>
      <c r="AT30" s="41">
        <f t="shared" si="4"/>
        <v>3316.6</v>
      </c>
      <c r="AU30" s="41">
        <f t="shared" si="4"/>
        <v>3316.6</v>
      </c>
      <c r="AV30" s="41">
        <f t="shared" si="4"/>
        <v>3316.6</v>
      </c>
      <c r="AW30" s="41">
        <f t="shared" si="4"/>
        <v>4974.8999999999996</v>
      </c>
      <c r="AX30" s="41">
        <f t="shared" si="4"/>
        <v>3316.6</v>
      </c>
      <c r="AY30" s="41">
        <f t="shared" si="4"/>
        <v>3316.6</v>
      </c>
      <c r="AZ30" s="41">
        <f t="shared" si="4"/>
        <v>3316.6</v>
      </c>
      <c r="BA30" s="41">
        <f t="shared" si="4"/>
        <v>3316.6</v>
      </c>
      <c r="BB30" s="41">
        <f t="shared" si="4"/>
        <v>3316.6</v>
      </c>
      <c r="BC30" s="41">
        <f t="shared" si="4"/>
        <v>4974.8999999999996</v>
      </c>
    </row>
    <row r="33" spans="7:55" x14ac:dyDescent="0.35">
      <c r="G33" t="s">
        <v>65</v>
      </c>
      <c r="H33" t="s">
        <v>49</v>
      </c>
      <c r="I33" t="s">
        <v>3</v>
      </c>
      <c r="J33" t="s">
        <v>4</v>
      </c>
      <c r="K33" t="s">
        <v>5</v>
      </c>
      <c r="L33" t="s">
        <v>6</v>
      </c>
      <c r="M33" t="s">
        <v>7</v>
      </c>
      <c r="N33" t="s">
        <v>8</v>
      </c>
      <c r="O33" t="s">
        <v>9</v>
      </c>
      <c r="P33" t="s">
        <v>10</v>
      </c>
      <c r="Q33" t="s">
        <v>11</v>
      </c>
      <c r="R33" t="s">
        <v>12</v>
      </c>
      <c r="S33" t="s">
        <v>13</v>
      </c>
      <c r="T33" t="s">
        <v>14</v>
      </c>
      <c r="U33" t="s">
        <v>15</v>
      </c>
      <c r="V33" t="s">
        <v>16</v>
      </c>
      <c r="W33" t="s">
        <v>17</v>
      </c>
      <c r="X33" t="s">
        <v>18</v>
      </c>
      <c r="Y33" t="s">
        <v>19</v>
      </c>
      <c r="Z33" t="s">
        <v>20</v>
      </c>
      <c r="AA33" t="s">
        <v>21</v>
      </c>
      <c r="AB33" t="s">
        <v>22</v>
      </c>
      <c r="AC33" t="s">
        <v>23</v>
      </c>
      <c r="AD33" t="s">
        <v>24</v>
      </c>
      <c r="AE33" t="s">
        <v>25</v>
      </c>
      <c r="AF33" t="s">
        <v>27</v>
      </c>
      <c r="AG33" t="s">
        <v>28</v>
      </c>
      <c r="AH33" t="s">
        <v>29</v>
      </c>
      <c r="AI33" t="s">
        <v>30</v>
      </c>
      <c r="AJ33" t="s">
        <v>31</v>
      </c>
      <c r="AK33" t="s">
        <v>32</v>
      </c>
      <c r="AL33" t="s">
        <v>33</v>
      </c>
      <c r="AM33" t="s">
        <v>34</v>
      </c>
      <c r="AN33" t="s">
        <v>35</v>
      </c>
      <c r="AO33" t="s">
        <v>36</v>
      </c>
      <c r="AP33" t="s">
        <v>37</v>
      </c>
      <c r="AQ33" t="s">
        <v>38</v>
      </c>
      <c r="AR33" t="s">
        <v>95</v>
      </c>
      <c r="AS33" t="s">
        <v>96</v>
      </c>
      <c r="AT33" t="s">
        <v>97</v>
      </c>
      <c r="AU33" t="s">
        <v>98</v>
      </c>
      <c r="AV33" t="s">
        <v>99</v>
      </c>
      <c r="AW33" t="s">
        <v>100</v>
      </c>
      <c r="AX33" t="s">
        <v>101</v>
      </c>
      <c r="AY33" t="s">
        <v>102</v>
      </c>
      <c r="AZ33" t="s">
        <v>103</v>
      </c>
      <c r="BA33" t="s">
        <v>104</v>
      </c>
      <c r="BB33" t="s">
        <v>105</v>
      </c>
      <c r="BC33" t="s">
        <v>106</v>
      </c>
    </row>
    <row r="34" spans="7:55" x14ac:dyDescent="0.35">
      <c r="G34" t="s">
        <v>67</v>
      </c>
      <c r="H34">
        <f>SUM(H$20:H$23)</f>
        <v>0</v>
      </c>
      <c r="I34">
        <f>SUM(I$20:I$23)</f>
        <v>26398</v>
      </c>
      <c r="J34">
        <f t="shared" ref="J34:BC34" si="5">SUM(J$20:J$23)</f>
        <v>26398</v>
      </c>
      <c r="K34">
        <f t="shared" si="5"/>
        <v>26398</v>
      </c>
      <c r="L34">
        <f t="shared" si="5"/>
        <v>26398</v>
      </c>
      <c r="M34">
        <f t="shared" si="5"/>
        <v>30111</v>
      </c>
      <c r="N34">
        <f t="shared" si="5"/>
        <v>21952</v>
      </c>
      <c r="O34">
        <f t="shared" si="5"/>
        <v>21952</v>
      </c>
      <c r="P34">
        <f t="shared" si="5"/>
        <v>19060</v>
      </c>
      <c r="Q34">
        <f t="shared" si="5"/>
        <v>19060</v>
      </c>
      <c r="R34">
        <f t="shared" si="5"/>
        <v>19060</v>
      </c>
      <c r="S34">
        <f t="shared" si="5"/>
        <v>27219</v>
      </c>
      <c r="T34">
        <f t="shared" si="5"/>
        <v>20013</v>
      </c>
      <c r="U34">
        <f t="shared" si="5"/>
        <v>20013</v>
      </c>
      <c r="V34">
        <f t="shared" si="5"/>
        <v>20013</v>
      </c>
      <c r="W34">
        <f t="shared" si="5"/>
        <v>20013</v>
      </c>
      <c r="X34">
        <f t="shared" si="5"/>
        <v>23049.599999999999</v>
      </c>
      <c r="Y34">
        <f t="shared" si="5"/>
        <v>31616.55</v>
      </c>
      <c r="Z34">
        <f t="shared" si="5"/>
        <v>23049.599999999999</v>
      </c>
      <c r="AA34">
        <f t="shared" si="5"/>
        <v>23049.599999999999</v>
      </c>
      <c r="AB34">
        <f t="shared" si="5"/>
        <v>23049.599999999999</v>
      </c>
      <c r="AC34">
        <f t="shared" si="5"/>
        <v>23049.599999999999</v>
      </c>
      <c r="AD34">
        <f t="shared" si="5"/>
        <v>23049.599999999999</v>
      </c>
      <c r="AE34">
        <f t="shared" si="5"/>
        <v>31616.55</v>
      </c>
      <c r="AF34">
        <f t="shared" si="5"/>
        <v>24147.200000000001</v>
      </c>
      <c r="AG34">
        <f t="shared" si="5"/>
        <v>24147.200000000001</v>
      </c>
      <c r="AH34">
        <f t="shared" si="5"/>
        <v>24147.200000000001</v>
      </c>
      <c r="AI34">
        <f t="shared" si="5"/>
        <v>24147.200000000001</v>
      </c>
      <c r="AJ34">
        <f t="shared" si="5"/>
        <v>24147.200000000001</v>
      </c>
      <c r="AK34">
        <f t="shared" si="5"/>
        <v>33122.100000000006</v>
      </c>
      <c r="AL34">
        <f t="shared" si="5"/>
        <v>24147.200000000001</v>
      </c>
      <c r="AM34">
        <f t="shared" si="5"/>
        <v>24147.200000000001</v>
      </c>
      <c r="AN34">
        <f t="shared" si="5"/>
        <v>24147.200000000001</v>
      </c>
      <c r="AO34">
        <f t="shared" si="5"/>
        <v>24147.200000000001</v>
      </c>
      <c r="AP34">
        <f t="shared" si="5"/>
        <v>24147.200000000001</v>
      </c>
      <c r="AQ34">
        <f t="shared" si="5"/>
        <v>33122.100000000006</v>
      </c>
      <c r="AR34">
        <f t="shared" si="5"/>
        <v>25244.799999999999</v>
      </c>
      <c r="AS34">
        <f t="shared" si="5"/>
        <v>25244.799999999999</v>
      </c>
      <c r="AT34">
        <f t="shared" si="5"/>
        <v>25244.799999999999</v>
      </c>
      <c r="AU34">
        <f t="shared" si="5"/>
        <v>25244.799999999999</v>
      </c>
      <c r="AV34">
        <f t="shared" si="5"/>
        <v>25244.799999999999</v>
      </c>
      <c r="AW34">
        <f t="shared" si="5"/>
        <v>34627.65</v>
      </c>
      <c r="AX34">
        <f t="shared" si="5"/>
        <v>25244.799999999999</v>
      </c>
      <c r="AY34">
        <f t="shared" si="5"/>
        <v>25244.799999999999</v>
      </c>
      <c r="AZ34">
        <f t="shared" si="5"/>
        <v>25244.799999999999</v>
      </c>
      <c r="BA34">
        <f t="shared" si="5"/>
        <v>25244.799999999999</v>
      </c>
      <c r="BB34">
        <f t="shared" si="5"/>
        <v>25244.799999999999</v>
      </c>
      <c r="BC34">
        <f t="shared" si="5"/>
        <v>34627.65</v>
      </c>
    </row>
    <row r="35" spans="7:55" x14ac:dyDescent="0.35">
      <c r="G35" t="s">
        <v>66</v>
      </c>
      <c r="H35">
        <f>SUM(H$24:H$26)</f>
        <v>0</v>
      </c>
      <c r="I35">
        <f>SUM(I$24:I$26)</f>
        <v>0</v>
      </c>
      <c r="J35">
        <f t="shared" ref="J35:BC35" si="6">SUM(J$24:J$26)</f>
        <v>0</v>
      </c>
      <c r="K35">
        <f t="shared" si="6"/>
        <v>0</v>
      </c>
      <c r="L35">
        <f t="shared" si="6"/>
        <v>0</v>
      </c>
      <c r="M35">
        <f t="shared" si="6"/>
        <v>11158</v>
      </c>
      <c r="N35">
        <f t="shared" si="6"/>
        <v>4647</v>
      </c>
      <c r="O35">
        <f t="shared" si="6"/>
        <v>4647</v>
      </c>
      <c r="P35">
        <f t="shared" si="6"/>
        <v>8825</v>
      </c>
      <c r="Q35">
        <f t="shared" si="6"/>
        <v>8825</v>
      </c>
      <c r="R35">
        <f t="shared" si="6"/>
        <v>8825</v>
      </c>
      <c r="S35">
        <f t="shared" si="6"/>
        <v>15336</v>
      </c>
      <c r="T35">
        <f t="shared" si="6"/>
        <v>11695.949999999999</v>
      </c>
      <c r="U35">
        <f t="shared" si="6"/>
        <v>11695.949999999999</v>
      </c>
      <c r="V35">
        <f t="shared" si="6"/>
        <v>11695.949999999999</v>
      </c>
      <c r="W35">
        <f t="shared" si="6"/>
        <v>11695.949999999999</v>
      </c>
      <c r="X35">
        <f t="shared" si="6"/>
        <v>11695.949999999999</v>
      </c>
      <c r="Y35">
        <f t="shared" si="6"/>
        <v>18532.5</v>
      </c>
      <c r="Z35">
        <f t="shared" si="6"/>
        <v>11695.949999999999</v>
      </c>
      <c r="AA35">
        <f t="shared" si="6"/>
        <v>11695.949999999999</v>
      </c>
      <c r="AB35">
        <f t="shared" si="6"/>
        <v>11695.949999999999</v>
      </c>
      <c r="AC35">
        <f t="shared" si="6"/>
        <v>11695.949999999999</v>
      </c>
      <c r="AD35">
        <f t="shared" si="6"/>
        <v>11695.949999999999</v>
      </c>
      <c r="AE35">
        <f t="shared" si="6"/>
        <v>18532.5</v>
      </c>
      <c r="AF35">
        <f t="shared" si="6"/>
        <v>12252.900000000001</v>
      </c>
      <c r="AG35">
        <f t="shared" si="6"/>
        <v>12252.900000000001</v>
      </c>
      <c r="AH35">
        <f t="shared" si="6"/>
        <v>12252.900000000001</v>
      </c>
      <c r="AI35">
        <f t="shared" si="6"/>
        <v>12252.900000000001</v>
      </c>
      <c r="AJ35">
        <f t="shared" si="6"/>
        <v>12252.900000000001</v>
      </c>
      <c r="AK35">
        <f t="shared" si="6"/>
        <v>19415</v>
      </c>
      <c r="AL35">
        <f t="shared" si="6"/>
        <v>12252.900000000001</v>
      </c>
      <c r="AM35">
        <f t="shared" si="6"/>
        <v>12252.900000000001</v>
      </c>
      <c r="AN35">
        <f t="shared" si="6"/>
        <v>12252.900000000001</v>
      </c>
      <c r="AO35">
        <f t="shared" si="6"/>
        <v>12252.900000000001</v>
      </c>
      <c r="AP35">
        <f t="shared" si="6"/>
        <v>12252.900000000001</v>
      </c>
      <c r="AQ35">
        <f t="shared" si="6"/>
        <v>19415</v>
      </c>
      <c r="AR35">
        <f t="shared" si="6"/>
        <v>12809.849999999999</v>
      </c>
      <c r="AS35">
        <f t="shared" si="6"/>
        <v>12809.849999999999</v>
      </c>
      <c r="AT35">
        <f t="shared" si="6"/>
        <v>12809.849999999999</v>
      </c>
      <c r="AU35">
        <f t="shared" si="6"/>
        <v>12809.849999999999</v>
      </c>
      <c r="AV35">
        <f t="shared" si="6"/>
        <v>12809.849999999999</v>
      </c>
      <c r="AW35">
        <f t="shared" si="6"/>
        <v>20297.5</v>
      </c>
      <c r="AX35">
        <f t="shared" si="6"/>
        <v>12809.849999999999</v>
      </c>
      <c r="AY35">
        <f t="shared" si="6"/>
        <v>12809.849999999999</v>
      </c>
      <c r="AZ35">
        <f t="shared" si="6"/>
        <v>12809.849999999999</v>
      </c>
      <c r="BA35">
        <f t="shared" si="6"/>
        <v>12809.849999999999</v>
      </c>
      <c r="BB35">
        <f t="shared" si="6"/>
        <v>12809.849999999999</v>
      </c>
      <c r="BC35">
        <f t="shared" si="6"/>
        <v>20297.5</v>
      </c>
    </row>
    <row r="36" spans="7:55" x14ac:dyDescent="0.35">
      <c r="G36" t="s">
        <v>68</v>
      </c>
      <c r="H36">
        <f>SUM(H$27:H$30)</f>
        <v>5093</v>
      </c>
      <c r="I36">
        <f>SUM(I$27:I$30)</f>
        <v>6803</v>
      </c>
      <c r="J36">
        <f t="shared" ref="J36:AR36" si="7">SUM(J$27:J$30)</f>
        <v>6803</v>
      </c>
      <c r="K36">
        <f t="shared" si="7"/>
        <v>9910</v>
      </c>
      <c r="L36">
        <f t="shared" si="7"/>
        <v>9910</v>
      </c>
      <c r="M36">
        <f t="shared" si="7"/>
        <v>17386</v>
      </c>
      <c r="N36">
        <f t="shared" si="7"/>
        <v>9910</v>
      </c>
      <c r="O36">
        <f t="shared" si="7"/>
        <v>9910</v>
      </c>
      <c r="P36">
        <f t="shared" si="7"/>
        <v>13062</v>
      </c>
      <c r="Q36">
        <f t="shared" si="7"/>
        <v>13062</v>
      </c>
      <c r="R36">
        <f t="shared" si="7"/>
        <v>13062</v>
      </c>
      <c r="S36">
        <f t="shared" si="7"/>
        <v>20538</v>
      </c>
      <c r="T36">
        <f t="shared" si="7"/>
        <v>13715.100000000002</v>
      </c>
      <c r="U36">
        <f t="shared" si="7"/>
        <v>13715.100000000002</v>
      </c>
      <c r="V36">
        <f t="shared" si="7"/>
        <v>13715.100000000002</v>
      </c>
      <c r="W36">
        <f t="shared" si="7"/>
        <v>13715.100000000002</v>
      </c>
      <c r="X36">
        <f t="shared" si="7"/>
        <v>13715.100000000002</v>
      </c>
      <c r="Y36">
        <f t="shared" si="7"/>
        <v>21564.9</v>
      </c>
      <c r="Z36">
        <f t="shared" si="7"/>
        <v>13715.100000000002</v>
      </c>
      <c r="AA36">
        <f t="shared" si="7"/>
        <v>13715.100000000002</v>
      </c>
      <c r="AB36">
        <f t="shared" si="7"/>
        <v>13715.100000000002</v>
      </c>
      <c r="AC36">
        <f t="shared" si="7"/>
        <v>13715.100000000002</v>
      </c>
      <c r="AD36">
        <f t="shared" si="7"/>
        <v>13715.100000000002</v>
      </c>
      <c r="AE36">
        <f t="shared" si="7"/>
        <v>21564.9</v>
      </c>
      <c r="AF36">
        <f t="shared" si="7"/>
        <v>14368.2</v>
      </c>
      <c r="AG36">
        <f t="shared" si="7"/>
        <v>14368.2</v>
      </c>
      <c r="AH36">
        <f t="shared" si="7"/>
        <v>14368.2</v>
      </c>
      <c r="AI36">
        <f t="shared" si="7"/>
        <v>14368.2</v>
      </c>
      <c r="AJ36">
        <f t="shared" si="7"/>
        <v>14368.2</v>
      </c>
      <c r="AK36">
        <f t="shared" si="7"/>
        <v>22591.800000000003</v>
      </c>
      <c r="AL36">
        <f t="shared" si="7"/>
        <v>14368.2</v>
      </c>
      <c r="AM36">
        <f t="shared" si="7"/>
        <v>14368.2</v>
      </c>
      <c r="AN36">
        <f t="shared" si="7"/>
        <v>14368.2</v>
      </c>
      <c r="AO36">
        <f t="shared" si="7"/>
        <v>14368.2</v>
      </c>
      <c r="AP36">
        <f t="shared" si="7"/>
        <v>14368.2</v>
      </c>
      <c r="AQ36">
        <f t="shared" si="7"/>
        <v>22591.800000000003</v>
      </c>
      <c r="AR36">
        <f t="shared" si="7"/>
        <v>15021.3</v>
      </c>
      <c r="AS36">
        <f t="shared" ref="AS36:BC36" si="8">SUM(AS$27:AS$30)</f>
        <v>15021.3</v>
      </c>
      <c r="AT36">
        <f t="shared" si="8"/>
        <v>15021.3</v>
      </c>
      <c r="AU36">
        <f t="shared" si="8"/>
        <v>15021.3</v>
      </c>
      <c r="AV36">
        <f t="shared" si="8"/>
        <v>15021.3</v>
      </c>
      <c r="AW36">
        <f t="shared" si="8"/>
        <v>23618.699999999997</v>
      </c>
      <c r="AX36">
        <f t="shared" si="8"/>
        <v>15021.3</v>
      </c>
      <c r="AY36">
        <f t="shared" si="8"/>
        <v>15021.3</v>
      </c>
      <c r="AZ36">
        <f t="shared" si="8"/>
        <v>15021.3</v>
      </c>
      <c r="BA36">
        <f t="shared" si="8"/>
        <v>15021.3</v>
      </c>
      <c r="BB36">
        <f t="shared" si="8"/>
        <v>15021.3</v>
      </c>
      <c r="BC36">
        <f t="shared" si="8"/>
        <v>23618.699999999997</v>
      </c>
    </row>
    <row r="37" spans="7:55" x14ac:dyDescent="0.35">
      <c r="G37" t="s">
        <v>69</v>
      </c>
      <c r="H37">
        <f t="shared" ref="H37:AQ37" si="9">SUBTOTAL(109,H34:H36)</f>
        <v>5093</v>
      </c>
      <c r="I37">
        <f t="shared" si="9"/>
        <v>33201</v>
      </c>
      <c r="J37">
        <f t="shared" si="9"/>
        <v>33201</v>
      </c>
      <c r="K37">
        <f t="shared" si="9"/>
        <v>36308</v>
      </c>
      <c r="L37">
        <f t="shared" si="9"/>
        <v>36308</v>
      </c>
      <c r="M37">
        <f t="shared" si="9"/>
        <v>58655</v>
      </c>
      <c r="N37">
        <f t="shared" si="9"/>
        <v>36509</v>
      </c>
      <c r="O37">
        <f t="shared" si="9"/>
        <v>36509</v>
      </c>
      <c r="P37">
        <f t="shared" si="9"/>
        <v>40947</v>
      </c>
      <c r="Q37">
        <f t="shared" si="9"/>
        <v>40947</v>
      </c>
      <c r="R37">
        <f t="shared" si="9"/>
        <v>40947</v>
      </c>
      <c r="S37">
        <f t="shared" si="9"/>
        <v>63093</v>
      </c>
      <c r="T37">
        <f t="shared" si="9"/>
        <v>45424.05</v>
      </c>
      <c r="U37">
        <f t="shared" si="9"/>
        <v>45424.05</v>
      </c>
      <c r="V37">
        <f t="shared" si="9"/>
        <v>45424.05</v>
      </c>
      <c r="W37">
        <f t="shared" si="9"/>
        <v>45424.05</v>
      </c>
      <c r="X37">
        <f t="shared" si="9"/>
        <v>48460.649999999994</v>
      </c>
      <c r="Y37">
        <f t="shared" si="9"/>
        <v>71713.950000000012</v>
      </c>
      <c r="Z37">
        <f t="shared" si="9"/>
        <v>48460.649999999994</v>
      </c>
      <c r="AA37">
        <f t="shared" si="9"/>
        <v>48460.649999999994</v>
      </c>
      <c r="AB37">
        <f t="shared" si="9"/>
        <v>48460.649999999994</v>
      </c>
      <c r="AC37">
        <f t="shared" si="9"/>
        <v>48460.649999999994</v>
      </c>
      <c r="AD37">
        <f t="shared" si="9"/>
        <v>48460.649999999994</v>
      </c>
      <c r="AE37">
        <f t="shared" si="9"/>
        <v>71713.950000000012</v>
      </c>
      <c r="AF37">
        <f t="shared" si="9"/>
        <v>50768.3</v>
      </c>
      <c r="AG37">
        <f t="shared" si="9"/>
        <v>50768.3</v>
      </c>
      <c r="AH37">
        <f t="shared" si="9"/>
        <v>50768.3</v>
      </c>
      <c r="AI37">
        <f t="shared" si="9"/>
        <v>50768.3</v>
      </c>
      <c r="AJ37">
        <f t="shared" si="9"/>
        <v>50768.3</v>
      </c>
      <c r="AK37">
        <f t="shared" si="9"/>
        <v>75128.900000000009</v>
      </c>
      <c r="AL37">
        <f t="shared" si="9"/>
        <v>50768.3</v>
      </c>
      <c r="AM37">
        <f t="shared" si="9"/>
        <v>50768.3</v>
      </c>
      <c r="AN37">
        <f t="shared" si="9"/>
        <v>50768.3</v>
      </c>
      <c r="AO37">
        <f t="shared" si="9"/>
        <v>50768.3</v>
      </c>
      <c r="AP37">
        <f t="shared" si="9"/>
        <v>50768.3</v>
      </c>
      <c r="AQ37">
        <f t="shared" si="9"/>
        <v>75128.900000000009</v>
      </c>
      <c r="AR37">
        <f t="shared" ref="AR37" si="10">SUBTOTAL(109,AR34:AR36)</f>
        <v>53075.95</v>
      </c>
      <c r="AS37">
        <f t="shared" ref="AS37" si="11">SUBTOTAL(109,AS34:AS36)</f>
        <v>53075.95</v>
      </c>
      <c r="AT37">
        <f t="shared" ref="AT37" si="12">SUBTOTAL(109,AT34:AT36)</f>
        <v>53075.95</v>
      </c>
      <c r="AU37">
        <f t="shared" ref="AU37" si="13">SUBTOTAL(109,AU34:AU36)</f>
        <v>53075.95</v>
      </c>
      <c r="AV37">
        <f t="shared" ref="AV37" si="14">SUBTOTAL(109,AV34:AV36)</f>
        <v>53075.95</v>
      </c>
      <c r="AW37">
        <f t="shared" ref="AW37" si="15">SUBTOTAL(109,AW34:AW36)</f>
        <v>78543.850000000006</v>
      </c>
      <c r="AX37">
        <f t="shared" ref="AX37" si="16">SUBTOTAL(109,AX34:AX36)</f>
        <v>53075.95</v>
      </c>
      <c r="AY37">
        <f t="shared" ref="AY37" si="17">SUBTOTAL(109,AY34:AY36)</f>
        <v>53075.95</v>
      </c>
      <c r="AZ37">
        <f t="shared" ref="AZ37" si="18">SUBTOTAL(109,AZ34:AZ36)</f>
        <v>53075.95</v>
      </c>
      <c r="BA37">
        <f t="shared" ref="BA37" si="19">SUBTOTAL(109,BA34:BA36)</f>
        <v>53075.95</v>
      </c>
      <c r="BB37">
        <f t="shared" ref="BB37" si="20">SUBTOTAL(109,BB34:BB36)</f>
        <v>53075.95</v>
      </c>
      <c r="BC37">
        <f t="shared" ref="BC37" si="21">SUBTOTAL(109,BC34:BC36)</f>
        <v>78543.850000000006</v>
      </c>
    </row>
    <row r="38" spans="7:55" x14ac:dyDescent="0.35">
      <c r="G38" s="16" t="s">
        <v>85</v>
      </c>
      <c r="H38" s="16">
        <f>Tabla5[[#Totals],[Month 1]]</f>
        <v>5093</v>
      </c>
      <c r="I38" s="16">
        <f>H38+Tabla5[[#Totals],[Month 2]]</f>
        <v>38294</v>
      </c>
      <c r="J38" s="16">
        <f>I38+Tabla5[[#Totals],[Month 3]]</f>
        <v>71495</v>
      </c>
      <c r="K38" s="16">
        <f>J38+Tabla5[[#Totals],[Month 4]]</f>
        <v>107803</v>
      </c>
      <c r="L38" s="16">
        <f>K38+Tabla5[[#Totals],[Month 5]]</f>
        <v>144111</v>
      </c>
      <c r="M38" s="16">
        <f>L38+Tabla5[[#Totals],[Month 6]]</f>
        <v>202766</v>
      </c>
      <c r="N38" s="16">
        <f>M38+Tabla5[[#Totals],[Month 7]]</f>
        <v>239275</v>
      </c>
      <c r="O38" s="16">
        <f>N38+Tabla5[[#Totals],[Month 8]]</f>
        <v>275784</v>
      </c>
      <c r="P38" s="16">
        <f>O38+Tabla5[[#Totals],[Month 9]]</f>
        <v>316731</v>
      </c>
      <c r="Q38" s="16">
        <f>P38+Tabla5[[#Totals],[Month 10]]</f>
        <v>357678</v>
      </c>
      <c r="R38" s="16">
        <f>Q38+Tabla5[[#Totals],[Month 11]]</f>
        <v>398625</v>
      </c>
      <c r="S38" s="16">
        <f>R38+Tabla5[[#Totals],[Month 12]]</f>
        <v>461718</v>
      </c>
      <c r="T38" s="16">
        <f>S38+Tabla5[[#Totals],[Month 13]]</f>
        <v>507142.05</v>
      </c>
      <c r="U38" s="16">
        <f>T38+Tabla5[[#Totals],[Month 14]]</f>
        <v>552566.1</v>
      </c>
      <c r="V38" s="16">
        <f>U38+Tabla5[[#Totals],[Month 15]]</f>
        <v>597990.15</v>
      </c>
      <c r="W38" s="16">
        <f>V38+Tabla5[[#Totals],[Month 16]]</f>
        <v>643414.20000000007</v>
      </c>
      <c r="X38" s="16">
        <f>W38+Tabla5[[#Totals],[Month 17]]</f>
        <v>691874.85000000009</v>
      </c>
      <c r="Y38" s="16">
        <f>X38+Tabla5[[#Totals],[Month 18]]</f>
        <v>763588.8</v>
      </c>
      <c r="Z38" s="16">
        <f>Y38+Tabla5[[#Totals],[Month 19]]</f>
        <v>812049.45000000007</v>
      </c>
      <c r="AA38" s="16">
        <f>Z38+Tabla5[[#Totals],[Month 20]]</f>
        <v>860510.10000000009</v>
      </c>
      <c r="AB38" s="16">
        <f>AA38+Tabla5[[#Totals],[Month 21]]</f>
        <v>908970.75000000012</v>
      </c>
      <c r="AC38" s="16">
        <f>AB38+Tabla5[[#Totals],[Month 22]]</f>
        <v>957431.40000000014</v>
      </c>
      <c r="AD38" s="16">
        <f>AC38+Tabla5[[#Totals],[Month 23]]</f>
        <v>1005892.0500000002</v>
      </c>
      <c r="AE38" s="16">
        <f>AD38+Tabla5[[#Totals],[Month 24]]</f>
        <v>1077606.0000000002</v>
      </c>
      <c r="AF38" s="16">
        <f>AE38+Tabla5[[#Totals],[Month 25]]</f>
        <v>1128374.3000000003</v>
      </c>
      <c r="AG38" s="16">
        <f>AF38+Tabla5[[#Totals],[Month 26]]</f>
        <v>1179142.6000000003</v>
      </c>
      <c r="AH38" s="16">
        <f>AG38+Tabla5[[#Totals],[Month 27]]</f>
        <v>1229910.9000000004</v>
      </c>
      <c r="AI38" s="16">
        <f>AH38+Tabla5[[#Totals],[Month 28]]</f>
        <v>1280679.2000000004</v>
      </c>
      <c r="AJ38" s="16">
        <f>AI38+Tabla5[[#Totals],[Month 29]]</f>
        <v>1331447.5000000005</v>
      </c>
      <c r="AK38" s="16">
        <f>AJ38+Tabla5[[#Totals],[Month 30]]</f>
        <v>1406576.4000000004</v>
      </c>
      <c r="AL38" s="16">
        <f>AK38+Tabla5[[#Totals],[Month 31]]</f>
        <v>1457344.7000000004</v>
      </c>
      <c r="AM38" s="16">
        <f>AL38+Tabla5[[#Totals],[Month 32]]</f>
        <v>1508113.0000000005</v>
      </c>
      <c r="AN38" s="16">
        <f>AM38+Tabla5[[#Totals],[Month 33]]</f>
        <v>1558881.3000000005</v>
      </c>
      <c r="AO38" s="16">
        <f>AN38+Tabla5[[#Totals],[Month 34]]</f>
        <v>1609649.6000000006</v>
      </c>
      <c r="AP38" s="16">
        <f>AO38+Tabla5[[#Totals],[Month 35]]</f>
        <v>1660417.9000000006</v>
      </c>
      <c r="AQ38" s="16">
        <f>AP38+Tabla5[[#Totals],[Month 36]]</f>
        <v>1735546.8000000005</v>
      </c>
      <c r="AR38" s="16">
        <f>AQ38+Tabla5[[#Totals],[Month 37]]</f>
        <v>1788622.7500000005</v>
      </c>
      <c r="AS38" s="16">
        <f>AR38+Tabla5[[#Totals],[Month 38]]</f>
        <v>1841698.7000000004</v>
      </c>
      <c r="AT38" s="16">
        <f>AS38+Tabla5[[#Totals],[Month 39]]</f>
        <v>1894774.6500000004</v>
      </c>
      <c r="AU38" s="16">
        <f>AT38+Tabla5[[#Totals],[Month 40]]</f>
        <v>1947850.6000000003</v>
      </c>
      <c r="AV38" s="16">
        <f>AU38+Tabla5[[#Totals],[Month 41]]</f>
        <v>2000926.5500000003</v>
      </c>
      <c r="AW38" s="16">
        <f>AV38+Tabla5[[#Totals],[Month 42]]</f>
        <v>2079470.4000000004</v>
      </c>
      <c r="AX38" s="16">
        <f>AW38+Tabla5[[#Totals],[Month 43]]</f>
        <v>2132546.3500000006</v>
      </c>
      <c r="AY38" s="16">
        <f>AX38+Tabla5[[#Totals],[Month 44]]</f>
        <v>2185622.3000000007</v>
      </c>
      <c r="AZ38" s="16">
        <f>AY38+Tabla5[[#Totals],[Month 45]]</f>
        <v>2238698.2500000009</v>
      </c>
      <c r="BA38" s="16">
        <f>AZ38+Tabla5[[#Totals],[Month 46]]</f>
        <v>2291774.2000000011</v>
      </c>
      <c r="BB38" s="16">
        <f>BA38+Tabla5[[#Totals],[Month 47]]</f>
        <v>2344850.1500000013</v>
      </c>
      <c r="BC38" s="16">
        <f>BB38+Tabla5[[#Totals],[Month 48]]</f>
        <v>2423394.0000000014</v>
      </c>
    </row>
    <row r="42" spans="7:55" ht="15" thickBot="1" x14ac:dyDescent="0.4">
      <c r="T42" s="42" t="s">
        <v>331</v>
      </c>
      <c r="U42" s="15" t="s">
        <v>328</v>
      </c>
      <c r="V42" s="49" t="s">
        <v>329</v>
      </c>
      <c r="W42" s="49" t="s">
        <v>330</v>
      </c>
      <c r="X42" s="49" t="s">
        <v>332</v>
      </c>
      <c r="Y42" s="49" t="s">
        <v>333</v>
      </c>
      <c r="Z42" s="49" t="s">
        <v>334</v>
      </c>
      <c r="AA42" s="49" t="s">
        <v>335</v>
      </c>
      <c r="AB42" s="49" t="s">
        <v>336</v>
      </c>
      <c r="AC42" s="49" t="s">
        <v>337</v>
      </c>
      <c r="AD42" s="49" t="s">
        <v>338</v>
      </c>
      <c r="AE42" s="49" t="s">
        <v>339</v>
      </c>
    </row>
    <row r="43" spans="7:55" ht="15" thickTop="1" x14ac:dyDescent="0.35">
      <c r="T43" s="43" t="s">
        <v>46</v>
      </c>
      <c r="U43" s="46">
        <v>20800</v>
      </c>
      <c r="V43" s="22">
        <f>Tabla13[[#This Row],[Year 0]]*(1+$C$19)</f>
        <v>21840</v>
      </c>
      <c r="W43" s="22">
        <f>Tabla13[[#This Row],[Year 1]]*(1+$C$19)</f>
        <v>22932</v>
      </c>
      <c r="X43" s="22">
        <f>Tabla13[[#This Row],[Year 2]]*(1+$C$19)</f>
        <v>24078.600000000002</v>
      </c>
      <c r="Y43" s="22">
        <f>Tabla13[[#This Row],[Year 3]]*(1+$C$19)</f>
        <v>25282.530000000002</v>
      </c>
      <c r="Z43" s="22">
        <f>Tabla13[[#This Row],[Year 4]]*(1+$C$19)</f>
        <v>26546.656500000005</v>
      </c>
      <c r="AA43" s="22">
        <f>Tabla13[[#This Row],[Year 5]]*(1+$C$19)</f>
        <v>27873.989325000006</v>
      </c>
      <c r="AB43" s="22">
        <f>Tabla13[[#This Row],[Year 6]]*(1+$C$19)</f>
        <v>29267.688791250006</v>
      </c>
      <c r="AC43" s="22">
        <f>Tabla13[[#This Row],[Year 7]]*(1+$C$19)</f>
        <v>30731.073230812508</v>
      </c>
      <c r="AD43" s="22">
        <f>Tabla13[[#This Row],[Year 8]]*(1+$C$19)</f>
        <v>32267.626892353135</v>
      </c>
      <c r="AE43" s="22">
        <f>Tabla13[[#This Row],[Year 9]]*(1+$C$19)</f>
        <v>33881.008236970796</v>
      </c>
    </row>
    <row r="44" spans="7:55" x14ac:dyDescent="0.35">
      <c r="T44" s="44" t="s">
        <v>47</v>
      </c>
      <c r="U44" s="47">
        <v>53000</v>
      </c>
      <c r="V44" s="22">
        <f>Tabla13[[#This Row],[Year 0]]*(1+$C$19)</f>
        <v>55650</v>
      </c>
      <c r="W44" s="22">
        <f>Tabla13[[#This Row],[Year 1]]*(1+$C$19)</f>
        <v>58432.5</v>
      </c>
      <c r="X44" s="22">
        <f>Tabla13[[#This Row],[Year 2]]*(1+$C$19)</f>
        <v>61354.125</v>
      </c>
      <c r="Y44" s="22">
        <f>Tabla13[[#This Row],[Year 3]]*(1+$C$19)</f>
        <v>64421.831250000003</v>
      </c>
      <c r="Z44" s="22">
        <f>Tabla13[[#This Row],[Year 4]]*(1+$C$19)</f>
        <v>67642.922812500008</v>
      </c>
      <c r="AA44" s="22">
        <f>Tabla13[[#This Row],[Year 5]]*(1+$C$19)</f>
        <v>71025.06895312501</v>
      </c>
      <c r="AB44" s="22">
        <f>Tabla13[[#This Row],[Year 6]]*(1+$C$19)</f>
        <v>74576.322400781268</v>
      </c>
      <c r="AC44" s="22">
        <f>Tabla13[[#This Row],[Year 7]]*(1+$C$19)</f>
        <v>78305.138520820328</v>
      </c>
      <c r="AD44" s="22">
        <f>Tabla13[[#This Row],[Year 8]]*(1+$C$19)</f>
        <v>82220.395446861352</v>
      </c>
      <c r="AE44" s="22">
        <f>Tabla13[[#This Row],[Year 9]]*(1+$C$19)</f>
        <v>86331.415219204428</v>
      </c>
    </row>
    <row r="45" spans="7:55" x14ac:dyDescent="0.35">
      <c r="T45" s="43" t="s">
        <v>48</v>
      </c>
      <c r="U45" s="46">
        <v>19700</v>
      </c>
      <c r="V45" s="22">
        <f>Tabla13[[#This Row],[Year 0]]*(1+$C$19)</f>
        <v>20685</v>
      </c>
      <c r="W45" s="22">
        <f>Tabla13[[#This Row],[Year 1]]*(1+$C$19)</f>
        <v>21719.25</v>
      </c>
      <c r="X45" s="22">
        <f>Tabla13[[#This Row],[Year 2]]*(1+$C$19)</f>
        <v>22805.212500000001</v>
      </c>
      <c r="Y45" s="22">
        <f>Tabla13[[#This Row],[Year 3]]*(1+$C$19)</f>
        <v>23945.473125000004</v>
      </c>
      <c r="Z45" s="22">
        <f>Tabla13[[#This Row],[Year 4]]*(1+$C$19)</f>
        <v>25142.746781250004</v>
      </c>
      <c r="AA45" s="22">
        <f>Tabla13[[#This Row],[Year 5]]*(1+$C$19)</f>
        <v>26399.884120312505</v>
      </c>
      <c r="AB45" s="22">
        <f>Tabla13[[#This Row],[Year 6]]*(1+$C$19)</f>
        <v>27719.878326328133</v>
      </c>
      <c r="AC45" s="22">
        <f>Tabla13[[#This Row],[Year 7]]*(1+$C$19)</f>
        <v>29105.872242644542</v>
      </c>
      <c r="AD45" s="22">
        <f>Tabla13[[#This Row],[Year 8]]*(1+$C$19)</f>
        <v>30561.165854776769</v>
      </c>
      <c r="AE45" s="22">
        <f>Tabla13[[#This Row],[Year 9]]*(1+$C$19)</f>
        <v>32089.224147515608</v>
      </c>
    </row>
    <row r="46" spans="7:55" x14ac:dyDescent="0.35">
      <c r="T46" s="44" t="s">
        <v>40</v>
      </c>
      <c r="U46" s="47">
        <v>20750</v>
      </c>
      <c r="V46" s="22">
        <f>Tabla13[[#This Row],[Year 0]]*(1+$C$19)</f>
        <v>21787.5</v>
      </c>
      <c r="W46" s="22">
        <f>Tabla13[[#This Row],[Year 1]]*(1+$C$19)</f>
        <v>22876.875</v>
      </c>
      <c r="X46" s="22">
        <f>Tabla13[[#This Row],[Year 2]]*(1+$C$19)</f>
        <v>24020.71875</v>
      </c>
      <c r="Y46" s="22">
        <f>Tabla13[[#This Row],[Year 3]]*(1+$C$19)</f>
        <v>25221.754687500001</v>
      </c>
      <c r="Z46" s="22">
        <f>Tabla13[[#This Row],[Year 4]]*(1+$C$19)</f>
        <v>26482.842421875001</v>
      </c>
      <c r="AA46" s="22">
        <f>Tabla13[[#This Row],[Year 5]]*(1+$C$19)</f>
        <v>27806.984542968752</v>
      </c>
      <c r="AB46" s="22">
        <f>Tabla13[[#This Row],[Year 6]]*(1+$C$19)</f>
        <v>29197.333770117191</v>
      </c>
      <c r="AC46" s="22">
        <f>Tabla13[[#This Row],[Year 7]]*(1+$C$19)</f>
        <v>30657.200458623051</v>
      </c>
      <c r="AD46" s="22">
        <f>Tabla13[[#This Row],[Year 8]]*(1+$C$19)</f>
        <v>32190.060481554203</v>
      </c>
      <c r="AE46" s="22">
        <f>Tabla13[[#This Row],[Year 9]]*(1+$C$19)</f>
        <v>33799.563505631915</v>
      </c>
    </row>
    <row r="47" spans="7:55" x14ac:dyDescent="0.35">
      <c r="T47" s="43" t="s">
        <v>64</v>
      </c>
      <c r="U47" s="46">
        <v>42300</v>
      </c>
      <c r="V47" s="22">
        <f>Tabla13[[#This Row],[Year 0]]*(1+$C$19)</f>
        <v>44415</v>
      </c>
      <c r="W47" s="22">
        <f>Tabla13[[#This Row],[Year 1]]*(1+$C$19)</f>
        <v>46635.75</v>
      </c>
      <c r="X47" s="22">
        <f>Tabla13[[#This Row],[Year 2]]*(1+$C$19)</f>
        <v>48967.537499999999</v>
      </c>
      <c r="Y47" s="22">
        <f>Tabla13[[#This Row],[Year 3]]*(1+$C$19)</f>
        <v>51415.914375</v>
      </c>
      <c r="Z47" s="22">
        <f>Tabla13[[#This Row],[Year 4]]*(1+$C$19)</f>
        <v>53986.71009375</v>
      </c>
      <c r="AA47" s="22">
        <f>Tabla13[[#This Row],[Year 5]]*(1+$C$19)</f>
        <v>56686.0455984375</v>
      </c>
      <c r="AB47" s="22">
        <f>Tabla13[[#This Row],[Year 6]]*(1+$C$19)</f>
        <v>59520.347878359375</v>
      </c>
      <c r="AC47" s="22">
        <f>Tabla13[[#This Row],[Year 7]]*(1+$C$19)</f>
        <v>62496.365272277348</v>
      </c>
      <c r="AD47" s="22">
        <f>Tabla13[[#This Row],[Year 8]]*(1+$C$19)</f>
        <v>65621.183535891221</v>
      </c>
      <c r="AE47" s="22">
        <f>Tabla13[[#This Row],[Year 9]]*(1+$C$19)</f>
        <v>68902.24271268578</v>
      </c>
    </row>
    <row r="48" spans="7:55" x14ac:dyDescent="0.35">
      <c r="T48" s="44" t="s">
        <v>58</v>
      </c>
      <c r="U48" s="47">
        <v>16200</v>
      </c>
      <c r="V48" s="22">
        <f>Tabla13[[#This Row],[Year 0]]*(1+$C$19)</f>
        <v>17010</v>
      </c>
      <c r="W48" s="22">
        <f>Tabla13[[#This Row],[Year 1]]*(1+$C$19)</f>
        <v>17860.5</v>
      </c>
      <c r="X48" s="22">
        <f>Tabla13[[#This Row],[Year 2]]*(1+$C$19)</f>
        <v>18753.525000000001</v>
      </c>
      <c r="Y48" s="22">
        <f>Tabla13[[#This Row],[Year 3]]*(1+$C$19)</f>
        <v>19691.201250000002</v>
      </c>
      <c r="Z48" s="22">
        <f>Tabla13[[#This Row],[Year 4]]*(1+$C$19)</f>
        <v>20675.761312500003</v>
      </c>
      <c r="AA48" s="22">
        <f>Tabla13[[#This Row],[Year 5]]*(1+$C$19)</f>
        <v>21709.549378125004</v>
      </c>
      <c r="AB48" s="22">
        <f>Tabla13[[#This Row],[Year 6]]*(1+$C$19)</f>
        <v>22795.026847031255</v>
      </c>
      <c r="AC48" s="22">
        <f>Tabla13[[#This Row],[Year 7]]*(1+$C$19)</f>
        <v>23934.778189382818</v>
      </c>
      <c r="AD48" s="22">
        <f>Tabla13[[#This Row],[Year 8]]*(1+$C$19)</f>
        <v>25131.51709885196</v>
      </c>
      <c r="AE48" s="22">
        <f>Tabla13[[#This Row],[Year 9]]*(1+$C$19)</f>
        <v>26388.092953794559</v>
      </c>
    </row>
    <row r="49" spans="20:31" x14ac:dyDescent="0.35">
      <c r="T49" s="43" t="s">
        <v>59</v>
      </c>
      <c r="U49" s="46">
        <v>32670</v>
      </c>
      <c r="V49" s="22">
        <f>Tabla13[[#This Row],[Year 0]]*(1+$C$19)</f>
        <v>34303.5</v>
      </c>
      <c r="W49" s="22">
        <f>Tabla13[[#This Row],[Year 1]]*(1+$C$19)</f>
        <v>36018.675000000003</v>
      </c>
      <c r="X49" s="22">
        <f>Tabla13[[#This Row],[Year 2]]*(1+$C$19)</f>
        <v>37819.608750000007</v>
      </c>
      <c r="Y49" s="22">
        <f>Tabla13[[#This Row],[Year 3]]*(1+$C$19)</f>
        <v>39710.589187500009</v>
      </c>
      <c r="Z49" s="22">
        <f>Tabla13[[#This Row],[Year 4]]*(1+$C$19)</f>
        <v>41696.118646875009</v>
      </c>
      <c r="AA49" s="22">
        <f>Tabla13[[#This Row],[Year 5]]*(1+$C$19)</f>
        <v>43780.924579218765</v>
      </c>
      <c r="AB49" s="22">
        <f>Tabla13[[#This Row],[Year 6]]*(1+$C$19)</f>
        <v>45969.970808179707</v>
      </c>
      <c r="AC49" s="22">
        <f>Tabla13[[#This Row],[Year 7]]*(1+$C$19)</f>
        <v>48268.469348588696</v>
      </c>
      <c r="AD49" s="22">
        <f>Tabla13[[#This Row],[Year 8]]*(1+$C$19)</f>
        <v>50681.892816018131</v>
      </c>
      <c r="AE49" s="22">
        <f>Tabla13[[#This Row],[Year 9]]*(1+$C$19)</f>
        <v>53215.987456819043</v>
      </c>
    </row>
    <row r="50" spans="20:31" x14ac:dyDescent="0.35">
      <c r="T50" s="44" t="s">
        <v>60</v>
      </c>
      <c r="U50" s="47">
        <v>43500</v>
      </c>
      <c r="V50" s="22">
        <f>Tabla13[[#This Row],[Year 0]]*(1+$C$19)</f>
        <v>45675</v>
      </c>
      <c r="W50" s="22">
        <f>Tabla13[[#This Row],[Year 1]]*(1+$C$19)</f>
        <v>47958.75</v>
      </c>
      <c r="X50" s="22">
        <f>Tabla13[[#This Row],[Year 2]]*(1+$C$19)</f>
        <v>50356.6875</v>
      </c>
      <c r="Y50" s="22">
        <f>Tabla13[[#This Row],[Year 3]]*(1+$C$19)</f>
        <v>52874.521875000006</v>
      </c>
      <c r="Z50" s="22">
        <f>Tabla13[[#This Row],[Year 4]]*(1+$C$19)</f>
        <v>55518.247968750009</v>
      </c>
      <c r="AA50" s="22">
        <f>Tabla13[[#This Row],[Year 5]]*(1+$C$19)</f>
        <v>58294.160367187513</v>
      </c>
      <c r="AB50" s="22">
        <f>Tabla13[[#This Row],[Year 6]]*(1+$C$19)</f>
        <v>61208.868385546892</v>
      </c>
      <c r="AC50" s="22">
        <f>Tabla13[[#This Row],[Year 7]]*(1+$C$19)</f>
        <v>64269.31180482424</v>
      </c>
      <c r="AD50" s="22">
        <f>Tabla13[[#This Row],[Year 8]]*(1+$C$19)</f>
        <v>67482.777395065452</v>
      </c>
      <c r="AE50" s="22">
        <f>Tabla13[[#This Row],[Year 9]]*(1+$C$19)</f>
        <v>70856.916264818734</v>
      </c>
    </row>
    <row r="51" spans="20:31" x14ac:dyDescent="0.35">
      <c r="T51" s="43" t="s">
        <v>61</v>
      </c>
      <c r="U51" s="46">
        <v>23940</v>
      </c>
      <c r="V51" s="22">
        <f>Tabla13[[#This Row],[Year 0]]*(1+$C$19)</f>
        <v>25137</v>
      </c>
      <c r="W51" s="22">
        <f>Tabla13[[#This Row],[Year 1]]*(1+$C$19)</f>
        <v>26393.850000000002</v>
      </c>
      <c r="X51" s="22">
        <f>Tabla13[[#This Row],[Year 2]]*(1+$C$19)</f>
        <v>27713.542500000003</v>
      </c>
      <c r="Y51" s="22">
        <f>Tabla13[[#This Row],[Year 3]]*(1+$C$19)</f>
        <v>29099.219625000005</v>
      </c>
      <c r="Z51" s="22">
        <f>Tabla13[[#This Row],[Year 4]]*(1+$C$19)</f>
        <v>30554.180606250007</v>
      </c>
      <c r="AA51" s="22">
        <f>Tabla13[[#This Row],[Year 5]]*(1+$C$19)</f>
        <v>32081.889636562508</v>
      </c>
      <c r="AB51" s="22">
        <f>Tabla13[[#This Row],[Year 6]]*(1+$C$19)</f>
        <v>33685.984118390632</v>
      </c>
      <c r="AC51" s="22">
        <f>Tabla13[[#This Row],[Year 7]]*(1+$C$19)</f>
        <v>35370.283324310163</v>
      </c>
      <c r="AD51" s="22">
        <f>Tabla13[[#This Row],[Year 8]]*(1+$C$19)</f>
        <v>37138.797490525671</v>
      </c>
      <c r="AE51" s="22">
        <f>Tabla13[[#This Row],[Year 9]]*(1+$C$19)</f>
        <v>38995.737365051958</v>
      </c>
    </row>
    <row r="52" spans="20:31" x14ac:dyDescent="0.35">
      <c r="T52" s="44" t="s">
        <v>62</v>
      </c>
      <c r="U52" s="47">
        <v>17040</v>
      </c>
      <c r="V52" s="22">
        <f>Tabla13[[#This Row],[Year 0]]*(1+$C$19)</f>
        <v>17892</v>
      </c>
      <c r="W52" s="22">
        <f>Tabla13[[#This Row],[Year 1]]*(1+$C$19)</f>
        <v>18786.600000000002</v>
      </c>
      <c r="X52" s="22">
        <f>Tabla13[[#This Row],[Year 2]]*(1+$C$19)</f>
        <v>19725.930000000004</v>
      </c>
      <c r="Y52" s="22">
        <f>Tabla13[[#This Row],[Year 3]]*(1+$C$19)</f>
        <v>20712.226500000004</v>
      </c>
      <c r="Z52" s="22">
        <f>Tabla13[[#This Row],[Year 4]]*(1+$C$19)</f>
        <v>21747.837825000006</v>
      </c>
      <c r="AA52" s="22">
        <f>Tabla13[[#This Row],[Year 5]]*(1+$C$19)</f>
        <v>22835.229716250007</v>
      </c>
      <c r="AB52" s="22">
        <f>Tabla13[[#This Row],[Year 6]]*(1+$C$19)</f>
        <v>23976.991202062509</v>
      </c>
      <c r="AC52" s="22">
        <f>Tabla13[[#This Row],[Year 7]]*(1+$C$19)</f>
        <v>25175.840762165637</v>
      </c>
      <c r="AD52" s="22">
        <f>Tabla13[[#This Row],[Year 8]]*(1+$C$19)</f>
        <v>26434.632800273921</v>
      </c>
      <c r="AE52" s="22">
        <f>Tabla13[[#This Row],[Year 9]]*(1+$C$19)</f>
        <v>27756.36444028762</v>
      </c>
    </row>
    <row r="53" spans="20:31" x14ac:dyDescent="0.35">
      <c r="T53" s="45" t="s">
        <v>63</v>
      </c>
      <c r="U53" s="48">
        <v>20200</v>
      </c>
      <c r="V53" s="22">
        <f>Tabla13[[#This Row],[Year 0]]*(1+$C$19)</f>
        <v>21210</v>
      </c>
      <c r="W53" s="22">
        <f>Tabla13[[#This Row],[Year 1]]*(1+$C$19)</f>
        <v>22270.5</v>
      </c>
      <c r="X53" s="22">
        <f>Tabla13[[#This Row],[Year 2]]*(1+$C$19)</f>
        <v>23384.025000000001</v>
      </c>
      <c r="Y53" s="22">
        <f>Tabla13[[#This Row],[Year 3]]*(1+$C$19)</f>
        <v>24553.226250000003</v>
      </c>
      <c r="Z53" s="22">
        <f>Tabla13[[#This Row],[Year 4]]*(1+$C$19)</f>
        <v>25780.887562500004</v>
      </c>
      <c r="AA53" s="22">
        <f>Tabla13[[#This Row],[Year 5]]*(1+$C$19)</f>
        <v>27069.931940625003</v>
      </c>
      <c r="AB53" s="22">
        <f>Tabla13[[#This Row],[Year 6]]*(1+$C$19)</f>
        <v>28423.428537656255</v>
      </c>
      <c r="AC53" s="22">
        <f>Tabla13[[#This Row],[Year 7]]*(1+$C$19)</f>
        <v>29844.599964539069</v>
      </c>
      <c r="AD53" s="22">
        <f>Tabla13[[#This Row],[Year 8]]*(1+$C$19)</f>
        <v>31336.829962766024</v>
      </c>
      <c r="AE53" s="22">
        <f>Tabla13[[#This Row],[Year 9]]*(1+$C$19)</f>
        <v>32903.671460904327</v>
      </c>
    </row>
  </sheetData>
  <phoneticPr fontId="1" type="noConversion"/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FD97-8D34-4FB1-92DF-657F8602C2CA}">
  <dimension ref="B1:AY6"/>
  <sheetViews>
    <sheetView topLeftCell="AM1" zoomScale="90" zoomScaleNormal="90" workbookViewId="0">
      <selection activeCell="S14" sqref="S14"/>
    </sheetView>
  </sheetViews>
  <sheetFormatPr baseColWidth="10" defaultColWidth="10.7265625" defaultRowHeight="14.5" x14ac:dyDescent="0.35"/>
  <cols>
    <col min="2" max="2" width="23.1796875" customWidth="1"/>
    <col min="3" max="3" width="11.1796875" bestFit="1" customWidth="1"/>
    <col min="12" max="51" width="10.81640625" customWidth="1"/>
  </cols>
  <sheetData>
    <row r="1" spans="2:51" x14ac:dyDescent="0.35">
      <c r="W1" t="s">
        <v>316</v>
      </c>
    </row>
    <row r="2" spans="2:51" x14ac:dyDescent="0.35">
      <c r="B2" t="s">
        <v>298</v>
      </c>
      <c r="C2" t="s">
        <v>49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95</v>
      </c>
      <c r="AN2" t="s">
        <v>96</v>
      </c>
      <c r="AO2" t="s">
        <v>97</v>
      </c>
      <c r="AP2" t="s">
        <v>98</v>
      </c>
      <c r="AQ2" t="s">
        <v>99</v>
      </c>
      <c r="AR2" t="s">
        <v>100</v>
      </c>
      <c r="AS2" t="s">
        <v>101</v>
      </c>
      <c r="AT2" t="s">
        <v>102</v>
      </c>
      <c r="AU2" t="s">
        <v>103</v>
      </c>
      <c r="AV2" t="s">
        <v>104</v>
      </c>
      <c r="AW2" t="s">
        <v>105</v>
      </c>
      <c r="AX2" t="s">
        <v>106</v>
      </c>
      <c r="AY2" t="s">
        <v>295</v>
      </c>
    </row>
    <row r="3" spans="2:51" x14ac:dyDescent="0.35">
      <c r="B3" t="s">
        <v>310</v>
      </c>
      <c r="C3">
        <f>(SUM(Cashflow!$D$51:$E$51)-Sales!J7)*Cashflow!$D$52</f>
        <v>582362.56881249999</v>
      </c>
      <c r="D3">
        <f>(SUM(Cashflow!$D$51:$E$51)-Sales!K7)*Cashflow!$D$52</f>
        <v>582362.56881249999</v>
      </c>
      <c r="E3">
        <f>(SUM(Cashflow!$D$51:$E$51)-Sales!L7)*Cashflow!$D$52</f>
        <v>582362.56881249999</v>
      </c>
      <c r="F3">
        <f>(SUM(Cashflow!$D$51:$E$51)-Sales!M7)*Cashflow!$D$52</f>
        <v>582362.56881249999</v>
      </c>
      <c r="G3">
        <f>(SUM(Cashflow!$D$51:$E$51)-Sales!N7)*Cashflow!$D$52</f>
        <v>582362.56881249999</v>
      </c>
      <c r="H3">
        <f>(SUM(Cashflow!$D$51:$E$51)-Sales!O7)*Cashflow!$D$52</f>
        <v>582362.56881249999</v>
      </c>
      <c r="I3">
        <f>(SUM(Cashflow!$D$51:$E$51)-Sales!P7)*(I4+Cashflow!$G$50)</f>
        <v>3523293.5413156245</v>
      </c>
      <c r="J3">
        <f>(SUM(Cashflow!$D$51:$E$51)-Sales!Q7)*(J4+Cashflow!$G$50)</f>
        <v>3552411.6697562495</v>
      </c>
      <c r="K3">
        <f ca="1">(SUM(Cashflow!$D$51:$E$51)-Sales!R7)*(K4+Cashflow!$G$50)</f>
        <v>3537394.9381968747</v>
      </c>
      <c r="L3">
        <f ca="1">(SUM(Cashflow!$D$51:$E$51)-Sales!S7)*L4</f>
        <v>684981.20257500012</v>
      </c>
      <c r="M3">
        <f ca="1">(SUM(Cashflow!$D$51:$E$51)-Sales!T7)*M4</f>
        <v>711042.46101562504</v>
      </c>
      <c r="N3">
        <f ca="1">(SUM(Cashflow!$D$51:$E$51)-Sales!U7)*N4</f>
        <v>736876.22945625009</v>
      </c>
      <c r="O3">
        <f ca="1">(SUM(Cashflow!$D$51:$E$51)-Sales!V7)*O4</f>
        <v>762479.82289687509</v>
      </c>
      <c r="P3">
        <f ca="1">(SUM(Cashflow!$D$51:$E$51)-Sales!W7)*P4</f>
        <v>787552.31633750012</v>
      </c>
      <c r="Q3">
        <f ca="1">(SUM(Cashflow!$D$51:$E$51)-Sales!X7)*Q4</f>
        <v>812369.55977812514</v>
      </c>
      <c r="R3">
        <f ca="1">(SUM(Cashflow!$D$51:$E$51)-Sales!Y7)*R4</f>
        <v>836929.00321875024</v>
      </c>
      <c r="S3">
        <f ca="1">(SUM(Cashflow!$D$51:$E$51)-Sales!Z7)*S4</f>
        <v>860898.16165937518</v>
      </c>
      <c r="T3">
        <f ca="1">(SUM(Cashflow!$D$51:$E$51)-Sales!AA7)*T4</f>
        <v>884586.03010000021</v>
      </c>
      <c r="U3">
        <f ca="1">(SUM(Cashflow!$D$51:$E$51)-Sales!AB7)*U4</f>
        <v>907990.4935406252</v>
      </c>
      <c r="V3">
        <f ca="1">(SUM(Cashflow!$D$51:$E$51)-Sales!AC7)*V4</f>
        <v>930747.90698125027</v>
      </c>
      <c r="W3">
        <f ca="1">(SUM(Cashflow!$D$51:$E$51)-Sales!AD7)*(W4+Cashflow!$G$51)</f>
        <v>2042570.8830468755</v>
      </c>
      <c r="X3">
        <f ca="1">(SUM(Cashflow!$D$51:$E$51)-Sales!AE7)*X4</f>
        <v>973384.14386250032</v>
      </c>
      <c r="Y3">
        <f ca="1">(SUM(Cashflow!$D$51:$E$51)-Sales!AF7)*Y4</f>
        <v>994743.4623031253</v>
      </c>
      <c r="Z3">
        <f ca="1">(SUM(Cashflow!$D$51:$E$51)-Sales!AG7)*Z4</f>
        <v>1015774.5207437504</v>
      </c>
      <c r="AA3">
        <f ca="1">(SUM(Cashflow!$D$51:$E$51)-Sales!AH7)*AA4</f>
        <v>1036476.4191843753</v>
      </c>
      <c r="AB3">
        <f ca="1">(SUM(Cashflow!$D$51:$E$51)-Sales!AI7)*AB4</f>
        <v>1056383.5376250003</v>
      </c>
      <c r="AC3">
        <f ca="1">(SUM(Cashflow!$D$51:$E$51)-Sales!AJ7)*AC4</f>
        <v>1075942.0260656255</v>
      </c>
      <c r="AD3">
        <f ca="1">(SUM(Cashflow!$D$51:$E$51)-Sales!AK7)*AD4</f>
        <v>1095151.4045062505</v>
      </c>
      <c r="AE3">
        <f ca="1">(SUM(Cashflow!$D$51:$E$51)-Sales!AL7)*AE4</f>
        <v>1113515.8929468754</v>
      </c>
      <c r="AF3">
        <f ca="1">(SUM(Cashflow!$D$51:$E$51)-Sales!AM7)*AF4</f>
        <v>1131514.0513875005</v>
      </c>
      <c r="AG3">
        <f ca="1">(SUM(Cashflow!$D$51:$E$51)-Sales!AN7)*AG4</f>
        <v>1149146.2548281255</v>
      </c>
      <c r="AH3">
        <f ca="1">(SUM(Cashflow!$D$51:$E$51)-Sales!AO7)*AH4</f>
        <v>1165840.0282687505</v>
      </c>
      <c r="AI3">
        <f ca="1">(SUM(Cashflow!$D$51:$E$51)-Sales!AP7)*(AI4+Cashflow!$G$51)</f>
        <v>2188238.6543343756</v>
      </c>
      <c r="AJ3">
        <f ca="1">(SUM(Cashflow!$D$51:$E$51)-Sales!AQ7)*AJ4</f>
        <v>1195668.6451500005</v>
      </c>
      <c r="AK3">
        <f ca="1">(SUM(Cashflow!$D$51:$E$51)-Sales!AR7)*AK4</f>
        <v>1210586.0835906256</v>
      </c>
      <c r="AL3">
        <f ca="1">(SUM(Cashflow!$D$51:$E$51)-Sales!AS7)*AL4</f>
        <v>1225110.6720312503</v>
      </c>
      <c r="AM3">
        <f ca="1">(SUM(Cashflow!$D$51:$E$51)-Sales!AT7)*AM4</f>
        <v>1239244.3304718754</v>
      </c>
      <c r="AN3">
        <f ca="1">(SUM(Cashflow!$D$51:$E$51)-Sales!AU7)*AN4</f>
        <v>1252360.8989125004</v>
      </c>
      <c r="AO3">
        <f ca="1">(SUM(Cashflow!$D$51:$E$51)-Sales!AV7)*AO4</f>
        <v>1265076.7923531255</v>
      </c>
      <c r="AP3">
        <f ca="1">(SUM(Cashflow!$D$51:$E$51)-Sales!AW7)*AP4</f>
        <v>1277395.2957937506</v>
      </c>
      <c r="AQ3">
        <f ca="1">(SUM(Cashflow!$D$51:$E$51)-Sales!AX7)*AQ4</f>
        <v>1294504.3892343754</v>
      </c>
      <c r="AR3">
        <f ca="1">(SUM(Cashflow!$D$51:$E$51)-Sales!AY7)*AR4</f>
        <v>1310833.3526750004</v>
      </c>
      <c r="AS3">
        <f ca="1">(SUM(Cashflow!$D$51:$E$51)-Sales!AZ7)*AS4</f>
        <v>1326876.4061156255</v>
      </c>
      <c r="AT3">
        <f ca="1">(SUM(Cashflow!$D$51:$E$51)-Sales!BA7)*AT4</f>
        <v>1342633.2095562506</v>
      </c>
      <c r="AU3">
        <f ca="1">(SUM(Cashflow!$D$51:$E$51)-Sales!BB7)*(AU4+Cashflow!$G$51)</f>
        <v>2277956.1856218753</v>
      </c>
      <c r="AV3">
        <f ca="1">(SUM(Cashflow!$D$51:$E$51)-Sales!BC7)*AV4</f>
        <v>1369446.2064375004</v>
      </c>
      <c r="AW3">
        <f ca="1">(SUM(Cashflow!$D$51:$E$51)-Sales!BD7)*AW4</f>
        <v>1383754.4048781255</v>
      </c>
      <c r="AX3">
        <f ca="1">(SUM(Cashflow!$D$51:$E$51)-Sales!BE7)*AX4</f>
        <v>1397208.0333187506</v>
      </c>
      <c r="AY3">
        <f ca="1">(SUM(Cashflow!$D$51:$E$51)-Sales!BF7)*AY4</f>
        <v>1410351.6067593757</v>
      </c>
    </row>
    <row r="4" spans="2:51" x14ac:dyDescent="0.35">
      <c r="B4" t="s">
        <v>312</v>
      </c>
      <c r="C4">
        <v>0.1</v>
      </c>
      <c r="D4">
        <f>IF(D6=0,Tabla8[[#This Row],[Month 1]],Tabla8[[#This Row],[Month 1]]+Cashflow!$G$49)</f>
        <v>0.1</v>
      </c>
      <c r="E4">
        <f>IF(E6=0,Tabla8[[#This Row],[Month 2]],Tabla8[[#This Row],[Month 2]]+Cashflow!$G$49)</f>
        <v>0.1</v>
      </c>
      <c r="F4">
        <f>IF(F6=0,Tabla8[[#This Row],[Month 3]],Tabla8[[#This Row],[Month 3]]+Cashflow!$G$49)</f>
        <v>0.1</v>
      </c>
      <c r="G4">
        <f>IF(G6=0,Tabla8[[#This Row],[Month 4]],Tabla8[[#This Row],[Month 4]]+Cashflow!$G$49)</f>
        <v>0.1</v>
      </c>
      <c r="H4">
        <v>0.1</v>
      </c>
      <c r="I4">
        <f>Tabla8[[#This Row],[Month 6]]+Cashflow!$G$49</f>
        <v>0.10500000000000001</v>
      </c>
      <c r="J4">
        <f>Tabla8[[#This Row],[Month 7]]+Cashflow!$G$49</f>
        <v>0.11000000000000001</v>
      </c>
      <c r="K4">
        <f>Tabla8[[#This Row],[Month 8]]+Cashflow!$G$49</f>
        <v>0.11500000000000002</v>
      </c>
      <c r="L4">
        <f>Tabla8[[#This Row],[Month 9]]+Cashflow!$G$49</f>
        <v>0.12000000000000002</v>
      </c>
      <c r="M4">
        <f>Tabla8[[#This Row],[Month 10]]+Cashflow!$G$49</f>
        <v>0.12500000000000003</v>
      </c>
      <c r="N4">
        <f>Tabla8[[#This Row],[Month 11]]+Cashflow!$G$49</f>
        <v>0.13000000000000003</v>
      </c>
      <c r="O4">
        <f>Tabla8[[#This Row],[Month 12]]+Cashflow!$G$49</f>
        <v>0.13500000000000004</v>
      </c>
      <c r="P4">
        <f>Tabla8[[#This Row],[Month 13]]+Cashflow!$G$49</f>
        <v>0.14000000000000004</v>
      </c>
      <c r="Q4">
        <f>Tabla8[[#This Row],[Month 14]]+Cashflow!$G$49</f>
        <v>0.14500000000000005</v>
      </c>
      <c r="R4">
        <f>Tabla8[[#This Row],[Month 15]]+Cashflow!$G$49</f>
        <v>0.15000000000000005</v>
      </c>
      <c r="S4">
        <f>Tabla8[[#This Row],[Month 16]]+Cashflow!$G$49</f>
        <v>0.15500000000000005</v>
      </c>
      <c r="T4">
        <f>Tabla8[[#This Row],[Month 17]]+Cashflow!$G$49</f>
        <v>0.16000000000000006</v>
      </c>
      <c r="U4">
        <f>Tabla8[[#This Row],[Month 18]]+Cashflow!$G$49</f>
        <v>0.16500000000000006</v>
      </c>
      <c r="V4">
        <f>Tabla8[[#This Row],[Month 19]]+Cashflow!$G$49</f>
        <v>0.17000000000000007</v>
      </c>
      <c r="W4">
        <f>Tabla8[[#This Row],[Month 20]]+Cashflow!$G$49</f>
        <v>0.17500000000000007</v>
      </c>
      <c r="X4">
        <f>Tabla8[[#This Row],[Month 21]]+Cashflow!$G$49</f>
        <v>0.18000000000000008</v>
      </c>
      <c r="Y4">
        <f>Tabla8[[#This Row],[Month 22]]+Cashflow!$G$49</f>
        <v>0.18500000000000008</v>
      </c>
      <c r="Z4">
        <f>Tabla8[[#This Row],[Month 23]]+Cashflow!$G$49</f>
        <v>0.19000000000000009</v>
      </c>
      <c r="AA4">
        <f>Tabla8[[#This Row],[Month 24]]+Cashflow!$G$49</f>
        <v>0.19500000000000009</v>
      </c>
      <c r="AB4">
        <f>Tabla8[[#This Row],[Month 25]]+Cashflow!$G$49</f>
        <v>0.20000000000000009</v>
      </c>
      <c r="AC4">
        <f>Tabla8[[#This Row],[Month 26]]+Cashflow!$G$49</f>
        <v>0.2050000000000001</v>
      </c>
      <c r="AD4">
        <f>Tabla8[[#This Row],[Month 27]]+Cashflow!$G$49</f>
        <v>0.2100000000000001</v>
      </c>
      <c r="AE4">
        <f>Tabla8[[#This Row],[Month 28]]+Cashflow!$G$49</f>
        <v>0.21500000000000011</v>
      </c>
      <c r="AF4">
        <f>Tabla8[[#This Row],[Month 29]]+Cashflow!$G$49</f>
        <v>0.22000000000000011</v>
      </c>
      <c r="AG4">
        <f>Tabla8[[#This Row],[Month 30]]+Cashflow!$G$49</f>
        <v>0.22500000000000012</v>
      </c>
      <c r="AH4">
        <f>Tabla8[[#This Row],[Month 31]]+Cashflow!$G$49</f>
        <v>0.23000000000000012</v>
      </c>
      <c r="AI4">
        <f>Tabla8[[#This Row],[Month 32]]+Cashflow!$G$49</f>
        <v>0.23500000000000013</v>
      </c>
      <c r="AJ4">
        <f>Tabla8[[#This Row],[Month 33]]+Cashflow!$G$49</f>
        <v>0.24000000000000013</v>
      </c>
      <c r="AK4">
        <f>Tabla8[[#This Row],[Month 34]]+Cashflow!$G$49</f>
        <v>0.24500000000000013</v>
      </c>
      <c r="AL4">
        <f>Tabla8[[#This Row],[Month 35]]+Cashflow!$G$49</f>
        <v>0.25000000000000011</v>
      </c>
      <c r="AM4">
        <f>Tabla8[[#This Row],[Month 36]]+Cashflow!$G$49</f>
        <v>0.25500000000000012</v>
      </c>
      <c r="AN4">
        <f>Tabla8[[#This Row],[Month 37]]+Cashflow!$G$49</f>
        <v>0.26000000000000012</v>
      </c>
      <c r="AO4">
        <f>Tabla8[[#This Row],[Month 38]]+Cashflow!$G$49</f>
        <v>0.26500000000000012</v>
      </c>
      <c r="AP4">
        <f>Tabla8[[#This Row],[Month 39]]+Cashflow!$G$49</f>
        <v>0.27000000000000013</v>
      </c>
      <c r="AQ4">
        <f>Tabla8[[#This Row],[Month 40]]+Cashflow!$G$49</f>
        <v>0.27500000000000013</v>
      </c>
      <c r="AR4">
        <f>Tabla8[[#This Row],[Month 41]]+Cashflow!$G$49</f>
        <v>0.28000000000000014</v>
      </c>
      <c r="AS4">
        <f>Tabla8[[#This Row],[Month 42]]+Cashflow!$G$49</f>
        <v>0.28500000000000014</v>
      </c>
      <c r="AT4">
        <f>Tabla8[[#This Row],[Month 43]]+Cashflow!$G$49</f>
        <v>0.29000000000000015</v>
      </c>
      <c r="AU4">
        <f>Tabla8[[#This Row],[Month 44]]+Cashflow!$G$49</f>
        <v>0.29500000000000015</v>
      </c>
      <c r="AV4">
        <f>Tabla8[[#This Row],[Month 45]]+Cashflow!$G$49</f>
        <v>0.30000000000000016</v>
      </c>
      <c r="AW4">
        <f>Tabla8[[#This Row],[Month 46]]+Cashflow!$G$49</f>
        <v>0.30500000000000016</v>
      </c>
      <c r="AX4">
        <f>Tabla8[[#This Row],[Month 47]]+Cashflow!$G$49</f>
        <v>0.31000000000000016</v>
      </c>
      <c r="AY4">
        <f>Tabla8[[#This Row],[Month 48]]+Cashflow!$G$49</f>
        <v>0.31500000000000017</v>
      </c>
    </row>
    <row r="5" spans="2:51" x14ac:dyDescent="0.35">
      <c r="B5" t="s">
        <v>318</v>
      </c>
      <c r="C5">
        <f>IF(C6=0,0,C3*Cashflow!$G$48)</f>
        <v>0</v>
      </c>
      <c r="D5">
        <f>IF(D6=0,0,D3*Cashflow!$G$48)</f>
        <v>0</v>
      </c>
      <c r="E5">
        <f>IF(E6=0,0,E3*Cashflow!$G$48)</f>
        <v>0</v>
      </c>
      <c r="F5">
        <f>IF(F6=0,0,F3*Cashflow!$G$48)</f>
        <v>0</v>
      </c>
      <c r="G5">
        <f>IF(G6=0,0,G3*Cashflow!$G$48)</f>
        <v>0</v>
      </c>
      <c r="H5">
        <f>IF(H6=0,0,H3*Cashflow!$G$48)</f>
        <v>0</v>
      </c>
      <c r="I5">
        <f>IF(I6=0,0,I3*Cashflow!$G$48)</f>
        <v>35232.935413156243</v>
      </c>
      <c r="J5">
        <f>IF(J6=0,0,J3*Cashflow!$G$48)</f>
        <v>35524.116697562495</v>
      </c>
      <c r="K5">
        <f ca="1">IF(K6=0,0,K3*Cashflow!$G$48)</f>
        <v>35373.949381968749</v>
      </c>
      <c r="L5">
        <f ca="1">IF(L6=0,0,L3*Cashflow!$G$48)</f>
        <v>6849.8120257500013</v>
      </c>
      <c r="M5">
        <f ca="1">IF(M6=0,0,M3*Cashflow!$G$48)</f>
        <v>7110.4246101562503</v>
      </c>
      <c r="N5">
        <f ca="1">IF(N6=0,0,N3*Cashflow!$G$48)</f>
        <v>7368.7622945625008</v>
      </c>
      <c r="O5">
        <f ca="1">IF(O6=0,0,O3*Cashflow!$G$48)</f>
        <v>7624.7982289687507</v>
      </c>
      <c r="P5">
        <f ca="1">IF(P6=0,0,P3*Cashflow!$G$48)</f>
        <v>7875.5231633750018</v>
      </c>
      <c r="Q5">
        <f ca="1">IF(Q6=0,0,Q3*Cashflow!$G$48)</f>
        <v>8123.6955977812513</v>
      </c>
      <c r="R5">
        <f ca="1">IF(R6=0,0,R3*Cashflow!$G$48)</f>
        <v>8369.2900321875022</v>
      </c>
      <c r="S5">
        <f ca="1">IF(S6=0,0,S3*Cashflow!$G$48)</f>
        <v>8608.9816165937518</v>
      </c>
      <c r="T5">
        <f ca="1">IF(T6=0,0,T3*Cashflow!$G$48)</f>
        <v>8845.8603010000024</v>
      </c>
      <c r="U5">
        <f ca="1">IF(U6=0,0,U3*Cashflow!$G$48)</f>
        <v>9079.9049354062518</v>
      </c>
      <c r="V5">
        <f ca="1">IF(V6=0,0,V3*Cashflow!$G$48)</f>
        <v>9307.4790698125034</v>
      </c>
      <c r="W5">
        <f ca="1">IF(W6=0,0,W3*Cashflow!$G$48)</f>
        <v>20425.708830468757</v>
      </c>
      <c r="X5">
        <f ca="1">IF(X6=0,0,X3*Cashflow!$G$48)</f>
        <v>9733.8414386250042</v>
      </c>
      <c r="Y5">
        <f ca="1">IF(Y6=0,0,Y3*Cashflow!$G$48)</f>
        <v>9947.4346230312531</v>
      </c>
      <c r="Z5">
        <f ca="1">IF(Z6=0,0,Z3*Cashflow!$G$48)</f>
        <v>10157.745207437503</v>
      </c>
      <c r="AA5">
        <f ca="1">IF(AA6=0,0,AA3*Cashflow!$G$48)</f>
        <v>10364.764191843753</v>
      </c>
      <c r="AB5">
        <f ca="1">IF(AB6=0,0,AB3*Cashflow!$G$48)</f>
        <v>10563.835376250003</v>
      </c>
      <c r="AC5">
        <f ca="1">IF(AC6=0,0,AC3*Cashflow!$G$48)</f>
        <v>10759.420260656256</v>
      </c>
      <c r="AD5">
        <f ca="1">IF(AD6=0,0,AD3*Cashflow!$G$48)</f>
        <v>10951.514045062506</v>
      </c>
      <c r="AE5">
        <f ca="1">IF(AE6=0,0,AE3*Cashflow!$G$48)</f>
        <v>11135.158929468755</v>
      </c>
      <c r="AF5">
        <f ca="1">IF(AF6=0,0,AF3*Cashflow!$G$48)</f>
        <v>11315.140513875005</v>
      </c>
      <c r="AG5">
        <f ca="1">IF(AG6=0,0,AG3*Cashflow!$G$48)</f>
        <v>11491.462548281255</v>
      </c>
      <c r="AH5">
        <f ca="1">IF(AH6=0,0,AH3*Cashflow!$G$48)</f>
        <v>11658.400282687506</v>
      </c>
      <c r="AI5">
        <f ca="1">IF(AI6=0,0,AI3*Cashflow!$G$48)</f>
        <v>21882.386543343757</v>
      </c>
      <c r="AJ5">
        <f ca="1">IF(AJ6=0,0,AJ3*Cashflow!$G$48)</f>
        <v>11956.686451500005</v>
      </c>
      <c r="AK5">
        <f ca="1">IF(AK6=0,0,AK3*Cashflow!$G$48)</f>
        <v>12105.860835906256</v>
      </c>
      <c r="AL5">
        <f ca="1">IF(AL6=0,0,AL3*Cashflow!$G$48)</f>
        <v>12251.106720312504</v>
      </c>
      <c r="AM5">
        <f ca="1">IF(AM6=0,0,AM3*Cashflow!$G$48)</f>
        <v>12392.443304718754</v>
      </c>
      <c r="AN5">
        <f ca="1">IF(AN6=0,0,AN3*Cashflow!$G$48)</f>
        <v>12523.608989125003</v>
      </c>
      <c r="AO5">
        <f ca="1">IF(AO6=0,0,AO3*Cashflow!$G$48)</f>
        <v>12650.767923531255</v>
      </c>
      <c r="AP5">
        <f ca="1">IF(AP6=0,0,AP3*Cashflow!$G$48)</f>
        <v>12773.952957937507</v>
      </c>
      <c r="AQ5">
        <f ca="1">IF(AQ6=0,0,AQ3*Cashflow!$G$48)</f>
        <v>12945.043892343754</v>
      </c>
      <c r="AR5">
        <f ca="1">IF(AR6=0,0,AR3*Cashflow!$G$48)</f>
        <v>13108.333526750004</v>
      </c>
      <c r="AS5">
        <f ca="1">IF(AS6=0,0,AS3*Cashflow!$G$48)</f>
        <v>13268.764061156255</v>
      </c>
      <c r="AT5">
        <f ca="1">IF(AT6=0,0,AT3*Cashflow!$G$48)</f>
        <v>13426.332095562506</v>
      </c>
      <c r="AU5">
        <f ca="1">IF(AU6=0,0,AU3*Cashflow!$G$48)</f>
        <v>22779.561856218756</v>
      </c>
      <c r="AV5">
        <f ca="1">IF(AV6=0,0,AV3*Cashflow!$G$48)</f>
        <v>13694.462064375004</v>
      </c>
      <c r="AW5">
        <f ca="1">IF(AW6=0,0,AW3*Cashflow!$G$48)</f>
        <v>13837.544048781256</v>
      </c>
      <c r="AX5">
        <f ca="1">IF(AX6=0,0,AX3*Cashflow!$G$48)</f>
        <v>13972.080333187507</v>
      </c>
      <c r="AY5">
        <f ca="1">IF(AY6=0,0,AY3*Cashflow!$G$48)</f>
        <v>14103.516067593757</v>
      </c>
    </row>
    <row r="6" spans="2:51" x14ac:dyDescent="0.35">
      <c r="B6" t="s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f>GEOMEAN(Cashflow!$D$54:$E$54)*I3</f>
        <v>105698.80623946873</v>
      </c>
      <c r="J6">
        <f>GEOMEAN(Cashflow!$D$54:$E$54)*J3</f>
        <v>106572.35009268748</v>
      </c>
      <c r="K6">
        <f ca="1">GEOMEAN(Cashflow!$D$54:$E$54)*K3</f>
        <v>106121.84814590623</v>
      </c>
      <c r="L6">
        <f ca="1">GEOMEAN(Cashflow!$D$54:$E$54)*L3</f>
        <v>20549.436077250004</v>
      </c>
      <c r="M6">
        <f ca="1">GEOMEAN(Cashflow!$D$54:$E$54)*M3</f>
        <v>21331.273830468752</v>
      </c>
      <c r="N6">
        <f ca="1">GEOMEAN(Cashflow!$D$54:$E$54)*N3</f>
        <v>22106.286883687502</v>
      </c>
      <c r="O6">
        <f ca="1">GEOMEAN(Cashflow!$D$54:$E$54)*O3</f>
        <v>22874.394686906253</v>
      </c>
      <c r="P6">
        <f ca="1">GEOMEAN(Cashflow!$D$54:$E$54)*P3</f>
        <v>23626.569490125003</v>
      </c>
      <c r="Q6">
        <f ca="1">GEOMEAN(Cashflow!$D$54:$E$54)*Q3</f>
        <v>24371.086793343755</v>
      </c>
      <c r="R6">
        <f ca="1">GEOMEAN(Cashflow!$D$54:$E$54)*R3</f>
        <v>25107.870096562507</v>
      </c>
      <c r="S6">
        <f ca="1">GEOMEAN(Cashflow!$D$54:$E$54)*S3</f>
        <v>25826.944849781255</v>
      </c>
      <c r="T6">
        <f ca="1">GEOMEAN(Cashflow!$D$54:$E$54)*T3</f>
        <v>26537.580903000005</v>
      </c>
      <c r="U6">
        <f ca="1">GEOMEAN(Cashflow!$D$54:$E$54)*U3</f>
        <v>27239.714806218755</v>
      </c>
      <c r="V6">
        <f ca="1">GEOMEAN(Cashflow!$D$54:$E$54)*V3</f>
        <v>27922.437209437507</v>
      </c>
      <c r="W6">
        <f ca="1">GEOMEAN(Cashflow!$D$54:$E$54)*W3</f>
        <v>61277.126491406263</v>
      </c>
      <c r="X6">
        <f ca="1">GEOMEAN(Cashflow!$D$54:$E$54)*X3</f>
        <v>29201.524315875009</v>
      </c>
      <c r="Y6">
        <f ca="1">GEOMEAN(Cashflow!$D$54:$E$54)*Y3</f>
        <v>29842.303869093757</v>
      </c>
      <c r="Z6">
        <f ca="1">GEOMEAN(Cashflow!$D$54:$E$54)*Z3</f>
        <v>30473.23562231251</v>
      </c>
      <c r="AA6">
        <f ca="1">GEOMEAN(Cashflow!$D$54:$E$54)*AA3</f>
        <v>31094.292575531257</v>
      </c>
      <c r="AB6">
        <f ca="1">GEOMEAN(Cashflow!$D$54:$E$54)*AB3</f>
        <v>31691.50612875001</v>
      </c>
      <c r="AC6">
        <f ca="1">GEOMEAN(Cashflow!$D$54:$E$54)*AC3</f>
        <v>32278.260781968762</v>
      </c>
      <c r="AD6">
        <f ca="1">GEOMEAN(Cashflow!$D$54:$E$54)*AD3</f>
        <v>32854.542135187512</v>
      </c>
      <c r="AE6">
        <f ca="1">GEOMEAN(Cashflow!$D$54:$E$54)*AE3</f>
        <v>33405.47678840626</v>
      </c>
      <c r="AF6">
        <f ca="1">GEOMEAN(Cashflow!$D$54:$E$54)*AF3</f>
        <v>33945.421541625015</v>
      </c>
      <c r="AG6">
        <f ca="1">GEOMEAN(Cashflow!$D$54:$E$54)*AG3</f>
        <v>34474.387644843766</v>
      </c>
      <c r="AH6">
        <f ca="1">GEOMEAN(Cashflow!$D$54:$E$54)*AH3</f>
        <v>34975.200848062515</v>
      </c>
      <c r="AI6">
        <f ca="1">GEOMEAN(Cashflow!$D$54:$E$54)*AI3</f>
        <v>65647.159630031267</v>
      </c>
      <c r="AJ6">
        <f ca="1">GEOMEAN(Cashflow!$D$54:$E$54)*AJ3</f>
        <v>35870.059354500016</v>
      </c>
      <c r="AK6">
        <f ca="1">GEOMEAN(Cashflow!$D$54:$E$54)*AK3</f>
        <v>36317.582507718762</v>
      </c>
      <c r="AL6">
        <f ca="1">GEOMEAN(Cashflow!$D$54:$E$54)*AL3</f>
        <v>36753.32016093751</v>
      </c>
      <c r="AM6">
        <f ca="1">GEOMEAN(Cashflow!$D$54:$E$54)*AM3</f>
        <v>37177.32991415626</v>
      </c>
      <c r="AN6">
        <f ca="1">GEOMEAN(Cashflow!$D$54:$E$54)*AN3</f>
        <v>37570.826967375011</v>
      </c>
      <c r="AO6">
        <f ca="1">GEOMEAN(Cashflow!$D$54:$E$54)*AO3</f>
        <v>37952.303770593768</v>
      </c>
      <c r="AP6">
        <f ca="1">GEOMEAN(Cashflow!$D$54:$E$54)*AP3</f>
        <v>38321.858873812518</v>
      </c>
      <c r="AQ6">
        <f ca="1">GEOMEAN(Cashflow!$D$54:$E$54)*AQ3</f>
        <v>38835.131677031262</v>
      </c>
      <c r="AR6">
        <f ca="1">GEOMEAN(Cashflow!$D$54:$E$54)*AR3</f>
        <v>39325.000580250009</v>
      </c>
      <c r="AS6">
        <f ca="1">GEOMEAN(Cashflow!$D$54:$E$54)*AS3</f>
        <v>39806.292183468766</v>
      </c>
      <c r="AT6">
        <f ca="1">GEOMEAN(Cashflow!$D$54:$E$54)*AT3</f>
        <v>40278.996286687514</v>
      </c>
      <c r="AU6">
        <f ca="1">GEOMEAN(Cashflow!$D$54:$E$54)*AU3</f>
        <v>68338.685568656263</v>
      </c>
      <c r="AV6">
        <f ca="1">GEOMEAN(Cashflow!$D$54:$E$54)*AV3</f>
        <v>41083.386193125014</v>
      </c>
      <c r="AW6">
        <f ca="1">GEOMEAN(Cashflow!$D$54:$E$54)*AW3</f>
        <v>41512.632146343763</v>
      </c>
      <c r="AX6">
        <f ca="1">GEOMEAN(Cashflow!$D$54:$E$54)*AX3</f>
        <v>41916.240999562513</v>
      </c>
      <c r="AY6">
        <f ca="1">GEOMEAN(Cashflow!$D$54:$E$54)*AY3</f>
        <v>42310.548202781269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3054-3305-405E-B452-0051B90AA73C}">
  <dimension ref="B2:P12"/>
  <sheetViews>
    <sheetView workbookViewId="0">
      <selection activeCell="B6" sqref="B6"/>
    </sheetView>
  </sheetViews>
  <sheetFormatPr baseColWidth="10" defaultColWidth="10.7265625" defaultRowHeight="14.5" x14ac:dyDescent="0.35"/>
  <cols>
    <col min="2" max="2" width="34.453125" customWidth="1"/>
  </cols>
  <sheetData>
    <row r="2" spans="2:16" x14ac:dyDescent="0.35">
      <c r="D2" s="211"/>
      <c r="E2" s="211"/>
      <c r="F2" s="211"/>
      <c r="G2" s="212"/>
      <c r="H2" s="212"/>
      <c r="I2" s="212"/>
      <c r="J2" s="212"/>
      <c r="K2" s="212"/>
      <c r="L2" s="212"/>
      <c r="M2" s="212"/>
      <c r="N2" s="212"/>
      <c r="O2" s="212"/>
      <c r="P2" s="212"/>
    </row>
    <row r="3" spans="2:16" ht="15.5" customHeight="1" x14ac:dyDescent="0.35">
      <c r="B3" s="210"/>
      <c r="C3" s="209" t="s">
        <v>128</v>
      </c>
      <c r="D3" s="209" t="s">
        <v>169</v>
      </c>
      <c r="E3" s="209" t="s">
        <v>127</v>
      </c>
      <c r="F3" s="209" t="s">
        <v>171</v>
      </c>
    </row>
    <row r="4" spans="2:16" ht="17.5" customHeight="1" x14ac:dyDescent="0.35">
      <c r="B4" s="215" t="s">
        <v>389</v>
      </c>
      <c r="C4" s="208">
        <f>Salaries!S14</f>
        <v>23</v>
      </c>
      <c r="D4" s="208">
        <v>800</v>
      </c>
      <c r="E4" s="208">
        <v>4</v>
      </c>
      <c r="F4" s="208">
        <v>0</v>
      </c>
    </row>
    <row r="5" spans="2:16" ht="18.5" customHeight="1" x14ac:dyDescent="0.35">
      <c r="B5" s="215" t="s">
        <v>390</v>
      </c>
      <c r="C5" s="208">
        <f>Salaries!AE14-C4</f>
        <v>4</v>
      </c>
      <c r="D5" s="208">
        <v>800</v>
      </c>
      <c r="E5" s="208">
        <v>4</v>
      </c>
      <c r="F5" s="208">
        <v>1</v>
      </c>
    </row>
    <row r="6" spans="2:16" x14ac:dyDescent="0.35">
      <c r="C6" s="210"/>
      <c r="D6" s="210"/>
      <c r="E6" s="210"/>
      <c r="F6" s="210"/>
    </row>
    <row r="8" spans="2:16" x14ac:dyDescent="0.35">
      <c r="C8" s="308" t="s">
        <v>170</v>
      </c>
      <c r="D8" s="308"/>
      <c r="E8" s="308"/>
      <c r="F8" s="308"/>
      <c r="G8" s="308"/>
      <c r="H8" s="308"/>
      <c r="I8" s="308"/>
      <c r="J8" s="308"/>
      <c r="K8" s="308"/>
      <c r="L8" s="308"/>
    </row>
    <row r="9" spans="2:16" x14ac:dyDescent="0.35">
      <c r="B9" s="213" t="s">
        <v>386</v>
      </c>
      <c r="C9" s="209">
        <v>1</v>
      </c>
      <c r="D9" s="209">
        <v>2</v>
      </c>
      <c r="E9" s="209">
        <v>3</v>
      </c>
      <c r="F9" s="209">
        <v>4</v>
      </c>
      <c r="G9" s="209">
        <v>5</v>
      </c>
      <c r="H9" s="209">
        <v>6</v>
      </c>
      <c r="I9" s="209">
        <v>7</v>
      </c>
      <c r="J9" s="209">
        <v>8</v>
      </c>
      <c r="K9" s="209">
        <v>9</v>
      </c>
      <c r="L9" s="209">
        <v>10</v>
      </c>
    </row>
    <row r="10" spans="2:16" x14ac:dyDescent="0.35">
      <c r="B10" s="214" t="s">
        <v>387</v>
      </c>
      <c r="C10" s="208">
        <f t="shared" ref="C10:L10" si="0">IF(AND(C$9&lt;=$F4+$E4,C$9&gt;$F4),$C4*$D4/$E4,0)</f>
        <v>4600</v>
      </c>
      <c r="D10" s="208">
        <f t="shared" si="0"/>
        <v>4600</v>
      </c>
      <c r="E10" s="208">
        <f t="shared" si="0"/>
        <v>4600</v>
      </c>
      <c r="F10" s="208">
        <f t="shared" si="0"/>
        <v>4600</v>
      </c>
      <c r="G10" s="208">
        <f t="shared" si="0"/>
        <v>0</v>
      </c>
      <c r="H10" s="208">
        <f t="shared" si="0"/>
        <v>0</v>
      </c>
      <c r="I10" s="208">
        <f t="shared" si="0"/>
        <v>0</v>
      </c>
      <c r="J10" s="208">
        <f t="shared" si="0"/>
        <v>0</v>
      </c>
      <c r="K10" s="208">
        <f t="shared" si="0"/>
        <v>0</v>
      </c>
      <c r="L10" s="208">
        <f t="shared" si="0"/>
        <v>0</v>
      </c>
    </row>
    <row r="11" spans="2:16" x14ac:dyDescent="0.35">
      <c r="B11" s="214" t="s">
        <v>388</v>
      </c>
      <c r="C11" s="208">
        <f t="shared" ref="C11:L11" si="1">IF(AND(C$9&lt;=$F5+$E5,C$9&gt;$F5),$C5*$D5/$E5,0)</f>
        <v>0</v>
      </c>
      <c r="D11" s="208">
        <f t="shared" si="1"/>
        <v>800</v>
      </c>
      <c r="E11" s="208">
        <f t="shared" si="1"/>
        <v>800</v>
      </c>
      <c r="F11" s="208">
        <f t="shared" si="1"/>
        <v>800</v>
      </c>
      <c r="G11" s="208">
        <f t="shared" si="1"/>
        <v>800</v>
      </c>
      <c r="H11" s="208">
        <f t="shared" si="1"/>
        <v>0</v>
      </c>
      <c r="I11" s="208">
        <f t="shared" si="1"/>
        <v>0</v>
      </c>
      <c r="J11" s="208">
        <f t="shared" si="1"/>
        <v>0</v>
      </c>
      <c r="K11" s="208">
        <f t="shared" si="1"/>
        <v>0</v>
      </c>
      <c r="L11" s="208">
        <f t="shared" si="1"/>
        <v>0</v>
      </c>
    </row>
    <row r="12" spans="2:16" x14ac:dyDescent="0.35">
      <c r="B12" s="209" t="s">
        <v>69</v>
      </c>
      <c r="C12" s="208">
        <f>SUM(C10:C11)</f>
        <v>4600</v>
      </c>
      <c r="D12" s="208">
        <f t="shared" ref="D12:L12" si="2">SUM(D10:D11)</f>
        <v>5400</v>
      </c>
      <c r="E12" s="208">
        <f t="shared" si="2"/>
        <v>5400</v>
      </c>
      <c r="F12" s="208">
        <f t="shared" si="2"/>
        <v>5400</v>
      </c>
      <c r="G12" s="208">
        <f t="shared" si="2"/>
        <v>800</v>
      </c>
      <c r="H12" s="208">
        <f t="shared" si="2"/>
        <v>0</v>
      </c>
      <c r="I12" s="208">
        <f t="shared" si="2"/>
        <v>0</v>
      </c>
      <c r="J12" s="208">
        <f t="shared" si="2"/>
        <v>0</v>
      </c>
      <c r="K12" s="208">
        <f t="shared" si="2"/>
        <v>0</v>
      </c>
      <c r="L12" s="208">
        <f t="shared" si="2"/>
        <v>0</v>
      </c>
    </row>
  </sheetData>
  <mergeCells count="1">
    <mergeCell ref="C8:L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Cashflow</vt:lpstr>
      <vt:lpstr>Sales</vt:lpstr>
      <vt:lpstr>Other incomes</vt:lpstr>
      <vt:lpstr>Loans</vt:lpstr>
      <vt:lpstr>Salaries</vt:lpstr>
      <vt:lpstr>Marketing</vt:lpstr>
      <vt:lpstr>Amortization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Escriba Molto</dc:creator>
  <cp:lastModifiedBy>David Pérez</cp:lastModifiedBy>
  <dcterms:created xsi:type="dcterms:W3CDTF">2023-02-25T17:53:41Z</dcterms:created>
  <dcterms:modified xsi:type="dcterms:W3CDTF">2023-03-10T22:56:44Z</dcterms:modified>
</cp:coreProperties>
</file>