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hidePivotFieldList="1" defaultThemeVersion="166925"/>
  <mc:AlternateContent xmlns:mc="http://schemas.openxmlformats.org/markup-compatibility/2006">
    <mc:Choice Requires="x15">
      <x15ac:absPath xmlns:x15ac="http://schemas.microsoft.com/office/spreadsheetml/2010/11/ac" url="/Users/davidscatterday/Documents/StreamlitProjectYFinance/"/>
    </mc:Choice>
  </mc:AlternateContent>
  <xr:revisionPtr revIDLastSave="0" documentId="8_{F084AC95-856E-8C4F-85DD-316C100DCB8C}" xr6:coauthVersionLast="47" xr6:coauthVersionMax="47" xr10:uidLastSave="{00000000-0000-0000-0000-000000000000}"/>
  <bookViews>
    <workbookView xWindow="0" yWindow="500" windowWidth="23260" windowHeight="16280" tabRatio="789" activeTab="1" xr2:uid="{58B611BB-AFCE-47FE-90EA-17B82A257A63}"/>
  </bookViews>
  <sheets>
    <sheet name="Max average portfolio return" sheetId="2" r:id="rId1"/>
    <sheet name="Maximize impact score" sheetId="18" r:id="rId2"/>
    <sheet name="pivots" sheetId="15" r:id="rId3"/>
    <sheet name="TRANSACTIONS" sheetId="13" r:id="rId4"/>
    <sheet name="Notes" sheetId="16" r:id="rId5"/>
    <sheet name="Impact Scores" sheetId="19" r:id="rId6"/>
    <sheet name="HELP" sheetId="12" r:id="rId7"/>
  </sheets>
  <definedNames>
    <definedName name="_xlnm._FilterDatabase" localSheetId="5" hidden="1">'Impact Scores'!$A$4:$AL$4</definedName>
    <definedName name="C_CASH_AVL">HELP!$D$35</definedName>
    <definedName name="C_CNT_STOCKS">HELP!$F$1</definedName>
    <definedName name="C_CURR_VALUE">HELP!$D$33</definedName>
    <definedName name="C_LAST_TRADE_TIME" localSheetId="1">'Maximize impact score'!$M$1</definedName>
    <definedName name="C_LAST_TRADE_TIME">'Max average portfolio return'!$M$1</definedName>
    <definedName name="C_TODAY_GAINLOSS">HELP!$D$40</definedName>
    <definedName name="C_TODAY_GAINLOSS_P">HELP!$D$41</definedName>
    <definedName name="C_TOT_GAINLOSS">HELP!$D$37</definedName>
    <definedName name="I_EXH_1">HELP!$E$14</definedName>
    <definedName name="I_EXH_2">HELP!$E$15</definedName>
    <definedName name="I_EXH_3">HELP!$E$16</definedName>
    <definedName name="I_ST_CASH">TRANSACTIONS!$D$1</definedName>
    <definedName name="L_ATTR" localSheetId="1">T_ATTR[Attribute]</definedName>
    <definedName name="L_ATTR">T_ATTR[Attribute]</definedName>
    <definedName name="L_TICKERS" localSheetId="1">T_WATCHLIST4[Stock]</definedName>
    <definedName name="L_TICKERS">T_WATCHLIST[Stock]</definedName>
    <definedName name="solver_adj" localSheetId="0" hidden="1">'Max average portfolio return'!$H$3:$H$22</definedName>
    <definedName name="solver_adj" localSheetId="1" hidden="1">'Maximize impact score'!$H$3:$H$6</definedName>
    <definedName name="solver_cvg" localSheetId="0" hidden="1">0.0001</definedName>
    <definedName name="solver_cvg" localSheetId="1" hidden="1">0.0001</definedName>
    <definedName name="solver_drv" localSheetId="0" hidden="1">2</definedName>
    <definedName name="solver_drv" localSheetId="1" hidden="1">2</definedName>
    <definedName name="solver_eng" localSheetId="0" hidden="1">1</definedName>
    <definedName name="solver_eng" localSheetId="1" hidden="1">1</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lhs1" localSheetId="0" hidden="1">'Max average portfolio return'!$B$34</definedName>
    <definedName name="solver_lhs1" localSheetId="1" hidden="1">'Maximize impact score'!$B$34</definedName>
    <definedName name="solver_lhs2" localSheetId="0" hidden="1">'Max average portfolio return'!$B$35</definedName>
    <definedName name="solver_lhs2" localSheetId="1" hidden="1">'Maximize impact score'!$B$35</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2</definedName>
    <definedName name="solver_num" localSheetId="1" hidden="1">2</definedName>
    <definedName name="solver_nwt" localSheetId="0" hidden="1">1</definedName>
    <definedName name="solver_nwt" localSheetId="1" hidden="1">1</definedName>
    <definedName name="solver_opt" localSheetId="0" hidden="1">'Max average portfolio return'!$B$31</definedName>
    <definedName name="solver_opt" localSheetId="1" hidden="1">'Maximize impact score'!$B$31</definedName>
    <definedName name="solver_pre" localSheetId="0" hidden="1">0.000001</definedName>
    <definedName name="solver_pre" localSheetId="1" hidden="1">0.000001</definedName>
    <definedName name="solver_rbv" localSheetId="0" hidden="1">2</definedName>
    <definedName name="solver_rbv" localSheetId="1" hidden="1">2</definedName>
    <definedName name="solver_rel1" localSheetId="0" hidden="1">3</definedName>
    <definedName name="solver_rel1" localSheetId="1" hidden="1">2</definedName>
    <definedName name="solver_rel2" localSheetId="0" hidden="1">2</definedName>
    <definedName name="solver_rel2" localSheetId="1" hidden="1">3</definedName>
    <definedName name="solver_rhs1" localSheetId="0" hidden="1">'Max average portfolio return'!$D$34</definedName>
    <definedName name="solver_rhs1" localSheetId="1" hidden="1">'Maximize impact score'!$D$34</definedName>
    <definedName name="solver_rhs2" localSheetId="0" hidden="1">1</definedName>
    <definedName name="solver_rhs2" localSheetId="1" hidden="1">'Maximize impact score'!$D$35</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2</definedName>
    <definedName name="solver_scl" localSheetId="1" hidden="1">2</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1</definedName>
    <definedName name="solver_typ" localSheetId="1" hidden="1">1</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91029"/>
  <pivotCaches>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5" i="18" l="1"/>
  <c r="B34" i="18"/>
  <c r="C6" i="18" a="1"/>
  <c r="C6" i="18" s="1"/>
  <c r="B6" i="18" a="1"/>
  <c r="B6" i="18" s="1"/>
  <c r="C5" i="18" a="1"/>
  <c r="C5" i="18" s="1"/>
  <c r="B5" i="18" a="1"/>
  <c r="B5" i="18" s="1"/>
  <c r="C4" i="18" a="1"/>
  <c r="C4" i="18" s="1"/>
  <c r="B4" i="18" a="1"/>
  <c r="B4" i="18" s="1"/>
  <c r="B35" i="2"/>
  <c r="I10" i="13"/>
  <c r="I7" i="13"/>
  <c r="I5" i="13"/>
  <c r="G2" i="12" a="1"/>
  <c r="G2" i="12" s="1"/>
  <c r="D7" i="12" s="1"/>
  <c r="M1" i="2" s="1" a="1"/>
  <c r="M1" i="2" s="1"/>
  <c r="I4" i="13"/>
  <c r="I6" i="13"/>
  <c r="B6" i="2" a="1"/>
  <c r="B6" i="2" s="1"/>
  <c r="C6" i="2" a="1"/>
  <c r="C6" i="2" s="1"/>
  <c r="B5" i="2" a="1"/>
  <c r="B5" i="2" s="1"/>
  <c r="C5" i="2" a="1"/>
  <c r="C5" i="2" s="1"/>
  <c r="C4" i="2" a="1"/>
  <c r="C4" i="2" s="1"/>
  <c r="B4" i="2" a="1"/>
  <c r="B4" i="2" s="1"/>
  <c r="D14" i="12" a="1"/>
  <c r="D14" i="12" s="1"/>
  <c r="D15" i="12" a="1"/>
  <c r="D15" i="12" s="1"/>
  <c r="D16" i="12" a="1"/>
  <c r="D16" i="12" s="1"/>
  <c r="G7" i="13" a="1"/>
  <c r="G4" i="13" a="1"/>
  <c r="F7" i="13" a="1"/>
  <c r="G5" i="13" a="1"/>
  <c r="F6" i="13" a="1"/>
  <c r="F5" i="13" a="1"/>
  <c r="F4" i="13" a="1"/>
  <c r="G6" i="13" a="1"/>
  <c r="M1" i="18" l="1" a="1"/>
  <c r="M1" i="18" s="1"/>
  <c r="A2" i="18" s="1"/>
  <c r="G7" i="13"/>
  <c r="F7" i="13"/>
  <c r="F5" i="13"/>
  <c r="A2" i="2"/>
  <c r="D35" i="12"/>
  <c r="F4" i="13"/>
  <c r="F6" i="13"/>
  <c r="G4" i="13"/>
  <c r="G6" i="13"/>
  <c r="G5" i="13"/>
  <c r="H7" i="13" l="1"/>
  <c r="H6" i="13"/>
  <c r="H4" i="13"/>
  <c r="H5" i="13"/>
  <c r="F1" i="12"/>
  <c r="AA93" i="18" l="1" a="1"/>
  <c r="AA93" i="18" s="1"/>
  <c r="Z82" i="18" a="1"/>
  <c r="Z82" i="18" s="1"/>
  <c r="AA78" i="18" a="1"/>
  <c r="AA78" i="18" s="1"/>
  <c r="AA74" i="18" a="1"/>
  <c r="AA74" i="18" s="1"/>
  <c r="Z67" i="18" a="1"/>
  <c r="Z67" i="18" s="1"/>
  <c r="AA64" i="18" a="1"/>
  <c r="AA64" i="18" s="1"/>
  <c r="Z57" i="18" a="1"/>
  <c r="Z57" i="18" s="1"/>
  <c r="F55" i="18" a="1"/>
  <c r="F55" i="18" s="1"/>
  <c r="Z51" i="18" a="1"/>
  <c r="Z51" i="18" s="1"/>
  <c r="F28" i="18" a="1"/>
  <c r="F28" i="18" s="1"/>
  <c r="Z23" i="18" a="1"/>
  <c r="Z23" i="18" s="1"/>
  <c r="F14" i="18" a="1"/>
  <c r="F14" i="18" s="1"/>
  <c r="Z9" i="18" a="1"/>
  <c r="Z9" i="18" s="1"/>
  <c r="AA13" i="18" a="1"/>
  <c r="AA13" i="18" s="1"/>
  <c r="AA8" i="18" a="1"/>
  <c r="AA8" i="18" s="1"/>
  <c r="Z52" i="18" a="1"/>
  <c r="Z52" i="18" s="1"/>
  <c r="F65" i="18" a="1"/>
  <c r="F65" i="18" s="1"/>
  <c r="AA96" i="18" a="1"/>
  <c r="AA96" i="18" s="1"/>
  <c r="Z93" i="18" a="1"/>
  <c r="Z93" i="18" s="1"/>
  <c r="F90" i="18" a="1"/>
  <c r="F90" i="18" s="1"/>
  <c r="AA85" i="18" a="1"/>
  <c r="AA85" i="18" s="1"/>
  <c r="Z74" i="18" a="1"/>
  <c r="Z74" i="18" s="1"/>
  <c r="F71" i="18" a="1"/>
  <c r="F71" i="18" s="1"/>
  <c r="Z64" i="18" a="1"/>
  <c r="Z64" i="18" s="1"/>
  <c r="AA61" i="18" a="1"/>
  <c r="AA61" i="18" s="1"/>
  <c r="AA54" i="18" a="1"/>
  <c r="AA54" i="18" s="1"/>
  <c r="F35" i="18" a="1"/>
  <c r="F35" i="18" s="1"/>
  <c r="AA31" i="18" a="1"/>
  <c r="AA31" i="18" s="1"/>
  <c r="AA27" i="18" a="1"/>
  <c r="AA27" i="18" s="1"/>
  <c r="F23" i="18" a="1"/>
  <c r="F23" i="18" s="1"/>
  <c r="F9" i="18" a="1"/>
  <c r="F9" i="18" s="1"/>
  <c r="F41" i="18" a="1"/>
  <c r="F41" i="18" s="1"/>
  <c r="F31" i="18" a="1"/>
  <c r="F31" i="18" s="1"/>
  <c r="F27" i="18" a="1"/>
  <c r="F27" i="18" s="1"/>
  <c r="F13" i="18" a="1"/>
  <c r="F13" i="18" s="1"/>
  <c r="AA15" i="18" a="1"/>
  <c r="AA15" i="18" s="1"/>
  <c r="F94" i="18" a="1"/>
  <c r="F94" i="18" s="1"/>
  <c r="Z96" i="18" a="1"/>
  <c r="Z96" i="18" s="1"/>
  <c r="Z85" i="18" a="1"/>
  <c r="Z85" i="18" s="1"/>
  <c r="F82" i="18" a="1"/>
  <c r="F82" i="18" s="1"/>
  <c r="Z78" i="18" a="1"/>
  <c r="Z78" i="18" s="1"/>
  <c r="AA70" i="18" a="1"/>
  <c r="AA70" i="18" s="1"/>
  <c r="F67" i="18" a="1"/>
  <c r="F67" i="18" s="1"/>
  <c r="F64" i="18" a="1"/>
  <c r="F64" i="18" s="1"/>
  <c r="Z61" i="18" a="1"/>
  <c r="Z61" i="18" s="1"/>
  <c r="Z54" i="18" a="1"/>
  <c r="Z54" i="18" s="1"/>
  <c r="F51" i="18" a="1"/>
  <c r="F51" i="18" s="1"/>
  <c r="AA34" i="18" a="1"/>
  <c r="AA34" i="18" s="1"/>
  <c r="Z31" i="18" a="1"/>
  <c r="Z31" i="18" s="1"/>
  <c r="Z27" i="18" a="1"/>
  <c r="Z27" i="18" s="1"/>
  <c r="AA22" i="18" a="1"/>
  <c r="AA22" i="18" s="1"/>
  <c r="Z13" i="18" a="1"/>
  <c r="Z13" i="18" s="1"/>
  <c r="F5" i="18" a="1"/>
  <c r="F5" i="18" s="1"/>
  <c r="AA5" i="18" s="1" a="1"/>
  <c r="AA5" i="18" s="1"/>
  <c r="F54" i="18" a="1"/>
  <c r="F54" i="18" s="1"/>
  <c r="Z34" i="18" a="1"/>
  <c r="Z34" i="18" s="1"/>
  <c r="Z22" i="18" a="1"/>
  <c r="Z22" i="18" s="1"/>
  <c r="F16" i="18" a="1"/>
  <c r="F16" i="18" s="1"/>
  <c r="Z33" i="18" a="1"/>
  <c r="Z33" i="18" s="1"/>
  <c r="F86" i="18" a="1"/>
  <c r="F86" i="18" s="1"/>
  <c r="Z14" i="18" a="1"/>
  <c r="Z14" i="18" s="1"/>
  <c r="F93" i="18" a="1"/>
  <c r="F93" i="18" s="1"/>
  <c r="AA89" i="18" a="1"/>
  <c r="AA89" i="18" s="1"/>
  <c r="AA81" i="18" a="1"/>
  <c r="AA81" i="18" s="1"/>
  <c r="F78" i="18" a="1"/>
  <c r="F78" i="18" s="1"/>
  <c r="Z70" i="18" a="1"/>
  <c r="Z70" i="18" s="1"/>
  <c r="AA66" i="18" a="1"/>
  <c r="AA66" i="18" s="1"/>
  <c r="AA63" i="18" a="1"/>
  <c r="AA63" i="18" s="1"/>
  <c r="F61" i="18" a="1"/>
  <c r="F61" i="18" s="1"/>
  <c r="AA50" i="18" a="1"/>
  <c r="AA50" i="18" s="1"/>
  <c r="F18" i="18" a="1"/>
  <c r="F18" i="18" s="1"/>
  <c r="F20" i="18" a="1"/>
  <c r="F20" i="18" s="1"/>
  <c r="Z55" i="18" a="1"/>
  <c r="Z55" i="18" s="1"/>
  <c r="AA92" i="18" a="1"/>
  <c r="AA92" i="18" s="1"/>
  <c r="Z89" i="18" a="1"/>
  <c r="Z89" i="18" s="1"/>
  <c r="Z81" i="18" a="1"/>
  <c r="Z81" i="18" s="1"/>
  <c r="AA77" i="18" a="1"/>
  <c r="AA77" i="18" s="1"/>
  <c r="F74" i="18" a="1"/>
  <c r="F74" i="18" s="1"/>
  <c r="F70" i="18" a="1"/>
  <c r="F70" i="18" s="1"/>
  <c r="Z63" i="18" a="1"/>
  <c r="Z63" i="18" s="1"/>
  <c r="F48" i="18" a="1"/>
  <c r="F48" i="18" s="1"/>
  <c r="F44" i="18" a="1"/>
  <c r="F44" i="18" s="1"/>
  <c r="AA40" i="18" a="1"/>
  <c r="AA40" i="18" s="1"/>
  <c r="F34" i="18" a="1"/>
  <c r="F34" i="18" s="1"/>
  <c r="AA30" i="18" a="1"/>
  <c r="AA30" i="18" s="1"/>
  <c r="AA26" i="18" a="1"/>
  <c r="AA26" i="18" s="1"/>
  <c r="F22" i="18" a="1"/>
  <c r="F22" i="18" s="1"/>
  <c r="AA17" i="18" a="1"/>
  <c r="AA17" i="18" s="1"/>
  <c r="AA12" i="18" a="1"/>
  <c r="AA12" i="18" s="1"/>
  <c r="Z8" i="18" a="1"/>
  <c r="Z8" i="18" s="1"/>
  <c r="Z42" i="18" a="1"/>
  <c r="Z42" i="18" s="1"/>
  <c r="F6" i="18" a="1"/>
  <c r="F6" i="18" s="1"/>
  <c r="AA67" i="18" a="1"/>
  <c r="AA67" i="18" s="1"/>
  <c r="AA9" i="18" a="1"/>
  <c r="AA9" i="18" s="1"/>
  <c r="Z92" i="18" a="1"/>
  <c r="Z92" i="18" s="1"/>
  <c r="F89" i="18" a="1"/>
  <c r="F89" i="18" s="1"/>
  <c r="F85" i="18" a="1"/>
  <c r="F85" i="18" s="1"/>
  <c r="F81" i="18" a="1"/>
  <c r="F81" i="18" s="1"/>
  <c r="Z77" i="18" a="1"/>
  <c r="Z77" i="18" s="1"/>
  <c r="AA69" i="18" a="1"/>
  <c r="AA69" i="18" s="1"/>
  <c r="Z66" i="18" a="1"/>
  <c r="Z66" i="18" s="1"/>
  <c r="AA60" i="18" a="1"/>
  <c r="AA60" i="18" s="1"/>
  <c r="AA53" i="18" a="1"/>
  <c r="AA53" i="18" s="1"/>
  <c r="Z50" i="18" a="1"/>
  <c r="Z50" i="18" s="1"/>
  <c r="AA47" i="18" a="1"/>
  <c r="AA47" i="18" s="1"/>
  <c r="AA43" i="18" a="1"/>
  <c r="AA43" i="18" s="1"/>
  <c r="Z40" i="18" a="1"/>
  <c r="Z40" i="18" s="1"/>
  <c r="F37" i="18" a="1"/>
  <c r="F37" i="18" s="1"/>
  <c r="Z30" i="18" a="1"/>
  <c r="Z30" i="18" s="1"/>
  <c r="Z26" i="18" a="1"/>
  <c r="Z26" i="18" s="1"/>
  <c r="AA21" i="18" a="1"/>
  <c r="AA21" i="18" s="1"/>
  <c r="Z17" i="18" a="1"/>
  <c r="Z17" i="18" s="1"/>
  <c r="Z12" i="18" a="1"/>
  <c r="Z12" i="18" s="1"/>
  <c r="F8" i="18" a="1"/>
  <c r="F8" i="18" s="1"/>
  <c r="AA33" i="18" a="1"/>
  <c r="AA33" i="18" s="1"/>
  <c r="F19" i="18" a="1"/>
  <c r="F19" i="18" s="1"/>
  <c r="Z44" i="18" a="1"/>
  <c r="Z44" i="18" s="1"/>
  <c r="F92" i="18" a="1"/>
  <c r="F92" i="18" s="1"/>
  <c r="AA88" i="18" a="1"/>
  <c r="AA88" i="18" s="1"/>
  <c r="AA84" i="18" a="1"/>
  <c r="AA84" i="18" s="1"/>
  <c r="AA80" i="18" a="1"/>
  <c r="AA80" i="18" s="1"/>
  <c r="F77" i="18" a="1"/>
  <c r="F77" i="18" s="1"/>
  <c r="AA73" i="18" a="1"/>
  <c r="AA73" i="18" s="1"/>
  <c r="Z69" i="18" a="1"/>
  <c r="Z69" i="18" s="1"/>
  <c r="Z60" i="18" a="1"/>
  <c r="Z60" i="18" s="1"/>
  <c r="F57" i="18" a="1"/>
  <c r="F57" i="18" s="1"/>
  <c r="Z53" i="18" a="1"/>
  <c r="Z53" i="18" s="1"/>
  <c r="F50" i="18" a="1"/>
  <c r="F50" i="18" s="1"/>
  <c r="Z47" i="18" a="1"/>
  <c r="Z47" i="18" s="1"/>
  <c r="F40" i="18" a="1"/>
  <c r="F40" i="18" s="1"/>
  <c r="AA36" i="18" a="1"/>
  <c r="AA36" i="18" s="1"/>
  <c r="F26" i="18" a="1"/>
  <c r="F26" i="18" s="1"/>
  <c r="Z21" i="18" a="1"/>
  <c r="Z21" i="18" s="1"/>
  <c r="F17" i="18" a="1"/>
  <c r="F17" i="18" s="1"/>
  <c r="AA7" i="18" a="1"/>
  <c r="AA7" i="18" s="1"/>
  <c r="Z11" i="18" a="1"/>
  <c r="Z11" i="18" s="1"/>
  <c r="F46" i="18" a="1"/>
  <c r="F46" i="18" s="1"/>
  <c r="Z24" i="18" a="1"/>
  <c r="Z24" i="18" s="1"/>
  <c r="AA82" i="18" a="1"/>
  <c r="AA82" i="18" s="1"/>
  <c r="F96" i="18" a="1"/>
  <c r="F96" i="18" s="1"/>
  <c r="AA91" i="18" a="1"/>
  <c r="AA91" i="18" s="1"/>
  <c r="Z88" i="18" a="1"/>
  <c r="Z88" i="18" s="1"/>
  <c r="Z84" i="18" a="1"/>
  <c r="Z84" i="18" s="1"/>
  <c r="Z80" i="18" a="1"/>
  <c r="Z80" i="18" s="1"/>
  <c r="AA76" i="18" a="1"/>
  <c r="AA76" i="18" s="1"/>
  <c r="Z73" i="18" a="1"/>
  <c r="Z73" i="18" s="1"/>
  <c r="F69" i="18" a="1"/>
  <c r="F69" i="18" s="1"/>
  <c r="F60" i="18" a="1"/>
  <c r="F60" i="18" s="1"/>
  <c r="F53" i="18" a="1"/>
  <c r="F53" i="18" s="1"/>
  <c r="AA49" i="18" a="1"/>
  <c r="AA49" i="18" s="1"/>
  <c r="F47" i="18" a="1"/>
  <c r="F47" i="18" s="1"/>
  <c r="Z43" i="18" a="1"/>
  <c r="Z43" i="18" s="1"/>
  <c r="AA39" i="18" a="1"/>
  <c r="AA39" i="18" s="1"/>
  <c r="Z36" i="18" a="1"/>
  <c r="Z36" i="18" s="1"/>
  <c r="F30" i="18" a="1"/>
  <c r="F30" i="18" s="1"/>
  <c r="AA25" i="18" a="1"/>
  <c r="AA25" i="18" s="1"/>
  <c r="F21" i="18" a="1"/>
  <c r="F21" i="18" s="1"/>
  <c r="AA16" i="18" a="1"/>
  <c r="AA16" i="18" s="1"/>
  <c r="F12" i="18" a="1"/>
  <c r="F12" i="18" s="1"/>
  <c r="Z7" i="18" a="1"/>
  <c r="Z7" i="18" s="1"/>
  <c r="F4" i="18" a="1"/>
  <c r="F4" i="18" s="1"/>
  <c r="AA4" i="18" s="1" a="1"/>
  <c r="AA4" i="18" s="1"/>
  <c r="AA28" i="18" a="1"/>
  <c r="AA28" i="18" s="1"/>
  <c r="F62" i="18" a="1"/>
  <c r="F62" i="18" s="1"/>
  <c r="AA23" i="18" a="1"/>
  <c r="AA23" i="18" s="1"/>
  <c r="AA95" i="18" a="1"/>
  <c r="AA95" i="18" s="1"/>
  <c r="Z91" i="18" a="1"/>
  <c r="Z91" i="18" s="1"/>
  <c r="F88" i="18" a="1"/>
  <c r="F88" i="18" s="1"/>
  <c r="Z76" i="18" a="1"/>
  <c r="Z76" i="18" s="1"/>
  <c r="AA68" i="18" a="1"/>
  <c r="AA68" i="18" s="1"/>
  <c r="AA59" i="18" a="1"/>
  <c r="AA59" i="18" s="1"/>
  <c r="AA56" i="18" a="1"/>
  <c r="AA56" i="18" s="1"/>
  <c r="Z49" i="18" a="1"/>
  <c r="Z49" i="18" s="1"/>
  <c r="AA46" i="18" a="1"/>
  <c r="AA46" i="18" s="1"/>
  <c r="F43" i="18" a="1"/>
  <c r="F43" i="18" s="1"/>
  <c r="Z39" i="18" a="1"/>
  <c r="Z39" i="18" s="1"/>
  <c r="Z25" i="18" a="1"/>
  <c r="Z25" i="18" s="1"/>
  <c r="AA20" i="18" a="1"/>
  <c r="AA20" i="18" s="1"/>
  <c r="Z16" i="18" a="1"/>
  <c r="Z16" i="18" s="1"/>
  <c r="AA11" i="18" a="1"/>
  <c r="AA11" i="18" s="1"/>
  <c r="F7" i="18" a="1"/>
  <c r="F7" i="18" s="1"/>
  <c r="Z20" i="18" a="1"/>
  <c r="Z20" i="18" s="1"/>
  <c r="AA29" i="18" a="1"/>
  <c r="AA29" i="18" s="1"/>
  <c r="Z10" i="18" a="1"/>
  <c r="Z10" i="18" s="1"/>
  <c r="F75" i="18" a="1"/>
  <c r="F75" i="18" s="1"/>
  <c r="F32" i="18" a="1"/>
  <c r="F32" i="18" s="1"/>
  <c r="Z95" i="18" a="1"/>
  <c r="Z95" i="18" s="1"/>
  <c r="AA87" i="18" a="1"/>
  <c r="AA87" i="18" s="1"/>
  <c r="F76" i="18" a="1"/>
  <c r="F76" i="18" s="1"/>
  <c r="F73" i="18" a="1"/>
  <c r="F73" i="18" s="1"/>
  <c r="Z68" i="18" a="1"/>
  <c r="Z68" i="18" s="1"/>
  <c r="Z59" i="18" a="1"/>
  <c r="Z59" i="18" s="1"/>
  <c r="Z56" i="18" a="1"/>
  <c r="Z56" i="18" s="1"/>
  <c r="AA52" i="18" a="1"/>
  <c r="AA52" i="18" s="1"/>
  <c r="Z46" i="18" a="1"/>
  <c r="Z46" i="18" s="1"/>
  <c r="AA42" i="18" a="1"/>
  <c r="AA42" i="18" s="1"/>
  <c r="F39" i="18" a="1"/>
  <c r="F39" i="18" s="1"/>
  <c r="F25" i="18" a="1"/>
  <c r="F25" i="18" s="1"/>
  <c r="AA57" i="18" a="1"/>
  <c r="AA57" i="18" s="1"/>
  <c r="Z87" i="18" a="1"/>
  <c r="Z87" i="18" s="1"/>
  <c r="F84" i="18" a="1"/>
  <c r="F84" i="18" s="1"/>
  <c r="AA75" i="18" a="1"/>
  <c r="AA75" i="18" s="1"/>
  <c r="AA72" i="18" a="1"/>
  <c r="AA72" i="18" s="1"/>
  <c r="AA83" i="18" a="1"/>
  <c r="AA83" i="18" s="1"/>
  <c r="F80" i="18" a="1"/>
  <c r="F80" i="18" s="1"/>
  <c r="Z75" i="18" a="1"/>
  <c r="Z75" i="18" s="1"/>
  <c r="Z72" i="18" a="1"/>
  <c r="Z72" i="18" s="1"/>
  <c r="F66" i="18" a="1"/>
  <c r="F66" i="18" s="1"/>
  <c r="F59" i="18" a="1"/>
  <c r="F59" i="18" s="1"/>
  <c r="F49" i="18" a="1"/>
  <c r="F49" i="18" s="1"/>
  <c r="AA45" i="18" a="1"/>
  <c r="AA45" i="18" s="1"/>
  <c r="AA38" i="18" a="1"/>
  <c r="AA38" i="18" s="1"/>
  <c r="F33" i="18" a="1"/>
  <c r="F33" i="18" s="1"/>
  <c r="Z29" i="18" a="1"/>
  <c r="Z29" i="18" s="1"/>
  <c r="AA24" i="18" a="1"/>
  <c r="AA24" i="18" s="1"/>
  <c r="AA19" i="18" a="1"/>
  <c r="AA19" i="18" s="1"/>
  <c r="Z15" i="18" a="1"/>
  <c r="Z15" i="18" s="1"/>
  <c r="F11" i="18" a="1"/>
  <c r="F11" i="18" s="1"/>
  <c r="AA6" i="18" a="1"/>
  <c r="AA6" i="18" s="1"/>
  <c r="AA58" i="18" a="1"/>
  <c r="AA58" i="18" s="1"/>
  <c r="F56" i="18" a="1"/>
  <c r="F56" i="18" s="1"/>
  <c r="AA48" i="18" a="1"/>
  <c r="AA48" i="18" s="1"/>
  <c r="Z45" i="18" a="1"/>
  <c r="Z45" i="18" s="1"/>
  <c r="F42" i="18" a="1"/>
  <c r="F42" i="18" s="1"/>
  <c r="Z38" i="18" a="1"/>
  <c r="Z38" i="18" s="1"/>
  <c r="F29" i="18" a="1"/>
  <c r="F29" i="18" s="1"/>
  <c r="Z19" i="18" a="1"/>
  <c r="Z19" i="18" s="1"/>
  <c r="F15" i="18" a="1"/>
  <c r="F15" i="18" s="1"/>
  <c r="Z6" i="18" a="1"/>
  <c r="Z6" i="18" s="1"/>
  <c r="F52" i="18" a="1"/>
  <c r="F52" i="18" s="1"/>
  <c r="F45" i="18" a="1"/>
  <c r="F45" i="18" s="1"/>
  <c r="AA41" i="18" a="1"/>
  <c r="AA41" i="18" s="1"/>
  <c r="F36" i="18" a="1"/>
  <c r="F36" i="18" s="1"/>
  <c r="Z37" i="18" a="1"/>
  <c r="Z37" i="18" s="1"/>
  <c r="F95" i="18" a="1"/>
  <c r="F95" i="18" s="1"/>
  <c r="F91" i="18" a="1"/>
  <c r="F91" i="18" s="1"/>
  <c r="F87" i="18" a="1"/>
  <c r="F87" i="18" s="1"/>
  <c r="Z83" i="18" a="1"/>
  <c r="Z83" i="18" s="1"/>
  <c r="AA79" i="18" a="1"/>
  <c r="AA79" i="18" s="1"/>
  <c r="F72" i="18" a="1"/>
  <c r="F72" i="18" s="1"/>
  <c r="AA65" i="18" a="1"/>
  <c r="AA65" i="18" s="1"/>
  <c r="F63" i="18" a="1"/>
  <c r="F63" i="18" s="1"/>
  <c r="AA10" i="18" a="1"/>
  <c r="AA10" i="18" s="1"/>
  <c r="F38" i="18" a="1"/>
  <c r="F38" i="18" s="1"/>
  <c r="Z35" i="18" a="1"/>
  <c r="Z35" i="18" s="1"/>
  <c r="AA94" i="18" a="1"/>
  <c r="AA94" i="18" s="1"/>
  <c r="AA90" i="18" a="1"/>
  <c r="AA90" i="18" s="1"/>
  <c r="AA86" i="18" a="1"/>
  <c r="AA86" i="18" s="1"/>
  <c r="Z79" i="18" a="1"/>
  <c r="Z79" i="18" s="1"/>
  <c r="AA71" i="18" a="1"/>
  <c r="AA71" i="18" s="1"/>
  <c r="AA62" i="18" a="1"/>
  <c r="AA62" i="18" s="1"/>
  <c r="Z58" i="18" a="1"/>
  <c r="Z58" i="18" s="1"/>
  <c r="AA55" i="18" a="1"/>
  <c r="AA55" i="18" s="1"/>
  <c r="Z48" i="18" a="1"/>
  <c r="Z48" i="18" s="1"/>
  <c r="AA32" i="18" a="1"/>
  <c r="AA32" i="18" s="1"/>
  <c r="Z18" i="18" a="1"/>
  <c r="Z18" i="18" s="1"/>
  <c r="Z94" i="18" a="1"/>
  <c r="Z94" i="18" s="1"/>
  <c r="Z90" i="18" a="1"/>
  <c r="Z90" i="18" s="1"/>
  <c r="Z86" i="18" a="1"/>
  <c r="Z86" i="18" s="1"/>
  <c r="F83" i="18" a="1"/>
  <c r="F83" i="18" s="1"/>
  <c r="Z71" i="18" a="1"/>
  <c r="Z71" i="18" s="1"/>
  <c r="F68" i="18" a="1"/>
  <c r="F68" i="18" s="1"/>
  <c r="Z65" i="18" a="1"/>
  <c r="Z65" i="18" s="1"/>
  <c r="Z62" i="18" a="1"/>
  <c r="Z62" i="18" s="1"/>
  <c r="F58" i="18" a="1"/>
  <c r="F58" i="18" s="1"/>
  <c r="AA51" i="18" a="1"/>
  <c r="AA51" i="18" s="1"/>
  <c r="AA44" i="18" a="1"/>
  <c r="AA44" i="18" s="1"/>
  <c r="Z41" i="18" a="1"/>
  <c r="Z41" i="18" s="1"/>
  <c r="AA37" i="18" a="1"/>
  <c r="AA37" i="18" s="1"/>
  <c r="AA35" i="18" a="1"/>
  <c r="AA35" i="18" s="1"/>
  <c r="Z32" i="18" a="1"/>
  <c r="Z32" i="18" s="1"/>
  <c r="Z28" i="18" a="1"/>
  <c r="Z28" i="18" s="1"/>
  <c r="F24" i="18" a="1"/>
  <c r="F24" i="18" s="1"/>
  <c r="AA18" i="18" a="1"/>
  <c r="AA18" i="18" s="1"/>
  <c r="AA14" i="18" a="1"/>
  <c r="AA14" i="18" s="1"/>
  <c r="F10" i="18" a="1"/>
  <c r="F10" i="18" s="1"/>
  <c r="F79" i="18" a="1"/>
  <c r="F79" i="18" s="1"/>
  <c r="F3" i="18" a="1"/>
  <c r="F3" i="18" s="1"/>
  <c r="Z3" i="18" s="1" a="1"/>
  <c r="Z3" i="18" s="1"/>
  <c r="F7" i="2" a="1"/>
  <c r="F7" i="2" s="1"/>
  <c r="G7" i="2" s="1" a="1"/>
  <c r="G7" i="2" s="1"/>
  <c r="F33" i="2" a="1"/>
  <c r="F33" i="2" s="1"/>
  <c r="Z33" i="2" a="1"/>
  <c r="Z33" i="2" s="1"/>
  <c r="AA33" i="2" a="1"/>
  <c r="AA33" i="2" s="1"/>
  <c r="F6" i="2" a="1"/>
  <c r="F6" i="2" s="1"/>
  <c r="F10" i="2" a="1"/>
  <c r="F10" i="2" s="1"/>
  <c r="F14" i="2" a="1"/>
  <c r="F14" i="2" s="1"/>
  <c r="F18" i="2" a="1"/>
  <c r="F18" i="2" s="1"/>
  <c r="I18" i="2" s="1"/>
  <c r="F22" i="2" a="1"/>
  <c r="F22" i="2" s="1"/>
  <c r="I22" i="2" s="1"/>
  <c r="F26" i="2" a="1"/>
  <c r="F26" i="2" s="1"/>
  <c r="I26" i="2" s="1"/>
  <c r="F31" i="2" a="1"/>
  <c r="F31" i="2" s="1"/>
  <c r="I31" i="2" s="1"/>
  <c r="F37" i="2" a="1"/>
  <c r="F37" i="2" s="1"/>
  <c r="I37" i="2" s="1"/>
  <c r="F41" i="2" a="1"/>
  <c r="F41" i="2" s="1"/>
  <c r="I41" i="2" s="1"/>
  <c r="F45" i="2" a="1"/>
  <c r="F45" i="2" s="1"/>
  <c r="I45" i="2" s="1"/>
  <c r="F49" i="2" a="1"/>
  <c r="F49" i="2" s="1"/>
  <c r="I49" i="2" s="1"/>
  <c r="F53" i="2" a="1"/>
  <c r="F53" i="2" s="1"/>
  <c r="I53" i="2" s="1"/>
  <c r="F57" i="2" a="1"/>
  <c r="F57" i="2" s="1"/>
  <c r="I57" i="2" s="1"/>
  <c r="F61" i="2" a="1"/>
  <c r="F61" i="2" s="1"/>
  <c r="I61" i="2" s="1"/>
  <c r="F65" i="2" a="1"/>
  <c r="F65" i="2" s="1"/>
  <c r="I65" i="2" s="1"/>
  <c r="F69" i="2" a="1"/>
  <c r="F69" i="2" s="1"/>
  <c r="I69" i="2" s="1"/>
  <c r="F73" i="2" a="1"/>
  <c r="F73" i="2" s="1"/>
  <c r="I73" i="2" s="1"/>
  <c r="F77" i="2" a="1"/>
  <c r="F77" i="2" s="1"/>
  <c r="I77" i="2" s="1"/>
  <c r="F81" i="2" a="1"/>
  <c r="F81" i="2" s="1"/>
  <c r="I81" i="2" s="1"/>
  <c r="F85" i="2" a="1"/>
  <c r="F85" i="2" s="1"/>
  <c r="I85" i="2" s="1"/>
  <c r="F89" i="2" a="1"/>
  <c r="F89" i="2" s="1"/>
  <c r="I89" i="2" s="1"/>
  <c r="F93" i="2" a="1"/>
  <c r="F93" i="2" s="1"/>
  <c r="I93" i="2" s="1"/>
  <c r="F97" i="2" a="1"/>
  <c r="F97" i="2" s="1"/>
  <c r="I97" i="2" s="1"/>
  <c r="F5" i="2" a="1"/>
  <c r="F5" i="2" s="1"/>
  <c r="I5" i="2" s="1"/>
  <c r="F9" i="2" a="1"/>
  <c r="F9" i="2" s="1"/>
  <c r="F13" i="2" a="1"/>
  <c r="F13" i="2" s="1"/>
  <c r="I13" i="2" s="1"/>
  <c r="F17" i="2" a="1"/>
  <c r="F17" i="2" s="1"/>
  <c r="I17" i="2" s="1"/>
  <c r="F21" i="2" a="1"/>
  <c r="F21" i="2" s="1"/>
  <c r="I21" i="2" s="1"/>
  <c r="F25" i="2" a="1"/>
  <c r="F25" i="2" s="1"/>
  <c r="I25" i="2" s="1"/>
  <c r="F29" i="2" a="1"/>
  <c r="F29" i="2" s="1"/>
  <c r="I29" i="2" s="1"/>
  <c r="F32" i="2" a="1"/>
  <c r="F32" i="2" s="1"/>
  <c r="I32" i="2" s="1"/>
  <c r="F36" i="2" a="1"/>
  <c r="F36" i="2" s="1"/>
  <c r="I36" i="2" s="1"/>
  <c r="F40" i="2" a="1"/>
  <c r="F40" i="2" s="1"/>
  <c r="I40" i="2" s="1"/>
  <c r="F44" i="2" a="1"/>
  <c r="F44" i="2" s="1"/>
  <c r="I44" i="2" s="1"/>
  <c r="F48" i="2" a="1"/>
  <c r="F48" i="2" s="1"/>
  <c r="I48" i="2" s="1"/>
  <c r="F52" i="2" a="1"/>
  <c r="F52" i="2" s="1"/>
  <c r="I52" i="2" s="1"/>
  <c r="F60" i="2" a="1"/>
  <c r="F60" i="2" s="1"/>
  <c r="I60" i="2" s="1"/>
  <c r="F64" i="2" a="1"/>
  <c r="F64" i="2" s="1"/>
  <c r="I64" i="2" s="1"/>
  <c r="F68" i="2" a="1"/>
  <c r="F68" i="2" s="1"/>
  <c r="I68" i="2" s="1"/>
  <c r="F76" i="2" a="1"/>
  <c r="F76" i="2" s="1"/>
  <c r="I76" i="2" s="1"/>
  <c r="F80" i="2" a="1"/>
  <c r="F80" i="2" s="1"/>
  <c r="I80" i="2" s="1"/>
  <c r="F88" i="2" a="1"/>
  <c r="F88" i="2" s="1"/>
  <c r="I88" i="2" s="1"/>
  <c r="F96" i="2" a="1"/>
  <c r="F96" i="2" s="1"/>
  <c r="I96" i="2" s="1"/>
  <c r="F3" i="2" a="1"/>
  <c r="F3" i="2" s="1"/>
  <c r="F15" i="2" a="1"/>
  <c r="F15" i="2" s="1"/>
  <c r="I15" i="2" s="1"/>
  <c r="F19" i="2" a="1"/>
  <c r="F19" i="2" s="1"/>
  <c r="I19" i="2" s="1"/>
  <c r="F23" i="2" a="1"/>
  <c r="F23" i="2" s="1"/>
  <c r="I23" i="2" s="1"/>
  <c r="F27" i="2" a="1"/>
  <c r="F27" i="2" s="1"/>
  <c r="I27" i="2" s="1"/>
  <c r="F34" i="2" a="1"/>
  <c r="F34" i="2" s="1"/>
  <c r="I34" i="2" s="1"/>
  <c r="F38" i="2" a="1"/>
  <c r="F38" i="2" s="1"/>
  <c r="I38" i="2" s="1"/>
  <c r="F42" i="2" a="1"/>
  <c r="F42" i="2" s="1"/>
  <c r="I42" i="2" s="1"/>
  <c r="F46" i="2" a="1"/>
  <c r="F46" i="2" s="1"/>
  <c r="I46" i="2" s="1"/>
  <c r="F50" i="2" a="1"/>
  <c r="F50" i="2" s="1"/>
  <c r="I50" i="2" s="1"/>
  <c r="F54" i="2" a="1"/>
  <c r="F54" i="2" s="1"/>
  <c r="I54" i="2" s="1"/>
  <c r="F58" i="2" a="1"/>
  <c r="F58" i="2" s="1"/>
  <c r="I58" i="2" s="1"/>
  <c r="F62" i="2" a="1"/>
  <c r="F62" i="2" s="1"/>
  <c r="I62" i="2" s="1"/>
  <c r="F66" i="2" a="1"/>
  <c r="F66" i="2" s="1"/>
  <c r="I66" i="2" s="1"/>
  <c r="F70" i="2" a="1"/>
  <c r="F70" i="2" s="1"/>
  <c r="I70" i="2" s="1"/>
  <c r="F74" i="2" a="1"/>
  <c r="F74" i="2" s="1"/>
  <c r="I74" i="2" s="1"/>
  <c r="F78" i="2" a="1"/>
  <c r="F78" i="2" s="1"/>
  <c r="I78" i="2" s="1"/>
  <c r="F82" i="2" a="1"/>
  <c r="F82" i="2" s="1"/>
  <c r="I82" i="2" s="1"/>
  <c r="F86" i="2" a="1"/>
  <c r="F86" i="2" s="1"/>
  <c r="I86" i="2" s="1"/>
  <c r="F90" i="2" a="1"/>
  <c r="F90" i="2" s="1"/>
  <c r="I90" i="2" s="1"/>
  <c r="F94" i="2" a="1"/>
  <c r="F94" i="2" s="1"/>
  <c r="I94" i="2" s="1"/>
  <c r="F4" i="2" a="1"/>
  <c r="F4" i="2" s="1"/>
  <c r="I4" i="2" s="1"/>
  <c r="F8" i="2" a="1"/>
  <c r="F8" i="2" s="1"/>
  <c r="G8" i="2" s="1" a="1"/>
  <c r="G8" i="2" s="1"/>
  <c r="F12" i="2" a="1"/>
  <c r="F12" i="2" s="1"/>
  <c r="F16" i="2" a="1"/>
  <c r="F16" i="2" s="1"/>
  <c r="I16" i="2" s="1"/>
  <c r="F20" i="2" a="1"/>
  <c r="F20" i="2" s="1"/>
  <c r="I20" i="2" s="1"/>
  <c r="F24" i="2" a="1"/>
  <c r="F24" i="2" s="1"/>
  <c r="I24" i="2" s="1"/>
  <c r="F28" i="2" a="1"/>
  <c r="F28" i="2" s="1"/>
  <c r="I28" i="2" s="1"/>
  <c r="F30" i="2" a="1"/>
  <c r="F30" i="2" s="1"/>
  <c r="I30" i="2" s="1"/>
  <c r="F35" i="2" a="1"/>
  <c r="F35" i="2" s="1"/>
  <c r="I35" i="2" s="1"/>
  <c r="F39" i="2" a="1"/>
  <c r="F39" i="2" s="1"/>
  <c r="I39" i="2" s="1"/>
  <c r="F43" i="2" a="1"/>
  <c r="F43" i="2" s="1"/>
  <c r="I43" i="2" s="1"/>
  <c r="F47" i="2" a="1"/>
  <c r="F47" i="2" s="1"/>
  <c r="I47" i="2" s="1"/>
  <c r="F51" i="2" a="1"/>
  <c r="F51" i="2" s="1"/>
  <c r="I51" i="2" s="1"/>
  <c r="F55" i="2" a="1"/>
  <c r="F55" i="2" s="1"/>
  <c r="I55" i="2" s="1"/>
  <c r="F59" i="2" a="1"/>
  <c r="F59" i="2" s="1"/>
  <c r="I59" i="2" s="1"/>
  <c r="F63" i="2" a="1"/>
  <c r="F63" i="2" s="1"/>
  <c r="I63" i="2" s="1"/>
  <c r="F67" i="2" a="1"/>
  <c r="F67" i="2" s="1"/>
  <c r="I67" i="2" s="1"/>
  <c r="F71" i="2" a="1"/>
  <c r="F71" i="2" s="1"/>
  <c r="I71" i="2" s="1"/>
  <c r="F75" i="2" a="1"/>
  <c r="F75" i="2" s="1"/>
  <c r="I75" i="2" s="1"/>
  <c r="F79" i="2" a="1"/>
  <c r="F79" i="2" s="1"/>
  <c r="I79" i="2" s="1"/>
  <c r="F83" i="2" a="1"/>
  <c r="F83" i="2" s="1"/>
  <c r="I83" i="2" s="1"/>
  <c r="F87" i="2" a="1"/>
  <c r="F87" i="2" s="1"/>
  <c r="I87" i="2" s="1"/>
  <c r="F91" i="2" a="1"/>
  <c r="F91" i="2" s="1"/>
  <c r="I91" i="2" s="1"/>
  <c r="F95" i="2" a="1"/>
  <c r="F95" i="2" s="1"/>
  <c r="I95" i="2" s="1"/>
  <c r="F56" i="2" a="1"/>
  <c r="F56" i="2" s="1"/>
  <c r="I56" i="2" s="1"/>
  <c r="F72" i="2" a="1"/>
  <c r="F72" i="2" s="1"/>
  <c r="I72" i="2" s="1"/>
  <c r="F84" i="2" a="1"/>
  <c r="F84" i="2" s="1"/>
  <c r="I84" i="2" s="1"/>
  <c r="F92" i="2" a="1"/>
  <c r="F92" i="2" s="1"/>
  <c r="I92" i="2" s="1"/>
  <c r="Z16" i="2" a="1"/>
  <c r="Z16" i="2" s="1"/>
  <c r="Z23" i="2" a="1"/>
  <c r="Z23" i="2" s="1"/>
  <c r="Z29" i="2" a="1"/>
  <c r="Z29" i="2" s="1"/>
  <c r="Z30" i="2" a="1"/>
  <c r="Z30" i="2" s="1"/>
  <c r="Z36" i="2" a="1"/>
  <c r="Z36" i="2" s="1"/>
  <c r="Z49" i="2" a="1"/>
  <c r="Z49" i="2" s="1"/>
  <c r="Z54" i="2" a="1"/>
  <c r="Z54" i="2" s="1"/>
  <c r="Z61" i="2" a="1"/>
  <c r="Z61" i="2" s="1"/>
  <c r="Z67" i="2" a="1"/>
  <c r="Z67" i="2" s="1"/>
  <c r="Z24" i="2" a="1"/>
  <c r="Z24" i="2" s="1"/>
  <c r="Z37" i="2" a="1"/>
  <c r="Z37" i="2" s="1"/>
  <c r="Z43" i="2" a="1"/>
  <c r="Z43" i="2" s="1"/>
  <c r="Z50" i="2" a="1"/>
  <c r="Z50" i="2" s="1"/>
  <c r="Z55" i="2" a="1"/>
  <c r="Z55" i="2" s="1"/>
  <c r="Z62" i="2" a="1"/>
  <c r="Z62" i="2" s="1"/>
  <c r="Z68" i="2" a="1"/>
  <c r="Z68" i="2" s="1"/>
  <c r="Z18" i="2" a="1"/>
  <c r="Z18" i="2" s="1"/>
  <c r="Z26" i="2" a="1"/>
  <c r="Z26" i="2" s="1"/>
  <c r="Z31" i="2" a="1"/>
  <c r="Z31" i="2" s="1"/>
  <c r="Z39" i="2" a="1"/>
  <c r="Z39" i="2" s="1"/>
  <c r="Z45" i="2" a="1"/>
  <c r="Z45" i="2" s="1"/>
  <c r="Z51" i="2" a="1"/>
  <c r="Z51" i="2" s="1"/>
  <c r="Z57" i="2" a="1"/>
  <c r="Z57" i="2" s="1"/>
  <c r="Z63" i="2" a="1"/>
  <c r="Z63" i="2" s="1"/>
  <c r="Z70" i="2" a="1"/>
  <c r="Z70" i="2" s="1"/>
  <c r="Z20" i="2" a="1"/>
  <c r="Z20" i="2" s="1"/>
  <c r="Z27" i="2" a="1"/>
  <c r="Z27" i="2" s="1"/>
  <c r="Z34" i="2" a="1"/>
  <c r="Z34" i="2" s="1"/>
  <c r="Z40" i="2" a="1"/>
  <c r="Z40" i="2" s="1"/>
  <c r="Z46" i="2" a="1"/>
  <c r="Z46" i="2" s="1"/>
  <c r="Z52" i="2" a="1"/>
  <c r="Z52" i="2" s="1"/>
  <c r="Z59" i="2" a="1"/>
  <c r="Z59" i="2" s="1"/>
  <c r="Z15" i="2" a="1"/>
  <c r="Z15" i="2" s="1"/>
  <c r="Z21" i="2" a="1"/>
  <c r="Z21" i="2" s="1"/>
  <c r="Z41" i="2" a="1"/>
  <c r="Z41" i="2" s="1"/>
  <c r="Z47" i="2" a="1"/>
  <c r="Z47" i="2" s="1"/>
  <c r="Z53" i="2" a="1"/>
  <c r="Z53" i="2" s="1"/>
  <c r="Z65" i="2" a="1"/>
  <c r="Z65" i="2" s="1"/>
  <c r="Z73" i="2" a="1"/>
  <c r="Z73" i="2" s="1"/>
  <c r="Z38" i="2" a="1"/>
  <c r="Z38" i="2" s="1"/>
  <c r="Z69" i="2" a="1"/>
  <c r="Z69" i="2" s="1"/>
  <c r="Z76" i="2" a="1"/>
  <c r="Z76" i="2" s="1"/>
  <c r="Z84" i="2" a="1"/>
  <c r="Z84" i="2" s="1"/>
  <c r="Z96" i="2" a="1"/>
  <c r="Z96" i="2" s="1"/>
  <c r="AA19" i="2" a="1"/>
  <c r="AA19" i="2" s="1"/>
  <c r="AA25" i="2" a="1"/>
  <c r="AA25" i="2" s="1"/>
  <c r="AA32" i="2" a="1"/>
  <c r="AA32" i="2" s="1"/>
  <c r="AA44" i="2" a="1"/>
  <c r="AA44" i="2" s="1"/>
  <c r="AA50" i="2" a="1"/>
  <c r="AA50" i="2" s="1"/>
  <c r="AA56" i="2" a="1"/>
  <c r="AA56" i="2" s="1"/>
  <c r="AA62" i="2" a="1"/>
  <c r="AA62" i="2" s="1"/>
  <c r="AA69" i="2" a="1"/>
  <c r="AA69" i="2" s="1"/>
  <c r="AA76" i="2" a="1"/>
  <c r="AA76" i="2" s="1"/>
  <c r="AA84" i="2" a="1"/>
  <c r="AA84" i="2" s="1"/>
  <c r="AA91" i="2" a="1"/>
  <c r="AA91" i="2" s="1"/>
  <c r="Z28" i="2" a="1"/>
  <c r="Z28" i="2" s="1"/>
  <c r="Z56" i="2" a="1"/>
  <c r="Z56" i="2" s="1"/>
  <c r="Z71" i="2" a="1"/>
  <c r="Z71" i="2" s="1"/>
  <c r="Z77" i="2" a="1"/>
  <c r="Z77" i="2" s="1"/>
  <c r="Z85" i="2" a="1"/>
  <c r="Z85" i="2" s="1"/>
  <c r="Z90" i="2" a="1"/>
  <c r="Z90" i="2" s="1"/>
  <c r="Z97" i="2" a="1"/>
  <c r="Z97" i="2" s="1"/>
  <c r="AA20" i="2" a="1"/>
  <c r="AA20" i="2" s="1"/>
  <c r="AA26" i="2" a="1"/>
  <c r="AA26" i="2" s="1"/>
  <c r="AA31" i="2" a="1"/>
  <c r="AA31" i="2" s="1"/>
  <c r="AA39" i="2" a="1"/>
  <c r="AA39" i="2" s="1"/>
  <c r="AA45" i="2" a="1"/>
  <c r="AA45" i="2" s="1"/>
  <c r="AA57" i="2" a="1"/>
  <c r="AA57" i="2" s="1"/>
  <c r="AA63" i="2" a="1"/>
  <c r="AA63" i="2" s="1"/>
  <c r="AA70" i="2" a="1"/>
  <c r="AA70" i="2" s="1"/>
  <c r="AA77" i="2" a="1"/>
  <c r="AA77" i="2" s="1"/>
  <c r="AA85" i="2" a="1"/>
  <c r="AA85" i="2" s="1"/>
  <c r="Z42" i="2" a="1"/>
  <c r="Z42" i="2" s="1"/>
  <c r="Z58" i="2" a="1"/>
  <c r="Z58" i="2" s="1"/>
  <c r="Z72" i="2" a="1"/>
  <c r="Z72" i="2" s="1"/>
  <c r="Z78" i="2" a="1"/>
  <c r="Z78" i="2" s="1"/>
  <c r="Z91" i="2" a="1"/>
  <c r="Z91" i="2" s="1"/>
  <c r="AA34" i="2" a="1"/>
  <c r="AA34" i="2" s="1"/>
  <c r="AA46" i="2" a="1"/>
  <c r="AA46" i="2" s="1"/>
  <c r="AA51" i="2" a="1"/>
  <c r="AA51" i="2" s="1"/>
  <c r="AA58" i="2" a="1"/>
  <c r="AA58" i="2" s="1"/>
  <c r="AA64" i="2" a="1"/>
  <c r="AA64" i="2" s="1"/>
  <c r="AA71" i="2" a="1"/>
  <c r="AA71" i="2" s="1"/>
  <c r="AA78" i="2" a="1"/>
  <c r="AA78" i="2" s="1"/>
  <c r="AA92" i="2" a="1"/>
  <c r="AA92" i="2" s="1"/>
  <c r="Z44" i="2" a="1"/>
  <c r="Z44" i="2" s="1"/>
  <c r="Z60" i="2" a="1"/>
  <c r="Z60" i="2" s="1"/>
  <c r="Z79" i="2" a="1"/>
  <c r="Z79" i="2" s="1"/>
  <c r="Z86" i="2" a="1"/>
  <c r="Z86" i="2" s="1"/>
  <c r="AA15" i="2" a="1"/>
  <c r="AA15" i="2" s="1"/>
  <c r="AA21" i="2" a="1"/>
  <c r="AA21" i="2" s="1"/>
  <c r="AA27" i="2" a="1"/>
  <c r="AA27" i="2" s="1"/>
  <c r="AA35" i="2" a="1"/>
  <c r="AA35" i="2" s="1"/>
  <c r="AA40" i="2" a="1"/>
  <c r="AA40" i="2" s="1"/>
  <c r="AA47" i="2" a="1"/>
  <c r="AA47" i="2" s="1"/>
  <c r="AA65" i="2" a="1"/>
  <c r="AA65" i="2" s="1"/>
  <c r="AA72" i="2" a="1"/>
  <c r="AA72" i="2" s="1"/>
  <c r="AA79" i="2" a="1"/>
  <c r="AA79" i="2" s="1"/>
  <c r="AA86" i="2" a="1"/>
  <c r="AA86" i="2" s="1"/>
  <c r="AA93" i="2" a="1"/>
  <c r="AA93" i="2" s="1"/>
  <c r="Z17" i="2" a="1"/>
  <c r="Z17" i="2" s="1"/>
  <c r="Z74" i="2" a="1"/>
  <c r="Z74" i="2" s="1"/>
  <c r="Z80" i="2" a="1"/>
  <c r="Z80" i="2" s="1"/>
  <c r="Z92" i="2" a="1"/>
  <c r="Z92" i="2" s="1"/>
  <c r="AA22" i="2" a="1"/>
  <c r="AA22" i="2" s="1"/>
  <c r="AA28" i="2" a="1"/>
  <c r="AA28" i="2" s="1"/>
  <c r="AA41" i="2" a="1"/>
  <c r="AA41" i="2" s="1"/>
  <c r="AA52" i="2" a="1"/>
  <c r="AA52" i="2" s="1"/>
  <c r="AA59" i="2" a="1"/>
  <c r="AA59" i="2" s="1"/>
  <c r="AA73" i="2" a="1"/>
  <c r="AA73" i="2" s="1"/>
  <c r="AA80" i="2" a="1"/>
  <c r="AA80" i="2" s="1"/>
  <c r="AA87" i="2" a="1"/>
  <c r="AA87" i="2" s="1"/>
  <c r="AA94" i="2" a="1"/>
  <c r="AA94" i="2" s="1"/>
  <c r="Z19" i="2" a="1"/>
  <c r="Z19" i="2" s="1"/>
  <c r="Z32" i="2" a="1"/>
  <c r="Z32" i="2" s="1"/>
  <c r="Z48" i="2" a="1"/>
  <c r="Z48" i="2" s="1"/>
  <c r="Z81" i="2" a="1"/>
  <c r="Z81" i="2" s="1"/>
  <c r="Z87" i="2" a="1"/>
  <c r="Z87" i="2" s="1"/>
  <c r="Z93" i="2" a="1"/>
  <c r="Z93" i="2" s="1"/>
  <c r="AA16" i="2" a="1"/>
  <c r="AA16" i="2" s="1"/>
  <c r="AA23" i="2" a="1"/>
  <c r="AA23" i="2" s="1"/>
  <c r="AA29" i="2" a="1"/>
  <c r="AA29" i="2" s="1"/>
  <c r="AA36" i="2" a="1"/>
  <c r="AA36" i="2" s="1"/>
  <c r="AA48" i="2" a="1"/>
  <c r="AA48" i="2" s="1"/>
  <c r="AA53" i="2" a="1"/>
  <c r="AA53" i="2" s="1"/>
  <c r="AA60" i="2" a="1"/>
  <c r="AA60" i="2" s="1"/>
  <c r="AA66" i="2" a="1"/>
  <c r="AA66" i="2" s="1"/>
  <c r="AA74" i="2" a="1"/>
  <c r="AA74" i="2" s="1"/>
  <c r="AA81" i="2" a="1"/>
  <c r="AA81" i="2" s="1"/>
  <c r="AA88" i="2" a="1"/>
  <c r="AA88" i="2" s="1"/>
  <c r="AA95" i="2" a="1"/>
  <c r="AA95" i="2" s="1"/>
  <c r="Z22" i="2" a="1"/>
  <c r="Z22" i="2" s="1"/>
  <c r="Z64" i="2" a="1"/>
  <c r="Z64" i="2" s="1"/>
  <c r="Z75" i="2" a="1"/>
  <c r="Z75" i="2" s="1"/>
  <c r="Z82" i="2" a="1"/>
  <c r="Z82" i="2" s="1"/>
  <c r="Z88" i="2" a="1"/>
  <c r="Z88" i="2" s="1"/>
  <c r="Z94" i="2" a="1"/>
  <c r="Z94" i="2" s="1"/>
  <c r="AA17" i="2" a="1"/>
  <c r="AA17" i="2" s="1"/>
  <c r="AA24" i="2" a="1"/>
  <c r="AA24" i="2" s="1"/>
  <c r="AA37" i="2" a="1"/>
  <c r="AA37" i="2" s="1"/>
  <c r="AA42" i="2" a="1"/>
  <c r="AA42" i="2" s="1"/>
  <c r="AA49" i="2" a="1"/>
  <c r="AA49" i="2" s="1"/>
  <c r="AA54" i="2" a="1"/>
  <c r="AA54" i="2" s="1"/>
  <c r="AA61" i="2" a="1"/>
  <c r="AA61" i="2" s="1"/>
  <c r="AA67" i="2" a="1"/>
  <c r="AA67" i="2" s="1"/>
  <c r="AA82" i="2" a="1"/>
  <c r="AA82" i="2" s="1"/>
  <c r="AA89" i="2" a="1"/>
  <c r="AA89" i="2" s="1"/>
  <c r="AA96" i="2" a="1"/>
  <c r="AA96" i="2" s="1"/>
  <c r="Z35" i="2" a="1"/>
  <c r="Z35" i="2" s="1"/>
  <c r="AA68" i="2" a="1"/>
  <c r="AA68" i="2" s="1"/>
  <c r="AA75" i="2" a="1"/>
  <c r="AA75" i="2" s="1"/>
  <c r="Z66" i="2" a="1"/>
  <c r="Z66" i="2" s="1"/>
  <c r="AA30" i="2" a="1"/>
  <c r="AA30" i="2" s="1"/>
  <c r="AA83" i="2" a="1"/>
  <c r="AA83" i="2" s="1"/>
  <c r="AA38" i="2" a="1"/>
  <c r="AA38" i="2" s="1"/>
  <c r="AA90" i="2" a="1"/>
  <c r="AA90" i="2" s="1"/>
  <c r="Z89" i="2" a="1"/>
  <c r="Z89" i="2" s="1"/>
  <c r="Z83" i="2" a="1"/>
  <c r="Z83" i="2" s="1"/>
  <c r="AA43" i="2" a="1"/>
  <c r="AA43" i="2" s="1"/>
  <c r="AA97" i="2" a="1"/>
  <c r="AA97" i="2" s="1"/>
  <c r="Z95" i="2" a="1"/>
  <c r="Z95" i="2" s="1"/>
  <c r="AA55" i="2" a="1"/>
  <c r="AA55" i="2" s="1"/>
  <c r="Z25" i="2" a="1"/>
  <c r="Z25" i="2" s="1"/>
  <c r="AA18" i="2" a="1"/>
  <c r="AA18" i="2" s="1"/>
  <c r="AA13" i="2" a="1"/>
  <c r="AA13" i="2" s="1"/>
  <c r="Z13" i="2" a="1"/>
  <c r="Z13" i="2" s="1"/>
  <c r="AA14" i="2" a="1"/>
  <c r="AA14" i="2" s="1"/>
  <c r="Z14" i="2" a="1"/>
  <c r="Z14" i="2" s="1"/>
  <c r="J3" i="2" l="1" a="1"/>
  <c r="J3" i="2" s="1"/>
  <c r="G3" i="2" a="1"/>
  <c r="G3" i="2" s="1"/>
  <c r="AG3" i="2" s="1"/>
  <c r="I7" i="2"/>
  <c r="Z4" i="18" a="1"/>
  <c r="Z4" i="18" s="1"/>
  <c r="Z5" i="18" a="1"/>
  <c r="Z5" i="18" s="1"/>
  <c r="V83" i="18" a="1"/>
  <c r="V83" i="18" s="1"/>
  <c r="L83" i="18" a="1"/>
  <c r="L83" i="18" s="1"/>
  <c r="I83" i="18"/>
  <c r="K83" i="18" a="1"/>
  <c r="K83" i="18" s="1"/>
  <c r="T83" i="18" a="1"/>
  <c r="T83" i="18" s="1"/>
  <c r="J83" i="18" a="1"/>
  <c r="J83" i="18" s="1"/>
  <c r="G83" i="18" a="1"/>
  <c r="G83" i="18" s="1"/>
  <c r="W83" i="18" a="1"/>
  <c r="W83" i="18" s="1"/>
  <c r="Y83" i="18" a="1"/>
  <c r="Y83" i="18" s="1"/>
  <c r="X83" i="18" a="1"/>
  <c r="X83" i="18" s="1"/>
  <c r="U83" i="18" a="1"/>
  <c r="U83" i="18" s="1"/>
  <c r="N83" i="18" a="1"/>
  <c r="N83" i="18" s="1"/>
  <c r="R83" i="18" a="1"/>
  <c r="R83" i="18" s="1"/>
  <c r="M83" i="18"/>
  <c r="L38" i="18" a="1"/>
  <c r="L38" i="18" s="1"/>
  <c r="W38" i="18" a="1"/>
  <c r="W38" i="18" s="1"/>
  <c r="U38" i="18" a="1"/>
  <c r="U38" i="18" s="1"/>
  <c r="Y38" i="18" a="1"/>
  <c r="Y38" i="18" s="1"/>
  <c r="T38" i="18" a="1"/>
  <c r="T38" i="18" s="1"/>
  <c r="R38" i="18" a="1"/>
  <c r="R38" i="18" s="1"/>
  <c r="M38" i="18"/>
  <c r="J38" i="18" a="1"/>
  <c r="J38" i="18" s="1"/>
  <c r="K38" i="18" a="1"/>
  <c r="K38" i="18" s="1"/>
  <c r="G38" i="18" a="1"/>
  <c r="G38" i="18" s="1"/>
  <c r="X38" i="18" a="1"/>
  <c r="X38" i="18" s="1"/>
  <c r="N38" i="18" a="1"/>
  <c r="N38" i="18" s="1"/>
  <c r="I38" i="18"/>
  <c r="V38" i="18" a="1"/>
  <c r="V38" i="18" s="1"/>
  <c r="T57" i="18" a="1"/>
  <c r="T57" i="18" s="1"/>
  <c r="W57" i="18" a="1"/>
  <c r="W57" i="18" s="1"/>
  <c r="M57" i="18"/>
  <c r="N57" i="18" a="1"/>
  <c r="N57" i="18" s="1"/>
  <c r="J57" i="18" a="1"/>
  <c r="J57" i="18" s="1"/>
  <c r="I57" i="18"/>
  <c r="V57" i="18" a="1"/>
  <c r="V57" i="18" s="1"/>
  <c r="R57" i="18" a="1"/>
  <c r="R57" i="18" s="1"/>
  <c r="Y57" i="18" a="1"/>
  <c r="Y57" i="18" s="1"/>
  <c r="G57" i="18" a="1"/>
  <c r="G57" i="18" s="1"/>
  <c r="K57" i="18" a="1"/>
  <c r="K57" i="18" s="1"/>
  <c r="U57" i="18" a="1"/>
  <c r="U57" i="18" s="1"/>
  <c r="L57" i="18" a="1"/>
  <c r="L57" i="18" s="1"/>
  <c r="X57" i="18" a="1"/>
  <c r="X57" i="18" s="1"/>
  <c r="L70" i="18" a="1"/>
  <c r="L70" i="18" s="1"/>
  <c r="M70" i="18"/>
  <c r="K70" i="18" a="1"/>
  <c r="K70" i="18" s="1"/>
  <c r="J70" i="18" a="1"/>
  <c r="J70" i="18" s="1"/>
  <c r="Y70" i="18" a="1"/>
  <c r="Y70" i="18" s="1"/>
  <c r="N70" i="18" a="1"/>
  <c r="N70" i="18" s="1"/>
  <c r="X70" i="18" a="1"/>
  <c r="X70" i="18" s="1"/>
  <c r="W70" i="18" a="1"/>
  <c r="W70" i="18" s="1"/>
  <c r="I70" i="18"/>
  <c r="V70" i="18" a="1"/>
  <c r="V70" i="18" s="1"/>
  <c r="G70" i="18" a="1"/>
  <c r="G70" i="18" s="1"/>
  <c r="U70" i="18" a="1"/>
  <c r="U70" i="18" s="1"/>
  <c r="T70" i="18" a="1"/>
  <c r="T70" i="18" s="1"/>
  <c r="R70" i="18" a="1"/>
  <c r="R70" i="18" s="1"/>
  <c r="W51" i="18" a="1"/>
  <c r="W51" i="18" s="1"/>
  <c r="T51" i="18" a="1"/>
  <c r="T51" i="18" s="1"/>
  <c r="L51" i="18" a="1"/>
  <c r="L51" i="18" s="1"/>
  <c r="V51" i="18" a="1"/>
  <c r="V51" i="18" s="1"/>
  <c r="U51" i="18" a="1"/>
  <c r="U51" i="18" s="1"/>
  <c r="I51" i="18"/>
  <c r="J51" i="18" a="1"/>
  <c r="J51" i="18" s="1"/>
  <c r="Y51" i="18" a="1"/>
  <c r="Y51" i="18" s="1"/>
  <c r="R51" i="18" a="1"/>
  <c r="R51" i="18" s="1"/>
  <c r="M51" i="18"/>
  <c r="G51" i="18" a="1"/>
  <c r="G51" i="18" s="1"/>
  <c r="K51" i="18" a="1"/>
  <c r="K51" i="18" s="1"/>
  <c r="X51" i="18" a="1"/>
  <c r="X51" i="18" s="1"/>
  <c r="N51" i="18" a="1"/>
  <c r="N51" i="18" s="1"/>
  <c r="M9" i="18"/>
  <c r="L9" i="18" a="1"/>
  <c r="L9" i="18" s="1"/>
  <c r="T9" i="18" a="1"/>
  <c r="T9" i="18" s="1"/>
  <c r="I9" i="18"/>
  <c r="G9" i="18" a="1"/>
  <c r="G9" i="18" s="1"/>
  <c r="J9" i="18" a="1"/>
  <c r="J9" i="18" s="1"/>
  <c r="R9" i="18" a="1"/>
  <c r="R9" i="18" s="1"/>
  <c r="W9" i="18" a="1"/>
  <c r="W9" i="18" s="1"/>
  <c r="Y9" i="18" a="1"/>
  <c r="Y9" i="18" s="1"/>
  <c r="V9" i="18" a="1"/>
  <c r="V9" i="18" s="1"/>
  <c r="U9" i="18" a="1"/>
  <c r="U9" i="18" s="1"/>
  <c r="N9" i="18" a="1"/>
  <c r="N9" i="18" s="1"/>
  <c r="X9" i="18" a="1"/>
  <c r="X9" i="18" s="1"/>
  <c r="K9" i="18" a="1"/>
  <c r="K9" i="18" s="1"/>
  <c r="K15" i="18" a="1"/>
  <c r="K15" i="18" s="1"/>
  <c r="T15" i="18" a="1"/>
  <c r="T15" i="18" s="1"/>
  <c r="X15" i="18" a="1"/>
  <c r="X15" i="18" s="1"/>
  <c r="G15" i="18" a="1"/>
  <c r="G15" i="18" s="1"/>
  <c r="M15" i="18"/>
  <c r="J15" i="18" a="1"/>
  <c r="J15" i="18" s="1"/>
  <c r="N15" i="18" a="1"/>
  <c r="N15" i="18" s="1"/>
  <c r="U15" i="18" a="1"/>
  <c r="U15" i="18" s="1"/>
  <c r="V15" i="18" a="1"/>
  <c r="V15" i="18" s="1"/>
  <c r="I15" i="18"/>
  <c r="L15" i="18" a="1"/>
  <c r="L15" i="18" s="1"/>
  <c r="W15" i="18" a="1"/>
  <c r="W15" i="18" s="1"/>
  <c r="Y15" i="18" a="1"/>
  <c r="Y15" i="18" s="1"/>
  <c r="R15" i="18" a="1"/>
  <c r="R15" i="18" s="1"/>
  <c r="U25" i="18" a="1"/>
  <c r="U25" i="18" s="1"/>
  <c r="L25" i="18" a="1"/>
  <c r="L25" i="18" s="1"/>
  <c r="G25" i="18" a="1"/>
  <c r="G25" i="18" s="1"/>
  <c r="I25" i="18"/>
  <c r="W25" i="18" a="1"/>
  <c r="W25" i="18" s="1"/>
  <c r="M25" i="18"/>
  <c r="N25" i="18" a="1"/>
  <c r="N25" i="18" s="1"/>
  <c r="X25" i="18" a="1"/>
  <c r="X25" i="18" s="1"/>
  <c r="R25" i="18" a="1"/>
  <c r="R25" i="18" s="1"/>
  <c r="V25" i="18" a="1"/>
  <c r="V25" i="18" s="1"/>
  <c r="J25" i="18" a="1"/>
  <c r="J25" i="18" s="1"/>
  <c r="K25" i="18" a="1"/>
  <c r="K25" i="18" s="1"/>
  <c r="Y25" i="18" a="1"/>
  <c r="Y25" i="18" s="1"/>
  <c r="T25" i="18" a="1"/>
  <c r="T25" i="18" s="1"/>
  <c r="R74" i="18" a="1"/>
  <c r="R74" i="18" s="1"/>
  <c r="T74" i="18" a="1"/>
  <c r="T74" i="18" s="1"/>
  <c r="N74" i="18" a="1"/>
  <c r="N74" i="18" s="1"/>
  <c r="M74" i="18"/>
  <c r="K74" i="18" a="1"/>
  <c r="K74" i="18" s="1"/>
  <c r="J74" i="18" a="1"/>
  <c r="J74" i="18" s="1"/>
  <c r="Y74" i="18" a="1"/>
  <c r="Y74" i="18" s="1"/>
  <c r="X74" i="18" a="1"/>
  <c r="X74" i="18" s="1"/>
  <c r="W74" i="18" a="1"/>
  <c r="W74" i="18" s="1"/>
  <c r="I74" i="18"/>
  <c r="V74" i="18" a="1"/>
  <c r="V74" i="18" s="1"/>
  <c r="G74" i="18" a="1"/>
  <c r="G74" i="18" s="1"/>
  <c r="L74" i="18" a="1"/>
  <c r="L74" i="18" s="1"/>
  <c r="U74" i="18" a="1"/>
  <c r="U74" i="18" s="1"/>
  <c r="L23" i="18" a="1"/>
  <c r="L23" i="18" s="1"/>
  <c r="I23" i="18"/>
  <c r="R23" i="18" a="1"/>
  <c r="R23" i="18" s="1"/>
  <c r="X23" i="18" a="1"/>
  <c r="X23" i="18" s="1"/>
  <c r="N23" i="18" a="1"/>
  <c r="N23" i="18" s="1"/>
  <c r="T23" i="18" a="1"/>
  <c r="T23" i="18" s="1"/>
  <c r="K23" i="18" a="1"/>
  <c r="K23" i="18" s="1"/>
  <c r="G23" i="18" a="1"/>
  <c r="G23" i="18" s="1"/>
  <c r="M23" i="18"/>
  <c r="J23" i="18" a="1"/>
  <c r="J23" i="18" s="1"/>
  <c r="W23" i="18" a="1"/>
  <c r="W23" i="18" s="1"/>
  <c r="Y23" i="18" a="1"/>
  <c r="Y23" i="18" s="1"/>
  <c r="V23" i="18" a="1"/>
  <c r="V23" i="18" s="1"/>
  <c r="U23" i="18" a="1"/>
  <c r="U23" i="18" s="1"/>
  <c r="R24" i="18" a="1"/>
  <c r="R24" i="18" s="1"/>
  <c r="J24" i="18" a="1"/>
  <c r="J24" i="18" s="1"/>
  <c r="V24" i="18" a="1"/>
  <c r="V24" i="18" s="1"/>
  <c r="W24" i="18" a="1"/>
  <c r="W24" i="18" s="1"/>
  <c r="I24" i="18"/>
  <c r="U24" i="18" a="1"/>
  <c r="U24" i="18" s="1"/>
  <c r="M24" i="18"/>
  <c r="T24" i="18" a="1"/>
  <c r="T24" i="18" s="1"/>
  <c r="Y24" i="18" a="1"/>
  <c r="Y24" i="18" s="1"/>
  <c r="X24" i="18" a="1"/>
  <c r="X24" i="18" s="1"/>
  <c r="N24" i="18" a="1"/>
  <c r="N24" i="18" s="1"/>
  <c r="L24" i="18" a="1"/>
  <c r="L24" i="18" s="1"/>
  <c r="K24" i="18" a="1"/>
  <c r="K24" i="18" s="1"/>
  <c r="G24" i="18" a="1"/>
  <c r="G24" i="18" s="1"/>
  <c r="K63" i="18" a="1"/>
  <c r="K63" i="18" s="1"/>
  <c r="X63" i="18" a="1"/>
  <c r="X63" i="18" s="1"/>
  <c r="V63" i="18" a="1"/>
  <c r="V63" i="18" s="1"/>
  <c r="T63" i="18" a="1"/>
  <c r="T63" i="18" s="1"/>
  <c r="N63" i="18" a="1"/>
  <c r="N63" i="18" s="1"/>
  <c r="L63" i="18" a="1"/>
  <c r="L63" i="18" s="1"/>
  <c r="J63" i="18" a="1"/>
  <c r="J63" i="18" s="1"/>
  <c r="I63" i="18"/>
  <c r="Y63" i="18" a="1"/>
  <c r="Y63" i="18" s="1"/>
  <c r="R63" i="18" a="1"/>
  <c r="R63" i="18" s="1"/>
  <c r="G63" i="18" a="1"/>
  <c r="G63" i="18" s="1"/>
  <c r="M63" i="18"/>
  <c r="W63" i="18" a="1"/>
  <c r="W63" i="18" s="1"/>
  <c r="U63" i="18" a="1"/>
  <c r="U63" i="18" s="1"/>
  <c r="M33" i="18"/>
  <c r="U33" i="18" a="1"/>
  <c r="U33" i="18" s="1"/>
  <c r="W33" i="18" a="1"/>
  <c r="W33" i="18" s="1"/>
  <c r="L33" i="18" a="1"/>
  <c r="L33" i="18" s="1"/>
  <c r="K33" i="18" a="1"/>
  <c r="K33" i="18" s="1"/>
  <c r="J33" i="18" a="1"/>
  <c r="J33" i="18" s="1"/>
  <c r="V33" i="18" a="1"/>
  <c r="V33" i="18" s="1"/>
  <c r="I33" i="18"/>
  <c r="G33" i="18" a="1"/>
  <c r="G33" i="18" s="1"/>
  <c r="R33" i="18" a="1"/>
  <c r="R33" i="18" s="1"/>
  <c r="X33" i="18" a="1"/>
  <c r="X33" i="18" s="1"/>
  <c r="N33" i="18" a="1"/>
  <c r="N33" i="18" s="1"/>
  <c r="Y33" i="18" a="1"/>
  <c r="Y33" i="18" s="1"/>
  <c r="T33" i="18" a="1"/>
  <c r="T33" i="18" s="1"/>
  <c r="W88" i="18" a="1"/>
  <c r="W88" i="18" s="1"/>
  <c r="R88" i="18" a="1"/>
  <c r="R88" i="18" s="1"/>
  <c r="Y88" i="18" a="1"/>
  <c r="Y88" i="18" s="1"/>
  <c r="N88" i="18" a="1"/>
  <c r="N88" i="18" s="1"/>
  <c r="X88" i="18" a="1"/>
  <c r="X88" i="18" s="1"/>
  <c r="L88" i="18" a="1"/>
  <c r="L88" i="18" s="1"/>
  <c r="K88" i="18" a="1"/>
  <c r="K88" i="18" s="1"/>
  <c r="G88" i="18" a="1"/>
  <c r="G88" i="18" s="1"/>
  <c r="T88" i="18" a="1"/>
  <c r="T88" i="18" s="1"/>
  <c r="U88" i="18" a="1"/>
  <c r="U88" i="18" s="1"/>
  <c r="J88" i="18" a="1"/>
  <c r="J88" i="18" s="1"/>
  <c r="V88" i="18" a="1"/>
  <c r="V88" i="18" s="1"/>
  <c r="I88" i="18"/>
  <c r="M88" i="18"/>
  <c r="N93" i="18" a="1"/>
  <c r="N93" i="18" s="1"/>
  <c r="X93" i="18" a="1"/>
  <c r="X93" i="18" s="1"/>
  <c r="Y93" i="18" a="1"/>
  <c r="Y93" i="18" s="1"/>
  <c r="M93" i="18"/>
  <c r="W93" i="18" a="1"/>
  <c r="W93" i="18" s="1"/>
  <c r="L93" i="18" a="1"/>
  <c r="L93" i="18" s="1"/>
  <c r="K93" i="18" a="1"/>
  <c r="K93" i="18" s="1"/>
  <c r="U93" i="18" a="1"/>
  <c r="U93" i="18" s="1"/>
  <c r="T93" i="18" a="1"/>
  <c r="T93" i="18" s="1"/>
  <c r="J93" i="18" a="1"/>
  <c r="J93" i="18" s="1"/>
  <c r="I93" i="18"/>
  <c r="R93" i="18" a="1"/>
  <c r="R93" i="18" s="1"/>
  <c r="V93" i="18" a="1"/>
  <c r="V93" i="18" s="1"/>
  <c r="G93" i="18" a="1"/>
  <c r="G93" i="18" s="1"/>
  <c r="X29" i="18" a="1"/>
  <c r="X29" i="18" s="1"/>
  <c r="K29" i="18" a="1"/>
  <c r="K29" i="18" s="1"/>
  <c r="U29" i="18" a="1"/>
  <c r="U29" i="18" s="1"/>
  <c r="I29" i="18"/>
  <c r="T29" i="18" a="1"/>
  <c r="T29" i="18" s="1"/>
  <c r="G29" i="18" a="1"/>
  <c r="G29" i="18" s="1"/>
  <c r="J29" i="18" a="1"/>
  <c r="J29" i="18" s="1"/>
  <c r="R29" i="18" a="1"/>
  <c r="R29" i="18" s="1"/>
  <c r="M29" i="18"/>
  <c r="W29" i="18" a="1"/>
  <c r="W29" i="18" s="1"/>
  <c r="V29" i="18" a="1"/>
  <c r="V29" i="18" s="1"/>
  <c r="N29" i="18" a="1"/>
  <c r="N29" i="18" s="1"/>
  <c r="Y29" i="18" a="1"/>
  <c r="Y29" i="18" s="1"/>
  <c r="L29" i="18" a="1"/>
  <c r="L29" i="18" s="1"/>
  <c r="Y39" i="18" a="1"/>
  <c r="Y39" i="18" s="1"/>
  <c r="T39" i="18" a="1"/>
  <c r="T39" i="18" s="1"/>
  <c r="K39" i="18" a="1"/>
  <c r="K39" i="18" s="1"/>
  <c r="X39" i="18" a="1"/>
  <c r="X39" i="18" s="1"/>
  <c r="N39" i="18" a="1"/>
  <c r="N39" i="18" s="1"/>
  <c r="M39" i="18"/>
  <c r="L39" i="18" a="1"/>
  <c r="L39" i="18" s="1"/>
  <c r="J39" i="18" a="1"/>
  <c r="J39" i="18" s="1"/>
  <c r="V39" i="18" a="1"/>
  <c r="V39" i="18" s="1"/>
  <c r="R39" i="18" a="1"/>
  <c r="R39" i="18" s="1"/>
  <c r="W39" i="18" a="1"/>
  <c r="W39" i="18" s="1"/>
  <c r="I39" i="18"/>
  <c r="G39" i="18" a="1"/>
  <c r="G39" i="18" s="1"/>
  <c r="U39" i="18" a="1"/>
  <c r="U39" i="18" s="1"/>
  <c r="I7" i="18"/>
  <c r="G7" i="18" a="1"/>
  <c r="G7" i="18" s="1"/>
  <c r="Y7" i="18" a="1"/>
  <c r="Y7" i="18" s="1"/>
  <c r="X7" i="18" a="1"/>
  <c r="X7" i="18" s="1"/>
  <c r="N7" i="18" a="1"/>
  <c r="N7" i="18" s="1"/>
  <c r="M7" i="18"/>
  <c r="W7" i="18" a="1"/>
  <c r="W7" i="18" s="1"/>
  <c r="L7" i="18" a="1"/>
  <c r="L7" i="18" s="1"/>
  <c r="U7" i="18" a="1"/>
  <c r="U7" i="18" s="1"/>
  <c r="V7" i="18" a="1"/>
  <c r="V7" i="18" s="1"/>
  <c r="K7" i="18" a="1"/>
  <c r="K7" i="18" s="1"/>
  <c r="R7" i="18" a="1"/>
  <c r="R7" i="18" s="1"/>
  <c r="J7" i="18" a="1"/>
  <c r="J7" i="18" s="1"/>
  <c r="T7" i="18" a="1"/>
  <c r="T7" i="18" s="1"/>
  <c r="Y46" i="18" a="1"/>
  <c r="Y46" i="18" s="1"/>
  <c r="T46" i="18" a="1"/>
  <c r="T46" i="18" s="1"/>
  <c r="W46" i="18" a="1"/>
  <c r="W46" i="18" s="1"/>
  <c r="V46" i="18" a="1"/>
  <c r="V46" i="18" s="1"/>
  <c r="U46" i="18" a="1"/>
  <c r="U46" i="18" s="1"/>
  <c r="I46" i="18"/>
  <c r="J46" i="18" a="1"/>
  <c r="J46" i="18" s="1"/>
  <c r="X46" i="18" a="1"/>
  <c r="X46" i="18" s="1"/>
  <c r="G46" i="18" a="1"/>
  <c r="G46" i="18" s="1"/>
  <c r="N46" i="18" a="1"/>
  <c r="N46" i="18" s="1"/>
  <c r="L46" i="18" a="1"/>
  <c r="L46" i="18" s="1"/>
  <c r="R46" i="18" a="1"/>
  <c r="R46" i="18" s="1"/>
  <c r="K46" i="18" a="1"/>
  <c r="K46" i="18" s="1"/>
  <c r="M46" i="18"/>
  <c r="W37" i="18" a="1"/>
  <c r="W37" i="18" s="1"/>
  <c r="Y37" i="18" a="1"/>
  <c r="Y37" i="18" s="1"/>
  <c r="U37" i="18" a="1"/>
  <c r="U37" i="18" s="1"/>
  <c r="M37" i="18"/>
  <c r="L37" i="18" a="1"/>
  <c r="L37" i="18" s="1"/>
  <c r="K37" i="18" a="1"/>
  <c r="K37" i="18" s="1"/>
  <c r="V37" i="18" a="1"/>
  <c r="V37" i="18" s="1"/>
  <c r="G37" i="18" a="1"/>
  <c r="G37" i="18" s="1"/>
  <c r="T37" i="18" a="1"/>
  <c r="T37" i="18" s="1"/>
  <c r="I37" i="18"/>
  <c r="X37" i="18" a="1"/>
  <c r="X37" i="18" s="1"/>
  <c r="R37" i="18" a="1"/>
  <c r="R37" i="18" s="1"/>
  <c r="J37" i="18" a="1"/>
  <c r="J37" i="18" s="1"/>
  <c r="N37" i="18" a="1"/>
  <c r="N37" i="18" s="1"/>
  <c r="R6" i="18" a="1"/>
  <c r="R6" i="18" s="1"/>
  <c r="T6" i="18" a="1"/>
  <c r="T6" i="18" s="1"/>
  <c r="Y6" i="18" a="1"/>
  <c r="Y6" i="18" s="1"/>
  <c r="V6" i="18" a="1"/>
  <c r="V6" i="18" s="1"/>
  <c r="U6" i="18" a="1"/>
  <c r="U6" i="18" s="1"/>
  <c r="J6" i="18" a="1"/>
  <c r="J6" i="18" s="1"/>
  <c r="I6" i="18"/>
  <c r="X6" i="18" a="1"/>
  <c r="X6" i="18" s="1"/>
  <c r="W6" i="18" a="1"/>
  <c r="W6" i="18" s="1"/>
  <c r="L6" i="18" a="1"/>
  <c r="L6" i="18" s="1"/>
  <c r="K6" i="18" a="1"/>
  <c r="K6" i="18" s="1"/>
  <c r="G6" i="18" a="1"/>
  <c r="G6" i="18" s="1"/>
  <c r="T64" i="18" a="1"/>
  <c r="T64" i="18" s="1"/>
  <c r="R64" i="18" a="1"/>
  <c r="R64" i="18" s="1"/>
  <c r="Y64" i="18" a="1"/>
  <c r="Y64" i="18" s="1"/>
  <c r="L64" i="18" a="1"/>
  <c r="L64" i="18" s="1"/>
  <c r="K64" i="18" a="1"/>
  <c r="K64" i="18" s="1"/>
  <c r="I64" i="18"/>
  <c r="V64" i="18" a="1"/>
  <c r="V64" i="18" s="1"/>
  <c r="G64" i="18" a="1"/>
  <c r="G64" i="18" s="1"/>
  <c r="N64" i="18" a="1"/>
  <c r="N64" i="18" s="1"/>
  <c r="M64" i="18"/>
  <c r="J64" i="18" a="1"/>
  <c r="J64" i="18" s="1"/>
  <c r="U64" i="18" a="1"/>
  <c r="U64" i="18" s="1"/>
  <c r="X64" i="18" a="1"/>
  <c r="X64" i="18" s="1"/>
  <c r="W64" i="18" a="1"/>
  <c r="W64" i="18" s="1"/>
  <c r="K14" i="18" a="1"/>
  <c r="K14" i="18" s="1"/>
  <c r="J14" i="18" a="1"/>
  <c r="J14" i="18" s="1"/>
  <c r="Y14" i="18" a="1"/>
  <c r="Y14" i="18" s="1"/>
  <c r="X14" i="18" a="1"/>
  <c r="X14" i="18" s="1"/>
  <c r="M14" i="18"/>
  <c r="G14" i="18" a="1"/>
  <c r="G14" i="18" s="1"/>
  <c r="U14" i="18" a="1"/>
  <c r="U14" i="18" s="1"/>
  <c r="N14" i="18" a="1"/>
  <c r="N14" i="18" s="1"/>
  <c r="T14" i="18" a="1"/>
  <c r="T14" i="18" s="1"/>
  <c r="L14" i="18" a="1"/>
  <c r="L14" i="18" s="1"/>
  <c r="I14" i="18"/>
  <c r="W14" i="18" a="1"/>
  <c r="W14" i="18" s="1"/>
  <c r="R14" i="18" a="1"/>
  <c r="R14" i="18" s="1"/>
  <c r="V14" i="18" a="1"/>
  <c r="V14" i="18" s="1"/>
  <c r="Y72" i="18" a="1"/>
  <c r="Y72" i="18" s="1"/>
  <c r="W72" i="18" a="1"/>
  <c r="W72" i="18" s="1"/>
  <c r="V72" i="18" a="1"/>
  <c r="V72" i="18" s="1"/>
  <c r="J72" i="18" a="1"/>
  <c r="J72" i="18" s="1"/>
  <c r="L72" i="18" a="1"/>
  <c r="L72" i="18" s="1"/>
  <c r="G72" i="18" a="1"/>
  <c r="G72" i="18" s="1"/>
  <c r="U72" i="18" a="1"/>
  <c r="U72" i="18" s="1"/>
  <c r="K72" i="18" a="1"/>
  <c r="K72" i="18" s="1"/>
  <c r="I72" i="18"/>
  <c r="T72" i="18" a="1"/>
  <c r="T72" i="18" s="1"/>
  <c r="R72" i="18" a="1"/>
  <c r="R72" i="18" s="1"/>
  <c r="N72" i="18" a="1"/>
  <c r="N72" i="18" s="1"/>
  <c r="X72" i="18" a="1"/>
  <c r="X72" i="18" s="1"/>
  <c r="M72" i="18"/>
  <c r="R47" i="18" a="1"/>
  <c r="R47" i="18" s="1"/>
  <c r="Y47" i="18" a="1"/>
  <c r="Y47" i="18" s="1"/>
  <c r="T47" i="18" a="1"/>
  <c r="T47" i="18" s="1"/>
  <c r="X47" i="18" a="1"/>
  <c r="X47" i="18" s="1"/>
  <c r="N47" i="18" a="1"/>
  <c r="N47" i="18" s="1"/>
  <c r="M47" i="18"/>
  <c r="V47" i="18" a="1"/>
  <c r="V47" i="18" s="1"/>
  <c r="K47" i="18" a="1"/>
  <c r="K47" i="18" s="1"/>
  <c r="J47" i="18" a="1"/>
  <c r="J47" i="18" s="1"/>
  <c r="G47" i="18" a="1"/>
  <c r="G47" i="18" s="1"/>
  <c r="U47" i="18" a="1"/>
  <c r="U47" i="18" s="1"/>
  <c r="L47" i="18" a="1"/>
  <c r="L47" i="18" s="1"/>
  <c r="I47" i="18"/>
  <c r="W47" i="18" a="1"/>
  <c r="W47" i="18" s="1"/>
  <c r="K77" i="18" a="1"/>
  <c r="K77" i="18" s="1"/>
  <c r="X77" i="18" a="1"/>
  <c r="X77" i="18" s="1"/>
  <c r="W77" i="18" a="1"/>
  <c r="W77" i="18" s="1"/>
  <c r="V77" i="18" a="1"/>
  <c r="V77" i="18" s="1"/>
  <c r="J77" i="18" a="1"/>
  <c r="J77" i="18" s="1"/>
  <c r="I77" i="18"/>
  <c r="U77" i="18" a="1"/>
  <c r="U77" i="18" s="1"/>
  <c r="T77" i="18" a="1"/>
  <c r="T77" i="18" s="1"/>
  <c r="M77" i="18"/>
  <c r="L77" i="18" a="1"/>
  <c r="L77" i="18" s="1"/>
  <c r="G77" i="18" a="1"/>
  <c r="G77" i="18" s="1"/>
  <c r="R77" i="18" a="1"/>
  <c r="R77" i="18" s="1"/>
  <c r="N77" i="18" a="1"/>
  <c r="N77" i="18" s="1"/>
  <c r="Y77" i="18" a="1"/>
  <c r="Y77" i="18" s="1"/>
  <c r="X86" i="18" a="1"/>
  <c r="X86" i="18" s="1"/>
  <c r="U86" i="18" a="1"/>
  <c r="U86" i="18" s="1"/>
  <c r="J86" i="18" a="1"/>
  <c r="J86" i="18" s="1"/>
  <c r="T86" i="18" a="1"/>
  <c r="T86" i="18" s="1"/>
  <c r="R86" i="18" a="1"/>
  <c r="R86" i="18" s="1"/>
  <c r="G86" i="18" a="1"/>
  <c r="G86" i="18" s="1"/>
  <c r="N86" i="18" a="1"/>
  <c r="N86" i="18" s="1"/>
  <c r="M86" i="18"/>
  <c r="I86" i="18"/>
  <c r="W86" i="18" a="1"/>
  <c r="W86" i="18" s="1"/>
  <c r="L86" i="18" a="1"/>
  <c r="L86" i="18" s="1"/>
  <c r="V86" i="18" a="1"/>
  <c r="V86" i="18" s="1"/>
  <c r="K86" i="18" a="1"/>
  <c r="K86" i="18" s="1"/>
  <c r="Y86" i="18" a="1"/>
  <c r="Y86" i="18" s="1"/>
  <c r="L67" i="18" a="1"/>
  <c r="L67" i="18" s="1"/>
  <c r="T67" i="18" a="1"/>
  <c r="T67" i="18" s="1"/>
  <c r="N67" i="18" a="1"/>
  <c r="N67" i="18" s="1"/>
  <c r="Y67" i="18" a="1"/>
  <c r="Y67" i="18" s="1"/>
  <c r="G67" i="18" a="1"/>
  <c r="G67" i="18" s="1"/>
  <c r="V67" i="18" a="1"/>
  <c r="V67" i="18" s="1"/>
  <c r="K67" i="18" a="1"/>
  <c r="K67" i="18" s="1"/>
  <c r="X67" i="18" a="1"/>
  <c r="X67" i="18" s="1"/>
  <c r="M67" i="18"/>
  <c r="R67" i="18" a="1"/>
  <c r="R67" i="18" s="1"/>
  <c r="W67" i="18" a="1"/>
  <c r="W67" i="18" s="1"/>
  <c r="U67" i="18" a="1"/>
  <c r="U67" i="18" s="1"/>
  <c r="I67" i="18"/>
  <c r="J67" i="18" a="1"/>
  <c r="J67" i="18" s="1"/>
  <c r="Y35" i="18" a="1"/>
  <c r="Y35" i="18" s="1"/>
  <c r="K35" i="18" a="1"/>
  <c r="K35" i="18" s="1"/>
  <c r="V35" i="18" a="1"/>
  <c r="V35" i="18" s="1"/>
  <c r="X35" i="18" a="1"/>
  <c r="X35" i="18" s="1"/>
  <c r="N35" i="18" a="1"/>
  <c r="N35" i="18" s="1"/>
  <c r="M35" i="18"/>
  <c r="L35" i="18" a="1"/>
  <c r="L35" i="18" s="1"/>
  <c r="W35" i="18" a="1"/>
  <c r="W35" i="18" s="1"/>
  <c r="J35" i="18" a="1"/>
  <c r="J35" i="18" s="1"/>
  <c r="G35" i="18" a="1"/>
  <c r="G35" i="18" s="1"/>
  <c r="R35" i="18" a="1"/>
  <c r="R35" i="18" s="1"/>
  <c r="U35" i="18" a="1"/>
  <c r="U35" i="18" s="1"/>
  <c r="T35" i="18" a="1"/>
  <c r="T35" i="18" s="1"/>
  <c r="I35" i="18"/>
  <c r="T49" i="18" a="1"/>
  <c r="T49" i="18" s="1"/>
  <c r="G49" i="18" a="1"/>
  <c r="G49" i="18" s="1"/>
  <c r="W49" i="18" a="1"/>
  <c r="W49" i="18" s="1"/>
  <c r="N49" i="18" a="1"/>
  <c r="N49" i="18" s="1"/>
  <c r="X49" i="18" a="1"/>
  <c r="X49" i="18" s="1"/>
  <c r="J49" i="18" a="1"/>
  <c r="J49" i="18" s="1"/>
  <c r="I49" i="18"/>
  <c r="K49" i="18" a="1"/>
  <c r="K49" i="18" s="1"/>
  <c r="M49" i="18"/>
  <c r="V49" i="18" a="1"/>
  <c r="V49" i="18" s="1"/>
  <c r="R49" i="18" a="1"/>
  <c r="R49" i="18" s="1"/>
  <c r="Y49" i="18" a="1"/>
  <c r="Y49" i="18" s="1"/>
  <c r="L49" i="18" a="1"/>
  <c r="L49" i="18" s="1"/>
  <c r="U49" i="18" a="1"/>
  <c r="U49" i="18" s="1"/>
  <c r="W28" i="18" a="1"/>
  <c r="W28" i="18" s="1"/>
  <c r="Y28" i="18" a="1"/>
  <c r="Y28" i="18" s="1"/>
  <c r="X28" i="18" a="1"/>
  <c r="X28" i="18" s="1"/>
  <c r="L28" i="18" a="1"/>
  <c r="L28" i="18" s="1"/>
  <c r="N28" i="18" a="1"/>
  <c r="N28" i="18" s="1"/>
  <c r="K28" i="18" a="1"/>
  <c r="K28" i="18" s="1"/>
  <c r="U28" i="18" a="1"/>
  <c r="U28" i="18" s="1"/>
  <c r="J28" i="18" a="1"/>
  <c r="J28" i="18" s="1"/>
  <c r="I28" i="18"/>
  <c r="T28" i="18" a="1"/>
  <c r="T28" i="18" s="1"/>
  <c r="G28" i="18" a="1"/>
  <c r="G28" i="18" s="1"/>
  <c r="V28" i="18" a="1"/>
  <c r="V28" i="18" s="1"/>
  <c r="M28" i="18"/>
  <c r="R28" i="18" a="1"/>
  <c r="R28" i="18" s="1"/>
  <c r="W42" i="18" a="1"/>
  <c r="W42" i="18" s="1"/>
  <c r="N42" i="18" a="1"/>
  <c r="N42" i="18" s="1"/>
  <c r="T42" i="18" a="1"/>
  <c r="T42" i="18" s="1"/>
  <c r="M42" i="18"/>
  <c r="I42" i="18"/>
  <c r="L42" i="18" a="1"/>
  <c r="L42" i="18" s="1"/>
  <c r="R42" i="18" a="1"/>
  <c r="R42" i="18" s="1"/>
  <c r="U42" i="18" a="1"/>
  <c r="U42" i="18" s="1"/>
  <c r="G42" i="18" a="1"/>
  <c r="G42" i="18" s="1"/>
  <c r="K42" i="18" a="1"/>
  <c r="K42" i="18" s="1"/>
  <c r="X42" i="18" a="1"/>
  <c r="X42" i="18" s="1"/>
  <c r="J42" i="18" a="1"/>
  <c r="J42" i="18" s="1"/>
  <c r="Y42" i="18" a="1"/>
  <c r="Y42" i="18" s="1"/>
  <c r="V42" i="18" a="1"/>
  <c r="V42" i="18" s="1"/>
  <c r="Y59" i="18" a="1"/>
  <c r="Y59" i="18" s="1"/>
  <c r="J59" i="18" a="1"/>
  <c r="J59" i="18" s="1"/>
  <c r="T59" i="18" a="1"/>
  <c r="T59" i="18" s="1"/>
  <c r="N59" i="18" a="1"/>
  <c r="N59" i="18" s="1"/>
  <c r="U59" i="18" a="1"/>
  <c r="U59" i="18" s="1"/>
  <c r="M59" i="18"/>
  <c r="I59" i="18"/>
  <c r="R59" i="18" a="1"/>
  <c r="R59" i="18" s="1"/>
  <c r="W59" i="18" a="1"/>
  <c r="W59" i="18" s="1"/>
  <c r="G59" i="18" a="1"/>
  <c r="G59" i="18" s="1"/>
  <c r="L59" i="18" a="1"/>
  <c r="L59" i="18" s="1"/>
  <c r="K59" i="18" a="1"/>
  <c r="K59" i="18" s="1"/>
  <c r="X59" i="18" a="1"/>
  <c r="X59" i="18" s="1"/>
  <c r="V59" i="18" a="1"/>
  <c r="V59" i="18" s="1"/>
  <c r="W62" i="18" a="1"/>
  <c r="W62" i="18" s="1"/>
  <c r="I62" i="18"/>
  <c r="L62" i="18" a="1"/>
  <c r="L62" i="18" s="1"/>
  <c r="V62" i="18" a="1"/>
  <c r="V62" i="18" s="1"/>
  <c r="T62" i="18" a="1"/>
  <c r="T62" i="18" s="1"/>
  <c r="K62" i="18" a="1"/>
  <c r="K62" i="18" s="1"/>
  <c r="J62" i="18" a="1"/>
  <c r="J62" i="18" s="1"/>
  <c r="U62" i="18" a="1"/>
  <c r="U62" i="18" s="1"/>
  <c r="R62" i="18" a="1"/>
  <c r="R62" i="18" s="1"/>
  <c r="X62" i="18" a="1"/>
  <c r="X62" i="18" s="1"/>
  <c r="N62" i="18" a="1"/>
  <c r="N62" i="18" s="1"/>
  <c r="M62" i="18"/>
  <c r="Y62" i="18" a="1"/>
  <c r="Y62" i="18" s="1"/>
  <c r="G62" i="18" a="1"/>
  <c r="G62" i="18" s="1"/>
  <c r="T53" i="18" a="1"/>
  <c r="T53" i="18" s="1"/>
  <c r="I53" i="18"/>
  <c r="G53" i="18" a="1"/>
  <c r="G53" i="18" s="1"/>
  <c r="J53" i="18" a="1"/>
  <c r="J53" i="18" s="1"/>
  <c r="N53" i="18" a="1"/>
  <c r="N53" i="18" s="1"/>
  <c r="M53" i="18"/>
  <c r="V53" i="18" a="1"/>
  <c r="V53" i="18" s="1"/>
  <c r="U53" i="18" a="1"/>
  <c r="U53" i="18" s="1"/>
  <c r="R53" i="18" a="1"/>
  <c r="R53" i="18" s="1"/>
  <c r="Y53" i="18" a="1"/>
  <c r="Y53" i="18" s="1"/>
  <c r="L53" i="18" a="1"/>
  <c r="L53" i="18" s="1"/>
  <c r="K53" i="18" a="1"/>
  <c r="K53" i="18" s="1"/>
  <c r="X53" i="18" a="1"/>
  <c r="X53" i="18" s="1"/>
  <c r="W53" i="18" a="1"/>
  <c r="W53" i="18" s="1"/>
  <c r="V17" i="18" a="1"/>
  <c r="V17" i="18" s="1"/>
  <c r="J17" i="18" a="1"/>
  <c r="J17" i="18" s="1"/>
  <c r="R17" i="18" a="1"/>
  <c r="R17" i="18" s="1"/>
  <c r="N17" i="18" a="1"/>
  <c r="N17" i="18" s="1"/>
  <c r="M17" i="18"/>
  <c r="T17" i="18" a="1"/>
  <c r="T17" i="18" s="1"/>
  <c r="L17" i="18" a="1"/>
  <c r="L17" i="18" s="1"/>
  <c r="Y17" i="18" a="1"/>
  <c r="Y17" i="18" s="1"/>
  <c r="K17" i="18" a="1"/>
  <c r="K17" i="18" s="1"/>
  <c r="X17" i="18" a="1"/>
  <c r="X17" i="18" s="1"/>
  <c r="I17" i="18"/>
  <c r="G17" i="18" a="1"/>
  <c r="G17" i="18" s="1"/>
  <c r="U17" i="18" a="1"/>
  <c r="U17" i="18" s="1"/>
  <c r="W17" i="18" a="1"/>
  <c r="W17" i="18" s="1"/>
  <c r="K16" i="18" a="1"/>
  <c r="K16" i="18" s="1"/>
  <c r="J16" i="18" a="1"/>
  <c r="J16" i="18" s="1"/>
  <c r="I16" i="18"/>
  <c r="W16" i="18" a="1"/>
  <c r="W16" i="18" s="1"/>
  <c r="G16" i="18" a="1"/>
  <c r="G16" i="18" s="1"/>
  <c r="V16" i="18" a="1"/>
  <c r="V16" i="18" s="1"/>
  <c r="U16" i="18" a="1"/>
  <c r="U16" i="18" s="1"/>
  <c r="T16" i="18" a="1"/>
  <c r="T16" i="18" s="1"/>
  <c r="R16" i="18" a="1"/>
  <c r="R16" i="18" s="1"/>
  <c r="M16" i="18"/>
  <c r="Y16" i="18" a="1"/>
  <c r="Y16" i="18" s="1"/>
  <c r="X16" i="18" a="1"/>
  <c r="X16" i="18" s="1"/>
  <c r="N16" i="18" a="1"/>
  <c r="N16" i="18" s="1"/>
  <c r="L16" i="18" a="1"/>
  <c r="L16" i="18" s="1"/>
  <c r="L87" i="18" a="1"/>
  <c r="L87" i="18" s="1"/>
  <c r="K87" i="18" a="1"/>
  <c r="K87" i="18" s="1"/>
  <c r="J87" i="18" a="1"/>
  <c r="J87" i="18" s="1"/>
  <c r="R87" i="18" a="1"/>
  <c r="R87" i="18" s="1"/>
  <c r="W87" i="18" a="1"/>
  <c r="W87" i="18" s="1"/>
  <c r="N87" i="18" a="1"/>
  <c r="N87" i="18" s="1"/>
  <c r="M87" i="18"/>
  <c r="Y87" i="18" a="1"/>
  <c r="Y87" i="18" s="1"/>
  <c r="X87" i="18" a="1"/>
  <c r="X87" i="18" s="1"/>
  <c r="V87" i="18" a="1"/>
  <c r="V87" i="18" s="1"/>
  <c r="U87" i="18" a="1"/>
  <c r="U87" i="18" s="1"/>
  <c r="T87" i="18" a="1"/>
  <c r="T87" i="18" s="1"/>
  <c r="G87" i="18" a="1"/>
  <c r="G87" i="18" s="1"/>
  <c r="I87" i="18"/>
  <c r="T66" i="18" a="1"/>
  <c r="T66" i="18" s="1"/>
  <c r="V66" i="18" a="1"/>
  <c r="V66" i="18" s="1"/>
  <c r="N66" i="18" a="1"/>
  <c r="N66" i="18" s="1"/>
  <c r="L66" i="18" a="1"/>
  <c r="L66" i="18" s="1"/>
  <c r="I66" i="18"/>
  <c r="X66" i="18" a="1"/>
  <c r="X66" i="18" s="1"/>
  <c r="J66" i="18" a="1"/>
  <c r="J66" i="18" s="1"/>
  <c r="Y66" i="18" a="1"/>
  <c r="Y66" i="18" s="1"/>
  <c r="U66" i="18" a="1"/>
  <c r="U66" i="18" s="1"/>
  <c r="R66" i="18" a="1"/>
  <c r="R66" i="18" s="1"/>
  <c r="W66" i="18" a="1"/>
  <c r="W66" i="18" s="1"/>
  <c r="G66" i="18" a="1"/>
  <c r="G66" i="18" s="1"/>
  <c r="M66" i="18"/>
  <c r="K66" i="18" a="1"/>
  <c r="K66" i="18" s="1"/>
  <c r="Y60" i="18" a="1"/>
  <c r="Y60" i="18" s="1"/>
  <c r="N60" i="18" a="1"/>
  <c r="N60" i="18" s="1"/>
  <c r="R60" i="18" a="1"/>
  <c r="R60" i="18" s="1"/>
  <c r="M60" i="18"/>
  <c r="X60" i="18" a="1"/>
  <c r="X60" i="18" s="1"/>
  <c r="L60" i="18" a="1"/>
  <c r="L60" i="18" s="1"/>
  <c r="K60" i="18" a="1"/>
  <c r="K60" i="18" s="1"/>
  <c r="J60" i="18" a="1"/>
  <c r="J60" i="18" s="1"/>
  <c r="T60" i="18" a="1"/>
  <c r="T60" i="18" s="1"/>
  <c r="W60" i="18" a="1"/>
  <c r="W60" i="18" s="1"/>
  <c r="U60" i="18" a="1"/>
  <c r="U60" i="18" s="1"/>
  <c r="V60" i="18" a="1"/>
  <c r="V60" i="18" s="1"/>
  <c r="I60" i="18"/>
  <c r="G60" i="18" a="1"/>
  <c r="G60" i="18" s="1"/>
  <c r="Y20" i="18" a="1"/>
  <c r="Y20" i="18" s="1"/>
  <c r="X20" i="18" a="1"/>
  <c r="X20" i="18" s="1"/>
  <c r="N20" i="18" a="1"/>
  <c r="N20" i="18" s="1"/>
  <c r="L20" i="18" a="1"/>
  <c r="L20" i="18" s="1"/>
  <c r="K20" i="18" a="1"/>
  <c r="K20" i="18" s="1"/>
  <c r="T20" i="18" a="1"/>
  <c r="T20" i="18" s="1"/>
  <c r="J20" i="18" a="1"/>
  <c r="J20" i="18" s="1"/>
  <c r="R20" i="18" a="1"/>
  <c r="R20" i="18" s="1"/>
  <c r="I20" i="18"/>
  <c r="V20" i="18" a="1"/>
  <c r="V20" i="18" s="1"/>
  <c r="M20" i="18"/>
  <c r="U20" i="18" a="1"/>
  <c r="U20" i="18" s="1"/>
  <c r="W20" i="18" a="1"/>
  <c r="W20" i="18" s="1"/>
  <c r="G20" i="18" a="1"/>
  <c r="G20" i="18" s="1"/>
  <c r="X82" i="18" a="1"/>
  <c r="X82" i="18" s="1"/>
  <c r="W82" i="18" a="1"/>
  <c r="W82" i="18" s="1"/>
  <c r="T82" i="18" a="1"/>
  <c r="T82" i="18" s="1"/>
  <c r="J82" i="18" a="1"/>
  <c r="J82" i="18" s="1"/>
  <c r="R82" i="18" a="1"/>
  <c r="R82" i="18" s="1"/>
  <c r="Y82" i="18" a="1"/>
  <c r="Y82" i="18" s="1"/>
  <c r="I82" i="18"/>
  <c r="V82" i="18" a="1"/>
  <c r="V82" i="18" s="1"/>
  <c r="N82" i="18" a="1"/>
  <c r="N82" i="18" s="1"/>
  <c r="M82" i="18"/>
  <c r="L82" i="18" a="1"/>
  <c r="L82" i="18" s="1"/>
  <c r="K82" i="18" a="1"/>
  <c r="K82" i="18" s="1"/>
  <c r="U82" i="18" a="1"/>
  <c r="U82" i="18" s="1"/>
  <c r="G82" i="18" a="1"/>
  <c r="G82" i="18" s="1"/>
  <c r="V91" i="18" a="1"/>
  <c r="V91" i="18" s="1"/>
  <c r="T91" i="18" a="1"/>
  <c r="T91" i="18" s="1"/>
  <c r="N91" i="18" a="1"/>
  <c r="N91" i="18" s="1"/>
  <c r="M91" i="18"/>
  <c r="G91" i="18" a="1"/>
  <c r="G91" i="18" s="1"/>
  <c r="R91" i="18" a="1"/>
  <c r="R91" i="18" s="1"/>
  <c r="Y91" i="18" a="1"/>
  <c r="Y91" i="18" s="1"/>
  <c r="I91" i="18"/>
  <c r="W91" i="18" a="1"/>
  <c r="W91" i="18" s="1"/>
  <c r="L91" i="18" a="1"/>
  <c r="L91" i="18" s="1"/>
  <c r="U91" i="18" a="1"/>
  <c r="U91" i="18" s="1"/>
  <c r="X91" i="18" a="1"/>
  <c r="X91" i="18" s="1"/>
  <c r="K91" i="18" a="1"/>
  <c r="K91" i="18" s="1"/>
  <c r="J91" i="18" a="1"/>
  <c r="J91" i="18" s="1"/>
  <c r="W4" i="18" a="1"/>
  <c r="W4" i="18" s="1"/>
  <c r="G4" i="18" a="1"/>
  <c r="G4" i="18" s="1"/>
  <c r="R4" i="18" a="1"/>
  <c r="R4" i="18" s="1"/>
  <c r="Y4" i="18" a="1"/>
  <c r="Y4" i="18" s="1"/>
  <c r="X4" i="18" a="1"/>
  <c r="X4" i="18" s="1"/>
  <c r="L4" i="18" a="1"/>
  <c r="L4" i="18" s="1"/>
  <c r="V4" i="18" a="1"/>
  <c r="V4" i="18" s="1"/>
  <c r="K4" i="18" a="1"/>
  <c r="K4" i="18" s="1"/>
  <c r="U4" i="18" a="1"/>
  <c r="U4" i="18" s="1"/>
  <c r="T4" i="18" a="1"/>
  <c r="T4" i="18" s="1"/>
  <c r="I4" i="18"/>
  <c r="J4" i="18" a="1"/>
  <c r="J4" i="18" s="1"/>
  <c r="K69" i="18" a="1"/>
  <c r="K69" i="18" s="1"/>
  <c r="M69" i="18"/>
  <c r="L69" i="18" a="1"/>
  <c r="L69" i="18" s="1"/>
  <c r="Y69" i="18" a="1"/>
  <c r="Y69" i="18" s="1"/>
  <c r="X69" i="18" a="1"/>
  <c r="X69" i="18" s="1"/>
  <c r="R69" i="18" a="1"/>
  <c r="R69" i="18" s="1"/>
  <c r="U69" i="18" a="1"/>
  <c r="U69" i="18" s="1"/>
  <c r="T69" i="18" a="1"/>
  <c r="T69" i="18" s="1"/>
  <c r="W69" i="18" a="1"/>
  <c r="W69" i="18" s="1"/>
  <c r="V69" i="18" a="1"/>
  <c r="V69" i="18" s="1"/>
  <c r="N69" i="18" a="1"/>
  <c r="N69" i="18" s="1"/>
  <c r="J69" i="18" a="1"/>
  <c r="J69" i="18" s="1"/>
  <c r="I69" i="18"/>
  <c r="G69" i="18" a="1"/>
  <c r="G69" i="18" s="1"/>
  <c r="Y26" i="18" a="1"/>
  <c r="Y26" i="18" s="1"/>
  <c r="V26" i="18" a="1"/>
  <c r="V26" i="18" s="1"/>
  <c r="J26" i="18" a="1"/>
  <c r="J26" i="18" s="1"/>
  <c r="G26" i="18" a="1"/>
  <c r="G26" i="18" s="1"/>
  <c r="K26" i="18" a="1"/>
  <c r="K26" i="18" s="1"/>
  <c r="U26" i="18" a="1"/>
  <c r="U26" i="18" s="1"/>
  <c r="R26" i="18" a="1"/>
  <c r="R26" i="18" s="1"/>
  <c r="M26" i="18"/>
  <c r="I26" i="18"/>
  <c r="X26" i="18" a="1"/>
  <c r="X26" i="18" s="1"/>
  <c r="N26" i="18" a="1"/>
  <c r="N26" i="18" s="1"/>
  <c r="W26" i="18" a="1"/>
  <c r="W26" i="18" s="1"/>
  <c r="T26" i="18" a="1"/>
  <c r="T26" i="18" s="1"/>
  <c r="L26" i="18" a="1"/>
  <c r="L26" i="18" s="1"/>
  <c r="V92" i="18" a="1"/>
  <c r="V92" i="18" s="1"/>
  <c r="U92" i="18" a="1"/>
  <c r="U92" i="18" s="1"/>
  <c r="K92" i="18" a="1"/>
  <c r="K92" i="18" s="1"/>
  <c r="J92" i="18" a="1"/>
  <c r="J92" i="18" s="1"/>
  <c r="G92" i="18" a="1"/>
  <c r="G92" i="18" s="1"/>
  <c r="T92" i="18" a="1"/>
  <c r="T92" i="18" s="1"/>
  <c r="Y92" i="18" a="1"/>
  <c r="Y92" i="18" s="1"/>
  <c r="X92" i="18" a="1"/>
  <c r="X92" i="18" s="1"/>
  <c r="N92" i="18" a="1"/>
  <c r="N92" i="18" s="1"/>
  <c r="M92" i="18"/>
  <c r="W92" i="18" a="1"/>
  <c r="W92" i="18" s="1"/>
  <c r="R92" i="18" a="1"/>
  <c r="R92" i="18" s="1"/>
  <c r="L92" i="18" a="1"/>
  <c r="L92" i="18" s="1"/>
  <c r="I92" i="18"/>
  <c r="G22" i="18" a="1"/>
  <c r="G22" i="18" s="1"/>
  <c r="I22" i="18"/>
  <c r="R22" i="18" a="1"/>
  <c r="R22" i="18" s="1"/>
  <c r="J22" i="18" a="1"/>
  <c r="J22" i="18" s="1"/>
  <c r="X22" i="18" a="1"/>
  <c r="X22" i="18" s="1"/>
  <c r="W22" i="18" a="1"/>
  <c r="W22" i="18" s="1"/>
  <c r="Y22" i="18" a="1"/>
  <c r="Y22" i="18" s="1"/>
  <c r="N22" i="18" a="1"/>
  <c r="N22" i="18" s="1"/>
  <c r="V22" i="18" a="1"/>
  <c r="V22" i="18" s="1"/>
  <c r="M22" i="18"/>
  <c r="K22" i="18" a="1"/>
  <c r="K22" i="18" s="1"/>
  <c r="U22" i="18" a="1"/>
  <c r="U22" i="18" s="1"/>
  <c r="L22" i="18" a="1"/>
  <c r="L22" i="18" s="1"/>
  <c r="T22" i="18" a="1"/>
  <c r="T22" i="18" s="1"/>
  <c r="T71" i="18" a="1"/>
  <c r="T71" i="18" s="1"/>
  <c r="U71" i="18" a="1"/>
  <c r="U71" i="18" s="1"/>
  <c r="V71" i="18" a="1"/>
  <c r="V71" i="18" s="1"/>
  <c r="K71" i="18" a="1"/>
  <c r="K71" i="18" s="1"/>
  <c r="G71" i="18" a="1"/>
  <c r="G71" i="18" s="1"/>
  <c r="R71" i="18" a="1"/>
  <c r="R71" i="18" s="1"/>
  <c r="W71" i="18" a="1"/>
  <c r="W71" i="18" s="1"/>
  <c r="M71" i="18"/>
  <c r="Y71" i="18" a="1"/>
  <c r="Y71" i="18" s="1"/>
  <c r="L71" i="18" a="1"/>
  <c r="L71" i="18" s="1"/>
  <c r="X71" i="18" a="1"/>
  <c r="X71" i="18" s="1"/>
  <c r="J71" i="18" a="1"/>
  <c r="J71" i="18" s="1"/>
  <c r="N71" i="18" a="1"/>
  <c r="N71" i="18" s="1"/>
  <c r="I71" i="18"/>
  <c r="L55" i="18" a="1"/>
  <c r="L55" i="18" s="1"/>
  <c r="V55" i="18" a="1"/>
  <c r="V55" i="18" s="1"/>
  <c r="G55" i="18" a="1"/>
  <c r="G55" i="18" s="1"/>
  <c r="U55" i="18" a="1"/>
  <c r="U55" i="18" s="1"/>
  <c r="J55" i="18" a="1"/>
  <c r="J55" i="18" s="1"/>
  <c r="X55" i="18" a="1"/>
  <c r="X55" i="18" s="1"/>
  <c r="N55" i="18" a="1"/>
  <c r="N55" i="18" s="1"/>
  <c r="T55" i="18" a="1"/>
  <c r="T55" i="18" s="1"/>
  <c r="R55" i="18" a="1"/>
  <c r="R55" i="18" s="1"/>
  <c r="M55" i="18"/>
  <c r="K55" i="18" a="1"/>
  <c r="K55" i="18" s="1"/>
  <c r="I55" i="18"/>
  <c r="W55" i="18" a="1"/>
  <c r="W55" i="18" s="1"/>
  <c r="Y55" i="18" a="1"/>
  <c r="Y55" i="18" s="1"/>
  <c r="V95" i="18" a="1"/>
  <c r="V95" i="18" s="1"/>
  <c r="M95" i="18"/>
  <c r="L95" i="18" a="1"/>
  <c r="L95" i="18" s="1"/>
  <c r="W95" i="18" a="1"/>
  <c r="W95" i="18" s="1"/>
  <c r="K95" i="18" a="1"/>
  <c r="K95" i="18" s="1"/>
  <c r="U95" i="18" a="1"/>
  <c r="U95" i="18" s="1"/>
  <c r="J95" i="18" a="1"/>
  <c r="J95" i="18" s="1"/>
  <c r="I95" i="18"/>
  <c r="G95" i="18" a="1"/>
  <c r="G95" i="18" s="1"/>
  <c r="R95" i="18" a="1"/>
  <c r="R95" i="18" s="1"/>
  <c r="Y95" i="18" a="1"/>
  <c r="Y95" i="18" s="1"/>
  <c r="X95" i="18" a="1"/>
  <c r="X95" i="18" s="1"/>
  <c r="T95" i="18" a="1"/>
  <c r="T95" i="18" s="1"/>
  <c r="N95" i="18" a="1"/>
  <c r="N95" i="18" s="1"/>
  <c r="U56" i="18" a="1"/>
  <c r="U56" i="18" s="1"/>
  <c r="W56" i="18" a="1"/>
  <c r="W56" i="18" s="1"/>
  <c r="V56" i="18" a="1"/>
  <c r="V56" i="18" s="1"/>
  <c r="K56" i="18" a="1"/>
  <c r="K56" i="18" s="1"/>
  <c r="M56" i="18"/>
  <c r="X56" i="18" a="1"/>
  <c r="X56" i="18" s="1"/>
  <c r="N56" i="18" a="1"/>
  <c r="N56" i="18" s="1"/>
  <c r="J56" i="18" a="1"/>
  <c r="J56" i="18" s="1"/>
  <c r="L56" i="18" a="1"/>
  <c r="L56" i="18" s="1"/>
  <c r="T56" i="18" a="1"/>
  <c r="T56" i="18" s="1"/>
  <c r="Y56" i="18" a="1"/>
  <c r="Y56" i="18" s="1"/>
  <c r="G56" i="18" a="1"/>
  <c r="G56" i="18" s="1"/>
  <c r="R56" i="18" a="1"/>
  <c r="R56" i="18" s="1"/>
  <c r="I56" i="18"/>
  <c r="N18" i="18" a="1"/>
  <c r="N18" i="18" s="1"/>
  <c r="Y18" i="18" a="1"/>
  <c r="Y18" i="18" s="1"/>
  <c r="X18" i="18" a="1"/>
  <c r="X18" i="18" s="1"/>
  <c r="W18" i="18" a="1"/>
  <c r="W18" i="18" s="1"/>
  <c r="R18" i="18" a="1"/>
  <c r="R18" i="18" s="1"/>
  <c r="V18" i="18" a="1"/>
  <c r="V18" i="18" s="1"/>
  <c r="G18" i="18" a="1"/>
  <c r="G18" i="18" s="1"/>
  <c r="J18" i="18" a="1"/>
  <c r="J18" i="18" s="1"/>
  <c r="K18" i="18" a="1"/>
  <c r="K18" i="18" s="1"/>
  <c r="L18" i="18" a="1"/>
  <c r="L18" i="18" s="1"/>
  <c r="M18" i="18"/>
  <c r="U18" i="18" a="1"/>
  <c r="U18" i="18" s="1"/>
  <c r="T18" i="18" a="1"/>
  <c r="T18" i="18" s="1"/>
  <c r="I18" i="18"/>
  <c r="U54" i="18" a="1"/>
  <c r="U54" i="18" s="1"/>
  <c r="M54" i="18"/>
  <c r="K54" i="18" a="1"/>
  <c r="K54" i="18" s="1"/>
  <c r="J54" i="18" a="1"/>
  <c r="J54" i="18" s="1"/>
  <c r="T54" i="18" a="1"/>
  <c r="T54" i="18" s="1"/>
  <c r="I54" i="18"/>
  <c r="X54" i="18" a="1"/>
  <c r="X54" i="18" s="1"/>
  <c r="N54" i="18" a="1"/>
  <c r="N54" i="18" s="1"/>
  <c r="W54" i="18" a="1"/>
  <c r="W54" i="18" s="1"/>
  <c r="L54" i="18" a="1"/>
  <c r="L54" i="18" s="1"/>
  <c r="R54" i="18" a="1"/>
  <c r="R54" i="18" s="1"/>
  <c r="G54" i="18" a="1"/>
  <c r="G54" i="18" s="1"/>
  <c r="Y54" i="18" a="1"/>
  <c r="Y54" i="18" s="1"/>
  <c r="V54" i="18" a="1"/>
  <c r="V54" i="18" s="1"/>
  <c r="V80" i="18" a="1"/>
  <c r="V80" i="18" s="1"/>
  <c r="T80" i="18" a="1"/>
  <c r="T80" i="18" s="1"/>
  <c r="M80" i="18"/>
  <c r="R80" i="18" a="1"/>
  <c r="R80" i="18" s="1"/>
  <c r="Y80" i="18" a="1"/>
  <c r="Y80" i="18" s="1"/>
  <c r="L80" i="18" a="1"/>
  <c r="L80" i="18" s="1"/>
  <c r="U80" i="18" a="1"/>
  <c r="U80" i="18" s="1"/>
  <c r="K80" i="18" a="1"/>
  <c r="K80" i="18" s="1"/>
  <c r="J80" i="18" a="1"/>
  <c r="J80" i="18" s="1"/>
  <c r="I80" i="18"/>
  <c r="X80" i="18" a="1"/>
  <c r="X80" i="18" s="1"/>
  <c r="W80" i="18" a="1"/>
  <c r="W80" i="18" s="1"/>
  <c r="G80" i="18" a="1"/>
  <c r="G80" i="18" s="1"/>
  <c r="N80" i="18" a="1"/>
  <c r="N80" i="18" s="1"/>
  <c r="K73" i="18" a="1"/>
  <c r="K73" i="18" s="1"/>
  <c r="M73" i="18"/>
  <c r="N73" i="18" a="1"/>
  <c r="N73" i="18" s="1"/>
  <c r="L73" i="18" a="1"/>
  <c r="L73" i="18" s="1"/>
  <c r="G73" i="18" a="1"/>
  <c r="G73" i="18" s="1"/>
  <c r="W73" i="18" a="1"/>
  <c r="W73" i="18" s="1"/>
  <c r="V73" i="18" a="1"/>
  <c r="V73" i="18" s="1"/>
  <c r="I73" i="18"/>
  <c r="U73" i="18" a="1"/>
  <c r="U73" i="18" s="1"/>
  <c r="T73" i="18" a="1"/>
  <c r="T73" i="18" s="1"/>
  <c r="X73" i="18" a="1"/>
  <c r="X73" i="18" s="1"/>
  <c r="J73" i="18" a="1"/>
  <c r="J73" i="18" s="1"/>
  <c r="Y73" i="18" a="1"/>
  <c r="Y73" i="18" s="1"/>
  <c r="R73" i="18" a="1"/>
  <c r="R73" i="18" s="1"/>
  <c r="L12" i="18" a="1"/>
  <c r="L12" i="18" s="1"/>
  <c r="W12" i="18" a="1"/>
  <c r="W12" i="18" s="1"/>
  <c r="K12" i="18" a="1"/>
  <c r="K12" i="18" s="1"/>
  <c r="U12" i="18" a="1"/>
  <c r="U12" i="18" s="1"/>
  <c r="T12" i="18" a="1"/>
  <c r="T12" i="18" s="1"/>
  <c r="M12" i="18"/>
  <c r="J12" i="18" a="1"/>
  <c r="J12" i="18" s="1"/>
  <c r="I12" i="18"/>
  <c r="R12" i="18" a="1"/>
  <c r="R12" i="18" s="1"/>
  <c r="V12" i="18" a="1"/>
  <c r="V12" i="18" s="1"/>
  <c r="G12" i="18" a="1"/>
  <c r="G12" i="18" s="1"/>
  <c r="Y12" i="18" a="1"/>
  <c r="Y12" i="18" s="1"/>
  <c r="X12" i="18" a="1"/>
  <c r="X12" i="18" s="1"/>
  <c r="N12" i="18" a="1"/>
  <c r="N12" i="18" s="1"/>
  <c r="J19" i="18" a="1"/>
  <c r="J19" i="18" s="1"/>
  <c r="Y19" i="18" a="1"/>
  <c r="Y19" i="18" s="1"/>
  <c r="X19" i="18" a="1"/>
  <c r="X19" i="18" s="1"/>
  <c r="L19" i="18" a="1"/>
  <c r="L19" i="18" s="1"/>
  <c r="N19" i="18" a="1"/>
  <c r="N19" i="18" s="1"/>
  <c r="T19" i="18" a="1"/>
  <c r="T19" i="18" s="1"/>
  <c r="R19" i="18" a="1"/>
  <c r="R19" i="18" s="1"/>
  <c r="I19" i="18"/>
  <c r="W19" i="18" a="1"/>
  <c r="W19" i="18" s="1"/>
  <c r="K19" i="18" a="1"/>
  <c r="K19" i="18" s="1"/>
  <c r="G19" i="18" a="1"/>
  <c r="G19" i="18" s="1"/>
  <c r="M19" i="18"/>
  <c r="V19" i="18" a="1"/>
  <c r="V19" i="18" s="1"/>
  <c r="U19" i="18" a="1"/>
  <c r="U19" i="18" s="1"/>
  <c r="Y5" i="18" a="1"/>
  <c r="Y5" i="18" s="1"/>
  <c r="X5" i="18" a="1"/>
  <c r="X5" i="18" s="1"/>
  <c r="L5" i="18" a="1"/>
  <c r="L5" i="18" s="1"/>
  <c r="W5" i="18" a="1"/>
  <c r="W5" i="18" s="1"/>
  <c r="V5" i="18" a="1"/>
  <c r="V5" i="18" s="1"/>
  <c r="G5" i="18" a="1"/>
  <c r="G5" i="18" s="1"/>
  <c r="R5" i="18" a="1"/>
  <c r="R5" i="18" s="1"/>
  <c r="K5" i="18" a="1"/>
  <c r="K5" i="18" s="1"/>
  <c r="U5" i="18" a="1"/>
  <c r="U5" i="18" s="1"/>
  <c r="J5" i="18" a="1"/>
  <c r="J5" i="18" s="1"/>
  <c r="T5" i="18" a="1"/>
  <c r="T5" i="18" s="1"/>
  <c r="I5" i="18"/>
  <c r="X94" i="18" a="1"/>
  <c r="X94" i="18" s="1"/>
  <c r="U94" i="18" a="1"/>
  <c r="U94" i="18" s="1"/>
  <c r="J94" i="18" a="1"/>
  <c r="J94" i="18" s="1"/>
  <c r="T94" i="18" a="1"/>
  <c r="T94" i="18" s="1"/>
  <c r="I94" i="18"/>
  <c r="R94" i="18" a="1"/>
  <c r="R94" i="18" s="1"/>
  <c r="Y94" i="18" a="1"/>
  <c r="Y94" i="18" s="1"/>
  <c r="N94" i="18" a="1"/>
  <c r="N94" i="18" s="1"/>
  <c r="M94" i="18"/>
  <c r="W94" i="18" a="1"/>
  <c r="W94" i="18" s="1"/>
  <c r="L94" i="18" a="1"/>
  <c r="L94" i="18" s="1"/>
  <c r="V94" i="18" a="1"/>
  <c r="V94" i="18" s="1"/>
  <c r="K94" i="18" a="1"/>
  <c r="K94" i="18" s="1"/>
  <c r="G94" i="18" a="1"/>
  <c r="G94" i="18" s="1"/>
  <c r="R58" i="18" a="1"/>
  <c r="R58" i="18" s="1"/>
  <c r="N58" i="18" a="1"/>
  <c r="N58" i="18" s="1"/>
  <c r="W58" i="18" a="1"/>
  <c r="W58" i="18" s="1"/>
  <c r="L58" i="18" a="1"/>
  <c r="L58" i="18" s="1"/>
  <c r="K58" i="18" a="1"/>
  <c r="K58" i="18" s="1"/>
  <c r="J58" i="18" a="1"/>
  <c r="J58" i="18" s="1"/>
  <c r="G58" i="18" a="1"/>
  <c r="G58" i="18" s="1"/>
  <c r="Y58" i="18" a="1"/>
  <c r="Y58" i="18" s="1"/>
  <c r="V58" i="18" a="1"/>
  <c r="V58" i="18" s="1"/>
  <c r="M58" i="18"/>
  <c r="U58" i="18" a="1"/>
  <c r="U58" i="18" s="1"/>
  <c r="T58" i="18" a="1"/>
  <c r="T58" i="18" s="1"/>
  <c r="I58" i="18"/>
  <c r="X58" i="18" a="1"/>
  <c r="X58" i="18" s="1"/>
  <c r="Y76" i="18" a="1"/>
  <c r="Y76" i="18" s="1"/>
  <c r="G76" i="18" a="1"/>
  <c r="G76" i="18" s="1"/>
  <c r="I76" i="18"/>
  <c r="T76" i="18" a="1"/>
  <c r="T76" i="18" s="1"/>
  <c r="R76" i="18" a="1"/>
  <c r="R76" i="18" s="1"/>
  <c r="L76" i="18" a="1"/>
  <c r="L76" i="18" s="1"/>
  <c r="K76" i="18" a="1"/>
  <c r="K76" i="18" s="1"/>
  <c r="U76" i="18" a="1"/>
  <c r="U76" i="18" s="1"/>
  <c r="M76" i="18"/>
  <c r="X76" i="18" a="1"/>
  <c r="X76" i="18" s="1"/>
  <c r="W76" i="18" a="1"/>
  <c r="W76" i="18" s="1"/>
  <c r="N76" i="18" a="1"/>
  <c r="N76" i="18" s="1"/>
  <c r="J76" i="18" a="1"/>
  <c r="J76" i="18" s="1"/>
  <c r="V76" i="18" a="1"/>
  <c r="V76" i="18" s="1"/>
  <c r="K43" i="18" a="1"/>
  <c r="K43" i="18" s="1"/>
  <c r="L43" i="18" a="1"/>
  <c r="L43" i="18" s="1"/>
  <c r="I43" i="18"/>
  <c r="V43" i="18" a="1"/>
  <c r="V43" i="18" s="1"/>
  <c r="J43" i="18" a="1"/>
  <c r="J43" i="18" s="1"/>
  <c r="W43" i="18" a="1"/>
  <c r="W43" i="18" s="1"/>
  <c r="U43" i="18" a="1"/>
  <c r="U43" i="18" s="1"/>
  <c r="G43" i="18" a="1"/>
  <c r="G43" i="18" s="1"/>
  <c r="R43" i="18" a="1"/>
  <c r="R43" i="18" s="1"/>
  <c r="Y43" i="18" a="1"/>
  <c r="Y43" i="18" s="1"/>
  <c r="X43" i="18" a="1"/>
  <c r="X43" i="18" s="1"/>
  <c r="M43" i="18"/>
  <c r="T43" i="18" a="1"/>
  <c r="T43" i="18" s="1"/>
  <c r="N43" i="18" a="1"/>
  <c r="N43" i="18" s="1"/>
  <c r="L34" i="18" a="1"/>
  <c r="L34" i="18" s="1"/>
  <c r="X34" i="18" a="1"/>
  <c r="X34" i="18" s="1"/>
  <c r="K34" i="18" a="1"/>
  <c r="K34" i="18" s="1"/>
  <c r="Y34" i="18" a="1"/>
  <c r="Y34" i="18" s="1"/>
  <c r="W34" i="18" a="1"/>
  <c r="W34" i="18" s="1"/>
  <c r="T34" i="18" a="1"/>
  <c r="T34" i="18" s="1"/>
  <c r="J34" i="18" a="1"/>
  <c r="J34" i="18" s="1"/>
  <c r="N34" i="18" a="1"/>
  <c r="N34" i="18" s="1"/>
  <c r="V34" i="18" a="1"/>
  <c r="V34" i="18" s="1"/>
  <c r="M34" i="18"/>
  <c r="I34" i="18"/>
  <c r="U34" i="18" a="1"/>
  <c r="U34" i="18" s="1"/>
  <c r="G34" i="18" a="1"/>
  <c r="G34" i="18" s="1"/>
  <c r="R34" i="18" a="1"/>
  <c r="R34" i="18" s="1"/>
  <c r="K61" i="18" a="1"/>
  <c r="K61" i="18" s="1"/>
  <c r="Y61" i="18" a="1"/>
  <c r="Y61" i="18" s="1"/>
  <c r="V61" i="18" a="1"/>
  <c r="V61" i="18" s="1"/>
  <c r="R61" i="18" a="1"/>
  <c r="R61" i="18" s="1"/>
  <c r="J61" i="18" a="1"/>
  <c r="J61" i="18" s="1"/>
  <c r="U61" i="18" a="1"/>
  <c r="U61" i="18" s="1"/>
  <c r="N61" i="18" a="1"/>
  <c r="N61" i="18" s="1"/>
  <c r="T61" i="18" a="1"/>
  <c r="T61" i="18" s="1"/>
  <c r="I61" i="18"/>
  <c r="M61" i="18"/>
  <c r="L61" i="18" a="1"/>
  <c r="L61" i="18" s="1"/>
  <c r="W61" i="18" a="1"/>
  <c r="W61" i="18" s="1"/>
  <c r="G61" i="18" a="1"/>
  <c r="G61" i="18" s="1"/>
  <c r="X61" i="18" a="1"/>
  <c r="X61" i="18" s="1"/>
  <c r="X90" i="18" a="1"/>
  <c r="X90" i="18" s="1"/>
  <c r="N90" i="18" a="1"/>
  <c r="N90" i="18" s="1"/>
  <c r="V90" i="18" a="1"/>
  <c r="V90" i="18" s="1"/>
  <c r="M90" i="18"/>
  <c r="L90" i="18" a="1"/>
  <c r="L90" i="18" s="1"/>
  <c r="K90" i="18" a="1"/>
  <c r="K90" i="18" s="1"/>
  <c r="U90" i="18" a="1"/>
  <c r="U90" i="18" s="1"/>
  <c r="W90" i="18" a="1"/>
  <c r="W90" i="18" s="1"/>
  <c r="T90" i="18" a="1"/>
  <c r="T90" i="18" s="1"/>
  <c r="I90" i="18"/>
  <c r="G90" i="18" a="1"/>
  <c r="G90" i="18" s="1"/>
  <c r="R90" i="18" a="1"/>
  <c r="R90" i="18" s="1"/>
  <c r="Y90" i="18" a="1"/>
  <c r="Y90" i="18" s="1"/>
  <c r="J90" i="18" a="1"/>
  <c r="J90" i="18" s="1"/>
  <c r="X36" i="18" a="1"/>
  <c r="X36" i="18" s="1"/>
  <c r="T36" i="18" a="1"/>
  <c r="T36" i="18" s="1"/>
  <c r="Y36" i="18" a="1"/>
  <c r="Y36" i="18" s="1"/>
  <c r="N36" i="18" a="1"/>
  <c r="N36" i="18" s="1"/>
  <c r="M36" i="18"/>
  <c r="L36" i="18" a="1"/>
  <c r="L36" i="18" s="1"/>
  <c r="K36" i="18" a="1"/>
  <c r="K36" i="18" s="1"/>
  <c r="J36" i="18" a="1"/>
  <c r="J36" i="18" s="1"/>
  <c r="R36" i="18" a="1"/>
  <c r="R36" i="18" s="1"/>
  <c r="U36" i="18" a="1"/>
  <c r="U36" i="18" s="1"/>
  <c r="G36" i="18" a="1"/>
  <c r="G36" i="18" s="1"/>
  <c r="I36" i="18"/>
  <c r="W36" i="18" a="1"/>
  <c r="W36" i="18" s="1"/>
  <c r="V36" i="18" a="1"/>
  <c r="V36" i="18" s="1"/>
  <c r="N11" i="18" a="1"/>
  <c r="N11" i="18" s="1"/>
  <c r="U11" i="18" a="1"/>
  <c r="U11" i="18" s="1"/>
  <c r="J11" i="18" a="1"/>
  <c r="J11" i="18" s="1"/>
  <c r="T11" i="18" a="1"/>
  <c r="T11" i="18" s="1"/>
  <c r="W11" i="18" a="1"/>
  <c r="W11" i="18" s="1"/>
  <c r="X11" i="18" a="1"/>
  <c r="X11" i="18" s="1"/>
  <c r="V11" i="18" a="1"/>
  <c r="V11" i="18" s="1"/>
  <c r="K11" i="18" a="1"/>
  <c r="K11" i="18" s="1"/>
  <c r="G11" i="18" a="1"/>
  <c r="G11" i="18" s="1"/>
  <c r="R11" i="18" a="1"/>
  <c r="R11" i="18" s="1"/>
  <c r="M11" i="18"/>
  <c r="Y11" i="18" a="1"/>
  <c r="Y11" i="18" s="1"/>
  <c r="L11" i="18" a="1"/>
  <c r="L11" i="18" s="1"/>
  <c r="I11" i="18"/>
  <c r="R21" i="18" a="1"/>
  <c r="R21" i="18" s="1"/>
  <c r="W21" i="18" a="1"/>
  <c r="W21" i="18" s="1"/>
  <c r="V21" i="18" a="1"/>
  <c r="V21" i="18" s="1"/>
  <c r="J21" i="18" a="1"/>
  <c r="J21" i="18" s="1"/>
  <c r="I21" i="18"/>
  <c r="X21" i="18" a="1"/>
  <c r="X21" i="18" s="1"/>
  <c r="U21" i="18" a="1"/>
  <c r="U21" i="18" s="1"/>
  <c r="Y21" i="18" a="1"/>
  <c r="Y21" i="18" s="1"/>
  <c r="K21" i="18" a="1"/>
  <c r="K21" i="18" s="1"/>
  <c r="N21" i="18" a="1"/>
  <c r="N21" i="18" s="1"/>
  <c r="T21" i="18" a="1"/>
  <c r="T21" i="18" s="1"/>
  <c r="M21" i="18"/>
  <c r="L21" i="18" a="1"/>
  <c r="L21" i="18" s="1"/>
  <c r="G21" i="18" a="1"/>
  <c r="G21" i="18" s="1"/>
  <c r="N40" i="18" a="1"/>
  <c r="N40" i="18" s="1"/>
  <c r="J40" i="18" a="1"/>
  <c r="J40" i="18" s="1"/>
  <c r="R40" i="18" a="1"/>
  <c r="R40" i="18" s="1"/>
  <c r="M40" i="18"/>
  <c r="U40" i="18" a="1"/>
  <c r="U40" i="18" s="1"/>
  <c r="L40" i="18" a="1"/>
  <c r="L40" i="18" s="1"/>
  <c r="Y40" i="18" a="1"/>
  <c r="Y40" i="18" s="1"/>
  <c r="T40" i="18" a="1"/>
  <c r="T40" i="18" s="1"/>
  <c r="G40" i="18" a="1"/>
  <c r="G40" i="18" s="1"/>
  <c r="X40" i="18" a="1"/>
  <c r="X40" i="18" s="1"/>
  <c r="W40" i="18" a="1"/>
  <c r="W40" i="18" s="1"/>
  <c r="I40" i="18"/>
  <c r="V40" i="18" a="1"/>
  <c r="V40" i="18" s="1"/>
  <c r="K40" i="18" a="1"/>
  <c r="K40" i="18" s="1"/>
  <c r="K8" i="18" a="1"/>
  <c r="K8" i="18" s="1"/>
  <c r="V8" i="18" a="1"/>
  <c r="V8" i="18" s="1"/>
  <c r="J8" i="18" a="1"/>
  <c r="J8" i="18" s="1"/>
  <c r="T8" i="18" a="1"/>
  <c r="T8" i="18" s="1"/>
  <c r="U8" i="18" a="1"/>
  <c r="U8" i="18" s="1"/>
  <c r="I8" i="18"/>
  <c r="G8" i="18" a="1"/>
  <c r="G8" i="18" s="1"/>
  <c r="X8" i="18" a="1"/>
  <c r="X8" i="18" s="1"/>
  <c r="R8" i="18" a="1"/>
  <c r="R8" i="18" s="1"/>
  <c r="N8" i="18" a="1"/>
  <c r="N8" i="18" s="1"/>
  <c r="M8" i="18"/>
  <c r="Y8" i="18" a="1"/>
  <c r="Y8" i="18" s="1"/>
  <c r="L8" i="18" a="1"/>
  <c r="L8" i="18" s="1"/>
  <c r="W8" i="18" a="1"/>
  <c r="W8" i="18" s="1"/>
  <c r="L13" i="18" a="1"/>
  <c r="L13" i="18" s="1"/>
  <c r="G13" i="18" a="1"/>
  <c r="G13" i="18" s="1"/>
  <c r="N13" i="18" a="1"/>
  <c r="N13" i="18" s="1"/>
  <c r="U13" i="18" a="1"/>
  <c r="U13" i="18" s="1"/>
  <c r="Y13" i="18" a="1"/>
  <c r="Y13" i="18" s="1"/>
  <c r="T13" i="18" a="1"/>
  <c r="T13" i="18" s="1"/>
  <c r="K13" i="18" a="1"/>
  <c r="K13" i="18" s="1"/>
  <c r="R13" i="18" a="1"/>
  <c r="R13" i="18" s="1"/>
  <c r="M13" i="18"/>
  <c r="W13" i="18" a="1"/>
  <c r="W13" i="18" s="1"/>
  <c r="V13" i="18" a="1"/>
  <c r="V13" i="18" s="1"/>
  <c r="X13" i="18" a="1"/>
  <c r="X13" i="18" s="1"/>
  <c r="J13" i="18" a="1"/>
  <c r="J13" i="18" s="1"/>
  <c r="I13" i="18"/>
  <c r="AA3" i="18" a="1"/>
  <c r="AA3" i="18" s="1"/>
  <c r="L3" i="18" a="1"/>
  <c r="L3" i="18" s="1"/>
  <c r="U3" i="18" a="1"/>
  <c r="U3" i="18" s="1"/>
  <c r="T3" i="18" a="1"/>
  <c r="T3" i="18" s="1"/>
  <c r="J3" i="18" a="1"/>
  <c r="J3" i="18" s="1"/>
  <c r="K3" i="18" a="1"/>
  <c r="K3" i="18" s="1"/>
  <c r="I3" i="18"/>
  <c r="Y3" i="18" a="1"/>
  <c r="Y3" i="18" s="1"/>
  <c r="R3" i="18" a="1"/>
  <c r="R3" i="18" s="1"/>
  <c r="G3" i="18" a="1"/>
  <c r="G3" i="18" s="1"/>
  <c r="AG3" i="18" s="1"/>
  <c r="V3" i="18" a="1"/>
  <c r="V3" i="18" s="1"/>
  <c r="W3" i="18" a="1"/>
  <c r="W3" i="18" s="1"/>
  <c r="X3" i="18" a="1"/>
  <c r="X3" i="18" s="1"/>
  <c r="N81" i="18" a="1"/>
  <c r="N81" i="18" s="1"/>
  <c r="Y81" i="18" a="1"/>
  <c r="Y81" i="18" s="1"/>
  <c r="X81" i="18" a="1"/>
  <c r="X81" i="18" s="1"/>
  <c r="K81" i="18" a="1"/>
  <c r="K81" i="18" s="1"/>
  <c r="V81" i="18" a="1"/>
  <c r="V81" i="18" s="1"/>
  <c r="U81" i="18" a="1"/>
  <c r="U81" i="18" s="1"/>
  <c r="M81" i="18"/>
  <c r="W81" i="18" a="1"/>
  <c r="W81" i="18" s="1"/>
  <c r="L81" i="18" a="1"/>
  <c r="L81" i="18" s="1"/>
  <c r="J81" i="18" a="1"/>
  <c r="J81" i="18" s="1"/>
  <c r="G81" i="18" a="1"/>
  <c r="G81" i="18" s="1"/>
  <c r="T81" i="18" a="1"/>
  <c r="T81" i="18" s="1"/>
  <c r="I81" i="18"/>
  <c r="R81" i="18" a="1"/>
  <c r="R81" i="18" s="1"/>
  <c r="G44" i="18" a="1"/>
  <c r="G44" i="18" s="1"/>
  <c r="W44" i="18" a="1"/>
  <c r="W44" i="18" s="1"/>
  <c r="V44" i="18" a="1"/>
  <c r="V44" i="18" s="1"/>
  <c r="U44" i="18" a="1"/>
  <c r="U44" i="18" s="1"/>
  <c r="M44" i="18"/>
  <c r="K44" i="18" a="1"/>
  <c r="K44" i="18" s="1"/>
  <c r="X44" i="18" a="1"/>
  <c r="X44" i="18" s="1"/>
  <c r="N44" i="18" a="1"/>
  <c r="N44" i="18" s="1"/>
  <c r="T44" i="18" a="1"/>
  <c r="T44" i="18" s="1"/>
  <c r="I44" i="18"/>
  <c r="R44" i="18" a="1"/>
  <c r="R44" i="18" s="1"/>
  <c r="L44" i="18" a="1"/>
  <c r="L44" i="18" s="1"/>
  <c r="Y44" i="18" a="1"/>
  <c r="Y44" i="18" s="1"/>
  <c r="J44" i="18" a="1"/>
  <c r="J44" i="18" s="1"/>
  <c r="T27" i="18" a="1"/>
  <c r="T27" i="18" s="1"/>
  <c r="K27" i="18" a="1"/>
  <c r="K27" i="18" s="1"/>
  <c r="L27" i="18" a="1"/>
  <c r="L27" i="18" s="1"/>
  <c r="J27" i="18" a="1"/>
  <c r="J27" i="18" s="1"/>
  <c r="U27" i="18" a="1"/>
  <c r="U27" i="18" s="1"/>
  <c r="Y27" i="18" a="1"/>
  <c r="Y27" i="18" s="1"/>
  <c r="R27" i="18" a="1"/>
  <c r="R27" i="18" s="1"/>
  <c r="N27" i="18" a="1"/>
  <c r="N27" i="18" s="1"/>
  <c r="G27" i="18" a="1"/>
  <c r="G27" i="18" s="1"/>
  <c r="M27" i="18"/>
  <c r="V27" i="18" a="1"/>
  <c r="V27" i="18" s="1"/>
  <c r="X27" i="18" a="1"/>
  <c r="X27" i="18" s="1"/>
  <c r="I27" i="18"/>
  <c r="W27" i="18" a="1"/>
  <c r="W27" i="18" s="1"/>
  <c r="M79" i="18"/>
  <c r="K79" i="18" a="1"/>
  <c r="K79" i="18" s="1"/>
  <c r="R79" i="18" a="1"/>
  <c r="R79" i="18" s="1"/>
  <c r="W79" i="18" a="1"/>
  <c r="W79" i="18" s="1"/>
  <c r="V79" i="18" a="1"/>
  <c r="V79" i="18" s="1"/>
  <c r="X79" i="18" a="1"/>
  <c r="X79" i="18" s="1"/>
  <c r="Y79" i="18" a="1"/>
  <c r="Y79" i="18" s="1"/>
  <c r="J79" i="18" a="1"/>
  <c r="J79" i="18" s="1"/>
  <c r="G79" i="18" a="1"/>
  <c r="G79" i="18" s="1"/>
  <c r="U79" i="18" a="1"/>
  <c r="U79" i="18" s="1"/>
  <c r="I79" i="18"/>
  <c r="N79" i="18" a="1"/>
  <c r="N79" i="18" s="1"/>
  <c r="L79" i="18" a="1"/>
  <c r="L79" i="18" s="1"/>
  <c r="T79" i="18" a="1"/>
  <c r="T79" i="18" s="1"/>
  <c r="T68" i="18" a="1"/>
  <c r="T68" i="18" s="1"/>
  <c r="J68" i="18" a="1"/>
  <c r="J68" i="18" s="1"/>
  <c r="I68" i="18"/>
  <c r="U68" i="18" a="1"/>
  <c r="U68" i="18" s="1"/>
  <c r="V68" i="18" a="1"/>
  <c r="V68" i="18" s="1"/>
  <c r="N68" i="18" a="1"/>
  <c r="N68" i="18" s="1"/>
  <c r="W68" i="18" a="1"/>
  <c r="W68" i="18" s="1"/>
  <c r="M68" i="18"/>
  <c r="X68" i="18" a="1"/>
  <c r="X68" i="18" s="1"/>
  <c r="R68" i="18" a="1"/>
  <c r="R68" i="18" s="1"/>
  <c r="K68" i="18" a="1"/>
  <c r="K68" i="18" s="1"/>
  <c r="G68" i="18" a="1"/>
  <c r="G68" i="18" s="1"/>
  <c r="Y68" i="18" a="1"/>
  <c r="Y68" i="18" s="1"/>
  <c r="L68" i="18" a="1"/>
  <c r="L68" i="18" s="1"/>
  <c r="J45" i="18" a="1"/>
  <c r="J45" i="18" s="1"/>
  <c r="X45" i="18" a="1"/>
  <c r="X45" i="18" s="1"/>
  <c r="G45" i="18" a="1"/>
  <c r="G45" i="18" s="1"/>
  <c r="U45" i="18" a="1"/>
  <c r="U45" i="18" s="1"/>
  <c r="W45" i="18" a="1"/>
  <c r="W45" i="18" s="1"/>
  <c r="K45" i="18" a="1"/>
  <c r="K45" i="18" s="1"/>
  <c r="V45" i="18" a="1"/>
  <c r="V45" i="18" s="1"/>
  <c r="R45" i="18" a="1"/>
  <c r="R45" i="18" s="1"/>
  <c r="M45" i="18"/>
  <c r="Y45" i="18" a="1"/>
  <c r="Y45" i="18" s="1"/>
  <c r="T45" i="18" a="1"/>
  <c r="T45" i="18" s="1"/>
  <c r="N45" i="18" a="1"/>
  <c r="N45" i="18" s="1"/>
  <c r="I45" i="18"/>
  <c r="L45" i="18" a="1"/>
  <c r="L45" i="18" s="1"/>
  <c r="X84" i="18" a="1"/>
  <c r="X84" i="18" s="1"/>
  <c r="N84" i="18" a="1"/>
  <c r="N84" i="18" s="1"/>
  <c r="G84" i="18" a="1"/>
  <c r="G84" i="18" s="1"/>
  <c r="Y84" i="18" a="1"/>
  <c r="Y84" i="18" s="1"/>
  <c r="M84" i="18"/>
  <c r="V84" i="18" a="1"/>
  <c r="V84" i="18" s="1"/>
  <c r="U84" i="18" a="1"/>
  <c r="U84" i="18" s="1"/>
  <c r="L84" i="18" a="1"/>
  <c r="L84" i="18" s="1"/>
  <c r="T84" i="18" a="1"/>
  <c r="T84" i="18" s="1"/>
  <c r="W84" i="18" a="1"/>
  <c r="W84" i="18" s="1"/>
  <c r="I84" i="18"/>
  <c r="J84" i="18" a="1"/>
  <c r="J84" i="18" s="1"/>
  <c r="K84" i="18" a="1"/>
  <c r="K84" i="18" s="1"/>
  <c r="R84" i="18" a="1"/>
  <c r="R84" i="18" s="1"/>
  <c r="W32" i="18" a="1"/>
  <c r="W32" i="18" s="1"/>
  <c r="V32" i="18" a="1"/>
  <c r="V32" i="18" s="1"/>
  <c r="T32" i="18" a="1"/>
  <c r="T32" i="18" s="1"/>
  <c r="R32" i="18" a="1"/>
  <c r="R32" i="18" s="1"/>
  <c r="L32" i="18" a="1"/>
  <c r="L32" i="18" s="1"/>
  <c r="Y32" i="18" a="1"/>
  <c r="Y32" i="18" s="1"/>
  <c r="M32" i="18"/>
  <c r="K32" i="18" a="1"/>
  <c r="K32" i="18" s="1"/>
  <c r="N32" i="18" a="1"/>
  <c r="N32" i="18" s="1"/>
  <c r="I32" i="18"/>
  <c r="U32" i="18" a="1"/>
  <c r="U32" i="18" s="1"/>
  <c r="G32" i="18" a="1"/>
  <c r="G32" i="18" s="1"/>
  <c r="X32" i="18" a="1"/>
  <c r="X32" i="18" s="1"/>
  <c r="J32" i="18" a="1"/>
  <c r="J32" i="18" s="1"/>
  <c r="U50" i="18" a="1"/>
  <c r="U50" i="18" s="1"/>
  <c r="R50" i="18" a="1"/>
  <c r="R50" i="18" s="1"/>
  <c r="G50" i="18" a="1"/>
  <c r="G50" i="18" s="1"/>
  <c r="I50" i="18"/>
  <c r="X50" i="18" a="1"/>
  <c r="X50" i="18" s="1"/>
  <c r="N50" i="18" a="1"/>
  <c r="N50" i="18" s="1"/>
  <c r="W50" i="18" a="1"/>
  <c r="W50" i="18" s="1"/>
  <c r="L50" i="18" a="1"/>
  <c r="L50" i="18" s="1"/>
  <c r="K50" i="18" a="1"/>
  <c r="K50" i="18" s="1"/>
  <c r="Y50" i="18" a="1"/>
  <c r="Y50" i="18" s="1"/>
  <c r="J50" i="18" a="1"/>
  <c r="J50" i="18" s="1"/>
  <c r="V50" i="18" a="1"/>
  <c r="V50" i="18" s="1"/>
  <c r="T50" i="18" a="1"/>
  <c r="T50" i="18" s="1"/>
  <c r="M50" i="18"/>
  <c r="U85" i="18" a="1"/>
  <c r="U85" i="18" s="1"/>
  <c r="R85" i="18" a="1"/>
  <c r="R85" i="18" s="1"/>
  <c r="M85" i="18"/>
  <c r="W85" i="18" a="1"/>
  <c r="W85" i="18" s="1"/>
  <c r="L85" i="18" a="1"/>
  <c r="L85" i="18" s="1"/>
  <c r="J85" i="18" a="1"/>
  <c r="J85" i="18" s="1"/>
  <c r="G85" i="18" a="1"/>
  <c r="G85" i="18" s="1"/>
  <c r="T85" i="18" a="1"/>
  <c r="T85" i="18" s="1"/>
  <c r="N85" i="18" a="1"/>
  <c r="N85" i="18" s="1"/>
  <c r="Y85" i="18" a="1"/>
  <c r="Y85" i="18" s="1"/>
  <c r="X85" i="18" a="1"/>
  <c r="X85" i="18" s="1"/>
  <c r="V85" i="18" a="1"/>
  <c r="V85" i="18" s="1"/>
  <c r="K85" i="18" a="1"/>
  <c r="K85" i="18" s="1"/>
  <c r="I85" i="18"/>
  <c r="U48" i="18" a="1"/>
  <c r="U48" i="18" s="1"/>
  <c r="W48" i="18" a="1"/>
  <c r="W48" i="18" s="1"/>
  <c r="V48" i="18" a="1"/>
  <c r="V48" i="18" s="1"/>
  <c r="K48" i="18" a="1"/>
  <c r="K48" i="18" s="1"/>
  <c r="L48" i="18" a="1"/>
  <c r="L48" i="18" s="1"/>
  <c r="Y48" i="18" a="1"/>
  <c r="Y48" i="18" s="1"/>
  <c r="T48" i="18" a="1"/>
  <c r="T48" i="18" s="1"/>
  <c r="M48" i="18"/>
  <c r="I48" i="18"/>
  <c r="G48" i="18" a="1"/>
  <c r="G48" i="18" s="1"/>
  <c r="R48" i="18" a="1"/>
  <c r="R48" i="18" s="1"/>
  <c r="X48" i="18" a="1"/>
  <c r="X48" i="18" s="1"/>
  <c r="N48" i="18" a="1"/>
  <c r="N48" i="18" s="1"/>
  <c r="J48" i="18" a="1"/>
  <c r="J48" i="18" s="1"/>
  <c r="J31" i="18" a="1"/>
  <c r="J31" i="18" s="1"/>
  <c r="G31" i="18" a="1"/>
  <c r="G31" i="18" s="1"/>
  <c r="R31" i="18" a="1"/>
  <c r="R31" i="18" s="1"/>
  <c r="M31" i="18"/>
  <c r="N31" i="18" a="1"/>
  <c r="N31" i="18" s="1"/>
  <c r="Y31" i="18" a="1"/>
  <c r="Y31" i="18" s="1"/>
  <c r="L31" i="18" a="1"/>
  <c r="L31" i="18" s="1"/>
  <c r="T31" i="18" a="1"/>
  <c r="T31" i="18" s="1"/>
  <c r="X31" i="18" a="1"/>
  <c r="X31" i="18" s="1"/>
  <c r="U31" i="18" a="1"/>
  <c r="U31" i="18" s="1"/>
  <c r="K31" i="18" a="1"/>
  <c r="K31" i="18" s="1"/>
  <c r="W31" i="18" a="1"/>
  <c r="W31" i="18" s="1"/>
  <c r="V31" i="18" a="1"/>
  <c r="V31" i="18" s="1"/>
  <c r="I31" i="18"/>
  <c r="T65" i="18" a="1"/>
  <c r="T65" i="18" s="1"/>
  <c r="N65" i="18" a="1"/>
  <c r="N65" i="18" s="1"/>
  <c r="K65" i="18" a="1"/>
  <c r="K65" i="18" s="1"/>
  <c r="I65" i="18"/>
  <c r="M65" i="18"/>
  <c r="L65" i="18" a="1"/>
  <c r="L65" i="18" s="1"/>
  <c r="G65" i="18" a="1"/>
  <c r="G65" i="18" s="1"/>
  <c r="W65" i="18" a="1"/>
  <c r="W65" i="18" s="1"/>
  <c r="J65" i="18" a="1"/>
  <c r="J65" i="18" s="1"/>
  <c r="R65" i="18" a="1"/>
  <c r="R65" i="18" s="1"/>
  <c r="Y65" i="18" a="1"/>
  <c r="Y65" i="18" s="1"/>
  <c r="X65" i="18" a="1"/>
  <c r="X65" i="18" s="1"/>
  <c r="V65" i="18" a="1"/>
  <c r="V65" i="18" s="1"/>
  <c r="U65" i="18" a="1"/>
  <c r="U65" i="18" s="1"/>
  <c r="U10" i="18" a="1"/>
  <c r="U10" i="18" s="1"/>
  <c r="T10" i="18" a="1"/>
  <c r="T10" i="18" s="1"/>
  <c r="I10" i="18"/>
  <c r="G10" i="18" a="1"/>
  <c r="G10" i="18" s="1"/>
  <c r="V10" i="18" a="1"/>
  <c r="V10" i="18" s="1"/>
  <c r="N10" i="18" a="1"/>
  <c r="N10" i="18" s="1"/>
  <c r="W10" i="18" a="1"/>
  <c r="W10" i="18" s="1"/>
  <c r="K10" i="18" a="1"/>
  <c r="K10" i="18" s="1"/>
  <c r="R10" i="18" a="1"/>
  <c r="R10" i="18" s="1"/>
  <c r="X10" i="18" a="1"/>
  <c r="X10" i="18" s="1"/>
  <c r="J10" i="18" a="1"/>
  <c r="J10" i="18" s="1"/>
  <c r="L10" i="18" a="1"/>
  <c r="L10" i="18" s="1"/>
  <c r="M10" i="18"/>
  <c r="Y10" i="18" a="1"/>
  <c r="Y10" i="18" s="1"/>
  <c r="Y52" i="18" a="1"/>
  <c r="Y52" i="18" s="1"/>
  <c r="M52" i="18"/>
  <c r="L52" i="18" a="1"/>
  <c r="L52" i="18" s="1"/>
  <c r="X52" i="18" a="1"/>
  <c r="X52" i="18" s="1"/>
  <c r="T52" i="18" a="1"/>
  <c r="T52" i="18" s="1"/>
  <c r="N52" i="18" a="1"/>
  <c r="N52" i="18" s="1"/>
  <c r="U52" i="18" a="1"/>
  <c r="U52" i="18" s="1"/>
  <c r="J52" i="18" a="1"/>
  <c r="J52" i="18" s="1"/>
  <c r="K52" i="18" a="1"/>
  <c r="K52" i="18" s="1"/>
  <c r="I52" i="18"/>
  <c r="G52" i="18" a="1"/>
  <c r="G52" i="18" s="1"/>
  <c r="R52" i="18" a="1"/>
  <c r="R52" i="18" s="1"/>
  <c r="W52" i="18" a="1"/>
  <c r="W52" i="18" s="1"/>
  <c r="V52" i="18" a="1"/>
  <c r="V52" i="18" s="1"/>
  <c r="X75" i="18" a="1"/>
  <c r="X75" i="18" s="1"/>
  <c r="Y75" i="18" a="1"/>
  <c r="Y75" i="18" s="1"/>
  <c r="N75" i="18" a="1"/>
  <c r="N75" i="18" s="1"/>
  <c r="L75" i="18" a="1"/>
  <c r="L75" i="18" s="1"/>
  <c r="V75" i="18" a="1"/>
  <c r="V75" i="18" s="1"/>
  <c r="T75" i="18" a="1"/>
  <c r="T75" i="18" s="1"/>
  <c r="I75" i="18"/>
  <c r="M75" i="18"/>
  <c r="K75" i="18" a="1"/>
  <c r="K75" i="18" s="1"/>
  <c r="J75" i="18" a="1"/>
  <c r="J75" i="18" s="1"/>
  <c r="W75" i="18" a="1"/>
  <c r="W75" i="18" s="1"/>
  <c r="U75" i="18" a="1"/>
  <c r="U75" i="18" s="1"/>
  <c r="G75" i="18" a="1"/>
  <c r="G75" i="18" s="1"/>
  <c r="R75" i="18" a="1"/>
  <c r="R75" i="18" s="1"/>
  <c r="Y30" i="18" a="1"/>
  <c r="Y30" i="18" s="1"/>
  <c r="U30" i="18" a="1"/>
  <c r="U30" i="18" s="1"/>
  <c r="L30" i="18" a="1"/>
  <c r="L30" i="18" s="1"/>
  <c r="N30" i="18" a="1"/>
  <c r="N30" i="18" s="1"/>
  <c r="R30" i="18" a="1"/>
  <c r="R30" i="18" s="1"/>
  <c r="T30" i="18" a="1"/>
  <c r="T30" i="18" s="1"/>
  <c r="I30" i="18"/>
  <c r="M30" i="18"/>
  <c r="V30" i="18" a="1"/>
  <c r="V30" i="18" s="1"/>
  <c r="G30" i="18" a="1"/>
  <c r="G30" i="18" s="1"/>
  <c r="W30" i="18" a="1"/>
  <c r="W30" i="18" s="1"/>
  <c r="J30" i="18" a="1"/>
  <c r="J30" i="18" s="1"/>
  <c r="X30" i="18" a="1"/>
  <c r="X30" i="18" s="1"/>
  <c r="K30" i="18" a="1"/>
  <c r="K30" i="18" s="1"/>
  <c r="T96" i="18" a="1"/>
  <c r="T96" i="18" s="1"/>
  <c r="K96" i="18" a="1"/>
  <c r="K96" i="18" s="1"/>
  <c r="J96" i="18" a="1"/>
  <c r="J96" i="18" s="1"/>
  <c r="I96" i="18"/>
  <c r="G96" i="18" a="1"/>
  <c r="G96" i="18" s="1"/>
  <c r="Y96" i="18" a="1"/>
  <c r="Y96" i="18" s="1"/>
  <c r="X96" i="18" a="1"/>
  <c r="X96" i="18" s="1"/>
  <c r="N96" i="18" a="1"/>
  <c r="N96" i="18" s="1"/>
  <c r="M96" i="18"/>
  <c r="L96" i="18" a="1"/>
  <c r="L96" i="18" s="1"/>
  <c r="V96" i="18" a="1"/>
  <c r="V96" i="18" s="1"/>
  <c r="U96" i="18" a="1"/>
  <c r="U96" i="18" s="1"/>
  <c r="R96" i="18" a="1"/>
  <c r="R96" i="18" s="1"/>
  <c r="W96" i="18" a="1"/>
  <c r="W96" i="18" s="1"/>
  <c r="U89" i="18" a="1"/>
  <c r="U89" i="18" s="1"/>
  <c r="T89" i="18" a="1"/>
  <c r="T89" i="18" s="1"/>
  <c r="R89" i="18" a="1"/>
  <c r="R89" i="18" s="1"/>
  <c r="I89" i="18"/>
  <c r="M89" i="18"/>
  <c r="W89" i="18" a="1"/>
  <c r="W89" i="18" s="1"/>
  <c r="L89" i="18" a="1"/>
  <c r="L89" i="18" s="1"/>
  <c r="K89" i="18" a="1"/>
  <c r="K89" i="18" s="1"/>
  <c r="J89" i="18" a="1"/>
  <c r="J89" i="18" s="1"/>
  <c r="G89" i="18" a="1"/>
  <c r="G89" i="18" s="1"/>
  <c r="N89" i="18" a="1"/>
  <c r="N89" i="18" s="1"/>
  <c r="Y89" i="18" a="1"/>
  <c r="Y89" i="18" s="1"/>
  <c r="V89" i="18" a="1"/>
  <c r="V89" i="18" s="1"/>
  <c r="X89" i="18" a="1"/>
  <c r="X89" i="18" s="1"/>
  <c r="T78" i="18" a="1"/>
  <c r="T78" i="18" s="1"/>
  <c r="N78" i="18" a="1"/>
  <c r="N78" i="18" s="1"/>
  <c r="L78" i="18" a="1"/>
  <c r="L78" i="18" s="1"/>
  <c r="X78" i="18" a="1"/>
  <c r="X78" i="18" s="1"/>
  <c r="W78" i="18" a="1"/>
  <c r="W78" i="18" s="1"/>
  <c r="M78" i="18"/>
  <c r="J78" i="18" a="1"/>
  <c r="J78" i="18" s="1"/>
  <c r="Y78" i="18" a="1"/>
  <c r="Y78" i="18" s="1"/>
  <c r="V78" i="18" a="1"/>
  <c r="V78" i="18" s="1"/>
  <c r="G78" i="18" a="1"/>
  <c r="G78" i="18" s="1"/>
  <c r="U78" i="18" a="1"/>
  <c r="U78" i="18" s="1"/>
  <c r="R78" i="18" a="1"/>
  <c r="R78" i="18" s="1"/>
  <c r="K78" i="18" a="1"/>
  <c r="K78" i="18" s="1"/>
  <c r="I78" i="18"/>
  <c r="W41" i="18" a="1"/>
  <c r="W41" i="18" s="1"/>
  <c r="N41" i="18" a="1"/>
  <c r="N41" i="18" s="1"/>
  <c r="M41" i="18"/>
  <c r="J41" i="18" a="1"/>
  <c r="J41" i="18" s="1"/>
  <c r="U41" i="18" a="1"/>
  <c r="U41" i="18" s="1"/>
  <c r="Y41" i="18" a="1"/>
  <c r="Y41" i="18" s="1"/>
  <c r="R41" i="18" a="1"/>
  <c r="R41" i="18" s="1"/>
  <c r="G41" i="18" a="1"/>
  <c r="G41" i="18" s="1"/>
  <c r="I41" i="18"/>
  <c r="T41" i="18" a="1"/>
  <c r="T41" i="18" s="1"/>
  <c r="K41" i="18" a="1"/>
  <c r="K41" i="18" s="1"/>
  <c r="X41" i="18" a="1"/>
  <c r="X41" i="18" s="1"/>
  <c r="L41" i="18" a="1"/>
  <c r="L41" i="18" s="1"/>
  <c r="V41" i="18" a="1"/>
  <c r="V41" i="18" s="1"/>
  <c r="V33" i="2" a="1"/>
  <c r="V33" i="2" s="1"/>
  <c r="I33" i="2"/>
  <c r="J33" i="2" a="1"/>
  <c r="J33" i="2" s="1"/>
  <c r="M33" i="2"/>
  <c r="T33" i="2" a="1"/>
  <c r="T33" i="2" s="1"/>
  <c r="U33" i="2" a="1"/>
  <c r="U33" i="2" s="1"/>
  <c r="N33" i="2" a="1"/>
  <c r="N33" i="2" s="1"/>
  <c r="Y33" i="2" a="1"/>
  <c r="Y33" i="2" s="1"/>
  <c r="K33" i="2" a="1"/>
  <c r="K33" i="2" s="1"/>
  <c r="L33" i="2" a="1"/>
  <c r="L33" i="2" s="1"/>
  <c r="X33" i="2" a="1"/>
  <c r="X33" i="2" s="1"/>
  <c r="R33" i="2" a="1"/>
  <c r="R33" i="2" s="1"/>
  <c r="W33" i="2" a="1"/>
  <c r="W33" i="2" s="1"/>
  <c r="G33" i="2" a="1"/>
  <c r="G33" i="2" s="1"/>
  <c r="V8" i="2" a="1"/>
  <c r="V8" i="2" s="1"/>
  <c r="I8" i="2"/>
  <c r="T9" i="2" a="1"/>
  <c r="T9" i="2" s="1"/>
  <c r="I9" i="2"/>
  <c r="L3" i="2" a="1"/>
  <c r="L3" i="2" s="1"/>
  <c r="I3" i="2"/>
  <c r="V10" i="2" a="1"/>
  <c r="V10" i="2" s="1"/>
  <c r="I10" i="2"/>
  <c r="T14" i="2" a="1"/>
  <c r="T14" i="2" s="1"/>
  <c r="I14" i="2"/>
  <c r="X6" i="2" a="1"/>
  <c r="X6" i="2" s="1"/>
  <c r="I6" i="2"/>
  <c r="AA12" i="2" a="1"/>
  <c r="AA12" i="2" s="1"/>
  <c r="I12" i="2"/>
  <c r="K3" i="2" a="1"/>
  <c r="K3" i="2" s="1"/>
  <c r="V5" i="2" a="1"/>
  <c r="V5" i="2" s="1"/>
  <c r="AA3" i="2" a="1"/>
  <c r="AA3" i="2" s="1"/>
  <c r="U4" i="2" a="1"/>
  <c r="U4" i="2" s="1"/>
  <c r="L5" i="2" a="1"/>
  <c r="L5" i="2" s="1"/>
  <c r="R14" i="2" a="1"/>
  <c r="R14" i="2" s="1"/>
  <c r="T5" i="2" a="1"/>
  <c r="T5" i="2" s="1"/>
  <c r="G4" i="2" a="1"/>
  <c r="G4" i="2" s="1"/>
  <c r="R4" i="2" a="1"/>
  <c r="R4" i="2" s="1"/>
  <c r="L84" i="2" a="1"/>
  <c r="L84" i="2" s="1"/>
  <c r="R84" i="2" a="1"/>
  <c r="R84" i="2" s="1"/>
  <c r="G84" i="2" a="1"/>
  <c r="G84" i="2" s="1"/>
  <c r="K84" i="2" a="1"/>
  <c r="K84" i="2" s="1"/>
  <c r="J84" i="2" a="1"/>
  <c r="J84" i="2" s="1"/>
  <c r="T84" i="2" a="1"/>
  <c r="T84" i="2" s="1"/>
  <c r="W84" i="2" a="1"/>
  <c r="W84" i="2" s="1"/>
  <c r="X84" i="2" a="1"/>
  <c r="X84" i="2" s="1"/>
  <c r="U84" i="2" a="1"/>
  <c r="U84" i="2" s="1"/>
  <c r="V84" i="2" a="1"/>
  <c r="V84" i="2" s="1"/>
  <c r="Y84" i="2" a="1"/>
  <c r="Y84" i="2" s="1"/>
  <c r="M84" i="2"/>
  <c r="N84" i="2" a="1"/>
  <c r="N84" i="2" s="1"/>
  <c r="L96" i="2" a="1"/>
  <c r="L96" i="2" s="1"/>
  <c r="R96" i="2" a="1"/>
  <c r="R96" i="2" s="1"/>
  <c r="G96" i="2" a="1"/>
  <c r="G96" i="2" s="1"/>
  <c r="K96" i="2" a="1"/>
  <c r="K96" i="2" s="1"/>
  <c r="J96" i="2" a="1"/>
  <c r="J96" i="2" s="1"/>
  <c r="T96" i="2" a="1"/>
  <c r="T96" i="2" s="1"/>
  <c r="X96" i="2" a="1"/>
  <c r="X96" i="2" s="1"/>
  <c r="U96" i="2" a="1"/>
  <c r="U96" i="2" s="1"/>
  <c r="V96" i="2" a="1"/>
  <c r="V96" i="2" s="1"/>
  <c r="W96" i="2" a="1"/>
  <c r="W96" i="2" s="1"/>
  <c r="Y96" i="2" a="1"/>
  <c r="Y96" i="2" s="1"/>
  <c r="M96" i="2"/>
  <c r="N96" i="2" a="1"/>
  <c r="N96" i="2" s="1"/>
  <c r="R60" i="2" a="1"/>
  <c r="R60" i="2" s="1"/>
  <c r="M60" i="2"/>
  <c r="L60" i="2" a="1"/>
  <c r="L60" i="2" s="1"/>
  <c r="Y60" i="2" a="1"/>
  <c r="Y60" i="2" s="1"/>
  <c r="K60" i="2" a="1"/>
  <c r="K60" i="2" s="1"/>
  <c r="T60" i="2" a="1"/>
  <c r="T60" i="2" s="1"/>
  <c r="G60" i="2" a="1"/>
  <c r="G60" i="2" s="1"/>
  <c r="W60" i="2" a="1"/>
  <c r="W60" i="2" s="1"/>
  <c r="J60" i="2" a="1"/>
  <c r="J60" i="2" s="1"/>
  <c r="V60" i="2" a="1"/>
  <c r="V60" i="2" s="1"/>
  <c r="N60" i="2" a="1"/>
  <c r="N60" i="2" s="1"/>
  <c r="X60" i="2" a="1"/>
  <c r="X60" i="2" s="1"/>
  <c r="U60" i="2" a="1"/>
  <c r="U60" i="2" s="1"/>
  <c r="J59" i="2" a="1"/>
  <c r="J59" i="2" s="1"/>
  <c r="R59" i="2" a="1"/>
  <c r="R59" i="2" s="1"/>
  <c r="T59" i="2" a="1"/>
  <c r="T59" i="2" s="1"/>
  <c r="G59" i="2" a="1"/>
  <c r="G59" i="2" s="1"/>
  <c r="W59" i="2" a="1"/>
  <c r="W59" i="2" s="1"/>
  <c r="Y59" i="2" a="1"/>
  <c r="Y59" i="2" s="1"/>
  <c r="U59" i="2" a="1"/>
  <c r="U59" i="2" s="1"/>
  <c r="X59" i="2" a="1"/>
  <c r="X59" i="2" s="1"/>
  <c r="K59" i="2" a="1"/>
  <c r="K59" i="2" s="1"/>
  <c r="L59" i="2" a="1"/>
  <c r="L59" i="2" s="1"/>
  <c r="V59" i="2" a="1"/>
  <c r="V59" i="2" s="1"/>
  <c r="M59" i="2"/>
  <c r="N59" i="2" a="1"/>
  <c r="N59" i="2" s="1"/>
  <c r="G32" i="2" a="1"/>
  <c r="G32" i="2" s="1"/>
  <c r="K32" i="2" a="1"/>
  <c r="K32" i="2" s="1"/>
  <c r="L32" i="2" a="1"/>
  <c r="L32" i="2" s="1"/>
  <c r="J32" i="2" a="1"/>
  <c r="J32" i="2" s="1"/>
  <c r="M32" i="2"/>
  <c r="T32" i="2" a="1"/>
  <c r="T32" i="2" s="1"/>
  <c r="R32" i="2" a="1"/>
  <c r="R32" i="2" s="1"/>
  <c r="U32" i="2" a="1"/>
  <c r="U32" i="2" s="1"/>
  <c r="V32" i="2" a="1"/>
  <c r="V32" i="2" s="1"/>
  <c r="W32" i="2" a="1"/>
  <c r="W32" i="2" s="1"/>
  <c r="Y32" i="2" a="1"/>
  <c r="Y32" i="2" s="1"/>
  <c r="N32" i="2" a="1"/>
  <c r="N32" i="2" s="1"/>
  <c r="X32" i="2" a="1"/>
  <c r="X32" i="2" s="1"/>
  <c r="R64" i="2" a="1"/>
  <c r="R64" i="2" s="1"/>
  <c r="G64" i="2" a="1"/>
  <c r="G64" i="2" s="1"/>
  <c r="L64" i="2" a="1"/>
  <c r="L64" i="2" s="1"/>
  <c r="K64" i="2" a="1"/>
  <c r="K64" i="2" s="1"/>
  <c r="J64" i="2" a="1"/>
  <c r="J64" i="2" s="1"/>
  <c r="U64" i="2" a="1"/>
  <c r="U64" i="2" s="1"/>
  <c r="T64" i="2" a="1"/>
  <c r="T64" i="2" s="1"/>
  <c r="V64" i="2" a="1"/>
  <c r="V64" i="2" s="1"/>
  <c r="Y64" i="2" a="1"/>
  <c r="Y64" i="2" s="1"/>
  <c r="N64" i="2" a="1"/>
  <c r="N64" i="2" s="1"/>
  <c r="W64" i="2" a="1"/>
  <c r="W64" i="2" s="1"/>
  <c r="X64" i="2" a="1"/>
  <c r="X64" i="2" s="1"/>
  <c r="M64" i="2"/>
  <c r="J78" i="2" a="1"/>
  <c r="J78" i="2" s="1"/>
  <c r="L78" i="2" a="1"/>
  <c r="L78" i="2" s="1"/>
  <c r="R78" i="2" a="1"/>
  <c r="R78" i="2" s="1"/>
  <c r="T78" i="2" a="1"/>
  <c r="T78" i="2" s="1"/>
  <c r="G78" i="2" a="1"/>
  <c r="G78" i="2" s="1"/>
  <c r="K78" i="2" a="1"/>
  <c r="K78" i="2" s="1"/>
  <c r="Y78" i="2" a="1"/>
  <c r="Y78" i="2" s="1"/>
  <c r="W78" i="2" a="1"/>
  <c r="W78" i="2" s="1"/>
  <c r="V78" i="2" a="1"/>
  <c r="V78" i="2" s="1"/>
  <c r="X78" i="2" a="1"/>
  <c r="X78" i="2" s="1"/>
  <c r="U78" i="2" a="1"/>
  <c r="U78" i="2" s="1"/>
  <c r="M78" i="2"/>
  <c r="N78" i="2" a="1"/>
  <c r="N78" i="2" s="1"/>
  <c r="J16" i="2" a="1"/>
  <c r="J16" i="2" s="1"/>
  <c r="R16" i="2" a="1"/>
  <c r="R16" i="2" s="1"/>
  <c r="T16" i="2" a="1"/>
  <c r="T16" i="2" s="1"/>
  <c r="K16" i="2" a="1"/>
  <c r="K16" i="2" s="1"/>
  <c r="L16" i="2" a="1"/>
  <c r="L16" i="2" s="1"/>
  <c r="U16" i="2" a="1"/>
  <c r="U16" i="2" s="1"/>
  <c r="M16" i="2"/>
  <c r="Y16" i="2" a="1"/>
  <c r="Y16" i="2" s="1"/>
  <c r="V16" i="2" a="1"/>
  <c r="V16" i="2" s="1"/>
  <c r="W16" i="2" a="1"/>
  <c r="W16" i="2" s="1"/>
  <c r="N16" i="2" a="1"/>
  <c r="N16" i="2" s="1"/>
  <c r="X16" i="2" a="1"/>
  <c r="X16" i="2" s="1"/>
  <c r="G16" i="2" a="1"/>
  <c r="G16" i="2" s="1"/>
  <c r="U49" i="2" a="1"/>
  <c r="U49" i="2" s="1"/>
  <c r="X49" i="2" a="1"/>
  <c r="X49" i="2" s="1"/>
  <c r="Y49" i="2" a="1"/>
  <c r="Y49" i="2" s="1"/>
  <c r="N49" i="2" a="1"/>
  <c r="N49" i="2" s="1"/>
  <c r="M49" i="2"/>
  <c r="T49" i="2" a="1"/>
  <c r="T49" i="2" s="1"/>
  <c r="J49" i="2" a="1"/>
  <c r="J49" i="2" s="1"/>
  <c r="W49" i="2" a="1"/>
  <c r="W49" i="2" s="1"/>
  <c r="R49" i="2" a="1"/>
  <c r="R49" i="2" s="1"/>
  <c r="G49" i="2" a="1"/>
  <c r="G49" i="2" s="1"/>
  <c r="L49" i="2" a="1"/>
  <c r="L49" i="2" s="1"/>
  <c r="K49" i="2" a="1"/>
  <c r="K49" i="2" s="1"/>
  <c r="V49" i="2" a="1"/>
  <c r="V49" i="2" s="1"/>
  <c r="T90" i="2" a="1"/>
  <c r="T90" i="2" s="1"/>
  <c r="J90" i="2" a="1"/>
  <c r="J90" i="2" s="1"/>
  <c r="L90" i="2" a="1"/>
  <c r="L90" i="2" s="1"/>
  <c r="R90" i="2" a="1"/>
  <c r="R90" i="2" s="1"/>
  <c r="Y90" i="2" a="1"/>
  <c r="Y90" i="2" s="1"/>
  <c r="G90" i="2" a="1"/>
  <c r="G90" i="2" s="1"/>
  <c r="X90" i="2" a="1"/>
  <c r="X90" i="2" s="1"/>
  <c r="U90" i="2" a="1"/>
  <c r="U90" i="2" s="1"/>
  <c r="V90" i="2" a="1"/>
  <c r="V90" i="2" s="1"/>
  <c r="W90" i="2" a="1"/>
  <c r="W90" i="2" s="1"/>
  <c r="M90" i="2"/>
  <c r="N90" i="2" a="1"/>
  <c r="N90" i="2" s="1"/>
  <c r="K90" i="2" a="1"/>
  <c r="K90" i="2" s="1"/>
  <c r="L83" i="2" a="1"/>
  <c r="L83" i="2" s="1"/>
  <c r="R83" i="2" a="1"/>
  <c r="R83" i="2" s="1"/>
  <c r="G83" i="2" a="1"/>
  <c r="G83" i="2" s="1"/>
  <c r="K83" i="2" a="1"/>
  <c r="K83" i="2" s="1"/>
  <c r="T83" i="2" a="1"/>
  <c r="T83" i="2" s="1"/>
  <c r="J83" i="2" a="1"/>
  <c r="J83" i="2" s="1"/>
  <c r="U83" i="2" a="1"/>
  <c r="U83" i="2" s="1"/>
  <c r="V83" i="2" a="1"/>
  <c r="V83" i="2" s="1"/>
  <c r="Y83" i="2" a="1"/>
  <c r="Y83" i="2" s="1"/>
  <c r="W83" i="2" a="1"/>
  <c r="W83" i="2" s="1"/>
  <c r="M83" i="2"/>
  <c r="N83" i="2" a="1"/>
  <c r="N83" i="2" s="1"/>
  <c r="X83" i="2" a="1"/>
  <c r="X83" i="2" s="1"/>
  <c r="R27" i="2" a="1"/>
  <c r="R27" i="2" s="1"/>
  <c r="G27" i="2" a="1"/>
  <c r="G27" i="2" s="1"/>
  <c r="U27" i="2" a="1"/>
  <c r="U27" i="2" s="1"/>
  <c r="N27" i="2" a="1"/>
  <c r="N27" i="2" s="1"/>
  <c r="V27" i="2" a="1"/>
  <c r="V27" i="2" s="1"/>
  <c r="M27" i="2"/>
  <c r="X27" i="2" a="1"/>
  <c r="X27" i="2" s="1"/>
  <c r="K27" i="2" a="1"/>
  <c r="K27" i="2" s="1"/>
  <c r="W27" i="2" a="1"/>
  <c r="W27" i="2" s="1"/>
  <c r="T27" i="2" a="1"/>
  <c r="T27" i="2" s="1"/>
  <c r="J27" i="2" a="1"/>
  <c r="J27" i="2" s="1"/>
  <c r="Y27" i="2" a="1"/>
  <c r="Y27" i="2" s="1"/>
  <c r="L27" i="2" a="1"/>
  <c r="L27" i="2" s="1"/>
  <c r="X41" i="2" a="1"/>
  <c r="X41" i="2" s="1"/>
  <c r="U41" i="2" a="1"/>
  <c r="U41" i="2" s="1"/>
  <c r="J41" i="2" a="1"/>
  <c r="J41" i="2" s="1"/>
  <c r="W41" i="2" a="1"/>
  <c r="W41" i="2" s="1"/>
  <c r="K41" i="2" a="1"/>
  <c r="K41" i="2" s="1"/>
  <c r="V41" i="2" a="1"/>
  <c r="V41" i="2" s="1"/>
  <c r="G41" i="2" a="1"/>
  <c r="G41" i="2" s="1"/>
  <c r="M41" i="2"/>
  <c r="Y41" i="2" a="1"/>
  <c r="Y41" i="2" s="1"/>
  <c r="L41" i="2" a="1"/>
  <c r="L41" i="2" s="1"/>
  <c r="T41" i="2" a="1"/>
  <c r="T41" i="2" s="1"/>
  <c r="R41" i="2" a="1"/>
  <c r="R41" i="2" s="1"/>
  <c r="N41" i="2" a="1"/>
  <c r="N41" i="2" s="1"/>
  <c r="J53" i="2" a="1"/>
  <c r="J53" i="2" s="1"/>
  <c r="W53" i="2" a="1"/>
  <c r="W53" i="2" s="1"/>
  <c r="U53" i="2" a="1"/>
  <c r="U53" i="2" s="1"/>
  <c r="G53" i="2" a="1"/>
  <c r="G53" i="2" s="1"/>
  <c r="M53" i="2"/>
  <c r="L53" i="2" a="1"/>
  <c r="L53" i="2" s="1"/>
  <c r="V53" i="2" a="1"/>
  <c r="V53" i="2" s="1"/>
  <c r="K53" i="2" a="1"/>
  <c r="K53" i="2" s="1"/>
  <c r="R53" i="2" a="1"/>
  <c r="R53" i="2" s="1"/>
  <c r="Y53" i="2" a="1"/>
  <c r="Y53" i="2" s="1"/>
  <c r="T53" i="2" a="1"/>
  <c r="T53" i="2" s="1"/>
  <c r="N53" i="2" a="1"/>
  <c r="N53" i="2" s="1"/>
  <c r="X53" i="2" a="1"/>
  <c r="X53" i="2" s="1"/>
  <c r="L87" i="2" a="1"/>
  <c r="L87" i="2" s="1"/>
  <c r="R87" i="2" a="1"/>
  <c r="R87" i="2" s="1"/>
  <c r="G87" i="2" a="1"/>
  <c r="G87" i="2" s="1"/>
  <c r="K87" i="2" a="1"/>
  <c r="K87" i="2" s="1"/>
  <c r="T87" i="2" a="1"/>
  <c r="T87" i="2" s="1"/>
  <c r="J87" i="2" a="1"/>
  <c r="J87" i="2" s="1"/>
  <c r="W87" i="2" a="1"/>
  <c r="W87" i="2" s="1"/>
  <c r="X87" i="2" a="1"/>
  <c r="X87" i="2" s="1"/>
  <c r="U87" i="2" a="1"/>
  <c r="U87" i="2" s="1"/>
  <c r="V87" i="2" a="1"/>
  <c r="V87" i="2" s="1"/>
  <c r="Y87" i="2" a="1"/>
  <c r="Y87" i="2" s="1"/>
  <c r="M87" i="2"/>
  <c r="N87" i="2" a="1"/>
  <c r="N87" i="2" s="1"/>
  <c r="G51" i="2" a="1"/>
  <c r="G51" i="2" s="1"/>
  <c r="K51" i="2" a="1"/>
  <c r="K51" i="2" s="1"/>
  <c r="L51" i="2" a="1"/>
  <c r="L51" i="2" s="1"/>
  <c r="J51" i="2" a="1"/>
  <c r="J51" i="2" s="1"/>
  <c r="R51" i="2" a="1"/>
  <c r="R51" i="2" s="1"/>
  <c r="T51" i="2" a="1"/>
  <c r="T51" i="2" s="1"/>
  <c r="Y51" i="2" a="1"/>
  <c r="Y51" i="2" s="1"/>
  <c r="U51" i="2" a="1"/>
  <c r="U51" i="2" s="1"/>
  <c r="X51" i="2" a="1"/>
  <c r="X51" i="2" s="1"/>
  <c r="M51" i="2"/>
  <c r="V51" i="2" a="1"/>
  <c r="V51" i="2" s="1"/>
  <c r="W51" i="2" a="1"/>
  <c r="W51" i="2" s="1"/>
  <c r="N51" i="2" a="1"/>
  <c r="N51" i="2" s="1"/>
  <c r="G70" i="2" a="1"/>
  <c r="G70" i="2" s="1"/>
  <c r="K70" i="2" a="1"/>
  <c r="K70" i="2" s="1"/>
  <c r="J70" i="2" a="1"/>
  <c r="J70" i="2" s="1"/>
  <c r="R70" i="2" a="1"/>
  <c r="R70" i="2" s="1"/>
  <c r="T70" i="2" a="1"/>
  <c r="T70" i="2" s="1"/>
  <c r="Y70" i="2" a="1"/>
  <c r="Y70" i="2" s="1"/>
  <c r="W70" i="2" a="1"/>
  <c r="W70" i="2" s="1"/>
  <c r="X70" i="2" a="1"/>
  <c r="X70" i="2" s="1"/>
  <c r="L70" i="2" a="1"/>
  <c r="L70" i="2" s="1"/>
  <c r="U70" i="2" a="1"/>
  <c r="U70" i="2" s="1"/>
  <c r="V70" i="2" a="1"/>
  <c r="V70" i="2" s="1"/>
  <c r="M70" i="2"/>
  <c r="N70" i="2" a="1"/>
  <c r="N70" i="2" s="1"/>
  <c r="R43" i="2" a="1"/>
  <c r="R43" i="2" s="1"/>
  <c r="T43" i="2" a="1"/>
  <c r="T43" i="2" s="1"/>
  <c r="G43" i="2" a="1"/>
  <c r="G43" i="2" s="1"/>
  <c r="K43" i="2" a="1"/>
  <c r="K43" i="2" s="1"/>
  <c r="L43" i="2" a="1"/>
  <c r="L43" i="2" s="1"/>
  <c r="J43" i="2" a="1"/>
  <c r="J43" i="2" s="1"/>
  <c r="U43" i="2" a="1"/>
  <c r="U43" i="2" s="1"/>
  <c r="V43" i="2" a="1"/>
  <c r="V43" i="2" s="1"/>
  <c r="W43" i="2" a="1"/>
  <c r="W43" i="2" s="1"/>
  <c r="Y43" i="2" a="1"/>
  <c r="Y43" i="2" s="1"/>
  <c r="X43" i="2" a="1"/>
  <c r="X43" i="2" s="1"/>
  <c r="M43" i="2"/>
  <c r="N43" i="2" a="1"/>
  <c r="N43" i="2" s="1"/>
  <c r="R35" i="2" a="1"/>
  <c r="R35" i="2" s="1"/>
  <c r="T35" i="2" a="1"/>
  <c r="T35" i="2" s="1"/>
  <c r="G35" i="2" a="1"/>
  <c r="G35" i="2" s="1"/>
  <c r="K35" i="2" a="1"/>
  <c r="K35" i="2" s="1"/>
  <c r="L35" i="2" a="1"/>
  <c r="L35" i="2" s="1"/>
  <c r="X35" i="2" a="1"/>
  <c r="X35" i="2" s="1"/>
  <c r="J35" i="2" a="1"/>
  <c r="J35" i="2" s="1"/>
  <c r="M35" i="2"/>
  <c r="W35" i="2" a="1"/>
  <c r="W35" i="2" s="1"/>
  <c r="U35" i="2" a="1"/>
  <c r="U35" i="2" s="1"/>
  <c r="V35" i="2" a="1"/>
  <c r="V35" i="2" s="1"/>
  <c r="Y35" i="2" a="1"/>
  <c r="Y35" i="2" s="1"/>
  <c r="N35" i="2" a="1"/>
  <c r="N35" i="2" s="1"/>
  <c r="T73" i="2" a="1"/>
  <c r="T73" i="2" s="1"/>
  <c r="X73" i="2" a="1"/>
  <c r="X73" i="2" s="1"/>
  <c r="M73" i="2"/>
  <c r="W73" i="2" a="1"/>
  <c r="W73" i="2" s="1"/>
  <c r="K73" i="2" a="1"/>
  <c r="K73" i="2" s="1"/>
  <c r="R73" i="2" a="1"/>
  <c r="R73" i="2" s="1"/>
  <c r="U73" i="2" a="1"/>
  <c r="U73" i="2" s="1"/>
  <c r="Y73" i="2" a="1"/>
  <c r="Y73" i="2" s="1"/>
  <c r="J73" i="2" a="1"/>
  <c r="J73" i="2" s="1"/>
  <c r="V73" i="2" a="1"/>
  <c r="V73" i="2" s="1"/>
  <c r="N73" i="2" a="1"/>
  <c r="N73" i="2" s="1"/>
  <c r="G73" i="2" a="1"/>
  <c r="G73" i="2" s="1"/>
  <c r="L73" i="2" a="1"/>
  <c r="L73" i="2" s="1"/>
  <c r="J39" i="2" a="1"/>
  <c r="J39" i="2" s="1"/>
  <c r="R39" i="2" a="1"/>
  <c r="R39" i="2" s="1"/>
  <c r="T39" i="2" a="1"/>
  <c r="T39" i="2" s="1"/>
  <c r="K39" i="2" a="1"/>
  <c r="K39" i="2" s="1"/>
  <c r="L39" i="2" a="1"/>
  <c r="L39" i="2" s="1"/>
  <c r="X39" i="2" a="1"/>
  <c r="X39" i="2" s="1"/>
  <c r="M39" i="2"/>
  <c r="G39" i="2" a="1"/>
  <c r="G39" i="2" s="1"/>
  <c r="U39" i="2" a="1"/>
  <c r="U39" i="2" s="1"/>
  <c r="V39" i="2" a="1"/>
  <c r="V39" i="2" s="1"/>
  <c r="W39" i="2" a="1"/>
  <c r="W39" i="2" s="1"/>
  <c r="Y39" i="2" a="1"/>
  <c r="Y39" i="2" s="1"/>
  <c r="N39" i="2" a="1"/>
  <c r="N39" i="2" s="1"/>
  <c r="L71" i="2" a="1"/>
  <c r="L71" i="2" s="1"/>
  <c r="G71" i="2" a="1"/>
  <c r="G71" i="2" s="1"/>
  <c r="K71" i="2" a="1"/>
  <c r="K71" i="2" s="1"/>
  <c r="J71" i="2" a="1"/>
  <c r="J71" i="2" s="1"/>
  <c r="Y71" i="2" a="1"/>
  <c r="Y71" i="2" s="1"/>
  <c r="R71" i="2" a="1"/>
  <c r="R71" i="2" s="1"/>
  <c r="T71" i="2" a="1"/>
  <c r="T71" i="2" s="1"/>
  <c r="W71" i="2" a="1"/>
  <c r="W71" i="2" s="1"/>
  <c r="X71" i="2" a="1"/>
  <c r="X71" i="2" s="1"/>
  <c r="U71" i="2" a="1"/>
  <c r="U71" i="2" s="1"/>
  <c r="M71" i="2"/>
  <c r="N71" i="2" a="1"/>
  <c r="N71" i="2" s="1"/>
  <c r="V71" i="2" a="1"/>
  <c r="V71" i="2" s="1"/>
  <c r="L92" i="2" a="1"/>
  <c r="L92" i="2" s="1"/>
  <c r="M92" i="2"/>
  <c r="Y92" i="2" a="1"/>
  <c r="Y92" i="2" s="1"/>
  <c r="T92" i="2" a="1"/>
  <c r="T92" i="2" s="1"/>
  <c r="V92" i="2" a="1"/>
  <c r="V92" i="2" s="1"/>
  <c r="K92" i="2" a="1"/>
  <c r="K92" i="2" s="1"/>
  <c r="W92" i="2" a="1"/>
  <c r="W92" i="2" s="1"/>
  <c r="R92" i="2" a="1"/>
  <c r="R92" i="2" s="1"/>
  <c r="U92" i="2" a="1"/>
  <c r="U92" i="2" s="1"/>
  <c r="N92" i="2" a="1"/>
  <c r="N92" i="2" s="1"/>
  <c r="X92" i="2" a="1"/>
  <c r="X92" i="2" s="1"/>
  <c r="J92" i="2" a="1"/>
  <c r="J92" i="2" s="1"/>
  <c r="G92" i="2" a="1"/>
  <c r="G92" i="2" s="1"/>
  <c r="J23" i="2" a="1"/>
  <c r="J23" i="2" s="1"/>
  <c r="L23" i="2" a="1"/>
  <c r="L23" i="2" s="1"/>
  <c r="X23" i="2" a="1"/>
  <c r="X23" i="2" s="1"/>
  <c r="M23" i="2"/>
  <c r="V23" i="2" a="1"/>
  <c r="V23" i="2" s="1"/>
  <c r="W23" i="2" a="1"/>
  <c r="W23" i="2" s="1"/>
  <c r="K23" i="2" a="1"/>
  <c r="K23" i="2" s="1"/>
  <c r="N23" i="2" a="1"/>
  <c r="N23" i="2" s="1"/>
  <c r="T23" i="2" a="1"/>
  <c r="T23" i="2" s="1"/>
  <c r="U23" i="2" a="1"/>
  <c r="U23" i="2" s="1"/>
  <c r="Y23" i="2" a="1"/>
  <c r="Y23" i="2" s="1"/>
  <c r="G23" i="2" a="1"/>
  <c r="G23" i="2" s="1"/>
  <c r="R23" i="2" a="1"/>
  <c r="R23" i="2" s="1"/>
  <c r="G56" i="2" a="1"/>
  <c r="G56" i="2" s="1"/>
  <c r="K56" i="2" a="1"/>
  <c r="K56" i="2" s="1"/>
  <c r="L56" i="2" a="1"/>
  <c r="L56" i="2" s="1"/>
  <c r="J56" i="2" a="1"/>
  <c r="J56" i="2" s="1"/>
  <c r="U56" i="2" a="1"/>
  <c r="U56" i="2" s="1"/>
  <c r="X56" i="2" a="1"/>
  <c r="X56" i="2" s="1"/>
  <c r="M56" i="2"/>
  <c r="V56" i="2" a="1"/>
  <c r="V56" i="2" s="1"/>
  <c r="W56" i="2" a="1"/>
  <c r="W56" i="2" s="1"/>
  <c r="Y56" i="2" a="1"/>
  <c r="Y56" i="2" s="1"/>
  <c r="T56" i="2" a="1"/>
  <c r="T56" i="2" s="1"/>
  <c r="N56" i="2" a="1"/>
  <c r="N56" i="2" s="1"/>
  <c r="R56" i="2" a="1"/>
  <c r="R56" i="2" s="1"/>
  <c r="R55" i="2" a="1"/>
  <c r="R55" i="2" s="1"/>
  <c r="T55" i="2" a="1"/>
  <c r="T55" i="2" s="1"/>
  <c r="G55" i="2" a="1"/>
  <c r="G55" i="2" s="1"/>
  <c r="K55" i="2" a="1"/>
  <c r="K55" i="2" s="1"/>
  <c r="L55" i="2" a="1"/>
  <c r="L55" i="2" s="1"/>
  <c r="J55" i="2" a="1"/>
  <c r="J55" i="2" s="1"/>
  <c r="V55" i="2" a="1"/>
  <c r="V55" i="2" s="1"/>
  <c r="W55" i="2" a="1"/>
  <c r="W55" i="2" s="1"/>
  <c r="Y55" i="2" a="1"/>
  <c r="Y55" i="2" s="1"/>
  <c r="U55" i="2" a="1"/>
  <c r="U55" i="2" s="1"/>
  <c r="N55" i="2" a="1"/>
  <c r="N55" i="2" s="1"/>
  <c r="X55" i="2" a="1"/>
  <c r="X55" i="2" s="1"/>
  <c r="M55" i="2"/>
  <c r="X36" i="2" a="1"/>
  <c r="X36" i="2" s="1"/>
  <c r="R36" i="2" a="1"/>
  <c r="R36" i="2" s="1"/>
  <c r="M36" i="2"/>
  <c r="L36" i="2" a="1"/>
  <c r="L36" i="2" s="1"/>
  <c r="W36" i="2" a="1"/>
  <c r="W36" i="2" s="1"/>
  <c r="Y36" i="2" a="1"/>
  <c r="Y36" i="2" s="1"/>
  <c r="T36" i="2" a="1"/>
  <c r="T36" i="2" s="1"/>
  <c r="U36" i="2" a="1"/>
  <c r="U36" i="2" s="1"/>
  <c r="K36" i="2" a="1"/>
  <c r="K36" i="2" s="1"/>
  <c r="J36" i="2" a="1"/>
  <c r="J36" i="2" s="1"/>
  <c r="V36" i="2" a="1"/>
  <c r="V36" i="2" s="1"/>
  <c r="N36" i="2" a="1"/>
  <c r="N36" i="2" s="1"/>
  <c r="G36" i="2" a="1"/>
  <c r="G36" i="2" s="1"/>
  <c r="L75" i="2" a="1"/>
  <c r="L75" i="2" s="1"/>
  <c r="T75" i="2" a="1"/>
  <c r="T75" i="2" s="1"/>
  <c r="G75" i="2" a="1"/>
  <c r="G75" i="2" s="1"/>
  <c r="K75" i="2" a="1"/>
  <c r="K75" i="2" s="1"/>
  <c r="J75" i="2" a="1"/>
  <c r="J75" i="2" s="1"/>
  <c r="W75" i="2" a="1"/>
  <c r="W75" i="2" s="1"/>
  <c r="X75" i="2" a="1"/>
  <c r="X75" i="2" s="1"/>
  <c r="U75" i="2" a="1"/>
  <c r="U75" i="2" s="1"/>
  <c r="V75" i="2" a="1"/>
  <c r="V75" i="2" s="1"/>
  <c r="R75" i="2" a="1"/>
  <c r="R75" i="2" s="1"/>
  <c r="Y75" i="2" a="1"/>
  <c r="Y75" i="2" s="1"/>
  <c r="M75" i="2"/>
  <c r="N75" i="2" a="1"/>
  <c r="N75" i="2" s="1"/>
  <c r="T20" i="2" a="1"/>
  <c r="T20" i="2" s="1"/>
  <c r="G20" i="2" a="1"/>
  <c r="G20" i="2" s="1"/>
  <c r="L20" i="2" a="1"/>
  <c r="L20" i="2" s="1"/>
  <c r="K20" i="2" a="1"/>
  <c r="K20" i="2" s="1"/>
  <c r="J20" i="2" a="1"/>
  <c r="J20" i="2" s="1"/>
  <c r="R20" i="2" a="1"/>
  <c r="R20" i="2" s="1"/>
  <c r="V20" i="2" a="1"/>
  <c r="V20" i="2" s="1"/>
  <c r="X20" i="2" a="1"/>
  <c r="X20" i="2" s="1"/>
  <c r="U20" i="2" a="1"/>
  <c r="U20" i="2" s="1"/>
  <c r="M20" i="2"/>
  <c r="Y20" i="2" a="1"/>
  <c r="Y20" i="2" s="1"/>
  <c r="N20" i="2" a="1"/>
  <c r="N20" i="2" s="1"/>
  <c r="W20" i="2" a="1"/>
  <c r="W20" i="2" s="1"/>
  <c r="J34" i="2" a="1"/>
  <c r="J34" i="2" s="1"/>
  <c r="M34" i="2"/>
  <c r="V34" i="2" a="1"/>
  <c r="V34" i="2" s="1"/>
  <c r="Y34" i="2" a="1"/>
  <c r="Y34" i="2" s="1"/>
  <c r="W34" i="2" a="1"/>
  <c r="W34" i="2" s="1"/>
  <c r="N34" i="2" a="1"/>
  <c r="N34" i="2" s="1"/>
  <c r="K34" i="2" a="1"/>
  <c r="K34" i="2" s="1"/>
  <c r="R34" i="2" a="1"/>
  <c r="R34" i="2" s="1"/>
  <c r="L34" i="2" a="1"/>
  <c r="L34" i="2" s="1"/>
  <c r="G34" i="2" a="1"/>
  <c r="G34" i="2" s="1"/>
  <c r="T34" i="2" a="1"/>
  <c r="T34" i="2" s="1"/>
  <c r="U34" i="2" a="1"/>
  <c r="U34" i="2" s="1"/>
  <c r="X34" i="2" a="1"/>
  <c r="X34" i="2" s="1"/>
  <c r="R46" i="2" a="1"/>
  <c r="R46" i="2" s="1"/>
  <c r="T46" i="2" a="1"/>
  <c r="T46" i="2" s="1"/>
  <c r="G46" i="2" a="1"/>
  <c r="G46" i="2" s="1"/>
  <c r="K46" i="2" a="1"/>
  <c r="K46" i="2" s="1"/>
  <c r="L46" i="2" a="1"/>
  <c r="L46" i="2" s="1"/>
  <c r="X46" i="2" a="1"/>
  <c r="X46" i="2" s="1"/>
  <c r="M46" i="2"/>
  <c r="J46" i="2" a="1"/>
  <c r="J46" i="2" s="1"/>
  <c r="V46" i="2" a="1"/>
  <c r="V46" i="2" s="1"/>
  <c r="W46" i="2" a="1"/>
  <c r="W46" i="2" s="1"/>
  <c r="U46" i="2" a="1"/>
  <c r="U46" i="2" s="1"/>
  <c r="Y46" i="2" a="1"/>
  <c r="Y46" i="2" s="1"/>
  <c r="N46" i="2" a="1"/>
  <c r="N46" i="2" s="1"/>
  <c r="J80" i="2" a="1"/>
  <c r="J80" i="2" s="1"/>
  <c r="L80" i="2" a="1"/>
  <c r="L80" i="2" s="1"/>
  <c r="R80" i="2" a="1"/>
  <c r="R80" i="2" s="1"/>
  <c r="T80" i="2" a="1"/>
  <c r="T80" i="2" s="1"/>
  <c r="Y80" i="2" a="1"/>
  <c r="Y80" i="2" s="1"/>
  <c r="G80" i="2" a="1"/>
  <c r="G80" i="2" s="1"/>
  <c r="V80" i="2" a="1"/>
  <c r="V80" i="2" s="1"/>
  <c r="W80" i="2" a="1"/>
  <c r="W80" i="2" s="1"/>
  <c r="X80" i="2" a="1"/>
  <c r="X80" i="2" s="1"/>
  <c r="K80" i="2" a="1"/>
  <c r="K80" i="2" s="1"/>
  <c r="U80" i="2" a="1"/>
  <c r="U80" i="2" s="1"/>
  <c r="M80" i="2"/>
  <c r="N80" i="2" a="1"/>
  <c r="N80" i="2" s="1"/>
  <c r="W25" i="2" a="1"/>
  <c r="W25" i="2" s="1"/>
  <c r="K25" i="2" a="1"/>
  <c r="K25" i="2" s="1"/>
  <c r="N25" i="2" a="1"/>
  <c r="N25" i="2" s="1"/>
  <c r="R25" i="2" a="1"/>
  <c r="R25" i="2" s="1"/>
  <c r="L25" i="2" a="1"/>
  <c r="L25" i="2" s="1"/>
  <c r="Y25" i="2" a="1"/>
  <c r="Y25" i="2" s="1"/>
  <c r="G25" i="2" a="1"/>
  <c r="G25" i="2" s="1"/>
  <c r="M25" i="2"/>
  <c r="T25" i="2" a="1"/>
  <c r="T25" i="2" s="1"/>
  <c r="U25" i="2" a="1"/>
  <c r="U25" i="2" s="1"/>
  <c r="J25" i="2" a="1"/>
  <c r="J25" i="2" s="1"/>
  <c r="X25" i="2" a="1"/>
  <c r="X25" i="2" s="1"/>
  <c r="V25" i="2" a="1"/>
  <c r="V25" i="2" s="1"/>
  <c r="G45" i="2" a="1"/>
  <c r="G45" i="2" s="1"/>
  <c r="K45" i="2" a="1"/>
  <c r="K45" i="2" s="1"/>
  <c r="L45" i="2" a="1"/>
  <c r="L45" i="2" s="1"/>
  <c r="J45" i="2" a="1"/>
  <c r="J45" i="2" s="1"/>
  <c r="M45" i="2"/>
  <c r="V45" i="2" a="1"/>
  <c r="V45" i="2" s="1"/>
  <c r="W45" i="2" a="1"/>
  <c r="W45" i="2" s="1"/>
  <c r="R45" i="2" a="1"/>
  <c r="R45" i="2" s="1"/>
  <c r="T45" i="2" a="1"/>
  <c r="T45" i="2" s="1"/>
  <c r="U45" i="2" a="1"/>
  <c r="U45" i="2" s="1"/>
  <c r="Y45" i="2" a="1"/>
  <c r="Y45" i="2" s="1"/>
  <c r="N45" i="2" a="1"/>
  <c r="N45" i="2" s="1"/>
  <c r="X45" i="2" a="1"/>
  <c r="X45" i="2" s="1"/>
  <c r="R63" i="2" a="1"/>
  <c r="R63" i="2" s="1"/>
  <c r="T63" i="2" a="1"/>
  <c r="T63" i="2" s="1"/>
  <c r="G63" i="2" a="1"/>
  <c r="G63" i="2" s="1"/>
  <c r="L63" i="2" a="1"/>
  <c r="L63" i="2" s="1"/>
  <c r="K63" i="2" a="1"/>
  <c r="K63" i="2" s="1"/>
  <c r="J63" i="2" a="1"/>
  <c r="J63" i="2" s="1"/>
  <c r="V63" i="2" a="1"/>
  <c r="V63" i="2" s="1"/>
  <c r="Y63" i="2" a="1"/>
  <c r="Y63" i="2" s="1"/>
  <c r="W63" i="2" a="1"/>
  <c r="W63" i="2" s="1"/>
  <c r="X63" i="2" a="1"/>
  <c r="X63" i="2" s="1"/>
  <c r="N63" i="2" a="1"/>
  <c r="N63" i="2" s="1"/>
  <c r="U63" i="2" a="1"/>
  <c r="U63" i="2" s="1"/>
  <c r="M63" i="2"/>
  <c r="G91" i="2" a="1"/>
  <c r="G91" i="2" s="1"/>
  <c r="K91" i="2" a="1"/>
  <c r="K91" i="2" s="1"/>
  <c r="T91" i="2" a="1"/>
  <c r="T91" i="2" s="1"/>
  <c r="J91" i="2" a="1"/>
  <c r="J91" i="2" s="1"/>
  <c r="R91" i="2" a="1"/>
  <c r="R91" i="2" s="1"/>
  <c r="Y91" i="2" a="1"/>
  <c r="Y91" i="2" s="1"/>
  <c r="X91" i="2" a="1"/>
  <c r="X91" i="2" s="1"/>
  <c r="M91" i="2"/>
  <c r="N91" i="2" a="1"/>
  <c r="N91" i="2" s="1"/>
  <c r="L91" i="2" a="1"/>
  <c r="L91" i="2" s="1"/>
  <c r="U91" i="2" a="1"/>
  <c r="U91" i="2" s="1"/>
  <c r="V91" i="2" a="1"/>
  <c r="V91" i="2" s="1"/>
  <c r="W91" i="2" a="1"/>
  <c r="W91" i="2" s="1"/>
  <c r="J37" i="2" a="1"/>
  <c r="J37" i="2" s="1"/>
  <c r="R37" i="2" a="1"/>
  <c r="R37" i="2" s="1"/>
  <c r="G37" i="2" a="1"/>
  <c r="G37" i="2" s="1"/>
  <c r="K37" i="2" a="1"/>
  <c r="K37" i="2" s="1"/>
  <c r="L37" i="2" a="1"/>
  <c r="L37" i="2" s="1"/>
  <c r="X37" i="2" a="1"/>
  <c r="X37" i="2" s="1"/>
  <c r="T37" i="2" a="1"/>
  <c r="T37" i="2" s="1"/>
  <c r="M37" i="2"/>
  <c r="W37" i="2" a="1"/>
  <c r="W37" i="2" s="1"/>
  <c r="U37" i="2" a="1"/>
  <c r="U37" i="2" s="1"/>
  <c r="V37" i="2" a="1"/>
  <c r="V37" i="2" s="1"/>
  <c r="Y37" i="2" a="1"/>
  <c r="Y37" i="2" s="1"/>
  <c r="N37" i="2" a="1"/>
  <c r="N37" i="2" s="1"/>
  <c r="K4" i="2" a="1"/>
  <c r="K4" i="2" s="1"/>
  <c r="R67" i="2" a="1"/>
  <c r="R67" i="2" s="1"/>
  <c r="L67" i="2" a="1"/>
  <c r="L67" i="2" s="1"/>
  <c r="G67" i="2" a="1"/>
  <c r="G67" i="2" s="1"/>
  <c r="K67" i="2" a="1"/>
  <c r="K67" i="2" s="1"/>
  <c r="W67" i="2" a="1"/>
  <c r="W67" i="2" s="1"/>
  <c r="X67" i="2" a="1"/>
  <c r="X67" i="2" s="1"/>
  <c r="U67" i="2" a="1"/>
  <c r="U67" i="2" s="1"/>
  <c r="T67" i="2" a="1"/>
  <c r="T67" i="2" s="1"/>
  <c r="V67" i="2" a="1"/>
  <c r="V67" i="2" s="1"/>
  <c r="J67" i="2" a="1"/>
  <c r="J67" i="2" s="1"/>
  <c r="Y67" i="2" a="1"/>
  <c r="Y67" i="2" s="1"/>
  <c r="N67" i="2" a="1"/>
  <c r="N67" i="2" s="1"/>
  <c r="M67" i="2"/>
  <c r="L95" i="2" a="1"/>
  <c r="L95" i="2" s="1"/>
  <c r="G95" i="2" a="1"/>
  <c r="G95" i="2" s="1"/>
  <c r="K95" i="2" a="1"/>
  <c r="K95" i="2" s="1"/>
  <c r="J95" i="2" a="1"/>
  <c r="J95" i="2" s="1"/>
  <c r="T95" i="2" a="1"/>
  <c r="T95" i="2" s="1"/>
  <c r="X95" i="2" a="1"/>
  <c r="X95" i="2" s="1"/>
  <c r="U95" i="2" a="1"/>
  <c r="U95" i="2" s="1"/>
  <c r="V95" i="2" a="1"/>
  <c r="V95" i="2" s="1"/>
  <c r="R95" i="2" a="1"/>
  <c r="R95" i="2" s="1"/>
  <c r="W95" i="2" a="1"/>
  <c r="W95" i="2" s="1"/>
  <c r="Y95" i="2" a="1"/>
  <c r="Y95" i="2" s="1"/>
  <c r="M95" i="2"/>
  <c r="N95" i="2" a="1"/>
  <c r="N95" i="2" s="1"/>
  <c r="G40" i="2" a="1"/>
  <c r="G40" i="2" s="1"/>
  <c r="K40" i="2" a="1"/>
  <c r="K40" i="2" s="1"/>
  <c r="L40" i="2" a="1"/>
  <c r="L40" i="2" s="1"/>
  <c r="J40" i="2" a="1"/>
  <c r="J40" i="2" s="1"/>
  <c r="R40" i="2" a="1"/>
  <c r="R40" i="2" s="1"/>
  <c r="T40" i="2" a="1"/>
  <c r="T40" i="2" s="1"/>
  <c r="Y40" i="2" a="1"/>
  <c r="Y40" i="2" s="1"/>
  <c r="X40" i="2" a="1"/>
  <c r="X40" i="2" s="1"/>
  <c r="M40" i="2"/>
  <c r="V40" i="2" a="1"/>
  <c r="V40" i="2" s="1"/>
  <c r="W40" i="2" a="1"/>
  <c r="W40" i="2" s="1"/>
  <c r="N40" i="2" a="1"/>
  <c r="N40" i="2" s="1"/>
  <c r="U40" i="2" a="1"/>
  <c r="U40" i="2" s="1"/>
  <c r="R72" i="2" a="1"/>
  <c r="R72" i="2" s="1"/>
  <c r="T72" i="2" a="1"/>
  <c r="T72" i="2" s="1"/>
  <c r="L72" i="2" a="1"/>
  <c r="L72" i="2" s="1"/>
  <c r="G72" i="2" a="1"/>
  <c r="G72" i="2" s="1"/>
  <c r="K72" i="2" a="1"/>
  <c r="K72" i="2" s="1"/>
  <c r="J72" i="2" a="1"/>
  <c r="J72" i="2" s="1"/>
  <c r="U72" i="2" a="1"/>
  <c r="U72" i="2" s="1"/>
  <c r="V72" i="2" a="1"/>
  <c r="V72" i="2" s="1"/>
  <c r="Y72" i="2" a="1"/>
  <c r="Y72" i="2" s="1"/>
  <c r="W72" i="2" a="1"/>
  <c r="W72" i="2" s="1"/>
  <c r="X72" i="2" a="1"/>
  <c r="X72" i="2" s="1"/>
  <c r="M72" i="2"/>
  <c r="N72" i="2" a="1"/>
  <c r="N72" i="2" s="1"/>
  <c r="X18" i="2" a="1"/>
  <c r="X18" i="2" s="1"/>
  <c r="N18" i="2" a="1"/>
  <c r="N18" i="2" s="1"/>
  <c r="T18" i="2" a="1"/>
  <c r="T18" i="2" s="1"/>
  <c r="R18" i="2" a="1"/>
  <c r="R18" i="2" s="1"/>
  <c r="G18" i="2" a="1"/>
  <c r="G18" i="2" s="1"/>
  <c r="W18" i="2" a="1"/>
  <c r="W18" i="2" s="1"/>
  <c r="Y18" i="2" a="1"/>
  <c r="Y18" i="2" s="1"/>
  <c r="J18" i="2" a="1"/>
  <c r="J18" i="2" s="1"/>
  <c r="L18" i="2" a="1"/>
  <c r="L18" i="2" s="1"/>
  <c r="U18" i="2" a="1"/>
  <c r="U18" i="2" s="1"/>
  <c r="K18" i="2" a="1"/>
  <c r="K18" i="2" s="1"/>
  <c r="V18" i="2" a="1"/>
  <c r="V18" i="2" s="1"/>
  <c r="M18" i="2"/>
  <c r="W38" i="2" a="1"/>
  <c r="W38" i="2" s="1"/>
  <c r="N38" i="2" a="1"/>
  <c r="N38" i="2" s="1"/>
  <c r="Y38" i="2" a="1"/>
  <c r="Y38" i="2" s="1"/>
  <c r="G38" i="2" a="1"/>
  <c r="G38" i="2" s="1"/>
  <c r="R38" i="2" a="1"/>
  <c r="R38" i="2" s="1"/>
  <c r="L38" i="2" a="1"/>
  <c r="L38" i="2" s="1"/>
  <c r="K38" i="2" a="1"/>
  <c r="K38" i="2" s="1"/>
  <c r="U38" i="2" a="1"/>
  <c r="U38" i="2" s="1"/>
  <c r="V38" i="2" a="1"/>
  <c r="V38" i="2" s="1"/>
  <c r="T38" i="2" a="1"/>
  <c r="T38" i="2" s="1"/>
  <c r="M38" i="2"/>
  <c r="X38" i="2" a="1"/>
  <c r="X38" i="2" s="1"/>
  <c r="J38" i="2" a="1"/>
  <c r="J38" i="2" s="1"/>
  <c r="R57" i="2" a="1"/>
  <c r="R57" i="2" s="1"/>
  <c r="T57" i="2" a="1"/>
  <c r="T57" i="2" s="1"/>
  <c r="G57" i="2" a="1"/>
  <c r="G57" i="2" s="1"/>
  <c r="K57" i="2" a="1"/>
  <c r="K57" i="2" s="1"/>
  <c r="L57" i="2" a="1"/>
  <c r="L57" i="2" s="1"/>
  <c r="U57" i="2" a="1"/>
  <c r="U57" i="2" s="1"/>
  <c r="X57" i="2" a="1"/>
  <c r="X57" i="2" s="1"/>
  <c r="J57" i="2" a="1"/>
  <c r="J57" i="2" s="1"/>
  <c r="V57" i="2" a="1"/>
  <c r="V57" i="2" s="1"/>
  <c r="W57" i="2" a="1"/>
  <c r="W57" i="2" s="1"/>
  <c r="Y57" i="2" a="1"/>
  <c r="Y57" i="2" s="1"/>
  <c r="N57" i="2" a="1"/>
  <c r="N57" i="2" s="1"/>
  <c r="M57" i="2"/>
  <c r="N85" i="2" a="1"/>
  <c r="N85" i="2" s="1"/>
  <c r="U85" i="2" a="1"/>
  <c r="U85" i="2" s="1"/>
  <c r="J85" i="2" a="1"/>
  <c r="J85" i="2" s="1"/>
  <c r="W85" i="2" a="1"/>
  <c r="W85" i="2" s="1"/>
  <c r="G85" i="2" a="1"/>
  <c r="G85" i="2" s="1"/>
  <c r="M85" i="2"/>
  <c r="Y85" i="2" a="1"/>
  <c r="Y85" i="2" s="1"/>
  <c r="K85" i="2" a="1"/>
  <c r="K85" i="2" s="1"/>
  <c r="V85" i="2" a="1"/>
  <c r="V85" i="2" s="1"/>
  <c r="T85" i="2" a="1"/>
  <c r="T85" i="2" s="1"/>
  <c r="R85" i="2" a="1"/>
  <c r="R85" i="2" s="1"/>
  <c r="X85" i="2" a="1"/>
  <c r="X85" i="2" s="1"/>
  <c r="L85" i="2" a="1"/>
  <c r="L85" i="2" s="1"/>
  <c r="R76" i="2" a="1"/>
  <c r="R76" i="2" s="1"/>
  <c r="L76" i="2" a="1"/>
  <c r="L76" i="2" s="1"/>
  <c r="G76" i="2" a="1"/>
  <c r="G76" i="2" s="1"/>
  <c r="K76" i="2" a="1"/>
  <c r="K76" i="2" s="1"/>
  <c r="W76" i="2" a="1"/>
  <c r="W76" i="2" s="1"/>
  <c r="X76" i="2" a="1"/>
  <c r="X76" i="2" s="1"/>
  <c r="U76" i="2" a="1"/>
  <c r="U76" i="2" s="1"/>
  <c r="V76" i="2" a="1"/>
  <c r="V76" i="2" s="1"/>
  <c r="J76" i="2" a="1"/>
  <c r="J76" i="2" s="1"/>
  <c r="T76" i="2" a="1"/>
  <c r="T76" i="2" s="1"/>
  <c r="Y76" i="2" a="1"/>
  <c r="Y76" i="2" s="1"/>
  <c r="N76" i="2" a="1"/>
  <c r="N76" i="2" s="1"/>
  <c r="M76" i="2"/>
  <c r="G61" i="2" a="1"/>
  <c r="G61" i="2" s="1"/>
  <c r="L61" i="2" a="1"/>
  <c r="L61" i="2" s="1"/>
  <c r="K61" i="2" a="1"/>
  <c r="K61" i="2" s="1"/>
  <c r="J61" i="2" a="1"/>
  <c r="J61" i="2" s="1"/>
  <c r="R61" i="2" a="1"/>
  <c r="R61" i="2" s="1"/>
  <c r="T61" i="2" a="1"/>
  <c r="T61" i="2" s="1"/>
  <c r="W61" i="2" a="1"/>
  <c r="W61" i="2" s="1"/>
  <c r="Y61" i="2" a="1"/>
  <c r="Y61" i="2" s="1"/>
  <c r="X61" i="2" a="1"/>
  <c r="X61" i="2" s="1"/>
  <c r="U61" i="2" a="1"/>
  <c r="U61" i="2" s="1"/>
  <c r="M61" i="2"/>
  <c r="V61" i="2" a="1"/>
  <c r="V61" i="2" s="1"/>
  <c r="N61" i="2" a="1"/>
  <c r="N61" i="2" s="1"/>
  <c r="J89" i="2" a="1"/>
  <c r="J89" i="2" s="1"/>
  <c r="L89" i="2" a="1"/>
  <c r="L89" i="2" s="1"/>
  <c r="R89" i="2" a="1"/>
  <c r="R89" i="2" s="1"/>
  <c r="G89" i="2" a="1"/>
  <c r="G89" i="2" s="1"/>
  <c r="K89" i="2" a="1"/>
  <c r="K89" i="2" s="1"/>
  <c r="Y89" i="2" a="1"/>
  <c r="Y89" i="2" s="1"/>
  <c r="T89" i="2" a="1"/>
  <c r="T89" i="2" s="1"/>
  <c r="X89" i="2" a="1"/>
  <c r="X89" i="2" s="1"/>
  <c r="U89" i="2" a="1"/>
  <c r="U89" i="2" s="1"/>
  <c r="V89" i="2" a="1"/>
  <c r="V89" i="2" s="1"/>
  <c r="W89" i="2" a="1"/>
  <c r="W89" i="2" s="1"/>
  <c r="M89" i="2"/>
  <c r="N89" i="2" a="1"/>
  <c r="N89" i="2" s="1"/>
  <c r="L94" i="2" a="1"/>
  <c r="L94" i="2" s="1"/>
  <c r="R94" i="2" a="1"/>
  <c r="R94" i="2" s="1"/>
  <c r="G94" i="2" a="1"/>
  <c r="G94" i="2" s="1"/>
  <c r="K94" i="2" a="1"/>
  <c r="K94" i="2" s="1"/>
  <c r="T94" i="2" a="1"/>
  <c r="T94" i="2" s="1"/>
  <c r="J94" i="2" a="1"/>
  <c r="J94" i="2" s="1"/>
  <c r="X94" i="2" a="1"/>
  <c r="X94" i="2" s="1"/>
  <c r="U94" i="2" a="1"/>
  <c r="U94" i="2" s="1"/>
  <c r="V94" i="2" a="1"/>
  <c r="V94" i="2" s="1"/>
  <c r="W94" i="2" a="1"/>
  <c r="W94" i="2" s="1"/>
  <c r="Y94" i="2" a="1"/>
  <c r="Y94" i="2" s="1"/>
  <c r="M94" i="2"/>
  <c r="N94" i="2" a="1"/>
  <c r="N94" i="2" s="1"/>
  <c r="U31" i="2" a="1"/>
  <c r="U31" i="2" s="1"/>
  <c r="Y31" i="2" a="1"/>
  <c r="Y31" i="2" s="1"/>
  <c r="R31" i="2" a="1"/>
  <c r="R31" i="2" s="1"/>
  <c r="L31" i="2" a="1"/>
  <c r="L31" i="2" s="1"/>
  <c r="G31" i="2" a="1"/>
  <c r="G31" i="2" s="1"/>
  <c r="J31" i="2" a="1"/>
  <c r="J31" i="2" s="1"/>
  <c r="T31" i="2" a="1"/>
  <c r="T31" i="2" s="1"/>
  <c r="V31" i="2" a="1"/>
  <c r="V31" i="2" s="1"/>
  <c r="M31" i="2"/>
  <c r="K31" i="2" a="1"/>
  <c r="K31" i="2" s="1"/>
  <c r="X31" i="2" a="1"/>
  <c r="X31" i="2" s="1"/>
  <c r="W31" i="2" a="1"/>
  <c r="W31" i="2" s="1"/>
  <c r="N31" i="2" a="1"/>
  <c r="N31" i="2" s="1"/>
  <c r="T65" i="2" a="1"/>
  <c r="T65" i="2" s="1"/>
  <c r="G65" i="2" a="1"/>
  <c r="G65" i="2" s="1"/>
  <c r="L65" i="2" a="1"/>
  <c r="L65" i="2" s="1"/>
  <c r="K65" i="2" a="1"/>
  <c r="K65" i="2" s="1"/>
  <c r="J65" i="2" a="1"/>
  <c r="J65" i="2" s="1"/>
  <c r="W65" i="2" a="1"/>
  <c r="W65" i="2" s="1"/>
  <c r="X65" i="2" a="1"/>
  <c r="X65" i="2" s="1"/>
  <c r="U65" i="2" a="1"/>
  <c r="U65" i="2" s="1"/>
  <c r="R65" i="2" a="1"/>
  <c r="R65" i="2" s="1"/>
  <c r="V65" i="2" a="1"/>
  <c r="V65" i="2" s="1"/>
  <c r="Y65" i="2" a="1"/>
  <c r="Y65" i="2" s="1"/>
  <c r="M65" i="2"/>
  <c r="N65" i="2" a="1"/>
  <c r="N65" i="2" s="1"/>
  <c r="L93" i="2" a="1"/>
  <c r="L93" i="2" s="1"/>
  <c r="R93" i="2" a="1"/>
  <c r="R93" i="2" s="1"/>
  <c r="G93" i="2" a="1"/>
  <c r="G93" i="2" s="1"/>
  <c r="K93" i="2" a="1"/>
  <c r="K93" i="2" s="1"/>
  <c r="J93" i="2" a="1"/>
  <c r="J93" i="2" s="1"/>
  <c r="U93" i="2" a="1"/>
  <c r="U93" i="2" s="1"/>
  <c r="V93" i="2" a="1"/>
  <c r="V93" i="2" s="1"/>
  <c r="W93" i="2" a="1"/>
  <c r="W93" i="2" s="1"/>
  <c r="T93" i="2" a="1"/>
  <c r="T93" i="2" s="1"/>
  <c r="Y93" i="2" a="1"/>
  <c r="Y93" i="2" s="1"/>
  <c r="M93" i="2"/>
  <c r="N93" i="2" a="1"/>
  <c r="N93" i="2" s="1"/>
  <c r="X93" i="2" a="1"/>
  <c r="X93" i="2" s="1"/>
  <c r="R30" i="2" a="1"/>
  <c r="R30" i="2" s="1"/>
  <c r="T30" i="2" a="1"/>
  <c r="T30" i="2" s="1"/>
  <c r="G30" i="2" a="1"/>
  <c r="G30" i="2" s="1"/>
  <c r="K30" i="2" a="1"/>
  <c r="K30" i="2" s="1"/>
  <c r="L30" i="2" a="1"/>
  <c r="L30" i="2" s="1"/>
  <c r="J30" i="2" a="1"/>
  <c r="J30" i="2" s="1"/>
  <c r="U30" i="2" a="1"/>
  <c r="U30" i="2" s="1"/>
  <c r="V30" i="2" a="1"/>
  <c r="V30" i="2" s="1"/>
  <c r="W30" i="2" a="1"/>
  <c r="W30" i="2" s="1"/>
  <c r="Y30" i="2" a="1"/>
  <c r="Y30" i="2" s="1"/>
  <c r="X30" i="2" a="1"/>
  <c r="X30" i="2" s="1"/>
  <c r="M30" i="2"/>
  <c r="N30" i="2" a="1"/>
  <c r="N30" i="2" s="1"/>
  <c r="J50" i="2" a="1"/>
  <c r="J50" i="2" s="1"/>
  <c r="R50" i="2" a="1"/>
  <c r="R50" i="2" s="1"/>
  <c r="T50" i="2" a="1"/>
  <c r="T50" i="2" s="1"/>
  <c r="Y50" i="2" a="1"/>
  <c r="Y50" i="2" s="1"/>
  <c r="U50" i="2" a="1"/>
  <c r="U50" i="2" s="1"/>
  <c r="K50" i="2" a="1"/>
  <c r="K50" i="2" s="1"/>
  <c r="L50" i="2" a="1"/>
  <c r="L50" i="2" s="1"/>
  <c r="X50" i="2" a="1"/>
  <c r="X50" i="2" s="1"/>
  <c r="M50" i="2"/>
  <c r="V50" i="2" a="1"/>
  <c r="V50" i="2" s="1"/>
  <c r="W50" i="2" a="1"/>
  <c r="W50" i="2" s="1"/>
  <c r="G50" i="2" a="1"/>
  <c r="G50" i="2" s="1"/>
  <c r="N50" i="2" a="1"/>
  <c r="N50" i="2" s="1"/>
  <c r="X77" i="2" a="1"/>
  <c r="X77" i="2" s="1"/>
  <c r="U77" i="2" a="1"/>
  <c r="U77" i="2" s="1"/>
  <c r="R77" i="2" a="1"/>
  <c r="R77" i="2" s="1"/>
  <c r="Y77" i="2" a="1"/>
  <c r="Y77" i="2" s="1"/>
  <c r="N77" i="2" a="1"/>
  <c r="N77" i="2" s="1"/>
  <c r="L77" i="2" a="1"/>
  <c r="L77" i="2" s="1"/>
  <c r="T77" i="2" a="1"/>
  <c r="T77" i="2" s="1"/>
  <c r="V77" i="2" a="1"/>
  <c r="V77" i="2" s="1"/>
  <c r="M77" i="2"/>
  <c r="K77" i="2" a="1"/>
  <c r="K77" i="2" s="1"/>
  <c r="W77" i="2" a="1"/>
  <c r="W77" i="2" s="1"/>
  <c r="J77" i="2" a="1"/>
  <c r="J77" i="2" s="1"/>
  <c r="G77" i="2" a="1"/>
  <c r="G77" i="2" s="1"/>
  <c r="J29" i="2" a="1"/>
  <c r="J29" i="2" s="1"/>
  <c r="R29" i="2" a="1"/>
  <c r="R29" i="2" s="1"/>
  <c r="T29" i="2" a="1"/>
  <c r="T29" i="2" s="1"/>
  <c r="G29" i="2" a="1"/>
  <c r="G29" i="2" s="1"/>
  <c r="K29" i="2" a="1"/>
  <c r="K29" i="2" s="1"/>
  <c r="L29" i="2" a="1"/>
  <c r="L29" i="2" s="1"/>
  <c r="X29" i="2" a="1"/>
  <c r="X29" i="2" s="1"/>
  <c r="M29" i="2"/>
  <c r="U29" i="2" a="1"/>
  <c r="U29" i="2" s="1"/>
  <c r="Y29" i="2" a="1"/>
  <c r="Y29" i="2" s="1"/>
  <c r="V29" i="2" a="1"/>
  <c r="V29" i="2" s="1"/>
  <c r="W29" i="2" a="1"/>
  <c r="W29" i="2" s="1"/>
  <c r="N29" i="2" a="1"/>
  <c r="N29" i="2" s="1"/>
  <c r="G42" i="2" a="1"/>
  <c r="G42" i="2" s="1"/>
  <c r="K42" i="2" a="1"/>
  <c r="K42" i="2" s="1"/>
  <c r="L42" i="2" a="1"/>
  <c r="L42" i="2" s="1"/>
  <c r="J42" i="2" a="1"/>
  <c r="J42" i="2" s="1"/>
  <c r="U42" i="2" a="1"/>
  <c r="U42" i="2" s="1"/>
  <c r="V42" i="2" a="1"/>
  <c r="V42" i="2" s="1"/>
  <c r="W42" i="2" a="1"/>
  <c r="W42" i="2" s="1"/>
  <c r="Y42" i="2" a="1"/>
  <c r="Y42" i="2" s="1"/>
  <c r="R42" i="2" a="1"/>
  <c r="R42" i="2" s="1"/>
  <c r="T42" i="2" a="1"/>
  <c r="T42" i="2" s="1"/>
  <c r="X42" i="2" a="1"/>
  <c r="X42" i="2" s="1"/>
  <c r="M42" i="2"/>
  <c r="N42" i="2" a="1"/>
  <c r="N42" i="2" s="1"/>
  <c r="G21" i="2" a="1"/>
  <c r="G21" i="2" s="1"/>
  <c r="R21" i="2" a="1"/>
  <c r="R21" i="2" s="1"/>
  <c r="T21" i="2" a="1"/>
  <c r="T21" i="2" s="1"/>
  <c r="L21" i="2" a="1"/>
  <c r="L21" i="2" s="1"/>
  <c r="K21" i="2" a="1"/>
  <c r="K21" i="2" s="1"/>
  <c r="J21" i="2" a="1"/>
  <c r="J21" i="2" s="1"/>
  <c r="W21" i="2" a="1"/>
  <c r="W21" i="2" s="1"/>
  <c r="Y21" i="2" a="1"/>
  <c r="Y21" i="2" s="1"/>
  <c r="V21" i="2" a="1"/>
  <c r="V21" i="2" s="1"/>
  <c r="X21" i="2" a="1"/>
  <c r="X21" i="2" s="1"/>
  <c r="M21" i="2"/>
  <c r="U21" i="2" a="1"/>
  <c r="U21" i="2" s="1"/>
  <c r="N21" i="2" a="1"/>
  <c r="N21" i="2" s="1"/>
  <c r="N66" i="2" a="1"/>
  <c r="N66" i="2" s="1"/>
  <c r="T66" i="2" a="1"/>
  <c r="T66" i="2" s="1"/>
  <c r="Y66" i="2" a="1"/>
  <c r="Y66" i="2" s="1"/>
  <c r="M66" i="2"/>
  <c r="L66" i="2" a="1"/>
  <c r="L66" i="2" s="1"/>
  <c r="X66" i="2" a="1"/>
  <c r="X66" i="2" s="1"/>
  <c r="V66" i="2" a="1"/>
  <c r="V66" i="2" s="1"/>
  <c r="J66" i="2" a="1"/>
  <c r="J66" i="2" s="1"/>
  <c r="U66" i="2" a="1"/>
  <c r="U66" i="2" s="1"/>
  <c r="W66" i="2" a="1"/>
  <c r="W66" i="2" s="1"/>
  <c r="G66" i="2" a="1"/>
  <c r="G66" i="2" s="1"/>
  <c r="K66" i="2" a="1"/>
  <c r="K66" i="2" s="1"/>
  <c r="R66" i="2" a="1"/>
  <c r="R66" i="2" s="1"/>
  <c r="R28" i="2" a="1"/>
  <c r="R28" i="2" s="1"/>
  <c r="G28" i="2" a="1"/>
  <c r="G28" i="2" s="1"/>
  <c r="K28" i="2" a="1"/>
  <c r="K28" i="2" s="1"/>
  <c r="L28" i="2" a="1"/>
  <c r="L28" i="2" s="1"/>
  <c r="X28" i="2" a="1"/>
  <c r="X28" i="2" s="1"/>
  <c r="J28" i="2" a="1"/>
  <c r="J28" i="2" s="1"/>
  <c r="U28" i="2" a="1"/>
  <c r="U28" i="2" s="1"/>
  <c r="M28" i="2"/>
  <c r="Y28" i="2" a="1"/>
  <c r="Y28" i="2" s="1"/>
  <c r="V28" i="2" a="1"/>
  <c r="V28" i="2" s="1"/>
  <c r="W28" i="2" a="1"/>
  <c r="W28" i="2" s="1"/>
  <c r="T28" i="2" a="1"/>
  <c r="T28" i="2" s="1"/>
  <c r="N28" i="2" a="1"/>
  <c r="N28" i="2" s="1"/>
  <c r="R54" i="2" a="1"/>
  <c r="R54" i="2" s="1"/>
  <c r="T54" i="2" a="1"/>
  <c r="T54" i="2" s="1"/>
  <c r="G54" i="2" a="1"/>
  <c r="G54" i="2" s="1"/>
  <c r="K54" i="2" a="1"/>
  <c r="K54" i="2" s="1"/>
  <c r="L54" i="2" a="1"/>
  <c r="L54" i="2" s="1"/>
  <c r="J54" i="2" a="1"/>
  <c r="J54" i="2" s="1"/>
  <c r="V54" i="2" a="1"/>
  <c r="V54" i="2" s="1"/>
  <c r="W54" i="2" a="1"/>
  <c r="W54" i="2" s="1"/>
  <c r="Y54" i="2" a="1"/>
  <c r="Y54" i="2" s="1"/>
  <c r="U54" i="2" a="1"/>
  <c r="U54" i="2" s="1"/>
  <c r="X54" i="2" a="1"/>
  <c r="X54" i="2" s="1"/>
  <c r="N54" i="2" a="1"/>
  <c r="N54" i="2" s="1"/>
  <c r="M54" i="2"/>
  <c r="G82" i="2" a="1"/>
  <c r="G82" i="2" s="1"/>
  <c r="K82" i="2" a="1"/>
  <c r="K82" i="2" s="1"/>
  <c r="T82" i="2" a="1"/>
  <c r="T82" i="2" s="1"/>
  <c r="J82" i="2" a="1"/>
  <c r="J82" i="2" s="1"/>
  <c r="Y82" i="2" a="1"/>
  <c r="Y82" i="2" s="1"/>
  <c r="L82" i="2" a="1"/>
  <c r="L82" i="2" s="1"/>
  <c r="W82" i="2" a="1"/>
  <c r="W82" i="2" s="1"/>
  <c r="X82" i="2" a="1"/>
  <c r="X82" i="2" s="1"/>
  <c r="M82" i="2"/>
  <c r="N82" i="2" a="1"/>
  <c r="N82" i="2" s="1"/>
  <c r="U82" i="2" a="1"/>
  <c r="U82" i="2" s="1"/>
  <c r="V82" i="2" a="1"/>
  <c r="V82" i="2" s="1"/>
  <c r="R82" i="2" a="1"/>
  <c r="R82" i="2" s="1"/>
  <c r="L88" i="2" a="1"/>
  <c r="L88" i="2" s="1"/>
  <c r="G88" i="2" a="1"/>
  <c r="G88" i="2" s="1"/>
  <c r="K88" i="2" a="1"/>
  <c r="K88" i="2" s="1"/>
  <c r="T88" i="2" a="1"/>
  <c r="T88" i="2" s="1"/>
  <c r="R88" i="2" a="1"/>
  <c r="R88" i="2" s="1"/>
  <c r="X88" i="2" a="1"/>
  <c r="X88" i="2" s="1"/>
  <c r="U88" i="2" a="1"/>
  <c r="U88" i="2" s="1"/>
  <c r="V88" i="2" a="1"/>
  <c r="V88" i="2" s="1"/>
  <c r="W88" i="2" a="1"/>
  <c r="W88" i="2" s="1"/>
  <c r="J88" i="2" a="1"/>
  <c r="J88" i="2" s="1"/>
  <c r="Y88" i="2" a="1"/>
  <c r="Y88" i="2" s="1"/>
  <c r="M88" i="2"/>
  <c r="N88" i="2" a="1"/>
  <c r="N88" i="2" s="1"/>
  <c r="R26" i="2" a="1"/>
  <c r="R26" i="2" s="1"/>
  <c r="G26" i="2" a="1"/>
  <c r="G26" i="2" s="1"/>
  <c r="T26" i="2" a="1"/>
  <c r="T26" i="2" s="1"/>
  <c r="K26" i="2" a="1"/>
  <c r="K26" i="2" s="1"/>
  <c r="L26" i="2" a="1"/>
  <c r="L26" i="2" s="1"/>
  <c r="J26" i="2" a="1"/>
  <c r="J26" i="2" s="1"/>
  <c r="U26" i="2" a="1"/>
  <c r="U26" i="2" s="1"/>
  <c r="M26" i="2"/>
  <c r="Y26" i="2" a="1"/>
  <c r="Y26" i="2" s="1"/>
  <c r="V26" i="2" a="1"/>
  <c r="V26" i="2" s="1"/>
  <c r="W26" i="2" a="1"/>
  <c r="W26" i="2" s="1"/>
  <c r="X26" i="2" a="1"/>
  <c r="X26" i="2" s="1"/>
  <c r="N26" i="2" a="1"/>
  <c r="N26" i="2" s="1"/>
  <c r="J58" i="2" a="1"/>
  <c r="J58" i="2" s="1"/>
  <c r="G58" i="2" a="1"/>
  <c r="G58" i="2" s="1"/>
  <c r="K58" i="2" a="1"/>
  <c r="K58" i="2" s="1"/>
  <c r="L58" i="2" a="1"/>
  <c r="L58" i="2" s="1"/>
  <c r="R58" i="2" a="1"/>
  <c r="R58" i="2" s="1"/>
  <c r="T58" i="2" a="1"/>
  <c r="T58" i="2" s="1"/>
  <c r="U58" i="2" a="1"/>
  <c r="U58" i="2" s="1"/>
  <c r="X58" i="2" a="1"/>
  <c r="X58" i="2" s="1"/>
  <c r="V58" i="2" a="1"/>
  <c r="V58" i="2" s="1"/>
  <c r="W58" i="2" a="1"/>
  <c r="W58" i="2" s="1"/>
  <c r="Y58" i="2" a="1"/>
  <c r="Y58" i="2" s="1"/>
  <c r="N58" i="2" a="1"/>
  <c r="N58" i="2" s="1"/>
  <c r="M58" i="2"/>
  <c r="L86" i="2" a="1"/>
  <c r="L86" i="2" s="1"/>
  <c r="G86" i="2" a="1"/>
  <c r="G86" i="2" s="1"/>
  <c r="K86" i="2" a="1"/>
  <c r="K86" i="2" s="1"/>
  <c r="T86" i="2" a="1"/>
  <c r="T86" i="2" s="1"/>
  <c r="J86" i="2" a="1"/>
  <c r="J86" i="2" s="1"/>
  <c r="R86" i="2" a="1"/>
  <c r="R86" i="2" s="1"/>
  <c r="W86" i="2" a="1"/>
  <c r="W86" i="2" s="1"/>
  <c r="X86" i="2" a="1"/>
  <c r="X86" i="2" s="1"/>
  <c r="U86" i="2" a="1"/>
  <c r="U86" i="2" s="1"/>
  <c r="V86" i="2" a="1"/>
  <c r="V86" i="2" s="1"/>
  <c r="Y86" i="2" a="1"/>
  <c r="Y86" i="2" s="1"/>
  <c r="N86" i="2" a="1"/>
  <c r="N86" i="2" s="1"/>
  <c r="M86" i="2"/>
  <c r="R24" i="2" a="1"/>
  <c r="R24" i="2" s="1"/>
  <c r="G24" i="2" a="1"/>
  <c r="G24" i="2" s="1"/>
  <c r="K24" i="2" a="1"/>
  <c r="K24" i="2" s="1"/>
  <c r="L24" i="2" a="1"/>
  <c r="L24" i="2" s="1"/>
  <c r="J24" i="2" a="1"/>
  <c r="J24" i="2" s="1"/>
  <c r="M24" i="2"/>
  <c r="Y24" i="2" a="1"/>
  <c r="Y24" i="2" s="1"/>
  <c r="V24" i="2" a="1"/>
  <c r="V24" i="2" s="1"/>
  <c r="W24" i="2" a="1"/>
  <c r="W24" i="2" s="1"/>
  <c r="T24" i="2" a="1"/>
  <c r="T24" i="2" s="1"/>
  <c r="X24" i="2" a="1"/>
  <c r="X24" i="2" s="1"/>
  <c r="U24" i="2" a="1"/>
  <c r="U24" i="2" s="1"/>
  <c r="N24" i="2" a="1"/>
  <c r="N24" i="2" s="1"/>
  <c r="R44" i="2" a="1"/>
  <c r="R44" i="2" s="1"/>
  <c r="T44" i="2" a="1"/>
  <c r="T44" i="2" s="1"/>
  <c r="G44" i="2" a="1"/>
  <c r="G44" i="2" s="1"/>
  <c r="K44" i="2" a="1"/>
  <c r="K44" i="2" s="1"/>
  <c r="L44" i="2" a="1"/>
  <c r="L44" i="2" s="1"/>
  <c r="J44" i="2" a="1"/>
  <c r="J44" i="2" s="1"/>
  <c r="M44" i="2"/>
  <c r="V44" i="2" a="1"/>
  <c r="V44" i="2" s="1"/>
  <c r="W44" i="2" a="1"/>
  <c r="W44" i="2" s="1"/>
  <c r="U44" i="2" a="1"/>
  <c r="U44" i="2" s="1"/>
  <c r="Y44" i="2" a="1"/>
  <c r="Y44" i="2" s="1"/>
  <c r="X44" i="2" a="1"/>
  <c r="X44" i="2" s="1"/>
  <c r="N44" i="2" a="1"/>
  <c r="N44" i="2" s="1"/>
  <c r="J69" i="2" a="1"/>
  <c r="J69" i="2" s="1"/>
  <c r="R69" i="2" a="1"/>
  <c r="R69" i="2" s="1"/>
  <c r="Y69" i="2" a="1"/>
  <c r="Y69" i="2" s="1"/>
  <c r="X69" i="2" a="1"/>
  <c r="X69" i="2" s="1"/>
  <c r="L69" i="2" a="1"/>
  <c r="L69" i="2" s="1"/>
  <c r="N69" i="2" a="1"/>
  <c r="N69" i="2" s="1"/>
  <c r="T69" i="2" a="1"/>
  <c r="T69" i="2" s="1"/>
  <c r="G69" i="2" a="1"/>
  <c r="G69" i="2" s="1"/>
  <c r="V69" i="2" a="1"/>
  <c r="V69" i="2" s="1"/>
  <c r="M69" i="2"/>
  <c r="K69" i="2" a="1"/>
  <c r="K69" i="2" s="1"/>
  <c r="U69" i="2" a="1"/>
  <c r="U69" i="2" s="1"/>
  <c r="W69" i="2" a="1"/>
  <c r="W69" i="2" s="1"/>
  <c r="W22" i="2" a="1"/>
  <c r="W22" i="2" s="1"/>
  <c r="M22" i="2"/>
  <c r="N22" i="2" a="1"/>
  <c r="N22" i="2" s="1"/>
  <c r="G22" i="2" a="1"/>
  <c r="G22" i="2" s="1"/>
  <c r="R22" i="2" a="1"/>
  <c r="R22" i="2" s="1"/>
  <c r="V22" i="2" a="1"/>
  <c r="V22" i="2" s="1"/>
  <c r="X22" i="2" a="1"/>
  <c r="X22" i="2" s="1"/>
  <c r="Y22" i="2" a="1"/>
  <c r="Y22" i="2" s="1"/>
  <c r="U22" i="2" a="1"/>
  <c r="U22" i="2" s="1"/>
  <c r="J22" i="2" a="1"/>
  <c r="J22" i="2" s="1"/>
  <c r="K22" i="2" a="1"/>
  <c r="K22" i="2" s="1"/>
  <c r="L22" i="2" a="1"/>
  <c r="L22" i="2" s="1"/>
  <c r="T22" i="2" a="1"/>
  <c r="T22" i="2" s="1"/>
  <c r="J48" i="2" a="1"/>
  <c r="J48" i="2" s="1"/>
  <c r="G48" i="2" a="1"/>
  <c r="G48" i="2" s="1"/>
  <c r="K48" i="2" a="1"/>
  <c r="K48" i="2" s="1"/>
  <c r="L48" i="2" a="1"/>
  <c r="L48" i="2" s="1"/>
  <c r="X48" i="2" a="1"/>
  <c r="X48" i="2" s="1"/>
  <c r="M48" i="2"/>
  <c r="R48" i="2" a="1"/>
  <c r="R48" i="2" s="1"/>
  <c r="T48" i="2" a="1"/>
  <c r="T48" i="2" s="1"/>
  <c r="V48" i="2" a="1"/>
  <c r="V48" i="2" s="1"/>
  <c r="W48" i="2" a="1"/>
  <c r="W48" i="2" s="1"/>
  <c r="Y48" i="2" a="1"/>
  <c r="Y48" i="2" s="1"/>
  <c r="U48" i="2" a="1"/>
  <c r="U48" i="2" s="1"/>
  <c r="N48" i="2" a="1"/>
  <c r="N48" i="2" s="1"/>
  <c r="L97" i="2" a="1"/>
  <c r="L97" i="2" s="1"/>
  <c r="K97" i="2" a="1"/>
  <c r="K97" i="2" s="1"/>
  <c r="X97" i="2" a="1"/>
  <c r="X97" i="2" s="1"/>
  <c r="R97" i="2" a="1"/>
  <c r="R97" i="2" s="1"/>
  <c r="U97" i="2" a="1"/>
  <c r="U97" i="2" s="1"/>
  <c r="V97" i="2" a="1"/>
  <c r="V97" i="2" s="1"/>
  <c r="T97" i="2" a="1"/>
  <c r="T97" i="2" s="1"/>
  <c r="W97" i="2" a="1"/>
  <c r="W97" i="2" s="1"/>
  <c r="Y97" i="2" a="1"/>
  <c r="Y97" i="2" s="1"/>
  <c r="M97" i="2"/>
  <c r="N97" i="2" a="1"/>
  <c r="N97" i="2" s="1"/>
  <c r="J97" i="2" a="1"/>
  <c r="J97" i="2" s="1"/>
  <c r="G97" i="2" a="1"/>
  <c r="G97" i="2" s="1"/>
  <c r="J68" i="2" a="1"/>
  <c r="J68" i="2" s="1"/>
  <c r="T68" i="2" a="1"/>
  <c r="T68" i="2" s="1"/>
  <c r="L68" i="2" a="1"/>
  <c r="L68" i="2" s="1"/>
  <c r="G68" i="2" a="1"/>
  <c r="G68" i="2" s="1"/>
  <c r="W68" i="2" a="1"/>
  <c r="W68" i="2" s="1"/>
  <c r="X68" i="2" a="1"/>
  <c r="X68" i="2" s="1"/>
  <c r="R68" i="2" a="1"/>
  <c r="R68" i="2" s="1"/>
  <c r="U68" i="2" a="1"/>
  <c r="U68" i="2" s="1"/>
  <c r="K68" i="2" a="1"/>
  <c r="K68" i="2" s="1"/>
  <c r="V68" i="2" a="1"/>
  <c r="V68" i="2" s="1"/>
  <c r="Y68" i="2" a="1"/>
  <c r="Y68" i="2" s="1"/>
  <c r="M68" i="2"/>
  <c r="N68" i="2" a="1"/>
  <c r="N68" i="2" s="1"/>
  <c r="X47" i="2" a="1"/>
  <c r="X47" i="2" s="1"/>
  <c r="U47" i="2" a="1"/>
  <c r="U47" i="2" s="1"/>
  <c r="L47" i="2" a="1"/>
  <c r="L47" i="2" s="1"/>
  <c r="J47" i="2" a="1"/>
  <c r="J47" i="2" s="1"/>
  <c r="M47" i="2"/>
  <c r="G47" i="2" a="1"/>
  <c r="G47" i="2" s="1"/>
  <c r="V47" i="2" a="1"/>
  <c r="V47" i="2" s="1"/>
  <c r="N47" i="2" a="1"/>
  <c r="N47" i="2" s="1"/>
  <c r="K47" i="2" a="1"/>
  <c r="K47" i="2" s="1"/>
  <c r="T47" i="2" a="1"/>
  <c r="T47" i="2" s="1"/>
  <c r="R47" i="2" a="1"/>
  <c r="R47" i="2" s="1"/>
  <c r="Y47" i="2" a="1"/>
  <c r="Y47" i="2" s="1"/>
  <c r="W47" i="2" a="1"/>
  <c r="W47" i="2" s="1"/>
  <c r="R74" i="2" a="1"/>
  <c r="R74" i="2" s="1"/>
  <c r="L74" i="2" a="1"/>
  <c r="L74" i="2" s="1"/>
  <c r="G74" i="2" a="1"/>
  <c r="G74" i="2" s="1"/>
  <c r="K74" i="2" a="1"/>
  <c r="K74" i="2" s="1"/>
  <c r="J74" i="2" a="1"/>
  <c r="J74" i="2" s="1"/>
  <c r="W74" i="2" a="1"/>
  <c r="W74" i="2" s="1"/>
  <c r="X74" i="2" a="1"/>
  <c r="X74" i="2" s="1"/>
  <c r="U74" i="2" a="1"/>
  <c r="U74" i="2" s="1"/>
  <c r="V74" i="2" a="1"/>
  <c r="V74" i="2" s="1"/>
  <c r="Y74" i="2" a="1"/>
  <c r="Y74" i="2" s="1"/>
  <c r="T74" i="2" a="1"/>
  <c r="T74" i="2" s="1"/>
  <c r="N74" i="2" a="1"/>
  <c r="N74" i="2" s="1"/>
  <c r="M74" i="2"/>
  <c r="V81" i="2" a="1"/>
  <c r="V81" i="2" s="1"/>
  <c r="M81" i="2"/>
  <c r="N81" i="2" a="1"/>
  <c r="N81" i="2" s="1"/>
  <c r="T81" i="2" a="1"/>
  <c r="T81" i="2" s="1"/>
  <c r="X81" i="2" a="1"/>
  <c r="X81" i="2" s="1"/>
  <c r="L81" i="2" a="1"/>
  <c r="L81" i="2" s="1"/>
  <c r="K81" i="2" a="1"/>
  <c r="K81" i="2" s="1"/>
  <c r="G81" i="2" a="1"/>
  <c r="G81" i="2" s="1"/>
  <c r="R81" i="2" a="1"/>
  <c r="R81" i="2" s="1"/>
  <c r="W81" i="2" a="1"/>
  <c r="W81" i="2" s="1"/>
  <c r="J81" i="2" a="1"/>
  <c r="J81" i="2" s="1"/>
  <c r="U81" i="2" a="1"/>
  <c r="U81" i="2" s="1"/>
  <c r="Y81" i="2" a="1"/>
  <c r="Y81" i="2" s="1"/>
  <c r="K19" i="2" a="1"/>
  <c r="K19" i="2" s="1"/>
  <c r="X19" i="2" a="1"/>
  <c r="X19" i="2" s="1"/>
  <c r="M19" i="2"/>
  <c r="Y19" i="2" a="1"/>
  <c r="Y19" i="2" s="1"/>
  <c r="V19" i="2" a="1"/>
  <c r="V19" i="2" s="1"/>
  <c r="T19" i="2" a="1"/>
  <c r="T19" i="2" s="1"/>
  <c r="W19" i="2" a="1"/>
  <c r="W19" i="2" s="1"/>
  <c r="N19" i="2" a="1"/>
  <c r="N19" i="2" s="1"/>
  <c r="J19" i="2" a="1"/>
  <c r="J19" i="2" s="1"/>
  <c r="L19" i="2" a="1"/>
  <c r="L19" i="2" s="1"/>
  <c r="G19" i="2" a="1"/>
  <c r="G19" i="2" s="1"/>
  <c r="R19" i="2" a="1"/>
  <c r="R19" i="2" s="1"/>
  <c r="U19" i="2" a="1"/>
  <c r="U19" i="2" s="1"/>
  <c r="G52" i="2" a="1"/>
  <c r="G52" i="2" s="1"/>
  <c r="K52" i="2" a="1"/>
  <c r="K52" i="2" s="1"/>
  <c r="L52" i="2" a="1"/>
  <c r="L52" i="2" s="1"/>
  <c r="J52" i="2" a="1"/>
  <c r="J52" i="2" s="1"/>
  <c r="V52" i="2" a="1"/>
  <c r="V52" i="2" s="1"/>
  <c r="W52" i="2" a="1"/>
  <c r="W52" i="2" s="1"/>
  <c r="Y52" i="2" a="1"/>
  <c r="Y52" i="2" s="1"/>
  <c r="U52" i="2" a="1"/>
  <c r="U52" i="2" s="1"/>
  <c r="X52" i="2" a="1"/>
  <c r="X52" i="2" s="1"/>
  <c r="R52" i="2" a="1"/>
  <c r="R52" i="2" s="1"/>
  <c r="T52" i="2" a="1"/>
  <c r="T52" i="2" s="1"/>
  <c r="M52" i="2"/>
  <c r="N52" i="2" a="1"/>
  <c r="N52" i="2" s="1"/>
  <c r="X79" i="2" a="1"/>
  <c r="X79" i="2" s="1"/>
  <c r="T79" i="2" a="1"/>
  <c r="T79" i="2" s="1"/>
  <c r="L79" i="2" a="1"/>
  <c r="L79" i="2" s="1"/>
  <c r="W79" i="2" a="1"/>
  <c r="W79" i="2" s="1"/>
  <c r="R79" i="2" a="1"/>
  <c r="R79" i="2" s="1"/>
  <c r="J79" i="2" a="1"/>
  <c r="J79" i="2" s="1"/>
  <c r="U79" i="2" a="1"/>
  <c r="U79" i="2" s="1"/>
  <c r="G79" i="2" a="1"/>
  <c r="G79" i="2" s="1"/>
  <c r="M79" i="2"/>
  <c r="Y79" i="2" a="1"/>
  <c r="Y79" i="2" s="1"/>
  <c r="K79" i="2" a="1"/>
  <c r="K79" i="2" s="1"/>
  <c r="V79" i="2" a="1"/>
  <c r="V79" i="2" s="1"/>
  <c r="N79" i="2" a="1"/>
  <c r="N79" i="2" s="1"/>
  <c r="G17" i="2" a="1"/>
  <c r="G17" i="2" s="1"/>
  <c r="K17" i="2" a="1"/>
  <c r="K17" i="2" s="1"/>
  <c r="L17" i="2" a="1"/>
  <c r="L17" i="2" s="1"/>
  <c r="J17" i="2" a="1"/>
  <c r="J17" i="2" s="1"/>
  <c r="R17" i="2" a="1"/>
  <c r="R17" i="2" s="1"/>
  <c r="X17" i="2" a="1"/>
  <c r="X17" i="2" s="1"/>
  <c r="M17" i="2"/>
  <c r="U17" i="2" a="1"/>
  <c r="U17" i="2" s="1"/>
  <c r="T17" i="2" a="1"/>
  <c r="T17" i="2" s="1"/>
  <c r="Y17" i="2" a="1"/>
  <c r="Y17" i="2" s="1"/>
  <c r="V17" i="2" a="1"/>
  <c r="V17" i="2" s="1"/>
  <c r="W17" i="2" a="1"/>
  <c r="W17" i="2" s="1"/>
  <c r="N17" i="2" a="1"/>
  <c r="N17" i="2" s="1"/>
  <c r="T62" i="2" a="1"/>
  <c r="T62" i="2" s="1"/>
  <c r="G62" i="2" a="1"/>
  <c r="G62" i="2" s="1"/>
  <c r="L62" i="2" a="1"/>
  <c r="L62" i="2" s="1"/>
  <c r="K62" i="2" a="1"/>
  <c r="K62" i="2" s="1"/>
  <c r="J62" i="2" a="1"/>
  <c r="J62" i="2" s="1"/>
  <c r="V62" i="2" a="1"/>
  <c r="V62" i="2" s="1"/>
  <c r="R62" i="2" a="1"/>
  <c r="R62" i="2" s="1"/>
  <c r="Y62" i="2" a="1"/>
  <c r="Y62" i="2" s="1"/>
  <c r="W62" i="2" a="1"/>
  <c r="W62" i="2" s="1"/>
  <c r="X62" i="2" a="1"/>
  <c r="X62" i="2" s="1"/>
  <c r="U62" i="2" a="1"/>
  <c r="U62" i="2" s="1"/>
  <c r="N62" i="2" a="1"/>
  <c r="N62" i="2" s="1"/>
  <c r="M62" i="2"/>
  <c r="J15" i="2" a="1"/>
  <c r="J15" i="2" s="1"/>
  <c r="L15" i="2" a="1"/>
  <c r="L15" i="2" s="1"/>
  <c r="U15" i="2" a="1"/>
  <c r="U15" i="2" s="1"/>
  <c r="M15" i="2"/>
  <c r="V15" i="2" a="1"/>
  <c r="V15" i="2" s="1"/>
  <c r="W15" i="2" a="1"/>
  <c r="W15" i="2" s="1"/>
  <c r="G15" i="2" a="1"/>
  <c r="G15" i="2" s="1"/>
  <c r="K15" i="2" a="1"/>
  <c r="K15" i="2" s="1"/>
  <c r="N15" i="2" a="1"/>
  <c r="N15" i="2" s="1"/>
  <c r="T15" i="2" a="1"/>
  <c r="T15" i="2" s="1"/>
  <c r="X15" i="2" a="1"/>
  <c r="X15" i="2" s="1"/>
  <c r="Y15" i="2" a="1"/>
  <c r="Y15" i="2" s="1"/>
  <c r="R15" i="2" a="1"/>
  <c r="R15" i="2" s="1"/>
  <c r="T4" i="2" a="1"/>
  <c r="T4" i="2" s="1"/>
  <c r="G5" i="2" a="1"/>
  <c r="G5" i="2" s="1"/>
  <c r="R6" i="2" a="1"/>
  <c r="R6" i="2" s="1"/>
  <c r="K9" i="2" a="1"/>
  <c r="K9" i="2" s="1"/>
  <c r="K14" i="2" a="1"/>
  <c r="K14" i="2" s="1"/>
  <c r="L4" i="2" a="1"/>
  <c r="L4" i="2" s="1"/>
  <c r="J6" i="2" a="1"/>
  <c r="J6" i="2" s="1"/>
  <c r="L14" i="2" a="1"/>
  <c r="L14" i="2" s="1"/>
  <c r="T8" i="2" a="1"/>
  <c r="T8" i="2" s="1"/>
  <c r="R9" i="2" a="1"/>
  <c r="R9" i="2" s="1"/>
  <c r="Y14" i="2" a="1"/>
  <c r="Y14" i="2" s="1"/>
  <c r="R10" i="2" a="1"/>
  <c r="R10" i="2" s="1"/>
  <c r="Y8" i="2" a="1"/>
  <c r="Y8" i="2" s="1"/>
  <c r="J14" i="2" a="1"/>
  <c r="J14" i="2" s="1"/>
  <c r="V7" i="2" a="1"/>
  <c r="V7" i="2" s="1"/>
  <c r="Y5" i="2" a="1"/>
  <c r="Y5" i="2" s="1"/>
  <c r="V3" i="2" a="1"/>
  <c r="V3" i="2" s="1"/>
  <c r="U10" i="2" a="1"/>
  <c r="U10" i="2" s="1"/>
  <c r="L10" i="2" a="1"/>
  <c r="L10" i="2" s="1"/>
  <c r="T10" i="2" a="1"/>
  <c r="T10" i="2" s="1"/>
  <c r="U9" i="2" a="1"/>
  <c r="U9" i="2" s="1"/>
  <c r="Y10" i="2" a="1"/>
  <c r="Y10" i="2" s="1"/>
  <c r="J8" i="2" a="1"/>
  <c r="J8" i="2" s="1"/>
  <c r="U14" i="2" a="1"/>
  <c r="U14" i="2" s="1"/>
  <c r="W10" i="2" a="1"/>
  <c r="W10" i="2" s="1"/>
  <c r="Z10" i="2" a="1"/>
  <c r="Z10" i="2" s="1"/>
  <c r="AA4" i="2" a="1"/>
  <c r="AA4" i="2" s="1"/>
  <c r="J5" i="2" a="1"/>
  <c r="J5" i="2" s="1"/>
  <c r="R7" i="2" a="1"/>
  <c r="R7" i="2" s="1"/>
  <c r="Y3" i="2" a="1"/>
  <c r="Y3" i="2" s="1"/>
  <c r="K5" i="2" a="1"/>
  <c r="K5" i="2" s="1"/>
  <c r="L7" i="2" a="1"/>
  <c r="L7" i="2" s="1"/>
  <c r="G6" i="2" a="1"/>
  <c r="G6" i="2" s="1"/>
  <c r="V4" i="2" a="1"/>
  <c r="V4" i="2" s="1"/>
  <c r="Z4" i="2" a="1"/>
  <c r="Z4" i="2" s="1"/>
  <c r="Z12" i="2" a="1"/>
  <c r="Z12" i="2" s="1"/>
  <c r="AA9" i="2" a="1"/>
  <c r="AA9" i="2" s="1"/>
  <c r="Z6" i="2" a="1"/>
  <c r="Z6" i="2" s="1"/>
  <c r="Z9" i="2" a="1"/>
  <c r="Z9" i="2" s="1"/>
  <c r="AA6" i="2" a="1"/>
  <c r="AA6" i="2" s="1"/>
  <c r="AA8" i="2" a="1"/>
  <c r="AA8" i="2" s="1"/>
  <c r="Z8" i="2" a="1"/>
  <c r="Z8" i="2" s="1"/>
  <c r="Z7" i="2" a="1"/>
  <c r="Z7" i="2" s="1"/>
  <c r="AA10" i="2" a="1"/>
  <c r="AA10" i="2" s="1"/>
  <c r="Z3" i="2" a="1"/>
  <c r="Z3" i="2" s="1"/>
  <c r="Z11" i="2" a="1"/>
  <c r="Z11" i="2" s="1"/>
  <c r="AA7" i="2" a="1"/>
  <c r="AA7" i="2" s="1"/>
  <c r="AA5" i="2" a="1"/>
  <c r="AA5" i="2" s="1"/>
  <c r="AA11" i="2" a="1"/>
  <c r="AA11" i="2" s="1"/>
  <c r="Z5" i="2" a="1"/>
  <c r="Z5" i="2" s="1"/>
  <c r="R8" i="2" a="1"/>
  <c r="R8" i="2" s="1"/>
  <c r="G14" i="2" a="1"/>
  <c r="G14" i="2" s="1"/>
  <c r="R5" i="2" a="1"/>
  <c r="R5" i="2" s="1"/>
  <c r="G10" i="2" a="1"/>
  <c r="G10" i="2" s="1"/>
  <c r="J10" i="2" a="1"/>
  <c r="J10" i="2" s="1"/>
  <c r="U6" i="2" a="1"/>
  <c r="U6" i="2" s="1"/>
  <c r="U5" i="2" a="1"/>
  <c r="U5" i="2" s="1"/>
  <c r="J4" i="2" a="1"/>
  <c r="J4" i="2" s="1"/>
  <c r="Y4" i="2" a="1"/>
  <c r="Y4" i="2" s="1"/>
  <c r="U7" i="2" a="1"/>
  <c r="U7" i="2" s="1"/>
  <c r="V14" i="2" a="1"/>
  <c r="V14" i="2" s="1"/>
  <c r="X3" i="2" a="1"/>
  <c r="X3" i="2" s="1"/>
  <c r="W6" i="2" a="1"/>
  <c r="W6" i="2" s="1"/>
  <c r="L8" i="2" a="1"/>
  <c r="L8" i="2" s="1"/>
  <c r="L9" i="2" a="1"/>
  <c r="L9" i="2" s="1"/>
  <c r="W3" i="2" a="1"/>
  <c r="W3" i="2" s="1"/>
  <c r="K8" i="2" a="1"/>
  <c r="K8" i="2" s="1"/>
  <c r="K7" i="2" a="1"/>
  <c r="K7" i="2" s="1"/>
  <c r="K10" i="2" a="1"/>
  <c r="K10" i="2" s="1"/>
  <c r="J9" i="2" a="1"/>
  <c r="J9" i="2" s="1"/>
  <c r="T3" i="2" a="1"/>
  <c r="T3" i="2" s="1"/>
  <c r="V9" i="2" a="1"/>
  <c r="V9" i="2" s="1"/>
  <c r="X7" i="2" a="1"/>
  <c r="X7" i="2" s="1"/>
  <c r="X9" i="2" a="1"/>
  <c r="X9" i="2" s="1"/>
  <c r="W7" i="2" a="1"/>
  <c r="W7" i="2" s="1"/>
  <c r="T12" i="2" a="1"/>
  <c r="T12" i="2" s="1"/>
  <c r="J7" i="2" a="1"/>
  <c r="J7" i="2" s="1"/>
  <c r="M7" i="2" s="1"/>
  <c r="T7" i="2" a="1"/>
  <c r="T7" i="2" s="1"/>
  <c r="L6" i="2" a="1"/>
  <c r="L6" i="2" s="1"/>
  <c r="R3" i="2" a="1"/>
  <c r="R3" i="2" s="1"/>
  <c r="U3" i="2" a="1"/>
  <c r="U3" i="2" s="1"/>
  <c r="U13" i="2" a="1"/>
  <c r="U13" i="2" s="1"/>
  <c r="R12" i="2" a="1"/>
  <c r="R12" i="2" s="1"/>
  <c r="W9" i="2" a="1"/>
  <c r="W9" i="2" s="1"/>
  <c r="Y12" i="2" a="1"/>
  <c r="Y12" i="2" s="1"/>
  <c r="X8" i="2" a="1"/>
  <c r="X8" i="2" s="1"/>
  <c r="K6" i="2" a="1"/>
  <c r="K6" i="2" s="1"/>
  <c r="T6" i="2" a="1"/>
  <c r="T6" i="2" s="1"/>
  <c r="G13" i="2" a="1"/>
  <c r="G13" i="2" s="1"/>
  <c r="Y6" i="2" a="1"/>
  <c r="Y6" i="2" s="1"/>
  <c r="J13" i="2" a="1"/>
  <c r="J13" i="2" s="1"/>
  <c r="V6" i="2" a="1"/>
  <c r="V6" i="2" s="1"/>
  <c r="W8" i="2" a="1"/>
  <c r="W8" i="2" s="1"/>
  <c r="T13" i="2" a="1"/>
  <c r="T13" i="2" s="1"/>
  <c r="J12" i="2" a="1"/>
  <c r="J12" i="2" s="1"/>
  <c r="G12" i="2" a="1"/>
  <c r="G12" i="2" s="1"/>
  <c r="X12" i="2" a="1"/>
  <c r="X12" i="2" s="1"/>
  <c r="X13" i="2" a="1"/>
  <c r="X13" i="2" s="1"/>
  <c r="V13" i="2" a="1"/>
  <c r="V13" i="2" s="1"/>
  <c r="W12" i="2" a="1"/>
  <c r="W12" i="2" s="1"/>
  <c r="K12" i="2" a="1"/>
  <c r="K12" i="2" s="1"/>
  <c r="X5" i="2" a="1"/>
  <c r="X5" i="2" s="1"/>
  <c r="L12" i="2" a="1"/>
  <c r="L12" i="2" s="1"/>
  <c r="U12" i="2" a="1"/>
  <c r="U12" i="2" s="1"/>
  <c r="R13" i="2" a="1"/>
  <c r="R13" i="2" s="1"/>
  <c r="G9" i="2" a="1"/>
  <c r="G9" i="2" s="1"/>
  <c r="U8" i="2" a="1"/>
  <c r="U8" i="2" s="1"/>
  <c r="Y7" i="2" a="1"/>
  <c r="Y7" i="2" s="1"/>
  <c r="Y9" i="2" a="1"/>
  <c r="Y9" i="2" s="1"/>
  <c r="V12" i="2" a="1"/>
  <c r="V12" i="2" s="1"/>
  <c r="X10" i="2" a="1"/>
  <c r="X10" i="2" s="1"/>
  <c r="W5" i="2" a="1"/>
  <c r="W5" i="2" s="1"/>
  <c r="W14" i="2" a="1"/>
  <c r="W14" i="2" s="1"/>
  <c r="K13" i="2" a="1"/>
  <c r="K13" i="2" s="1"/>
  <c r="Y13" i="2" a="1"/>
  <c r="Y13" i="2" s="1"/>
  <c r="W13" i="2" a="1"/>
  <c r="W13" i="2" s="1"/>
  <c r="L13" i="2" a="1"/>
  <c r="L13" i="2" s="1"/>
  <c r="X14" i="2" a="1"/>
  <c r="X14" i="2" s="1"/>
  <c r="X4" i="2" a="1"/>
  <c r="X4" i="2" s="1"/>
  <c r="W4" i="2" a="1"/>
  <c r="W4" i="2" s="1"/>
  <c r="M13" i="2"/>
  <c r="M14" i="2"/>
  <c r="AG4" i="18" l="1"/>
  <c r="AH4" i="18" s="1"/>
  <c r="AG4" i="2"/>
  <c r="AH4" i="2" s="1"/>
  <c r="AG5" i="2"/>
  <c r="AH5" i="2" s="1"/>
  <c r="AG6" i="2"/>
  <c r="AH6" i="2" s="1"/>
  <c r="AG5" i="18"/>
  <c r="AH5" i="18" s="1"/>
  <c r="AG6" i="18"/>
  <c r="AH6" i="18" s="1"/>
  <c r="B25" i="2"/>
  <c r="B31" i="18"/>
  <c r="AH3" i="18"/>
  <c r="P88" i="18"/>
  <c r="Q88" i="18" s="1"/>
  <c r="O35" i="18"/>
  <c r="P19" i="18"/>
  <c r="Q19" i="18" s="1"/>
  <c r="P25" i="18"/>
  <c r="Q25" i="18" s="1"/>
  <c r="O64" i="18"/>
  <c r="O15" i="18"/>
  <c r="P39" i="18"/>
  <c r="Q39" i="18" s="1"/>
  <c r="O85" i="18"/>
  <c r="O80" i="18"/>
  <c r="P29" i="18"/>
  <c r="Q29" i="18" s="1"/>
  <c r="P82" i="18"/>
  <c r="Q82" i="18" s="1"/>
  <c r="O89" i="18"/>
  <c r="S45" i="18"/>
  <c r="O91" i="18"/>
  <c r="O72" i="18"/>
  <c r="P9" i="18"/>
  <c r="Q9" i="18" s="1"/>
  <c r="P57" i="18"/>
  <c r="Q57" i="18" s="1"/>
  <c r="P38" i="18"/>
  <c r="Q38" i="18" s="1"/>
  <c r="O43" i="18"/>
  <c r="O46" i="18"/>
  <c r="S53" i="18"/>
  <c r="O70" i="18"/>
  <c r="P79" i="18"/>
  <c r="Q79" i="18" s="1"/>
  <c r="M3" i="18"/>
  <c r="N3" i="18" s="1" a="1"/>
  <c r="N3" i="18" s="1"/>
  <c r="O3" i="18" s="1"/>
  <c r="O69" i="18"/>
  <c r="P66" i="18"/>
  <c r="Q66" i="18" s="1"/>
  <c r="P32" i="18"/>
  <c r="Q32" i="18" s="1"/>
  <c r="P84" i="18"/>
  <c r="Q84" i="18" s="1"/>
  <c r="P73" i="18"/>
  <c r="Q73" i="18" s="1"/>
  <c r="S56" i="18"/>
  <c r="S6" i="18"/>
  <c r="P37" i="18"/>
  <c r="Q37" i="18" s="1"/>
  <c r="O29" i="18"/>
  <c r="O50" i="18"/>
  <c r="P94" i="18"/>
  <c r="Q94" i="18" s="1"/>
  <c r="P87" i="18"/>
  <c r="Q87" i="18" s="1"/>
  <c r="S7" i="18"/>
  <c r="S91" i="18"/>
  <c r="O45" i="18"/>
  <c r="O51" i="18"/>
  <c r="P10" i="18"/>
  <c r="Q10" i="18" s="1"/>
  <c r="S58" i="18"/>
  <c r="S75" i="18"/>
  <c r="S32" i="18"/>
  <c r="P68" i="18"/>
  <c r="Q68" i="18" s="1"/>
  <c r="P40" i="18"/>
  <c r="Q40" i="18" s="1"/>
  <c r="S11" i="18"/>
  <c r="S57" i="18"/>
  <c r="M4" i="18"/>
  <c r="P4" i="18" s="1"/>
  <c r="Q4" i="18" s="1"/>
  <c r="O47" i="18"/>
  <c r="O7" i="18"/>
  <c r="O74" i="18"/>
  <c r="O34" i="18"/>
  <c r="M5" i="18"/>
  <c r="N5" i="18" s="1" a="1"/>
  <c r="N5" i="18" s="1"/>
  <c r="O5" i="18" s="1"/>
  <c r="P54" i="18"/>
  <c r="Q54" i="18" s="1"/>
  <c r="S40" i="18"/>
  <c r="P16" i="18"/>
  <c r="Q16" i="18" s="1"/>
  <c r="S96" i="18"/>
  <c r="O52" i="18"/>
  <c r="S81" i="18"/>
  <c r="P28" i="18"/>
  <c r="Q28" i="18" s="1"/>
  <c r="P30" i="18"/>
  <c r="Q30" i="18" s="1"/>
  <c r="O13" i="18"/>
  <c r="P11" i="18"/>
  <c r="Q11" i="18" s="1"/>
  <c r="S61" i="18"/>
  <c r="S93" i="18"/>
  <c r="O65" i="18"/>
  <c r="P81" i="18"/>
  <c r="Q81" i="18" s="1"/>
  <c r="P17" i="18"/>
  <c r="Q17" i="18" s="1"/>
  <c r="P49" i="18"/>
  <c r="Q49" i="18" s="1"/>
  <c r="S9" i="18"/>
  <c r="P70" i="18"/>
  <c r="Q70" i="18" s="1"/>
  <c r="O83" i="18"/>
  <c r="O21" i="18"/>
  <c r="P90" i="18"/>
  <c r="Q90" i="18" s="1"/>
  <c r="O76" i="18"/>
  <c r="P26" i="18"/>
  <c r="Q26" i="18" s="1"/>
  <c r="O41" i="18"/>
  <c r="O30" i="18"/>
  <c r="P48" i="18"/>
  <c r="Q48" i="18" s="1"/>
  <c r="S85" i="18"/>
  <c r="O27" i="18"/>
  <c r="P36" i="18"/>
  <c r="Q36" i="18" s="1"/>
  <c r="O71" i="18"/>
  <c r="O92" i="18"/>
  <c r="S26" i="18"/>
  <c r="O87" i="18"/>
  <c r="S17" i="18"/>
  <c r="S28" i="18"/>
  <c r="O14" i="18"/>
  <c r="P46" i="18"/>
  <c r="Q46" i="18" s="1"/>
  <c r="S15" i="18"/>
  <c r="P43" i="18"/>
  <c r="Q43" i="18" s="1"/>
  <c r="O12" i="18"/>
  <c r="S73" i="18"/>
  <c r="O54" i="18"/>
  <c r="S71" i="18"/>
  <c r="P22" i="18"/>
  <c r="Q22" i="18" s="1"/>
  <c r="S66" i="18"/>
  <c r="P15" i="18"/>
  <c r="Q15" i="18" s="1"/>
  <c r="S79" i="18"/>
  <c r="S80" i="18"/>
  <c r="S60" i="18"/>
  <c r="S23" i="18"/>
  <c r="O8" i="18"/>
  <c r="O24" i="18"/>
  <c r="P63" i="18"/>
  <c r="Q63" i="18" s="1"/>
  <c r="O31" i="18"/>
  <c r="P45" i="18"/>
  <c r="Q45" i="18" s="1"/>
  <c r="P71" i="18"/>
  <c r="Q71" i="18" s="1"/>
  <c r="O82" i="18"/>
  <c r="S20" i="18"/>
  <c r="O78" i="18"/>
  <c r="S30" i="18"/>
  <c r="O60" i="18"/>
  <c r="O59" i="18"/>
  <c r="O42" i="18"/>
  <c r="S5" i="18"/>
  <c r="P12" i="18"/>
  <c r="Q12" i="18" s="1"/>
  <c r="P91" i="18"/>
  <c r="Q91" i="18" s="1"/>
  <c r="O86" i="18"/>
  <c r="S77" i="18"/>
  <c r="S8" i="18"/>
  <c r="O40" i="18"/>
  <c r="O61" i="18"/>
  <c r="S95" i="18"/>
  <c r="S55" i="18"/>
  <c r="S59" i="18"/>
  <c r="O57" i="18"/>
  <c r="O53" i="18"/>
  <c r="S49" i="18"/>
  <c r="S35" i="18"/>
  <c r="S64" i="18"/>
  <c r="S54" i="18"/>
  <c r="P55" i="18"/>
  <c r="Q55" i="18" s="1"/>
  <c r="S92" i="18"/>
  <c r="O66" i="18"/>
  <c r="P77" i="18"/>
  <c r="Q77" i="18" s="1"/>
  <c r="P41" i="18"/>
  <c r="Q41" i="18" s="1"/>
  <c r="P31" i="18"/>
  <c r="Q31" i="18" s="1"/>
  <c r="P50" i="18"/>
  <c r="Q50" i="18" s="1"/>
  <c r="O68" i="18"/>
  <c r="S21" i="18"/>
  <c r="S90" i="18"/>
  <c r="P34" i="18"/>
  <c r="Q34" i="18" s="1"/>
  <c r="O58" i="18"/>
  <c r="P80" i="18"/>
  <c r="Q80" i="18" s="1"/>
  <c r="O18" i="18"/>
  <c r="P95" i="18"/>
  <c r="Q95" i="18" s="1"/>
  <c r="S4" i="18"/>
  <c r="P60" i="18"/>
  <c r="Q60" i="18" s="1"/>
  <c r="P53" i="18"/>
  <c r="Q53" i="18" s="1"/>
  <c r="P59" i="18"/>
  <c r="Q59" i="18" s="1"/>
  <c r="P42" i="18"/>
  <c r="Q42" i="18" s="1"/>
  <c r="P47" i="18"/>
  <c r="Q47" i="18" s="1"/>
  <c r="S72" i="18"/>
  <c r="S14" i="18"/>
  <c r="O39" i="18"/>
  <c r="S51" i="18"/>
  <c r="P65" i="18"/>
  <c r="Q65" i="18" s="1"/>
  <c r="P13" i="18"/>
  <c r="Q13" i="18" s="1"/>
  <c r="O11" i="18"/>
  <c r="S22" i="18"/>
  <c r="O16" i="18"/>
  <c r="S62" i="18"/>
  <c r="P7" i="18"/>
  <c r="Q7" i="18" s="1"/>
  <c r="S70" i="18"/>
  <c r="P83" i="18"/>
  <c r="Q83" i="18" s="1"/>
  <c r="S41" i="18"/>
  <c r="S52" i="18"/>
  <c r="O10" i="18"/>
  <c r="S44" i="18"/>
  <c r="P61" i="18"/>
  <c r="Q61" i="18" s="1"/>
  <c r="S12" i="18"/>
  <c r="O55" i="18"/>
  <c r="P86" i="18"/>
  <c r="Q86" i="18" s="1"/>
  <c r="S46" i="18"/>
  <c r="O63" i="18"/>
  <c r="S25" i="18"/>
  <c r="S31" i="18"/>
  <c r="S50" i="18"/>
  <c r="O32" i="18"/>
  <c r="P44" i="18"/>
  <c r="Q44" i="18" s="1"/>
  <c r="S3" i="18"/>
  <c r="S34" i="18"/>
  <c r="S43" i="18"/>
  <c r="S69" i="18"/>
  <c r="O20" i="18"/>
  <c r="S33" i="18"/>
  <c r="P75" i="18"/>
  <c r="Q75" i="18" s="1"/>
  <c r="S48" i="18"/>
  <c r="S68" i="18"/>
  <c r="O73" i="18"/>
  <c r="S82" i="18"/>
  <c r="S88" i="18"/>
  <c r="S24" i="18"/>
  <c r="O48" i="18"/>
  <c r="O38" i="18"/>
  <c r="S10" i="18"/>
  <c r="O19" i="18"/>
  <c r="P18" i="18"/>
  <c r="Q18" i="18" s="1"/>
  <c r="O56" i="18"/>
  <c r="O26" i="18"/>
  <c r="P72" i="18"/>
  <c r="Q72" i="18" s="1"/>
  <c r="P64" i="18"/>
  <c r="Q64" i="18" s="1"/>
  <c r="M6" i="18"/>
  <c r="O25" i="18"/>
  <c r="P96" i="18"/>
  <c r="Q96" i="18" s="1"/>
  <c r="S86" i="18"/>
  <c r="O96" i="18"/>
  <c r="P52" i="18"/>
  <c r="Q52" i="18" s="1"/>
  <c r="O84" i="18"/>
  <c r="O79" i="18"/>
  <c r="P27" i="18"/>
  <c r="Q27" i="18" s="1"/>
  <c r="O44" i="18"/>
  <c r="P21" i="18"/>
  <c r="Q21" i="18" s="1"/>
  <c r="S36" i="18"/>
  <c r="P58" i="18"/>
  <c r="Q58" i="18" s="1"/>
  <c r="O94" i="18"/>
  <c r="P56" i="18"/>
  <c r="Q56" i="18" s="1"/>
  <c r="O17" i="18"/>
  <c r="S42" i="18"/>
  <c r="P35" i="18"/>
  <c r="Q35" i="18" s="1"/>
  <c r="P67" i="18"/>
  <c r="Q67" i="18" s="1"/>
  <c r="P33" i="18"/>
  <c r="Q33" i="18" s="1"/>
  <c r="S89" i="18"/>
  <c r="O75" i="18"/>
  <c r="S76" i="18"/>
  <c r="P92" i="18"/>
  <c r="Q92" i="18" s="1"/>
  <c r="O67" i="18"/>
  <c r="O88" i="18"/>
  <c r="S38" i="18"/>
  <c r="S83" i="18"/>
  <c r="S19" i="18"/>
  <c r="P23" i="18"/>
  <c r="Q23" i="18" s="1"/>
  <c r="P20" i="18"/>
  <c r="Q20" i="18" s="1"/>
  <c r="P62" i="18"/>
  <c r="Q62" i="18" s="1"/>
  <c r="O77" i="18"/>
  <c r="S74" i="18"/>
  <c r="O36" i="18"/>
  <c r="O90" i="18"/>
  <c r="S18" i="18"/>
  <c r="S16" i="18"/>
  <c r="O49" i="18"/>
  <c r="S29" i="18"/>
  <c r="S78" i="18"/>
  <c r="P89" i="18"/>
  <c r="Q89" i="18" s="1"/>
  <c r="S65" i="18"/>
  <c r="P85" i="18"/>
  <c r="Q85" i="18" s="1"/>
  <c r="O81" i="18"/>
  <c r="S13" i="18"/>
  <c r="P8" i="18"/>
  <c r="Q8" i="18" s="1"/>
  <c r="P76" i="18"/>
  <c r="Q76" i="18" s="1"/>
  <c r="S94" i="18"/>
  <c r="O95" i="18"/>
  <c r="O22" i="18"/>
  <c r="P69" i="18"/>
  <c r="Q69" i="18" s="1"/>
  <c r="S87" i="18"/>
  <c r="O62" i="18"/>
  <c r="O28" i="18"/>
  <c r="S47" i="18"/>
  <c r="P14" i="18"/>
  <c r="Q14" i="18" s="1"/>
  <c r="O37" i="18"/>
  <c r="S39" i="18"/>
  <c r="O93" i="18"/>
  <c r="P93" i="18"/>
  <c r="Q93" i="18" s="1"/>
  <c r="O33" i="18"/>
  <c r="S63" i="18"/>
  <c r="P74" i="18"/>
  <c r="Q74" i="18" s="1"/>
  <c r="O9" i="18"/>
  <c r="P51" i="18"/>
  <c r="Q51" i="18" s="1"/>
  <c r="P78" i="18"/>
  <c r="Q78" i="18" s="1"/>
  <c r="S84" i="18"/>
  <c r="S27" i="18"/>
  <c r="S67" i="18"/>
  <c r="S37" i="18"/>
  <c r="P24" i="18"/>
  <c r="Q24" i="18" s="1"/>
  <c r="O23" i="18"/>
  <c r="P33" i="2"/>
  <c r="Q33" i="2" s="1"/>
  <c r="O33" i="2"/>
  <c r="S33" i="2"/>
  <c r="O92" i="2"/>
  <c r="O73" i="2"/>
  <c r="O79" i="2"/>
  <c r="O31" i="2"/>
  <c r="O16" i="2"/>
  <c r="O23" i="2"/>
  <c r="O50" i="2"/>
  <c r="O34" i="2"/>
  <c r="O27" i="2"/>
  <c r="O70" i="2"/>
  <c r="O83" i="2"/>
  <c r="O78" i="2"/>
  <c r="O64" i="2"/>
  <c r="O61" i="2"/>
  <c r="O15" i="2"/>
  <c r="O48" i="2"/>
  <c r="O24" i="2"/>
  <c r="O88" i="2"/>
  <c r="O82" i="2"/>
  <c r="O66" i="2"/>
  <c r="O93" i="2"/>
  <c r="O65" i="2"/>
  <c r="O38" i="2"/>
  <c r="O67" i="2"/>
  <c r="O36" i="2"/>
  <c r="O35" i="2"/>
  <c r="O90" i="2"/>
  <c r="O60" i="2"/>
  <c r="O96" i="2"/>
  <c r="O62" i="2"/>
  <c r="O47" i="2"/>
  <c r="O86" i="2"/>
  <c r="O76" i="2"/>
  <c r="O17" i="2"/>
  <c r="O44" i="2"/>
  <c r="O58" i="2"/>
  <c r="O54" i="2"/>
  <c r="O85" i="2"/>
  <c r="O25" i="2"/>
  <c r="O46" i="2"/>
  <c r="O77" i="2"/>
  <c r="O52" i="2"/>
  <c r="O81" i="2"/>
  <c r="O74" i="2"/>
  <c r="O97" i="2"/>
  <c r="O69" i="2"/>
  <c r="O21" i="2"/>
  <c r="O57" i="2"/>
  <c r="O18" i="2"/>
  <c r="O40" i="2"/>
  <c r="O37" i="2"/>
  <c r="O63" i="2"/>
  <c r="O45" i="2"/>
  <c r="O43" i="2"/>
  <c r="O87" i="2"/>
  <c r="O49" i="2"/>
  <c r="O32" i="2"/>
  <c r="O59" i="2"/>
  <c r="O84" i="2"/>
  <c r="O68" i="2"/>
  <c r="O42" i="2"/>
  <c r="O30" i="2"/>
  <c r="O94" i="2"/>
  <c r="O95" i="2"/>
  <c r="O91" i="2"/>
  <c r="O80" i="2"/>
  <c r="O20" i="2"/>
  <c r="O75" i="2"/>
  <c r="O55" i="2"/>
  <c r="O71" i="2"/>
  <c r="O39" i="2"/>
  <c r="O19" i="2"/>
  <c r="O22" i="2"/>
  <c r="O26" i="2"/>
  <c r="O28" i="2"/>
  <c r="O29" i="2"/>
  <c r="O89" i="2"/>
  <c r="O72" i="2"/>
  <c r="O56" i="2"/>
  <c r="O51" i="2"/>
  <c r="O53" i="2"/>
  <c r="O41" i="2"/>
  <c r="P69" i="2"/>
  <c r="Q69" i="2" s="1"/>
  <c r="P66" i="2"/>
  <c r="Q66" i="2" s="1"/>
  <c r="M8" i="2"/>
  <c r="P8" i="2" s="1"/>
  <c r="Q8" i="2" s="1"/>
  <c r="S14" i="2"/>
  <c r="P21" i="2"/>
  <c r="Q21" i="2" s="1"/>
  <c r="M5" i="2"/>
  <c r="M4" i="2"/>
  <c r="P75" i="2"/>
  <c r="Q75" i="2" s="1"/>
  <c r="P29" i="2"/>
  <c r="Q29" i="2" s="1"/>
  <c r="P27" i="2"/>
  <c r="Q27" i="2" s="1"/>
  <c r="P49" i="2"/>
  <c r="Q49" i="2" s="1"/>
  <c r="P80" i="2"/>
  <c r="Q80" i="2" s="1"/>
  <c r="S79" i="2"/>
  <c r="S8" i="2"/>
  <c r="S9" i="2"/>
  <c r="S4" i="2"/>
  <c r="S68" i="2"/>
  <c r="P74" i="2"/>
  <c r="Q74" i="2" s="1"/>
  <c r="S69" i="2"/>
  <c r="P85" i="2"/>
  <c r="Q85" i="2" s="1"/>
  <c r="S57" i="2"/>
  <c r="S81" i="2"/>
  <c r="P81" i="2"/>
  <c r="Q81" i="2" s="1"/>
  <c r="S18" i="2"/>
  <c r="S72" i="2"/>
  <c r="S84" i="2"/>
  <c r="S66" i="2"/>
  <c r="P77" i="2"/>
  <c r="Q77" i="2" s="1"/>
  <c r="P95" i="2"/>
  <c r="Q95" i="2" s="1"/>
  <c r="S67" i="2"/>
  <c r="P73" i="2"/>
  <c r="Q73" i="2" s="1"/>
  <c r="S31" i="2"/>
  <c r="P84" i="2"/>
  <c r="Q84" i="2" s="1"/>
  <c r="S5" i="2"/>
  <c r="S22" i="2"/>
  <c r="P26" i="2"/>
  <c r="Q26" i="2" s="1"/>
  <c r="P43" i="2"/>
  <c r="Q43" i="2" s="1"/>
  <c r="S96" i="2"/>
  <c r="S93" i="2"/>
  <c r="S19" i="2"/>
  <c r="S91" i="2"/>
  <c r="S34" i="2"/>
  <c r="P36" i="2"/>
  <c r="Q36" i="2" s="1"/>
  <c r="P64" i="2"/>
  <c r="Q64" i="2" s="1"/>
  <c r="S44" i="2"/>
  <c r="P88" i="2"/>
  <c r="Q88" i="2" s="1"/>
  <c r="S77" i="2"/>
  <c r="S61" i="2"/>
  <c r="S20" i="2"/>
  <c r="S36" i="2"/>
  <c r="S48" i="2"/>
  <c r="S74" i="2"/>
  <c r="P61" i="2"/>
  <c r="Q61" i="2" s="1"/>
  <c r="M10" i="2"/>
  <c r="P10" i="2" s="1"/>
  <c r="Q10" i="2" s="1"/>
  <c r="S62" i="2"/>
  <c r="S58" i="2"/>
  <c r="P31" i="2"/>
  <c r="Q31" i="2" s="1"/>
  <c r="P89" i="2"/>
  <c r="Q89" i="2" s="1"/>
  <c r="P72" i="2"/>
  <c r="Q72" i="2" s="1"/>
  <c r="P23" i="2"/>
  <c r="Q23" i="2" s="1"/>
  <c r="P39" i="2"/>
  <c r="Q39" i="2" s="1"/>
  <c r="P35" i="2"/>
  <c r="Q35" i="2" s="1"/>
  <c r="S43" i="2"/>
  <c r="S87" i="2"/>
  <c r="P53" i="2"/>
  <c r="Q53" i="2" s="1"/>
  <c r="S23" i="2"/>
  <c r="S15" i="2"/>
  <c r="P79" i="2"/>
  <c r="Q79" i="2" s="1"/>
  <c r="P58" i="2"/>
  <c r="Q58" i="2" s="1"/>
  <c r="P93" i="2"/>
  <c r="Q93" i="2" s="1"/>
  <c r="P67" i="2"/>
  <c r="Q67" i="2" s="1"/>
  <c r="P91" i="2"/>
  <c r="Q91" i="2" s="1"/>
  <c r="S80" i="2"/>
  <c r="S35" i="2"/>
  <c r="S49" i="2"/>
  <c r="P54" i="2"/>
  <c r="Q54" i="2" s="1"/>
  <c r="P15" i="2"/>
  <c r="Q15" i="2" s="1"/>
  <c r="P17" i="2"/>
  <c r="Q17" i="2" s="1"/>
  <c r="S21" i="2"/>
  <c r="S29" i="2"/>
  <c r="P30" i="2"/>
  <c r="Q30" i="2" s="1"/>
  <c r="S89" i="2"/>
  <c r="P76" i="2"/>
  <c r="Q76" i="2" s="1"/>
  <c r="S85" i="2"/>
  <c r="S95" i="2"/>
  <c r="S63" i="2"/>
  <c r="S45" i="2"/>
  <c r="P25" i="2"/>
  <c r="Q25" i="2" s="1"/>
  <c r="P20" i="2"/>
  <c r="Q20" i="2" s="1"/>
  <c r="P71" i="2"/>
  <c r="Q71" i="2" s="1"/>
  <c r="S41" i="2"/>
  <c r="S27" i="2"/>
  <c r="S90" i="2"/>
  <c r="P78" i="2"/>
  <c r="Q78" i="2" s="1"/>
  <c r="S64" i="2"/>
  <c r="S59" i="2"/>
  <c r="S60" i="2"/>
  <c r="P60" i="2"/>
  <c r="Q60" i="2" s="1"/>
  <c r="P52" i="2"/>
  <c r="Q52" i="2" s="1"/>
  <c r="P48" i="2"/>
  <c r="Q48" i="2" s="1"/>
  <c r="S40" i="2"/>
  <c r="P56" i="2"/>
  <c r="Q56" i="2" s="1"/>
  <c r="P87" i="2"/>
  <c r="Q87" i="2" s="1"/>
  <c r="S52" i="2"/>
  <c r="S26" i="2"/>
  <c r="S92" i="2"/>
  <c r="S71" i="2"/>
  <c r="S78" i="2"/>
  <c r="P96" i="2"/>
  <c r="Q96" i="2" s="1"/>
  <c r="P19" i="2"/>
  <c r="Q19" i="2" s="1"/>
  <c r="S88" i="2"/>
  <c r="S82" i="2"/>
  <c r="P28" i="2"/>
  <c r="Q28" i="2" s="1"/>
  <c r="S30" i="2"/>
  <c r="P18" i="2"/>
  <c r="Q18" i="2" s="1"/>
  <c r="S37" i="2"/>
  <c r="P55" i="2"/>
  <c r="Q55" i="2" s="1"/>
  <c r="S55" i="2"/>
  <c r="S51" i="2"/>
  <c r="P41" i="2"/>
  <c r="Q41" i="2" s="1"/>
  <c r="P62" i="2"/>
  <c r="Q62" i="2" s="1"/>
  <c r="P68" i="2"/>
  <c r="Q68" i="2" s="1"/>
  <c r="S97" i="2"/>
  <c r="P44" i="2"/>
  <c r="Q44" i="2" s="1"/>
  <c r="P24" i="2"/>
  <c r="Q24" i="2" s="1"/>
  <c r="P86" i="2"/>
  <c r="Q86" i="2" s="1"/>
  <c r="S86" i="2"/>
  <c r="P82" i="2"/>
  <c r="Q82" i="2" s="1"/>
  <c r="S54" i="2"/>
  <c r="P42" i="2"/>
  <c r="Q42" i="2" s="1"/>
  <c r="P50" i="2"/>
  <c r="Q50" i="2" s="1"/>
  <c r="S50" i="2"/>
  <c r="P94" i="2"/>
  <c r="Q94" i="2" s="1"/>
  <c r="S94" i="2"/>
  <c r="S76" i="2"/>
  <c r="S38" i="2"/>
  <c r="P37" i="2"/>
  <c r="Q37" i="2" s="1"/>
  <c r="P63" i="2"/>
  <c r="Q63" i="2" s="1"/>
  <c r="P45" i="2"/>
  <c r="Q45" i="2" s="1"/>
  <c r="P34" i="2"/>
  <c r="Q34" i="2" s="1"/>
  <c r="S56" i="2"/>
  <c r="S39" i="2"/>
  <c r="P70" i="2"/>
  <c r="Q70" i="2" s="1"/>
  <c r="S83" i="2"/>
  <c r="P90" i="2"/>
  <c r="Q90" i="2" s="1"/>
  <c r="S16" i="2"/>
  <c r="P47" i="2"/>
  <c r="Q47" i="2" s="1"/>
  <c r="S28" i="2"/>
  <c r="S65" i="2"/>
  <c r="P57" i="2"/>
  <c r="Q57" i="2" s="1"/>
  <c r="P40" i="2"/>
  <c r="Q40" i="2" s="1"/>
  <c r="S25" i="2"/>
  <c r="S46" i="2"/>
  <c r="S75" i="2"/>
  <c r="P51" i="2"/>
  <c r="Q51" i="2" s="1"/>
  <c r="S53" i="2"/>
  <c r="P32" i="2"/>
  <c r="Q32" i="2" s="1"/>
  <c r="P59" i="2"/>
  <c r="Q59" i="2" s="1"/>
  <c r="S17" i="2"/>
  <c r="S47" i="2"/>
  <c r="P97" i="2"/>
  <c r="Q97" i="2" s="1"/>
  <c r="P22" i="2"/>
  <c r="Q22" i="2" s="1"/>
  <c r="S24" i="2"/>
  <c r="S42" i="2"/>
  <c r="P65" i="2"/>
  <c r="Q65" i="2" s="1"/>
  <c r="P38" i="2"/>
  <c r="Q38" i="2" s="1"/>
  <c r="P46" i="2"/>
  <c r="Q46" i="2" s="1"/>
  <c r="P92" i="2"/>
  <c r="Q92" i="2" s="1"/>
  <c r="S73" i="2"/>
  <c r="S70" i="2"/>
  <c r="P83" i="2"/>
  <c r="Q83" i="2" s="1"/>
  <c r="P16" i="2"/>
  <c r="Q16" i="2" s="1"/>
  <c r="S32" i="2"/>
  <c r="S7" i="2"/>
  <c r="M3" i="2"/>
  <c r="S6" i="2"/>
  <c r="S3" i="2"/>
  <c r="M9" i="2"/>
  <c r="N9" i="2" s="1" a="1"/>
  <c r="N9" i="2" s="1"/>
  <c r="O9" i="2" s="1"/>
  <c r="M6" i="2"/>
  <c r="P14" i="2"/>
  <c r="Q14" i="2" s="1"/>
  <c r="S10" i="2"/>
  <c r="P13" i="2"/>
  <c r="Q13" i="2" s="1"/>
  <c r="S12" i="2"/>
  <c r="S13" i="2"/>
  <c r="M12" i="2"/>
  <c r="P12" i="2" s="1"/>
  <c r="Q12" i="2" s="1"/>
  <c r="P7" i="2"/>
  <c r="N7" i="2" a="1"/>
  <c r="N7" i="2" s="1"/>
  <c r="O7" i="2" s="1"/>
  <c r="N13" i="2" a="1"/>
  <c r="N13" i="2" s="1"/>
  <c r="O13" i="2" s="1"/>
  <c r="N14" i="2" a="1"/>
  <c r="N14" i="2" s="1"/>
  <c r="O14" i="2" s="1"/>
  <c r="B34" i="2" l="1"/>
  <c r="AH3" i="2"/>
  <c r="K11" i="2" a="1"/>
  <c r="K11" i="2" s="1"/>
  <c r="U11" i="2" a="1"/>
  <c r="U11" i="2" s="1"/>
  <c r="L11" i="2" a="1"/>
  <c r="L11" i="2" s="1"/>
  <c r="B31" i="2" s="1"/>
  <c r="J11" i="2" a="1"/>
  <c r="J11" i="2" s="1"/>
  <c r="X11" i="2" a="1"/>
  <c r="X11" i="2" s="1"/>
  <c r="T11" i="2" a="1"/>
  <c r="T11" i="2" s="1"/>
  <c r="Y11" i="2" a="1"/>
  <c r="Y11" i="2" s="1"/>
  <c r="R11" i="2" a="1"/>
  <c r="R11" i="2" s="1"/>
  <c r="W11" i="2" a="1"/>
  <c r="W11" i="2" s="1"/>
  <c r="I11" i="2"/>
  <c r="M11" i="2" s="1"/>
  <c r="V11" i="2" a="1"/>
  <c r="V11" i="2" s="1"/>
  <c r="G11" i="2" a="1"/>
  <c r="G11" i="2" s="1"/>
  <c r="P3" i="18"/>
  <c r="Q3" i="18" s="1"/>
  <c r="P5" i="18"/>
  <c r="Q5" i="18" s="1"/>
  <c r="N4" i="18" a="1"/>
  <c r="N4" i="18" s="1"/>
  <c r="O4" i="18" s="1"/>
  <c r="P6" i="18"/>
  <c r="Q6" i="18" s="1"/>
  <c r="N6" i="18" a="1"/>
  <c r="N6" i="18" s="1"/>
  <c r="O6" i="18" s="1"/>
  <c r="N4" i="2" a="1"/>
  <c r="N4" i="2" s="1"/>
  <c r="O4" i="2" s="1"/>
  <c r="N6" i="2" a="1"/>
  <c r="N6" i="2" s="1"/>
  <c r="O6" i="2" s="1"/>
  <c r="P5" i="2"/>
  <c r="Q5" i="2" s="1"/>
  <c r="B26" i="13"/>
  <c r="N8" i="2" a="1"/>
  <c r="N8" i="2" s="1"/>
  <c r="O8" i="2" s="1"/>
  <c r="N10" i="2" a="1"/>
  <c r="N10" i="2" s="1"/>
  <c r="O10" i="2" s="1"/>
  <c r="P4" i="2"/>
  <c r="Q4" i="2" s="1"/>
  <c r="N5" i="2" a="1"/>
  <c r="N5" i="2" s="1"/>
  <c r="O5" i="2" s="1"/>
  <c r="D33" i="12"/>
  <c r="Q7" i="2"/>
  <c r="P3" i="2"/>
  <c r="P9" i="2"/>
  <c r="Q9" i="2" s="1"/>
  <c r="N3" i="2" a="1"/>
  <c r="N3" i="2" s="1"/>
  <c r="O3" i="2" s="1"/>
  <c r="P6" i="2"/>
  <c r="N12" i="2" a="1"/>
  <c r="N12" i="2" s="1"/>
  <c r="O12" i="2" s="1"/>
  <c r="P11" i="2" l="1"/>
  <c r="Q11" i="2" s="1"/>
  <c r="N11" i="2" a="1"/>
  <c r="N11" i="2" s="1"/>
  <c r="O11" i="2" s="1"/>
  <c r="S11" i="2"/>
  <c r="AB6" i="18"/>
  <c r="AB4" i="18"/>
  <c r="AB5" i="18"/>
  <c r="AB3" i="18"/>
  <c r="K5" i="13"/>
  <c r="AB6" i="2"/>
  <c r="AB5" i="2"/>
  <c r="AB4" i="2"/>
  <c r="K4" i="13"/>
  <c r="AB3" i="2"/>
  <c r="K6" i="13"/>
  <c r="K7" i="13"/>
  <c r="D37" i="12"/>
  <c r="Q6" i="2"/>
  <c r="Q3" i="2"/>
  <c r="D40" i="12" l="1"/>
  <c r="B9" i="18" s="1"/>
  <c r="B9" i="2" l="1"/>
  <c r="D41" i="12"/>
  <c r="B10" i="18" s="1"/>
  <c r="J4" i="13"/>
  <c r="J5" i="13" s="1"/>
  <c r="J6" i="13" s="1"/>
  <c r="J7" i="13" s="1"/>
  <c r="B10"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futureMetadata>
  <cellMetadata count="1">
    <bk>
      <rc t="1" v="0"/>
    </bk>
  </cellMetadata>
  <valueMetadata count="15">
    <bk>
      <rc t="2" v="0"/>
    </bk>
    <bk>
      <rc t="2" v="1"/>
    </bk>
    <bk>
      <rc t="2" v="2"/>
    </bk>
    <bk>
      <rc t="2" v="3"/>
    </bk>
    <bk>
      <rc t="2" v="4"/>
    </bk>
    <bk>
      <rc t="2" v="5"/>
    </bk>
    <bk>
      <rc t="2" v="6"/>
    </bk>
    <bk>
      <rc t="2" v="7"/>
    </bk>
    <bk>
      <rc t="2" v="8"/>
    </bk>
    <bk>
      <rc t="2" v="9"/>
    </bk>
    <bk>
      <rc t="2" v="10"/>
    </bk>
    <bk>
      <rc t="2" v="11"/>
    </bk>
    <bk>
      <rc t="2" v="12"/>
    </bk>
    <bk>
      <rc t="2" v="13"/>
    </bk>
    <bk>
      <rc t="2" v="14"/>
    </bk>
  </valueMetadata>
</metadata>
</file>

<file path=xl/sharedStrings.xml><?xml version="1.0" encoding="utf-8"?>
<sst xmlns="http://schemas.openxmlformats.org/spreadsheetml/2006/main" count="373" uniqueCount="273">
  <si>
    <t>Change</t>
  </si>
  <si>
    <t>Change (%)</t>
  </si>
  <si>
    <t>Exchange</t>
  </si>
  <si>
    <t>Price</t>
  </si>
  <si>
    <t>Name</t>
  </si>
  <si>
    <t>Volume</t>
  </si>
  <si>
    <t xml:space="preserve">Change </t>
  </si>
  <si>
    <t>Attribute</t>
  </si>
  <si>
    <t>52 week high</t>
  </si>
  <si>
    <t>52 week low</t>
  </si>
  <si>
    <t>Beta</t>
  </si>
  <si>
    <t>Currency</t>
  </si>
  <si>
    <t>Description</t>
  </si>
  <si>
    <t>Employees</t>
  </si>
  <si>
    <t>Exchange abbreviation</t>
  </si>
  <si>
    <t>Headquarters</t>
  </si>
  <si>
    <t>High</t>
  </si>
  <si>
    <t>Industry</t>
  </si>
  <si>
    <t>Instrument Type</t>
  </si>
  <si>
    <t>Last trade time</t>
  </si>
  <si>
    <t>learnMoreOnLink</t>
  </si>
  <si>
    <t>Low</t>
  </si>
  <si>
    <t>Market cap</t>
  </si>
  <si>
    <t>Official Name</t>
  </si>
  <si>
    <t>Open</t>
  </si>
  <si>
    <t>P/E</t>
  </si>
  <si>
    <t>Previous Close</t>
  </si>
  <si>
    <t>Shares Outstanding</t>
  </si>
  <si>
    <t>Ticker Symbol</t>
  </si>
  <si>
    <t>Volume average</t>
  </si>
  <si>
    <t>Year incorporated</t>
  </si>
  <si>
    <t>Price (Extended Hours)</t>
  </si>
  <si>
    <t>PRICE</t>
  </si>
  <si>
    <t>GREEN: &gt;=</t>
  </si>
  <si>
    <t>YELLOW: &gt;=</t>
  </si>
  <si>
    <t>FORMATTING RULES</t>
  </si>
  <si>
    <r>
      <t xml:space="preserve">ELSE </t>
    </r>
    <r>
      <rPr>
        <sz val="11"/>
        <color rgb="FFFF0000"/>
        <rFont val="HP Simplified"/>
        <family val="2"/>
      </rPr>
      <t>RED</t>
    </r>
  </si>
  <si>
    <t>TXN DATE</t>
  </si>
  <si>
    <t>TICKER</t>
  </si>
  <si>
    <t>TYPE</t>
  </si>
  <si>
    <t>UNITS</t>
  </si>
  <si>
    <t>Buy</t>
  </si>
  <si>
    <t>Valid?</t>
  </si>
  <si>
    <t>AMOUNT</t>
  </si>
  <si>
    <t>Market Value</t>
  </si>
  <si>
    <t>UNIQUE STOCKS TRADED</t>
  </si>
  <si>
    <t>Total Gain/Loss</t>
  </si>
  <si>
    <t>Today's Gain/Loss</t>
  </si>
  <si>
    <t>Sell</t>
  </si>
  <si>
    <t>Current Value</t>
  </si>
  <si>
    <t>Enter all your transactions</t>
  </si>
  <si>
    <t>Starting Cash</t>
  </si>
  <si>
    <t>Cash Balance</t>
  </si>
  <si>
    <t>Sum of Current Value</t>
  </si>
  <si>
    <t>Row Labels</t>
  </si>
  <si>
    <t>Automobiles &amp; Auto Parts</t>
  </si>
  <si>
    <t>Computers, Phones &amp; Household Electronics</t>
  </si>
  <si>
    <t>Freight &amp; Logistics Services</t>
  </si>
  <si>
    <t>Media &amp; Publishing</t>
  </si>
  <si>
    <t>Software &amp; IT Services</t>
  </si>
  <si>
    <t>Grand Total</t>
  </si>
  <si>
    <t>Stock</t>
  </si>
  <si>
    <t>ETF</t>
  </si>
  <si>
    <t>Cash Available</t>
  </si>
  <si>
    <t>Enter in chronological order</t>
  </si>
  <si>
    <t>Quantity</t>
  </si>
  <si>
    <t>Last Price</t>
  </si>
  <si>
    <t>% Change</t>
  </si>
  <si>
    <t>% Today's Gain/Loss</t>
  </si>
  <si>
    <t>% Total Gain/Loss</t>
  </si>
  <si>
    <t>All stocks</t>
  </si>
  <si>
    <t>Market Performance Today</t>
  </si>
  <si>
    <t>Your Portfolio Performance Today</t>
  </si>
  <si>
    <t>Enter Index</t>
  </si>
  <si>
    <t>Calculations used in Dashboard</t>
  </si>
  <si>
    <t>Low price on the txn date</t>
  </si>
  <si>
    <t>High price on the txn date</t>
  </si>
  <si>
    <t>Is the Price btwn low &amp; high?</t>
  </si>
  <si>
    <t>First stock</t>
  </si>
  <si>
    <t>offset</t>
  </si>
  <si>
    <t>Symbol</t>
  </si>
  <si>
    <t>Total Txn Amt</t>
  </si>
  <si>
    <t>Running cash balance</t>
  </si>
  <si>
    <t>Calculated fields --&gt;</t>
  </si>
  <si>
    <t>Time Offset</t>
  </si>
  <si>
    <t>Score 2</t>
  </si>
  <si>
    <t>Score 3</t>
  </si>
  <si>
    <t>Score 4</t>
  </si>
  <si>
    <t>Total Impact Score</t>
  </si>
  <si>
    <t>Portfolio Totals</t>
  </si>
  <si>
    <t>All Tickers</t>
  </si>
  <si>
    <t>Portfolio Weighting</t>
  </si>
  <si>
    <t>Score 1</t>
  </si>
  <si>
    <t xml:space="preserve">Weighted Impact Score </t>
  </si>
  <si>
    <t>Impact Investment Optimization</t>
  </si>
  <si>
    <t>% Total Gain/Loss2</t>
  </si>
  <si>
    <t>% Total Gain/Loss3</t>
  </si>
  <si>
    <t>% Total Gain/Loss4</t>
  </si>
  <si>
    <t>% Total Gain/Loss5</t>
  </si>
  <si>
    <t>% Total Gain/Loss6</t>
  </si>
  <si>
    <t>% Total Gain/Loss7</t>
  </si>
  <si>
    <t>% Total Gain/Loss8</t>
  </si>
  <si>
    <t>% Total Gain/Loss9</t>
  </si>
  <si>
    <t>% Total Gain/Loss10</t>
  </si>
  <si>
    <t>% Total Gain/Loss11</t>
  </si>
  <si>
    <t xml:space="preserve">To maximize average portfolio return - what is the weighting that provides a minimum impact score of X </t>
  </si>
  <si>
    <t>Optimization Scenario 1</t>
  </si>
  <si>
    <t>Optimization Scenario 2</t>
  </si>
  <si>
    <t>Weight</t>
  </si>
  <si>
    <t>Total weighted return, %</t>
  </si>
  <si>
    <t>Observed weighted impact score</t>
  </si>
  <si>
    <t>Sum of weights</t>
  </si>
  <si>
    <t>=</t>
  </si>
  <si>
    <t>&gt;=</t>
  </si>
  <si>
    <t>Objective function to be maximized</t>
  </si>
  <si>
    <t>Constraints</t>
  </si>
  <si>
    <t>Minimum % allocated to a stock</t>
  </si>
  <si>
    <t>To maximize weighted impact score while ensuring a minimum allocation % of each stock</t>
  </si>
  <si>
    <t>Intentionality (0 -5)</t>
  </si>
  <si>
    <t>Additionality (0 -5)</t>
  </si>
  <si>
    <t>Transparency (0 -5)</t>
  </si>
  <si>
    <t>Racial Equity  (0-5)</t>
  </si>
  <si>
    <t>GICS Sector</t>
  </si>
  <si>
    <t>GICS Industry</t>
  </si>
  <si>
    <t>GICS SubIndustry</t>
  </si>
  <si>
    <t>Sustainalytics Management Score 
Weak (50) - Average (75) - Strong (100)</t>
  </si>
  <si>
    <t>Sustainability ESG Risk Score - Raw</t>
  </si>
  <si>
    <t>Sustainalytics Management Score - X Normalized</t>
  </si>
  <si>
    <t>LSEG Community Score
(1-100)</t>
  </si>
  <si>
    <t>LSEG CSR Strategy Score
(1-100)</t>
  </si>
  <si>
    <t xml:space="preserve">Intentionality Total </t>
  </si>
  <si>
    <t>LSEG Human Rights Score
(1-100)</t>
  </si>
  <si>
    <t>ISS SDG Impact Rating
-100  (significant negative impact) to +100 (significant positive impact).</t>
  </si>
  <si>
    <t>MSCI Human Rights &amp; Community Controversy Level
Red (25) - Orange (50) - Yellow (75) - Green (100)</t>
  </si>
  <si>
    <t xml:space="preserve">Additionality Total </t>
  </si>
  <si>
    <t>S&amp;P Global Required Public Disclosure Rate 
(0-100)</t>
  </si>
  <si>
    <t>S&amp;P Global Data Availability Relative to Peers
very low ( 20), low (40)  medium (60), high (80),  very high (100)</t>
  </si>
  <si>
    <t>S&amp;P Global Additional  Disclosure Rate  
(0-100)</t>
  </si>
  <si>
    <t>S&amp;P Global Data Availability Relative to Peers
very low ( 20), low (40), medium (60), high (80),  very high (100)</t>
  </si>
  <si>
    <t>Transparency Total</t>
  </si>
  <si>
    <t>Harm Magnitude</t>
  </si>
  <si>
    <t>Harm Population Impact</t>
  </si>
  <si>
    <t>Harm Direction Movement</t>
  </si>
  <si>
    <t xml:space="preserve">Racial Equity Total </t>
  </si>
  <si>
    <t>RE Score 5</t>
  </si>
  <si>
    <t>RE Score 100</t>
  </si>
  <si>
    <t xml:space="preserve">1 year return </t>
  </si>
  <si>
    <t xml:space="preserve">1 year S&amp;P 500 Return </t>
  </si>
  <si>
    <t>1 Year DJIA Return</t>
  </si>
  <si>
    <t>1 Year Nasdaq Composite</t>
  </si>
  <si>
    <t xml:space="preserve">2 year return </t>
  </si>
  <si>
    <t xml:space="preserve">2 year S&amp;P 500 Return </t>
  </si>
  <si>
    <t>2 Year DJIA Return</t>
  </si>
  <si>
    <t>2 Year Nasdaq Composite</t>
  </si>
  <si>
    <t>5 year return</t>
  </si>
  <si>
    <t xml:space="preserve">5 year S&amp;P 500 Return </t>
  </si>
  <si>
    <t>5 Year DJIA Return</t>
  </si>
  <si>
    <t>5 Year Nasdaq Composite</t>
  </si>
  <si>
    <t>Equity / Holding</t>
  </si>
  <si>
    <t>Assesses the robustness of a company's ESG programs,practices and policies.</t>
  </si>
  <si>
    <t>Measures the companyâ€™s commitment to being a good citizen, protecting public health and respecting business ethics.</t>
  </si>
  <si>
    <t>Reflects a companyâ€™s practices to communicate that it integrates economic,  social and environmental dimensions into its day-to-day decision-making processes.</t>
  </si>
  <si>
    <t>Measures a companyâ€™s effectiveness in terms of respecting  fundamental human rights conventions.</t>
  </si>
  <si>
    <t>The rating measures the extent to which companies are managing negative externalities in their operations across the entire value chain to minimize adverse impacts (â€œdo no harmâ€) relative to the SDGs, while at the same time making use of existing and emerging opportunities in their products and services to contribute to the achievement of the SDGs.</t>
  </si>
  <si>
    <t>Actual or alleged involvement in adverse impact activities that negatively impact the most vulnerable demographics.</t>
  </si>
  <si>
    <t>Company disclosure that Coprporate Sustainability Assesment (CSA) expects to be publicly available.</t>
  </si>
  <si>
    <t>Disclosure that is additional to what CSA expects to be avaialble</t>
  </si>
  <si>
    <t>Microsoft Corp</t>
  </si>
  <si>
    <t>MSFT</t>
  </si>
  <si>
    <t>Information Technology</t>
  </si>
  <si>
    <t>Software</t>
  </si>
  <si>
    <t>Systems Software</t>
  </si>
  <si>
    <t>TOKYO ELECTRON LTD</t>
  </si>
  <si>
    <t>TOELF</t>
  </si>
  <si>
    <t>Semiconductors &amp; Semiconductor Equipment</t>
  </si>
  <si>
    <t>Owens Corning Inc</t>
  </si>
  <si>
    <t>OC</t>
  </si>
  <si>
    <t>Industrials</t>
  </si>
  <si>
    <t>Building Products</t>
  </si>
  <si>
    <t>TopBuild Corp</t>
  </si>
  <si>
    <t>BLD</t>
  </si>
  <si>
    <t>Consumer Discretionary</t>
  </si>
  <si>
    <t>Household Durables</t>
  </si>
  <si>
    <t>N/A</t>
  </si>
  <si>
    <t>Avago Technologies (now called Broadcom)</t>
  </si>
  <si>
    <t>AVGO</t>
  </si>
  <si>
    <t>Amazon Com Inc</t>
  </si>
  <si>
    <t>AMZN</t>
  </si>
  <si>
    <t>Broadline Retail</t>
  </si>
  <si>
    <t>Google  Inc.</t>
  </si>
  <si>
    <t>GOOGL</t>
  </si>
  <si>
    <t>Communication Services</t>
  </si>
  <si>
    <t>Interactive Media &amp; Services</t>
  </si>
  <si>
    <t>Visa Inc Cl A</t>
  </si>
  <si>
    <t>V</t>
  </si>
  <si>
    <t>Financials</t>
  </si>
  <si>
    <t>Financial Services</t>
  </si>
  <si>
    <t>Apple Inc</t>
  </si>
  <si>
    <t>AAPL</t>
  </si>
  <si>
    <t>Technology Hardware, Storage &amp; Peripherals</t>
  </si>
  <si>
    <t>Nvidia Corp</t>
  </si>
  <si>
    <t>NVDA</t>
  </si>
  <si>
    <t>Johnson &amp; Johnson</t>
  </si>
  <si>
    <t>JNJ</t>
  </si>
  <si>
    <t>Health Care</t>
  </si>
  <si>
    <t>Pharmaceuticals</t>
  </si>
  <si>
    <t>NA</t>
  </si>
  <si>
    <t>Deckers Outdoor Corp</t>
  </si>
  <si>
    <t>DECK</t>
  </si>
  <si>
    <t>Textiles, Apparel &amp; Luxury Goods</t>
  </si>
  <si>
    <t>Lamb Weston Holdings</t>
  </si>
  <si>
    <t>LW</t>
  </si>
  <si>
    <t>Consumer Staples</t>
  </si>
  <si>
    <t>Food Products</t>
  </si>
  <si>
    <t>Wabtec (Westinghouse Air Brake Technologies Corp)</t>
  </si>
  <si>
    <t>WAB</t>
  </si>
  <si>
    <t>Machinery</t>
  </si>
  <si>
    <t>LPL Financial Holdings Inc</t>
  </si>
  <si>
    <t>LPLA</t>
  </si>
  <si>
    <t>Capital Markets</t>
  </si>
  <si>
    <t>Mine Safety Appliance Co</t>
  </si>
  <si>
    <t>MSA</t>
  </si>
  <si>
    <t>Commercial Services &amp; Supplies</t>
  </si>
  <si>
    <t>Mastercard Inc</t>
  </si>
  <si>
    <t>MA</t>
  </si>
  <si>
    <t>Travelers Companies Inc</t>
  </si>
  <si>
    <t>TRV</t>
  </si>
  <si>
    <t>Insurance</t>
  </si>
  <si>
    <t>Prologis</t>
  </si>
  <si>
    <t>PLD</t>
  </si>
  <si>
    <t>Real Estate</t>
  </si>
  <si>
    <t>Diversified REITs</t>
  </si>
  <si>
    <t>American Tower Corp Class A</t>
  </si>
  <si>
    <t>AMT</t>
  </si>
  <si>
    <t>CBRE GROUP INC</t>
  </si>
  <si>
    <t>CBRE</t>
  </si>
  <si>
    <t xml:space="preserve">Real Estates Management &amp; Development </t>
  </si>
  <si>
    <t>Weyerhaeuser Co</t>
  </si>
  <si>
    <t>WY</t>
  </si>
  <si>
    <t>Specialized REITs</t>
  </si>
  <si>
    <t>Equinix, Inc</t>
  </si>
  <si>
    <t>EQIX</t>
  </si>
  <si>
    <t>Taiwan Semiconductor Manufacturing Co Ltd</t>
  </si>
  <si>
    <t>TSM</t>
  </si>
  <si>
    <t>Samsung Electronics Co Ltd</t>
  </si>
  <si>
    <t>SSNLF</t>
  </si>
  <si>
    <t>Tencent Holdings Ltd</t>
  </si>
  <si>
    <t>TCEHY</t>
  </si>
  <si>
    <t>Entertainment</t>
  </si>
  <si>
    <t>Prosus NV</t>
  </si>
  <si>
    <t>PRX</t>
  </si>
  <si>
    <t xml:space="preserve">Broadline Retail </t>
  </si>
  <si>
    <t>Bank Rakyat Indonesia Persero Tbk PT</t>
  </si>
  <si>
    <t>BKRKF</t>
  </si>
  <si>
    <t>Novo Nordisk A/S Class B</t>
  </si>
  <si>
    <t>NOVO B</t>
  </si>
  <si>
    <t>Eli Lilly and Co</t>
  </si>
  <si>
    <t>LLY</t>
  </si>
  <si>
    <t>Linde PLC</t>
  </si>
  <si>
    <t>LIN</t>
  </si>
  <si>
    <t xml:space="preserve">Materials </t>
  </si>
  <si>
    <t>Chemicals</t>
  </si>
  <si>
    <t>Republic Services Inc</t>
  </si>
  <si>
    <t>RSG</t>
  </si>
  <si>
    <t>Waste Management Inc</t>
  </si>
  <si>
    <t>WM</t>
  </si>
  <si>
    <t>Schneider Electric SE</t>
  </si>
  <si>
    <t>SBGSF</t>
  </si>
  <si>
    <t>Ground Transportation</t>
  </si>
  <si>
    <t>FDX</t>
  </si>
  <si>
    <t>F</t>
  </si>
  <si>
    <t>HMC</t>
  </si>
  <si>
    <t>TSLA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</si>
</sst>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4" formatCode="_(&quot;$&quot;* #,##0.00_);_(&quot;$&quot;* \(#,##0.00\);_(&quot;$&quot;* &quot;-&quot;??_);_(@_)"/>
    <numFmt numFmtId="164" formatCode="_([$$-409]* #,##0.00_);_([$$-409]* \(#,##0.00\);_([$$-409]* &quot;-&quot;??_);_(@_)"/>
    <numFmt numFmtId="165" formatCode="0.0%"/>
    <numFmt numFmtId="166" formatCode="&quot;$&quot;#,##0"/>
    <numFmt numFmtId="167" formatCode="&quot;$&quot;#,##0.00"/>
    <numFmt numFmtId="168" formatCode="[$-409]mmm\-dd\-yyyy\ h:mm\ AM/PM;@"/>
    <numFmt numFmtId="169" formatCode="dd\-mmm\-yy\ h:mm;@"/>
    <numFmt numFmtId="170" formatCode="0.0000"/>
  </numFmts>
  <fonts count="39">
    <font>
      <sz val="11"/>
      <color theme="1"/>
      <name val="Calibri"/>
      <family val="2"/>
      <scheme val="minor"/>
    </font>
    <font>
      <sz val="11"/>
      <color theme="1"/>
      <name val="Calibri"/>
      <family val="2"/>
      <scheme val="minor"/>
    </font>
    <font>
      <sz val="8"/>
      <name val="Calibri"/>
      <family val="2"/>
      <scheme val="minor"/>
    </font>
    <font>
      <sz val="11"/>
      <color theme="1"/>
      <name val="HP Simplified"/>
      <family val="2"/>
    </font>
    <font>
      <b/>
      <sz val="11"/>
      <color theme="1"/>
      <name val="HP Simplified"/>
      <family val="2"/>
    </font>
    <font>
      <sz val="12"/>
      <color theme="1"/>
      <name val="HP Simplified"/>
      <family val="2"/>
    </font>
    <font>
      <sz val="11"/>
      <color rgb="FF00B050"/>
      <name val="HP Simplified"/>
      <family val="2"/>
    </font>
    <font>
      <sz val="11"/>
      <color rgb="FFFF0000"/>
      <name val="HP Simplified"/>
      <family val="2"/>
    </font>
    <font>
      <sz val="11"/>
      <name val="HP Simplified"/>
      <family val="2"/>
    </font>
    <font>
      <sz val="11"/>
      <color rgb="FFFFC000"/>
      <name val="HP Simplified"/>
      <family val="2"/>
    </font>
    <font>
      <sz val="11"/>
      <color theme="1"/>
      <name val="Arial Nova Cond Light"/>
      <family val="2"/>
    </font>
    <font>
      <sz val="20"/>
      <color theme="1"/>
      <name val="HP Simplified"/>
      <family val="2"/>
    </font>
    <font>
      <sz val="11"/>
      <color rgb="FF00B0F0"/>
      <name val="Arial Nova Cond Light"/>
      <family val="2"/>
    </font>
    <font>
      <i/>
      <sz val="11"/>
      <color theme="1"/>
      <name val="Calibri"/>
      <family val="2"/>
      <scheme val="minor"/>
    </font>
    <font>
      <sz val="10"/>
      <color theme="1"/>
      <name val="Arial Nova Cond Light"/>
      <family val="2"/>
    </font>
    <font>
      <sz val="12"/>
      <color theme="0"/>
      <name val="Arial Nova Cond Light"/>
      <family val="2"/>
    </font>
    <font>
      <i/>
      <sz val="11"/>
      <color rgb="FF00B050"/>
      <name val="Arial Nova Cond Light"/>
      <family val="2"/>
    </font>
    <font>
      <b/>
      <sz val="11"/>
      <color rgb="FF00B0F0"/>
      <name val="Arial Nova Cond Light"/>
      <family val="2"/>
    </font>
    <font>
      <sz val="11"/>
      <color theme="1"/>
      <name val="Arial Nova"/>
      <family val="2"/>
    </font>
    <font>
      <sz val="12"/>
      <color theme="1"/>
      <name val="Arial Nova"/>
      <family val="2"/>
    </font>
    <font>
      <b/>
      <sz val="14"/>
      <color theme="0"/>
      <name val="Arial Nova"/>
      <family val="2"/>
    </font>
    <font>
      <sz val="11"/>
      <color theme="0"/>
      <name val="Arial Nova"/>
      <family val="2"/>
    </font>
    <font>
      <sz val="12"/>
      <color theme="0"/>
      <name val="Arial Nova"/>
      <family val="2"/>
    </font>
    <font>
      <b/>
      <sz val="11"/>
      <color theme="1"/>
      <name val="Arial Nova"/>
      <family val="2"/>
    </font>
    <font>
      <sz val="10"/>
      <color theme="0"/>
      <name val="Arial Nova"/>
      <family val="2"/>
    </font>
    <font>
      <sz val="16"/>
      <color rgb="FF00B0F0"/>
      <name val="Arial Nova"/>
      <family val="2"/>
    </font>
    <font>
      <sz val="11"/>
      <color rgb="FF00B0F0"/>
      <name val="Arial Nova"/>
      <family val="2"/>
    </font>
    <font>
      <b/>
      <sz val="11"/>
      <color rgb="FF00B0F0"/>
      <name val="Arial Nova"/>
      <family val="2"/>
    </font>
    <font>
      <sz val="12"/>
      <color rgb="FF00B0F0"/>
      <name val="Arial Nova"/>
      <family val="2"/>
    </font>
    <font>
      <sz val="12"/>
      <name val="Arial Nova"/>
      <family val="2"/>
    </font>
    <font>
      <sz val="11"/>
      <name val="Arial Nova"/>
      <family val="2"/>
    </font>
    <font>
      <sz val="12"/>
      <color rgb="FF000000"/>
      <name val="Calibri"/>
      <family val="2"/>
      <scheme val="minor"/>
    </font>
    <font>
      <sz val="11"/>
      <color theme="1"/>
      <name val="Arial Nova"/>
      <family val="2"/>
    </font>
    <font>
      <sz val="12"/>
      <color theme="1"/>
      <name val="Arial Nova"/>
      <family val="2"/>
    </font>
    <font>
      <sz val="11"/>
      <name val="Arial Nova"/>
      <family val="2"/>
    </font>
    <font>
      <sz val="11"/>
      <color rgb="FF00B0F0"/>
      <name val="Arial Nova"/>
      <family val="2"/>
    </font>
    <font>
      <sz val="12"/>
      <name val="Arial Nova"/>
      <family val="2"/>
    </font>
    <font>
      <b/>
      <sz val="11"/>
      <color theme="1"/>
      <name val="Arial Nova"/>
      <family val="2"/>
    </font>
    <font>
      <b/>
      <sz val="11"/>
      <color theme="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right style="thin">
        <color rgb="FF00B0F0"/>
      </right>
      <top/>
      <bottom/>
      <diagonal/>
    </border>
    <border>
      <left/>
      <right/>
      <top style="medium">
        <color theme="1"/>
      </top>
      <bottom style="medium">
        <color theme="1"/>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28">
    <xf numFmtId="0" fontId="0" fillId="0" borderId="0" xfId="0"/>
    <xf numFmtId="0" fontId="3" fillId="0" borderId="0" xfId="0" applyFont="1"/>
    <xf numFmtId="0" fontId="4" fillId="0" borderId="0" xfId="0" applyFont="1"/>
    <xf numFmtId="0" fontId="3" fillId="0" borderId="0" xfId="0" applyFont="1" applyAlignment="1">
      <alignment horizontal="right"/>
    </xf>
    <xf numFmtId="14" fontId="3" fillId="0" borderId="0" xfId="0" applyNumberFormat="1" applyFont="1"/>
    <xf numFmtId="10" fontId="6" fillId="0" borderId="0" xfId="1" applyNumberFormat="1" applyFont="1"/>
    <xf numFmtId="10" fontId="9" fillId="0" borderId="0" xfId="1" applyNumberFormat="1" applyFont="1"/>
    <xf numFmtId="0" fontId="6" fillId="0" borderId="0" xfId="1" applyNumberFormat="1" applyFont="1"/>
    <xf numFmtId="10" fontId="8" fillId="0" borderId="0" xfId="1" applyNumberFormat="1" applyFont="1"/>
    <xf numFmtId="0" fontId="8" fillId="0" borderId="0" xfId="0" applyFont="1"/>
    <xf numFmtId="0" fontId="10" fillId="0" borderId="0" xfId="0" applyFont="1"/>
    <xf numFmtId="0" fontId="10" fillId="2" borderId="0" xfId="0" applyFont="1" applyFill="1"/>
    <xf numFmtId="14" fontId="10" fillId="0" borderId="0" xfId="0" applyNumberFormat="1" applyFont="1"/>
    <xf numFmtId="0" fontId="11" fillId="0" borderId="0" xfId="0" applyFont="1"/>
    <xf numFmtId="0" fontId="10" fillId="3" borderId="0" xfId="0" applyFont="1" applyFill="1"/>
    <xf numFmtId="44" fontId="10" fillId="0" borderId="0" xfId="2" applyFont="1"/>
    <xf numFmtId="9" fontId="5" fillId="0" borderId="0" xfId="1" applyFont="1" applyFill="1" applyAlignment="1">
      <alignment horizontal="center"/>
    </xf>
    <xf numFmtId="0" fontId="0" fillId="0" borderId="0" xfId="0" pivotButton="1"/>
    <xf numFmtId="0" fontId="0" fillId="0" borderId="0" xfId="0" applyAlignment="1">
      <alignment horizontal="left"/>
    </xf>
    <xf numFmtId="166" fontId="0" fillId="0" borderId="0" xfId="0" applyNumberFormat="1"/>
    <xf numFmtId="10" fontId="3" fillId="0" borderId="0" xfId="0" applyNumberFormat="1" applyFont="1"/>
    <xf numFmtId="10" fontId="3" fillId="0" borderId="0" xfId="1" applyNumberFormat="1" applyFont="1" applyAlignment="1">
      <alignment horizontal="center"/>
    </xf>
    <xf numFmtId="0" fontId="13" fillId="0" borderId="0" xfId="0" applyFont="1"/>
    <xf numFmtId="5" fontId="3" fillId="0" borderId="0" xfId="2"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166" fontId="3" fillId="0" borderId="0" xfId="2"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10" fillId="0" borderId="0" xfId="0" applyFont="1" applyAlignment="1">
      <alignment horizontal="right"/>
    </xf>
    <xf numFmtId="0" fontId="14" fillId="0" borderId="0" xfId="0" applyFont="1" applyAlignment="1">
      <alignment wrapText="1"/>
    </xf>
    <xf numFmtId="0" fontId="10" fillId="0" borderId="0" xfId="0" applyFont="1" applyAlignment="1">
      <alignment wrapText="1"/>
    </xf>
    <xf numFmtId="0" fontId="10" fillId="0" borderId="0" xfId="0" applyFont="1" applyAlignment="1">
      <alignment horizontal="center"/>
    </xf>
    <xf numFmtId="167" fontId="10" fillId="0" borderId="0" xfId="0" applyNumberFormat="1" applyFont="1"/>
    <xf numFmtId="167" fontId="10" fillId="3" borderId="0" xfId="0" applyNumberFormat="1" applyFont="1" applyFill="1"/>
    <xf numFmtId="0" fontId="12" fillId="5" borderId="0" xfId="0" applyFont="1" applyFill="1"/>
    <xf numFmtId="44" fontId="15" fillId="4" borderId="0" xfId="2" applyFont="1" applyFill="1" applyAlignment="1">
      <alignment horizontal="center" vertical="center"/>
    </xf>
    <xf numFmtId="0" fontId="10" fillId="2" borderId="0" xfId="0" applyFont="1" applyFill="1" applyAlignment="1">
      <alignment horizontal="center"/>
    </xf>
    <xf numFmtId="0" fontId="3" fillId="3" borderId="0" xfId="0" applyFont="1" applyFill="1"/>
    <xf numFmtId="0" fontId="0" fillId="6" borderId="0" xfId="0" applyFill="1" applyAlignment="1">
      <alignment horizontal="center" vertical="center"/>
    </xf>
    <xf numFmtId="0" fontId="0" fillId="7" borderId="0" xfId="0" applyFill="1" applyAlignment="1">
      <alignment horizontal="center" vertical="center"/>
    </xf>
    <xf numFmtId="0" fontId="16" fillId="0" borderId="0" xfId="0" applyFont="1"/>
    <xf numFmtId="0" fontId="18" fillId="0" borderId="0" xfId="0" applyFont="1" applyProtection="1">
      <protection locked="0"/>
    </xf>
    <xf numFmtId="0" fontId="18" fillId="0" borderId="0" xfId="0" applyFont="1" applyAlignment="1" applyProtection="1">
      <alignment vertical="center"/>
      <protection locked="0"/>
    </xf>
    <xf numFmtId="167" fontId="0" fillId="0" borderId="0" xfId="0" applyNumberFormat="1"/>
    <xf numFmtId="10" fontId="10" fillId="6" borderId="0" xfId="1" applyNumberFormat="1" applyFont="1" applyFill="1"/>
    <xf numFmtId="0" fontId="18" fillId="9" borderId="3" xfId="0" applyFont="1" applyFill="1" applyBorder="1"/>
    <xf numFmtId="167" fontId="18" fillId="9" borderId="3" xfId="0" applyNumberFormat="1" applyFont="1" applyFill="1" applyBorder="1"/>
    <xf numFmtId="0" fontId="17" fillId="9" borderId="2" xfId="0" applyFont="1" applyFill="1" applyBorder="1" applyAlignment="1">
      <alignment horizontal="center" vertical="center"/>
    </xf>
    <xf numFmtId="0" fontId="0" fillId="9" borderId="0" xfId="0" applyFill="1" applyAlignment="1">
      <alignment horizontal="center" vertical="center"/>
    </xf>
    <xf numFmtId="0" fontId="19" fillId="0" borderId="0" xfId="0" applyFont="1" applyAlignment="1" applyProtection="1">
      <alignment horizontal="center" vertical="center"/>
      <protection locked="0"/>
    </xf>
    <xf numFmtId="1" fontId="18" fillId="0" borderId="0" xfId="0" applyNumberFormat="1" applyFont="1" applyAlignment="1" applyProtection="1">
      <alignment horizontal="center" vertical="center"/>
      <protection locked="0"/>
    </xf>
    <xf numFmtId="0" fontId="20" fillId="4" borderId="0" xfId="0" applyFont="1" applyFill="1" applyAlignment="1" applyProtection="1">
      <alignment horizontal="left" vertical="center"/>
      <protection locked="0"/>
    </xf>
    <xf numFmtId="0" fontId="21" fillId="4" borderId="0" xfId="0" applyFont="1" applyFill="1" applyProtection="1">
      <protection locked="0"/>
    </xf>
    <xf numFmtId="0" fontId="22" fillId="4" borderId="0" xfId="0" applyFont="1" applyFill="1" applyProtection="1">
      <protection locked="0"/>
    </xf>
    <xf numFmtId="0" fontId="21" fillId="4" borderId="0" xfId="0" applyFont="1" applyFill="1" applyAlignment="1" applyProtection="1">
      <alignment horizontal="right" vertical="center"/>
      <protection locked="0"/>
    </xf>
    <xf numFmtId="0" fontId="23" fillId="8" borderId="0" xfId="0" applyFont="1" applyFill="1" applyAlignment="1">
      <alignment horizontal="center" vertical="center"/>
    </xf>
    <xf numFmtId="10" fontId="22" fillId="4" borderId="0" xfId="1" applyNumberFormat="1" applyFont="1" applyFill="1" applyAlignment="1" applyProtection="1">
      <alignment horizontal="center"/>
      <protection locked="0"/>
    </xf>
    <xf numFmtId="0" fontId="26" fillId="5" borderId="0" xfId="0" applyFont="1" applyFill="1" applyAlignment="1" applyProtection="1">
      <alignment horizontal="center" vertical="center" wrapText="1"/>
      <protection locked="0"/>
    </xf>
    <xf numFmtId="0" fontId="27" fillId="5" borderId="0" xfId="0" applyFont="1" applyFill="1" applyAlignment="1" applyProtection="1">
      <alignment horizontal="center" vertical="center" wrapText="1"/>
      <protection locked="0"/>
    </xf>
    <xf numFmtId="0" fontId="28" fillId="0" borderId="0" xfId="0" applyFont="1" applyAlignment="1" applyProtection="1">
      <alignment vertical="center"/>
      <protection locked="0"/>
    </xf>
    <xf numFmtId="0" fontId="18" fillId="0" borderId="1" xfId="0" applyFont="1" applyBorder="1" applyAlignment="1" applyProtection="1">
      <alignment vertical="center"/>
      <protection locked="0"/>
    </xf>
    <xf numFmtId="0" fontId="19" fillId="0" borderId="0" xfId="0" applyFont="1" applyAlignment="1">
      <alignment vertical="center"/>
    </xf>
    <xf numFmtId="0" fontId="19" fillId="0" borderId="0" xfId="0" applyFont="1" applyAlignment="1">
      <alignment vertical="center" shrinkToFit="1"/>
    </xf>
    <xf numFmtId="0" fontId="29" fillId="0" borderId="0" xfId="0" applyFont="1" applyAlignment="1">
      <alignment horizontal="center" vertical="center"/>
    </xf>
    <xf numFmtId="2" fontId="19" fillId="0" borderId="0" xfId="0" applyNumberFormat="1" applyFont="1" applyAlignment="1">
      <alignment vertical="center"/>
    </xf>
    <xf numFmtId="10" fontId="19" fillId="0" borderId="0" xfId="1" applyNumberFormat="1" applyFont="1" applyFill="1" applyBorder="1" applyAlignment="1" applyProtection="1">
      <alignment horizontal="right" vertical="center"/>
    </xf>
    <xf numFmtId="44" fontId="29" fillId="0" borderId="0" xfId="2" applyFont="1" applyAlignment="1" applyProtection="1">
      <alignment horizontal="center" vertical="center"/>
    </xf>
    <xf numFmtId="164" fontId="29" fillId="0" borderId="0" xfId="0" applyNumberFormat="1" applyFont="1" applyAlignment="1">
      <alignment horizontal="center" vertical="center"/>
    </xf>
    <xf numFmtId="10" fontId="29" fillId="0" borderId="0" xfId="1" applyNumberFormat="1" applyFont="1" applyAlignment="1" applyProtection="1">
      <alignment horizontal="center" vertical="center"/>
    </xf>
    <xf numFmtId="165" fontId="29" fillId="0" borderId="0" xfId="1" applyNumberFormat="1" applyFont="1" applyAlignment="1" applyProtection="1">
      <alignment horizontal="center" vertical="center"/>
    </xf>
    <xf numFmtId="2" fontId="19" fillId="0" borderId="0" xfId="1" applyNumberFormat="1" applyFont="1" applyFill="1" applyBorder="1" applyAlignment="1" applyProtection="1">
      <alignment vertical="center"/>
    </xf>
    <xf numFmtId="0" fontId="26" fillId="0" borderId="0" xfId="0" applyFont="1" applyAlignment="1">
      <alignment horizontal="center" vertical="center"/>
    </xf>
    <xf numFmtId="2" fontId="19" fillId="0" borderId="0" xfId="0" applyNumberFormat="1" applyFont="1" applyAlignment="1">
      <alignment horizontal="left" vertical="center"/>
    </xf>
    <xf numFmtId="10" fontId="18" fillId="0" borderId="0" xfId="1" applyNumberFormat="1" applyFont="1" applyAlignment="1" applyProtection="1">
      <alignment horizontal="center" vertical="center"/>
    </xf>
    <xf numFmtId="0" fontId="18" fillId="0" borderId="0" xfId="0" applyFont="1" applyAlignment="1">
      <alignment vertical="center"/>
    </xf>
    <xf numFmtId="10" fontId="19" fillId="0" borderId="0" xfId="1" applyNumberFormat="1" applyFont="1" applyFill="1" applyAlignment="1" applyProtection="1">
      <alignment horizontal="right" vertical="center"/>
    </xf>
    <xf numFmtId="2" fontId="19" fillId="0" borderId="0" xfId="1" applyNumberFormat="1" applyFont="1" applyFill="1" applyAlignment="1" applyProtection="1">
      <alignment vertical="center"/>
    </xf>
    <xf numFmtId="0" fontId="29" fillId="0" borderId="0" xfId="0" applyFont="1" applyAlignment="1">
      <alignment vertical="center"/>
    </xf>
    <xf numFmtId="167" fontId="18" fillId="0" borderId="0" xfId="2" applyNumberFormat="1" applyFont="1" applyAlignment="1" applyProtection="1">
      <alignment horizontal="center" vertical="center"/>
    </xf>
    <xf numFmtId="0" fontId="18" fillId="0" borderId="0" xfId="0" applyFont="1" applyAlignment="1">
      <alignment vertical="center" shrinkToFit="1"/>
    </xf>
    <xf numFmtId="0" fontId="30" fillId="0" borderId="0" xfId="0" applyFont="1" applyAlignment="1">
      <alignment horizontal="center" vertical="center"/>
    </xf>
    <xf numFmtId="2" fontId="18" fillId="0" borderId="0" xfId="0" applyNumberFormat="1" applyFont="1" applyAlignment="1">
      <alignment vertical="center"/>
    </xf>
    <xf numFmtId="10" fontId="18" fillId="0" borderId="0" xfId="1" applyNumberFormat="1" applyFont="1" applyFill="1" applyAlignment="1" applyProtection="1">
      <alignment horizontal="right" vertical="center"/>
    </xf>
    <xf numFmtId="44" fontId="30" fillId="0" borderId="0" xfId="2" applyFont="1" applyAlignment="1" applyProtection="1">
      <alignment horizontal="center" vertical="center"/>
    </xf>
    <xf numFmtId="164" fontId="30" fillId="0" borderId="0" xfId="0" applyNumberFormat="1" applyFont="1" applyAlignment="1">
      <alignment horizontal="center" vertical="center"/>
    </xf>
    <xf numFmtId="10" fontId="30" fillId="0" borderId="0" xfId="1" applyNumberFormat="1" applyFont="1" applyAlignment="1" applyProtection="1">
      <alignment horizontal="center" vertical="center"/>
    </xf>
    <xf numFmtId="165" fontId="30" fillId="0" borderId="0" xfId="1" applyNumberFormat="1" applyFont="1" applyAlignment="1" applyProtection="1">
      <alignment horizontal="center" vertical="center"/>
    </xf>
    <xf numFmtId="2" fontId="18" fillId="0" borderId="0" xfId="1" applyNumberFormat="1" applyFont="1" applyFill="1" applyAlignment="1" applyProtection="1">
      <alignment vertical="center"/>
    </xf>
    <xf numFmtId="0" fontId="18" fillId="0" borderId="1" xfId="0" applyFont="1" applyBorder="1" applyProtection="1">
      <protection locked="0"/>
    </xf>
    <xf numFmtId="0" fontId="31" fillId="0" borderId="0" xfId="0" applyFont="1" applyAlignment="1" applyProtection="1">
      <alignment horizontal="left" vertical="center" wrapText="1"/>
      <protection locked="0"/>
    </xf>
    <xf numFmtId="0" fontId="19" fillId="9" borderId="0" xfId="0" applyFont="1" applyFill="1" applyAlignment="1" applyProtection="1">
      <alignment horizontal="center" vertical="center"/>
      <protection locked="0"/>
    </xf>
    <xf numFmtId="10" fontId="10" fillId="0" borderId="0" xfId="1" applyNumberFormat="1" applyFont="1" applyFill="1" applyBorder="1" applyAlignment="1" applyProtection="1">
      <alignment horizontal="center" vertical="center"/>
      <protection locked="0"/>
    </xf>
    <xf numFmtId="10" fontId="18" fillId="0" borderId="0" xfId="0" applyNumberFormat="1" applyFont="1" applyProtection="1">
      <protection locked="0"/>
    </xf>
    <xf numFmtId="0" fontId="32" fillId="0" borderId="0" xfId="0" applyFont="1" applyProtection="1">
      <protection locked="0"/>
    </xf>
    <xf numFmtId="0" fontId="32" fillId="0" borderId="0" xfId="0" applyFont="1" applyAlignment="1">
      <alignment vertical="center"/>
    </xf>
    <xf numFmtId="0" fontId="32" fillId="0" borderId="0" xfId="0" applyFont="1" applyAlignment="1">
      <alignment vertical="center" shrinkToFit="1"/>
    </xf>
    <xf numFmtId="0" fontId="34" fillId="0" borderId="0" xfId="0" applyFont="1" applyAlignment="1">
      <alignment horizontal="center" vertical="center"/>
    </xf>
    <xf numFmtId="2" fontId="32" fillId="0" borderId="0" xfId="0" applyNumberFormat="1" applyFont="1" applyAlignment="1">
      <alignment vertical="center"/>
    </xf>
    <xf numFmtId="10" fontId="32" fillId="0" borderId="0" xfId="1" applyNumberFormat="1" applyFont="1" applyFill="1" applyAlignment="1" applyProtection="1">
      <alignment horizontal="right" vertical="center"/>
    </xf>
    <xf numFmtId="44" fontId="34" fillId="0" borderId="0" xfId="2" applyFont="1" applyFill="1" applyAlignment="1" applyProtection="1">
      <alignment horizontal="center" vertical="center"/>
    </xf>
    <xf numFmtId="164" fontId="34" fillId="0" borderId="0" xfId="0" applyNumberFormat="1" applyFont="1" applyAlignment="1">
      <alignment horizontal="center" vertical="center"/>
    </xf>
    <xf numFmtId="10" fontId="34" fillId="0" borderId="0" xfId="1" applyNumberFormat="1" applyFont="1" applyFill="1" applyAlignment="1" applyProtection="1">
      <alignment horizontal="center" vertical="center"/>
    </xf>
    <xf numFmtId="10" fontId="34" fillId="0" borderId="0" xfId="2" applyNumberFormat="1" applyFont="1" applyFill="1" applyAlignment="1" applyProtection="1">
      <alignment horizontal="center" vertical="center"/>
    </xf>
    <xf numFmtId="165" fontId="34" fillId="0" borderId="0" xfId="1" applyNumberFormat="1" applyFont="1" applyFill="1" applyAlignment="1" applyProtection="1">
      <alignment horizontal="center" vertical="center"/>
    </xf>
    <xf numFmtId="2" fontId="32" fillId="0" borderId="0" xfId="1" applyNumberFormat="1" applyFont="1" applyFill="1" applyAlignment="1" applyProtection="1">
      <alignment vertical="center"/>
    </xf>
    <xf numFmtId="0" fontId="35" fillId="0" borderId="0" xfId="0" applyFont="1" applyAlignment="1">
      <alignment horizontal="center" vertical="center"/>
    </xf>
    <xf numFmtId="2" fontId="33" fillId="0" borderId="0" xfId="0" applyNumberFormat="1" applyFont="1" applyAlignment="1">
      <alignment horizontal="left" vertical="center"/>
    </xf>
    <xf numFmtId="0" fontId="36" fillId="0" borderId="0" xfId="0" applyFont="1" applyAlignment="1">
      <alignment horizontal="center" vertical="center"/>
    </xf>
    <xf numFmtId="44" fontId="36" fillId="0" borderId="0" xfId="2" applyFont="1" applyAlignment="1" applyProtection="1">
      <alignment horizontal="center" vertical="center"/>
    </xf>
    <xf numFmtId="0" fontId="37" fillId="0" borderId="0" xfId="0" applyFont="1" applyProtection="1">
      <protection locked="0"/>
    </xf>
    <xf numFmtId="10" fontId="18" fillId="5" borderId="0" xfId="0" applyNumberFormat="1" applyFont="1" applyFill="1" applyProtection="1">
      <protection locked="0"/>
    </xf>
    <xf numFmtId="9" fontId="18" fillId="0" borderId="0" xfId="0" applyNumberFormat="1" applyFont="1" applyProtection="1">
      <protection locked="0"/>
    </xf>
    <xf numFmtId="170" fontId="21" fillId="4" borderId="0" xfId="0" applyNumberFormat="1" applyFont="1" applyFill="1" applyProtection="1">
      <protection locked="0"/>
    </xf>
    <xf numFmtId="170" fontId="26" fillId="5" borderId="0" xfId="0" applyNumberFormat="1" applyFont="1" applyFill="1" applyAlignment="1" applyProtection="1">
      <alignment horizontal="center" vertical="center" wrapText="1"/>
      <protection locked="0"/>
    </xf>
    <xf numFmtId="170" fontId="19" fillId="3" borderId="0" xfId="0" applyNumberFormat="1" applyFont="1" applyFill="1" applyAlignment="1">
      <alignment vertical="center" shrinkToFit="1"/>
    </xf>
    <xf numFmtId="170" fontId="19" fillId="0" borderId="0" xfId="0" applyNumberFormat="1" applyFont="1" applyAlignment="1">
      <alignment vertical="center" shrinkToFit="1"/>
    </xf>
    <xf numFmtId="170" fontId="18" fillId="0" borderId="0" xfId="0" applyNumberFormat="1" applyFont="1" applyAlignment="1">
      <alignment vertical="center" shrinkToFit="1"/>
    </xf>
    <xf numFmtId="170" fontId="32" fillId="0" borderId="0" xfId="0" applyNumberFormat="1" applyFont="1" applyAlignment="1">
      <alignment vertical="center" shrinkToFit="1"/>
    </xf>
    <xf numFmtId="170" fontId="18" fillId="0" borderId="0" xfId="0" applyNumberFormat="1" applyFont="1" applyProtection="1">
      <protection locked="0"/>
    </xf>
    <xf numFmtId="0" fontId="0" fillId="0" borderId="0" xfId="0" applyAlignment="1">
      <alignment wrapText="1"/>
    </xf>
    <xf numFmtId="10" fontId="0" fillId="0" borderId="0" xfId="0" applyNumberFormat="1"/>
    <xf numFmtId="0" fontId="38" fillId="0" borderId="0" xfId="0" applyFont="1" applyAlignment="1">
      <alignment horizontal="center" wrapText="1"/>
    </xf>
    <xf numFmtId="0" fontId="0" fillId="7" borderId="0" xfId="0" applyFill="1"/>
    <xf numFmtId="0" fontId="38" fillId="7" borderId="0" xfId="0" applyFont="1" applyFill="1" applyAlignment="1">
      <alignment horizontal="center" wrapText="1"/>
    </xf>
    <xf numFmtId="0" fontId="0" fillId="7" borderId="0" xfId="0" applyFill="1" applyAlignment="1">
      <alignment wrapText="1"/>
    </xf>
    <xf numFmtId="168" fontId="25" fillId="0" borderId="0" xfId="0" applyNumberFormat="1" applyFont="1" applyAlignment="1">
      <alignment horizontal="left" vertical="center"/>
    </xf>
    <xf numFmtId="169" fontId="24" fillId="4" borderId="0" xfId="0" applyNumberFormat="1" applyFont="1" applyFill="1" applyAlignment="1" applyProtection="1">
      <alignment horizontal="left" vertical="center"/>
      <protection locked="0"/>
    </xf>
  </cellXfs>
  <cellStyles count="3">
    <cellStyle name="Currency" xfId="2" builtinId="4"/>
    <cellStyle name="Normal" xfId="0" builtinId="0"/>
    <cellStyle name="Percent" xfId="1" builtinId="5"/>
  </cellStyles>
  <dxfs count="72">
    <dxf>
      <fill>
        <patternFill>
          <bgColor theme="9" tint="0.79998168889431442"/>
        </patternFill>
      </fill>
    </dxf>
    <dxf>
      <fill>
        <patternFill>
          <bgColor theme="7" tint="0.79998168889431442"/>
        </patternFill>
      </fill>
    </dxf>
    <dxf>
      <font>
        <color rgb="FF00B050"/>
      </font>
    </dxf>
    <dxf>
      <font>
        <color rgb="FFFF0000"/>
      </font>
    </dxf>
    <dxf>
      <font>
        <color rgb="FF00B050"/>
      </font>
    </dxf>
    <dxf>
      <font>
        <color rgb="FFFF0000"/>
      </font>
    </dxf>
    <dxf>
      <font>
        <strike val="0"/>
        <outline val="0"/>
        <shadow val="0"/>
        <u val="none"/>
        <vertAlign val="baseline"/>
        <sz val="11"/>
        <color theme="1"/>
        <name val="HP Simplified"/>
        <family val="2"/>
        <scheme val="none"/>
      </font>
    </dxf>
    <dxf>
      <font>
        <strike val="0"/>
        <outline val="0"/>
        <shadow val="0"/>
        <u val="none"/>
        <vertAlign val="baseline"/>
        <sz val="11"/>
        <color theme="1"/>
        <name val="HP Simplified"/>
        <family val="2"/>
        <scheme val="none"/>
      </font>
    </dxf>
    <dxf>
      <font>
        <strike val="0"/>
        <outline val="0"/>
        <shadow val="0"/>
        <u val="none"/>
        <vertAlign val="baseline"/>
        <sz val="11"/>
        <color theme="1"/>
        <name val="HP Simplified"/>
        <family val="2"/>
        <scheme val="none"/>
      </font>
    </dxf>
    <dxf>
      <font>
        <strike val="0"/>
        <outline val="0"/>
        <shadow val="0"/>
        <u val="none"/>
        <vertAlign val="baseline"/>
        <sz val="11"/>
        <color theme="1"/>
        <name val="Arial Nova Cond Light"/>
        <family val="2"/>
        <scheme val="none"/>
      </font>
      <numFmt numFmtId="14" formatCode="0.00%"/>
      <fill>
        <patternFill patternType="solid">
          <fgColor indexed="64"/>
          <bgColor theme="9" tint="0.79998168889431442"/>
        </patternFill>
      </fill>
    </dxf>
    <dxf>
      <font>
        <strike val="0"/>
        <outline val="0"/>
        <shadow val="0"/>
        <u val="none"/>
        <vertAlign val="baseline"/>
        <sz val="11"/>
        <color theme="1"/>
        <name val="Arial Nova Cond Light"/>
        <family val="2"/>
        <scheme val="none"/>
      </font>
      <numFmt numFmtId="34" formatCode="_(&quot;$&quot;* #,##0.00_);_(&quot;$&quot;* \(#,##0.00\);_(&quot;$&quot;* &quot;-&quot;??_);_(@_)"/>
    </dxf>
    <dxf>
      <font>
        <strike val="0"/>
        <outline val="0"/>
        <shadow val="0"/>
        <u val="none"/>
        <vertAlign val="baseline"/>
        <sz val="11"/>
        <color theme="1"/>
        <name val="Arial Nova Cond Light"/>
        <family val="2"/>
        <scheme val="none"/>
      </font>
      <numFmt numFmtId="167" formatCode="&quot;$&quot;#,##0.00"/>
    </dxf>
    <dxf>
      <font>
        <strike val="0"/>
        <outline val="0"/>
        <shadow val="0"/>
        <u val="none"/>
        <vertAlign val="baseline"/>
        <sz val="11"/>
        <color theme="1"/>
        <name val="Arial Nova Cond Light"/>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numFmt numFmtId="0" formatCode="General"/>
    </dxf>
    <dxf>
      <font>
        <b val="0"/>
        <i val="0"/>
        <strike val="0"/>
        <condense val="0"/>
        <extend val="0"/>
        <outline val="0"/>
        <shadow val="0"/>
        <u val="none"/>
        <vertAlign val="baseline"/>
        <sz val="11"/>
        <color theme="1"/>
        <name val="Arial Nova Cond Light"/>
        <family val="2"/>
        <scheme val="none"/>
      </font>
      <numFmt numFmtId="0" formatCode="General"/>
    </dxf>
    <dxf>
      <font>
        <strike val="0"/>
        <outline val="0"/>
        <shadow val="0"/>
        <u val="none"/>
        <vertAlign val="baseline"/>
        <sz val="11"/>
        <color theme="1"/>
        <name val="Arial Nova Cond Light"/>
        <family val="2"/>
        <scheme val="none"/>
      </font>
      <numFmt numFmtId="167" formatCode="&quot;$&quot;#,##0.00"/>
    </dxf>
    <dxf>
      <font>
        <strike val="0"/>
        <outline val="0"/>
        <shadow val="0"/>
        <u val="none"/>
        <vertAlign val="baseline"/>
        <sz val="11"/>
        <color theme="1"/>
        <name val="Arial Nova Cond Light"/>
        <family val="2"/>
        <scheme val="none"/>
      </font>
    </dxf>
    <dxf>
      <font>
        <strike val="0"/>
        <outline val="0"/>
        <shadow val="0"/>
        <u val="none"/>
        <vertAlign val="baseline"/>
        <sz val="11"/>
        <color theme="1"/>
        <name val="Arial Nova Cond Light"/>
        <family val="2"/>
        <scheme val="none"/>
      </font>
    </dxf>
    <dxf>
      <font>
        <strike val="0"/>
        <outline val="0"/>
        <shadow val="0"/>
        <u val="none"/>
        <vertAlign val="baseline"/>
        <sz val="11"/>
        <color theme="1"/>
        <name val="Arial Nova Cond Light"/>
        <family val="2"/>
        <scheme val="none"/>
      </font>
    </dxf>
    <dxf>
      <font>
        <strike val="0"/>
        <outline val="0"/>
        <shadow val="0"/>
        <u val="none"/>
        <vertAlign val="baseline"/>
        <sz val="11"/>
        <color theme="1"/>
        <name val="Arial Nova Cond Light"/>
        <family val="2"/>
        <scheme val="none"/>
      </font>
    </dxf>
    <dxf>
      <font>
        <strike val="0"/>
        <outline val="0"/>
        <shadow val="0"/>
        <u val="none"/>
        <vertAlign val="baseline"/>
        <sz val="11"/>
        <color theme="1"/>
        <name val="Arial Nova Cond Light"/>
        <family val="2"/>
        <scheme val="none"/>
      </font>
    </dxf>
    <dxf>
      <font>
        <strike val="0"/>
        <outline val="0"/>
        <shadow val="0"/>
        <u val="none"/>
        <vertAlign val="baseline"/>
        <sz val="11"/>
        <color theme="1"/>
        <name val="Arial Nova Cond Light"/>
        <family val="2"/>
        <scheme val="none"/>
      </font>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34" formatCode="_(&quot;$&quot;* #,##0.00_);_(&quot;$&quot;* \(#,##0.00\);_(&quot;$&quot;* &quot;-&quot;??_);_(@_)"/>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strike val="0"/>
        <outline val="0"/>
        <shadow val="0"/>
        <u val="none"/>
        <vertAlign val="baseline"/>
        <sz val="12"/>
        <color theme="1"/>
        <name val="Arial Nova"/>
        <scheme val="none"/>
      </font>
      <numFmt numFmtId="2" formatCode="0.00"/>
      <fill>
        <patternFill patternType="none">
          <fgColor indexed="64"/>
          <bgColor indexed="65"/>
        </patternFill>
      </fill>
      <alignment horizontal="left" vertical="center" textRotation="0" wrapText="0" indent="0" justifyLastLine="0" shrinkToFit="0" readingOrder="0"/>
      <protection locked="1" hidden="0"/>
    </dxf>
    <dxf>
      <font>
        <strike val="0"/>
        <outline val="0"/>
        <shadow val="0"/>
        <u val="none"/>
        <vertAlign val="baseline"/>
        <sz val="11"/>
        <color rgb="FF00B0F0"/>
        <name val="Arial Nova"/>
        <scheme val="none"/>
      </font>
      <numFmt numFmtId="0" formatCode="General"/>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Arial Nova"/>
        <scheme val="none"/>
      </font>
      <numFmt numFmtId="2" formatCode="0.00"/>
      <fill>
        <patternFill patternType="none">
          <fgColor indexed="64"/>
          <bgColor auto="1"/>
        </patternFill>
      </fill>
      <alignment horizontal="general" vertical="center" textRotation="0" wrapText="0" indent="0" justifyLastLine="0" readingOrder="0"/>
      <protection locked="1" hidden="0"/>
    </dxf>
    <dxf>
      <font>
        <b val="0"/>
        <i val="0"/>
        <strike val="0"/>
        <condense val="0"/>
        <extend val="0"/>
        <outline val="0"/>
        <shadow val="0"/>
        <u val="none"/>
        <vertAlign val="baseline"/>
        <sz val="11"/>
        <color auto="1"/>
        <name val="Arial Nova"/>
        <scheme val="none"/>
      </font>
      <numFmt numFmtId="165" formatCode="0.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14" formatCode="0.0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14" formatCode="0.0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164" formatCode="_([$$-409]* #,##0.00_);_([$$-409]* \(#,##0.00\);_([$$-409]* &quot;-&quot;??_);_(@_)"/>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34" formatCode="_(&quot;$&quot;* #,##0.00_);_(&quot;$&quot;* \(#,##0.00\);_(&quot;$&quot;* &quot;-&quot;??_);_(@_)"/>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Arial Nova"/>
        <scheme val="none"/>
      </font>
      <numFmt numFmtId="14" formatCode="0.00%"/>
      <fill>
        <patternFill patternType="none">
          <fgColor indexed="64"/>
          <bgColor auto="1"/>
        </patternFill>
      </fill>
      <alignment horizontal="right" vertical="center" textRotation="0" wrapText="0" indent="0" justifyLastLine="0" shrinkToFit="0" readingOrder="0"/>
      <protection locked="1" hidden="0"/>
    </dxf>
    <dxf>
      <font>
        <strike val="0"/>
        <outline val="0"/>
        <shadow val="0"/>
        <u val="none"/>
        <vertAlign val="baseline"/>
        <sz val="11"/>
        <name val="Arial Nova"/>
        <scheme val="none"/>
      </font>
      <numFmt numFmtId="2" formatCode="0.00"/>
      <fill>
        <patternFill patternType="none">
          <fgColor indexed="64"/>
          <bgColor auto="1"/>
        </patternFill>
      </fill>
      <alignment horizontal="general" vertical="center" textRotation="0" wrapText="0" indent="0" justifyLastLine="0" readingOrder="0"/>
      <protection locked="1" hidden="0"/>
    </dxf>
    <dxf>
      <font>
        <strike val="0"/>
        <outline val="0"/>
        <shadow val="0"/>
        <u val="none"/>
        <vertAlign val="baseline"/>
        <sz val="11"/>
        <name val="Arial Nova"/>
        <scheme val="none"/>
      </font>
      <numFmt numFmtId="0" formatCode="General"/>
      <fill>
        <patternFill patternType="none">
          <fgColor indexed="64"/>
          <bgColor auto="1"/>
        </patternFill>
      </fill>
      <alignment horizontal="general" vertical="center" textRotation="0" wrapText="0" indent="0" justifyLastLine="0" readingOrder="0"/>
      <protection locked="1" hidden="0"/>
    </dxf>
    <dxf>
      <font>
        <b val="0"/>
        <i val="0"/>
        <strike val="0"/>
        <condense val="0"/>
        <extend val="0"/>
        <outline val="0"/>
        <shadow val="0"/>
        <u val="none"/>
        <vertAlign val="baseline"/>
        <sz val="11"/>
        <color auto="1"/>
        <name val="Arial Nova"/>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Arial Nova"/>
        <scheme val="none"/>
      </font>
      <numFmt numFmtId="170" formatCode="0.0000"/>
      <alignment horizontal="general" vertical="center" textRotation="0" wrapText="0" indent="0" justifyLastLine="0" shrinkToFit="1" readingOrder="0"/>
    </dxf>
    <dxf>
      <font>
        <strike val="0"/>
        <outline val="0"/>
        <shadow val="0"/>
        <u val="none"/>
        <vertAlign val="baseline"/>
        <sz val="11"/>
        <name val="Arial Nova"/>
        <scheme val="none"/>
      </font>
      <numFmt numFmtId="0" formatCode="General"/>
      <fill>
        <patternFill patternType="none">
          <fgColor indexed="64"/>
          <bgColor auto="1"/>
        </patternFill>
      </fill>
      <alignment horizontal="general" vertical="center" textRotation="0" wrapText="0" indent="0" justifyLastLine="0" shrinkToFit="1" readingOrder="0"/>
      <protection locked="1" hidden="0"/>
    </dxf>
    <dxf>
      <font>
        <strike val="0"/>
        <outline val="0"/>
        <shadow val="0"/>
        <u val="none"/>
        <vertAlign val="baseline"/>
        <sz val="11"/>
        <color theme="1"/>
        <name val="Arial Nova"/>
        <scheme val="none"/>
      </font>
      <numFmt numFmtId="0" formatCode="General"/>
      <alignment vertical="center" textRotation="0" wrapText="0" indent="0" justifyLastLine="0" readingOrder="0"/>
      <protection locked="1" hidden="0"/>
    </dxf>
    <dxf>
      <font>
        <strike val="0"/>
        <outline val="0"/>
        <shadow val="0"/>
        <u val="none"/>
        <vertAlign val="baseline"/>
        <sz val="11"/>
        <name val="Arial Nova"/>
        <scheme val="none"/>
      </font>
      <fill>
        <patternFill patternType="none">
          <fgColor rgb="FF000000"/>
          <bgColor auto="1"/>
        </patternFill>
      </fill>
      <alignment horizontal="general" vertical="center" textRotation="0" wrapText="0" indent="0" justifyLastLine="0" readingOrder="0"/>
      <protection locked="1" hidden="0"/>
    </dxf>
    <dxf>
      <border>
        <bottom style="medium">
          <color auto="1"/>
        </bottom>
      </border>
    </dxf>
    <dxf>
      <font>
        <strike val="0"/>
        <outline val="0"/>
        <shadow val="0"/>
        <u val="none"/>
        <vertAlign val="baseline"/>
        <sz val="11"/>
        <color rgb="FF00B0F0"/>
        <name val="Arial Nova"/>
        <scheme val="none"/>
      </font>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34" formatCode="_(&quot;$&quot;* #,##0.00_);_(&quot;$&quot;* \(#,##0.00\);_(&quot;$&quot;* &quot;-&quot;??_);_(@_)"/>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rial Nova"/>
        <scheme val="none"/>
      </font>
      <numFmt numFmtId="0" formatCode="General"/>
      <alignment horizontal="center" vertical="center" textRotation="0" wrapText="0" indent="0" justifyLastLine="0" shrinkToFit="0" readingOrder="0"/>
      <protection locked="1" hidden="0"/>
    </dxf>
    <dxf>
      <font>
        <strike val="0"/>
        <outline val="0"/>
        <shadow val="0"/>
        <u val="none"/>
        <vertAlign val="baseline"/>
        <sz val="12"/>
        <color theme="1"/>
        <name val="Arial Nova"/>
        <scheme val="none"/>
      </font>
      <numFmt numFmtId="2" formatCode="0.00"/>
      <fill>
        <patternFill patternType="none">
          <fgColor indexed="64"/>
          <bgColor indexed="65"/>
        </patternFill>
      </fill>
      <alignment horizontal="left" vertical="center" textRotation="0" wrapText="0" indent="0" justifyLastLine="0" shrinkToFit="0" readingOrder="0"/>
      <protection locked="1" hidden="0"/>
    </dxf>
    <dxf>
      <font>
        <strike val="0"/>
        <outline val="0"/>
        <shadow val="0"/>
        <u val="none"/>
        <vertAlign val="baseline"/>
        <sz val="11"/>
        <color rgb="FF00B0F0"/>
        <name val="Arial Nova"/>
        <scheme val="none"/>
      </font>
      <numFmt numFmtId="0" formatCode="General"/>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Arial Nova"/>
        <scheme val="none"/>
      </font>
      <numFmt numFmtId="2" formatCode="0.00"/>
      <fill>
        <patternFill patternType="none">
          <fgColor indexed="64"/>
          <bgColor auto="1"/>
        </patternFill>
      </fill>
      <alignment horizontal="general" vertical="center" textRotation="0" wrapText="0" indent="0" justifyLastLine="0" readingOrder="0"/>
      <protection locked="1" hidden="0"/>
    </dxf>
    <dxf>
      <font>
        <b val="0"/>
        <i val="0"/>
        <strike val="0"/>
        <condense val="0"/>
        <extend val="0"/>
        <outline val="0"/>
        <shadow val="0"/>
        <u val="none"/>
        <vertAlign val="baseline"/>
        <sz val="11"/>
        <color auto="1"/>
        <name val="Arial Nova"/>
        <scheme val="none"/>
      </font>
      <numFmt numFmtId="165" formatCode="0.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14" formatCode="0.0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14" formatCode="0.00%"/>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164" formatCode="_([$$-409]* #,##0.00_);_([$$-409]* \(#,##0.00\);_([$$-409]* &quot;-&quot;??_);_(@_)"/>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auto="1"/>
        <name val="Arial Nova"/>
        <scheme val="none"/>
      </font>
      <numFmt numFmtId="34" formatCode="_(&quot;$&quot;* #,##0.00_);_(&quot;$&quot;* \(#,##0.00\);_(&quot;$&quot;* &quot;-&quot;??_);_(@_)"/>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Arial Nova"/>
        <scheme val="none"/>
      </font>
      <numFmt numFmtId="14" formatCode="0.00%"/>
      <fill>
        <patternFill patternType="none">
          <fgColor indexed="64"/>
          <bgColor auto="1"/>
        </patternFill>
      </fill>
      <alignment horizontal="right" vertical="center" textRotation="0" wrapText="0" indent="0" justifyLastLine="0" shrinkToFit="0" readingOrder="0"/>
      <protection locked="1" hidden="0"/>
    </dxf>
    <dxf>
      <font>
        <strike val="0"/>
        <outline val="0"/>
        <shadow val="0"/>
        <u val="none"/>
        <vertAlign val="baseline"/>
        <sz val="11"/>
        <name val="Arial Nova"/>
        <scheme val="none"/>
      </font>
      <numFmt numFmtId="2" formatCode="0.00"/>
      <fill>
        <patternFill patternType="none">
          <fgColor indexed="64"/>
          <bgColor auto="1"/>
        </patternFill>
      </fill>
      <alignment horizontal="general" vertical="center" textRotation="0" wrapText="0" indent="0" justifyLastLine="0" readingOrder="0"/>
      <protection locked="1" hidden="0"/>
    </dxf>
    <dxf>
      <font>
        <strike val="0"/>
        <outline val="0"/>
        <shadow val="0"/>
        <u val="none"/>
        <vertAlign val="baseline"/>
        <sz val="11"/>
        <name val="Arial Nova"/>
        <scheme val="none"/>
      </font>
      <numFmt numFmtId="0" formatCode="General"/>
      <fill>
        <patternFill patternType="none">
          <fgColor indexed="64"/>
          <bgColor auto="1"/>
        </patternFill>
      </fill>
      <alignment horizontal="general" vertical="center" textRotation="0" wrapText="0" indent="0" justifyLastLine="0" readingOrder="0"/>
      <protection locked="1" hidden="0"/>
    </dxf>
    <dxf>
      <font>
        <b val="0"/>
        <i val="0"/>
        <strike val="0"/>
        <condense val="0"/>
        <extend val="0"/>
        <outline val="0"/>
        <shadow val="0"/>
        <u val="none"/>
        <vertAlign val="baseline"/>
        <sz val="11"/>
        <color auto="1"/>
        <name val="Arial Nova"/>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Arial Nova"/>
        <scheme val="none"/>
      </font>
      <numFmt numFmtId="170" formatCode="0.0000"/>
      <alignment horizontal="general" vertical="center" textRotation="0" wrapText="0" indent="0" justifyLastLine="0" shrinkToFit="1" readingOrder="0"/>
    </dxf>
    <dxf>
      <font>
        <strike val="0"/>
        <outline val="0"/>
        <shadow val="0"/>
        <u val="none"/>
        <vertAlign val="baseline"/>
        <sz val="11"/>
        <name val="Arial Nova"/>
        <scheme val="none"/>
      </font>
      <numFmt numFmtId="0" formatCode="General"/>
      <fill>
        <patternFill patternType="none">
          <fgColor indexed="64"/>
          <bgColor auto="1"/>
        </patternFill>
      </fill>
      <alignment horizontal="general" vertical="center" textRotation="0" wrapText="0" indent="0" justifyLastLine="0" shrinkToFit="1" readingOrder="0"/>
      <protection locked="1" hidden="0"/>
    </dxf>
    <dxf>
      <font>
        <strike val="0"/>
        <outline val="0"/>
        <shadow val="0"/>
        <u val="none"/>
        <vertAlign val="baseline"/>
        <sz val="11"/>
        <color theme="1"/>
        <name val="Arial Nova"/>
        <scheme val="none"/>
      </font>
      <numFmt numFmtId="0" formatCode="General"/>
      <alignment vertical="center" textRotation="0" wrapText="0" indent="0" justifyLastLine="0" readingOrder="0"/>
      <protection locked="1" hidden="0"/>
    </dxf>
    <dxf>
      <font>
        <strike val="0"/>
        <outline val="0"/>
        <shadow val="0"/>
        <u val="none"/>
        <vertAlign val="baseline"/>
        <sz val="11"/>
        <name val="Arial Nova"/>
        <scheme val="none"/>
      </font>
      <fill>
        <patternFill patternType="none">
          <fgColor indexed="64"/>
          <bgColor auto="1"/>
        </patternFill>
      </fill>
      <alignment horizontal="general" vertical="center" textRotation="0" wrapText="0" indent="0" justifyLastLine="0" readingOrder="0"/>
      <protection locked="1" hidden="0"/>
    </dxf>
    <dxf>
      <border>
        <bottom style="medium">
          <color auto="1"/>
        </bottom>
      </border>
    </dxf>
    <dxf>
      <font>
        <strike val="0"/>
        <outline val="0"/>
        <shadow val="0"/>
        <u val="none"/>
        <vertAlign val="baseline"/>
        <sz val="11"/>
        <color rgb="FF00B0F0"/>
        <name val="Arial Nova"/>
        <scheme val="none"/>
      </font>
      <fill>
        <patternFill patternType="solid">
          <fgColor indexed="64"/>
          <bgColor theme="0"/>
        </patternFill>
      </fill>
      <alignment horizontal="general" vertical="center" textRotation="0" wrapText="1" indent="0" justifyLastLine="0" shrinkToFit="0" readingOrder="0"/>
      <protection locked="0" hidden="0"/>
    </dxf>
  </dxfs>
  <tableStyles count="0" defaultTableStyle="TableStyleMedium2" defaultPivotStyle="PivotStyleLight16"/>
  <colors>
    <mruColors>
      <color rgb="FFB6EA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[30-Stock-Portfolio-tracker_with_vlookup_of_impact_score.xlsx]pivots!PT_INDUSTRY</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r>
              <a:rPr lang="en-US">
                <a:latin typeface="Arial Nova Cond Light" panose="020B0306020202020204" pitchFamily="34" charset="0"/>
              </a:rPr>
              <a:t>Curren</a:t>
            </a:r>
            <a:r>
              <a:rPr lang="en-US" baseline="0">
                <a:latin typeface="Arial Nova Cond Light" panose="020B0306020202020204" pitchFamily="34" charset="0"/>
              </a:rPr>
              <a:t>t </a:t>
            </a:r>
            <a:r>
              <a:rPr lang="en-US">
                <a:latin typeface="Arial Nova Cond Light" panose="020B0306020202020204" pitchFamily="34" charset="0"/>
              </a:rPr>
              <a:t>Market</a:t>
            </a:r>
            <a:r>
              <a:rPr lang="en-US" baseline="0">
                <a:latin typeface="Arial Nova Cond Light" panose="020B0306020202020204" pitchFamily="34" charset="0"/>
              </a:rPr>
              <a:t> Value (Stocks) by Industry</a:t>
            </a:r>
            <a:endParaRPr lang="en-US">
              <a:latin typeface="Arial Nova Cond Light" panose="020B0306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pivots!$A$4:$A$9</c:f>
              <c:strCache>
                <c:ptCount val="5"/>
                <c:pt idx="0">
                  <c:v>Media &amp; Publishing</c:v>
                </c:pt>
                <c:pt idx="1">
                  <c:v>Computers, Phones &amp; Household Electronics</c:v>
                </c:pt>
                <c:pt idx="2">
                  <c:v>Automobiles &amp; Auto Parts</c:v>
                </c:pt>
                <c:pt idx="3">
                  <c:v>Software &amp; IT Services</c:v>
                </c:pt>
                <c:pt idx="4">
                  <c:v>Freight &amp; Logistics Services</c:v>
                </c:pt>
              </c:strCache>
            </c:strRef>
          </c:cat>
          <c:val>
            <c:numRef>
              <c:f>pivots!$B$4:$B$9</c:f>
              <c:numCache>
                <c:formatCode>"$"#,##0</c:formatCode>
                <c:ptCount val="5"/>
                <c:pt idx="0">
                  <c:v>473.84999999999997</c:v>
                </c:pt>
                <c:pt idx="1">
                  <c:v>676.78000000000009</c:v>
                </c:pt>
                <c:pt idx="2">
                  <c:v>840.1</c:v>
                </c:pt>
                <c:pt idx="3">
                  <c:v>1589.8400000000001</c:v>
                </c:pt>
                <c:pt idx="4">
                  <c:v>3145.08</c:v>
                </c:pt>
              </c:numCache>
            </c:numRef>
          </c:val>
          <c:extLst>
            <c:ext xmlns:c16="http://schemas.microsoft.com/office/drawing/2014/chart" uri="{C3380CC4-5D6E-409C-BE32-E72D297353CC}">
              <c16:uniqueId val="{00000000-86E5-4316-8C6B-CB7734FFB63F}"/>
            </c:ext>
          </c:extLst>
        </c:ser>
        <c:dLbls>
          <c:showLegendKey val="0"/>
          <c:showVal val="0"/>
          <c:showCatName val="0"/>
          <c:showSerName val="0"/>
          <c:showPercent val="0"/>
          <c:showBubbleSize val="0"/>
        </c:dLbls>
        <c:gapWidth val="182"/>
        <c:axId val="940975375"/>
        <c:axId val="940964559"/>
      </c:barChart>
      <c:catAx>
        <c:axId val="940975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940964559"/>
        <c:crosses val="autoZero"/>
        <c:auto val="1"/>
        <c:lblAlgn val="ctr"/>
        <c:lblOffset val="100"/>
        <c:noMultiLvlLbl val="0"/>
      </c:catAx>
      <c:valAx>
        <c:axId val="940964559"/>
        <c:scaling>
          <c:orientation val="minMax"/>
        </c:scaling>
        <c:delete val="1"/>
        <c:axPos val="b"/>
        <c:numFmt formatCode="&quot;$&quot;#,##0" sourceLinked="1"/>
        <c:majorTickMark val="none"/>
        <c:minorTickMark val="none"/>
        <c:tickLblPos val="nextTo"/>
        <c:crossAx val="94097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[30-Stock-Portfolio-tracker_with_vlookup_of_impact_score.xlsx]pivots!PT_INS_TYPE</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r>
              <a:rPr lang="en-US">
                <a:latin typeface="Arial Nova Cond Light" panose="020B0306020202020204" pitchFamily="34" charset="0"/>
              </a:rPr>
              <a:t>Instrument</a:t>
            </a:r>
            <a:r>
              <a:rPr lang="en-US" baseline="0">
                <a:latin typeface="Arial Nova Cond Light" panose="020B0306020202020204" pitchFamily="34" charset="0"/>
              </a:rPr>
              <a:t> Type</a:t>
            </a:r>
            <a:endParaRPr lang="en-US">
              <a:latin typeface="Arial Nova Cond Light" panose="020B0306020202020204" pitchFamily="34" charset="0"/>
            </a:endParaRPr>
          </a:p>
        </c:rich>
      </c:tx>
      <c:layout>
        <c:manualLayout>
          <c:xMode val="edge"/>
          <c:yMode val="edge"/>
          <c:x val="0.29929560127676824"/>
          <c:y val="1.09247939170141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5"/>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solidFill>
          <a:ln w="19050">
            <a:solidFill>
              <a:schemeClr val="lt1"/>
            </a:solidFill>
          </a:ln>
          <a:effectLst/>
        </c:spPr>
      </c:pivotFmt>
      <c:pivotFmt>
        <c:idx val="9"/>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5">
              <a:shade val="65000"/>
            </a:schemeClr>
          </a:solidFill>
          <a:ln w="19050">
            <a:solidFill>
              <a:schemeClr val="lt1"/>
            </a:solidFill>
          </a:ln>
          <a:effectLst/>
        </c:spPr>
      </c:pivotFmt>
      <c:pivotFmt>
        <c:idx val="11"/>
        <c:spPr>
          <a:solidFill>
            <a:schemeClr val="accent5"/>
          </a:solidFill>
          <a:ln w="19050">
            <a:solidFill>
              <a:schemeClr val="lt1"/>
            </a:solidFill>
          </a:ln>
          <a:effectLst/>
        </c:spPr>
      </c:pivotFmt>
      <c:pivotFmt>
        <c:idx val="12"/>
        <c:spPr>
          <a:solidFill>
            <a:schemeClr val="accent5">
              <a:tint val="65000"/>
            </a:schemeClr>
          </a:solidFill>
          <a:ln w="19050">
            <a:solidFill>
              <a:schemeClr val="lt1"/>
            </a:solidFill>
          </a:ln>
          <a:effectLst/>
        </c:spPr>
      </c:pivotFmt>
      <c:pivotFmt>
        <c:idx val="13"/>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5">
              <a:shade val="65000"/>
            </a:schemeClr>
          </a:solidFill>
          <a:ln w="19050">
            <a:solidFill>
              <a:schemeClr val="lt1"/>
            </a:solidFill>
          </a:ln>
          <a:effectLst/>
        </c:spPr>
      </c:pivotFmt>
      <c:pivotFmt>
        <c:idx val="15"/>
        <c:spPr>
          <a:solidFill>
            <a:schemeClr val="accent5"/>
          </a:solidFill>
          <a:ln w="19050">
            <a:solidFill>
              <a:schemeClr val="lt1"/>
            </a:solidFill>
          </a:ln>
          <a:effectLst/>
        </c:spPr>
      </c:pivotFmt>
      <c:pivotFmt>
        <c:idx val="16"/>
        <c:spPr>
          <a:solidFill>
            <a:schemeClr val="accent5">
              <a:tint val="65000"/>
            </a:schemeClr>
          </a:solidFill>
          <a:ln w="19050">
            <a:solidFill>
              <a:schemeClr val="lt1"/>
            </a:solidFill>
          </a:ln>
          <a:effectLst/>
        </c:spPr>
      </c:pivotFmt>
      <c:pivotFmt>
        <c:idx val="17"/>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5">
              <a:shade val="65000"/>
            </a:schemeClr>
          </a:solidFill>
          <a:ln w="19050">
            <a:solidFill>
              <a:schemeClr val="lt1"/>
            </a:solidFill>
          </a:ln>
          <a:effectLst/>
        </c:spPr>
      </c:pivotFmt>
      <c:pivotFmt>
        <c:idx val="19"/>
        <c:spPr>
          <a:solidFill>
            <a:schemeClr val="accent5"/>
          </a:solidFill>
          <a:ln w="19050">
            <a:solidFill>
              <a:schemeClr val="lt1"/>
            </a:solidFill>
          </a:ln>
          <a:effectLst/>
        </c:spPr>
      </c:pivotFmt>
      <c:pivotFmt>
        <c:idx val="20"/>
        <c:spPr>
          <a:solidFill>
            <a:schemeClr val="accent5">
              <a:tint val="65000"/>
            </a:schemeClr>
          </a:solidFill>
          <a:ln w="19050">
            <a:solidFill>
              <a:schemeClr val="lt1"/>
            </a:solidFill>
          </a:ln>
          <a:effectLst/>
        </c:spPr>
      </c:pivotFmt>
      <c:pivotFmt>
        <c:idx val="2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5">
              <a:shade val="65000"/>
            </a:schemeClr>
          </a:solidFill>
          <a:ln w="19050">
            <a:solidFill>
              <a:schemeClr val="lt1"/>
            </a:solidFill>
          </a:ln>
          <a:effectLst/>
        </c:spPr>
      </c:pivotFmt>
      <c:pivotFmt>
        <c:idx val="23"/>
        <c:spPr>
          <a:solidFill>
            <a:schemeClr val="accent5"/>
          </a:solidFill>
          <a:ln w="19050">
            <a:solidFill>
              <a:schemeClr val="lt1"/>
            </a:solidFill>
          </a:ln>
          <a:effectLst/>
        </c:spPr>
      </c:pivotFmt>
      <c:pivotFmt>
        <c:idx val="24"/>
        <c:spPr>
          <a:solidFill>
            <a:schemeClr val="accent5">
              <a:tint val="65000"/>
            </a:schemeClr>
          </a:solidFill>
          <a:ln w="19050">
            <a:solidFill>
              <a:schemeClr val="lt1"/>
            </a:solidFill>
          </a:ln>
          <a:effectLst/>
        </c:spPr>
      </c:pivotFmt>
      <c:pivotFmt>
        <c:idx val="25"/>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5">
              <a:shade val="65000"/>
            </a:schemeClr>
          </a:solidFill>
          <a:ln w="19050">
            <a:solidFill>
              <a:schemeClr val="lt1"/>
            </a:solidFill>
          </a:ln>
          <a:effectLst/>
        </c:spPr>
      </c:pivotFmt>
      <c:pivotFmt>
        <c:idx val="27"/>
        <c:spPr>
          <a:solidFill>
            <a:schemeClr val="accent5"/>
          </a:solidFill>
          <a:ln w="19050">
            <a:solidFill>
              <a:schemeClr val="lt1"/>
            </a:solidFill>
          </a:ln>
          <a:effectLst/>
        </c:spPr>
      </c:pivotFmt>
      <c:pivotFmt>
        <c:idx val="28"/>
        <c:spPr>
          <a:solidFill>
            <a:schemeClr val="accent5">
              <a:tint val="65000"/>
            </a:schemeClr>
          </a:solidFill>
          <a:ln w="19050">
            <a:solidFill>
              <a:schemeClr val="lt1"/>
            </a:solidFill>
          </a:ln>
          <a:effectLst/>
        </c:spPr>
      </c:pivotFmt>
      <c:pivotFmt>
        <c:idx val="29"/>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shade val="65000"/>
            </a:schemeClr>
          </a:solidFill>
          <a:ln w="19050">
            <a:solidFill>
              <a:schemeClr val="lt1"/>
            </a:solidFill>
          </a:ln>
          <a:effectLst/>
        </c:spPr>
      </c:pivotFmt>
      <c:pivotFmt>
        <c:idx val="31"/>
        <c:spPr>
          <a:solidFill>
            <a:schemeClr val="accent5"/>
          </a:solidFill>
          <a:ln w="19050">
            <a:solidFill>
              <a:schemeClr val="lt1"/>
            </a:solidFill>
          </a:ln>
          <a:effectLst/>
        </c:spPr>
      </c:pivotFmt>
      <c:pivotFmt>
        <c:idx val="32"/>
        <c:spPr>
          <a:solidFill>
            <a:schemeClr val="accent5">
              <a:tint val="65000"/>
            </a:schemeClr>
          </a:solidFill>
          <a:ln w="19050">
            <a:solidFill>
              <a:schemeClr val="lt1"/>
            </a:solidFill>
          </a:ln>
          <a:effectLst/>
        </c:spPr>
      </c:pivotFmt>
    </c:pivotFmts>
    <c:plotArea>
      <c:layout>
        <c:manualLayout>
          <c:layoutTarget val="inner"/>
          <c:xMode val="edge"/>
          <c:yMode val="edge"/>
          <c:x val="0.24609003392517495"/>
          <c:y val="0.20730923256233746"/>
          <c:w val="0.67361288828399157"/>
          <c:h val="0.66292255647643217"/>
        </c:manualLayout>
      </c:layout>
      <c:barChart>
        <c:barDir val="bar"/>
        <c:grouping val="clustered"/>
        <c:varyColors val="0"/>
        <c:ser>
          <c:idx val="0"/>
          <c:order val="0"/>
          <c:tx>
            <c:strRef>
              <c:f>pivots!$G$3</c:f>
              <c:strCache>
                <c:ptCount val="1"/>
                <c:pt idx="0">
                  <c:v>Total</c:v>
                </c:pt>
              </c:strCache>
            </c:strRef>
          </c:tx>
          <c:spPr>
            <a:solidFill>
              <a:schemeClr val="accent5"/>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BF68-4F73-99E3-F7E70256E38B}"/>
              </c:ext>
            </c:extLst>
          </c:dPt>
          <c:dPt>
            <c:idx val="1"/>
            <c:invertIfNegative val="0"/>
            <c:bubble3D val="0"/>
            <c:spPr>
              <a:solidFill>
                <a:schemeClr val="accent5"/>
              </a:solidFill>
              <a:ln w="19050">
                <a:solidFill>
                  <a:schemeClr val="lt1"/>
                </a:solidFill>
              </a:ln>
              <a:effectLst/>
            </c:spPr>
            <c:extLst>
              <c:ext xmlns:c16="http://schemas.microsoft.com/office/drawing/2014/chart" uri="{C3380CC4-5D6E-409C-BE32-E72D297353CC}">
                <c16:uniqueId val="{00000003-BF68-4F73-99E3-F7E70256E38B}"/>
              </c:ext>
            </c:extLst>
          </c:dPt>
          <c:dPt>
            <c:idx val="2"/>
            <c:invertIfNegative val="0"/>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5-BF68-4F73-99E3-F7E70256E38B}"/>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pivots!$F$4:$F$7</c:f>
              <c:strCache>
                <c:ptCount val="3"/>
                <c:pt idx="1">
                  <c:v>ETF</c:v>
                </c:pt>
                <c:pt idx="2">
                  <c:v>Stock</c:v>
                </c:pt>
              </c:strCache>
            </c:strRef>
          </c:cat>
          <c:val>
            <c:numRef>
              <c:f>pivots!$G$4:$G$7</c:f>
              <c:numCache>
                <c:formatCode>"$"#,##0</c:formatCode>
                <c:ptCount val="3"/>
                <c:pt idx="0">
                  <c:v>0</c:v>
                </c:pt>
                <c:pt idx="1">
                  <c:v>5434.7550000000001</c:v>
                </c:pt>
                <c:pt idx="2">
                  <c:v>6725.6500000000015</c:v>
                </c:pt>
              </c:numCache>
            </c:numRef>
          </c:val>
          <c:extLst>
            <c:ext xmlns:c16="http://schemas.microsoft.com/office/drawing/2014/chart" uri="{C3380CC4-5D6E-409C-BE32-E72D297353CC}">
              <c16:uniqueId val="{00000006-BF68-4F73-99E3-F7E70256E38B}"/>
            </c:ext>
          </c:extLst>
        </c:ser>
        <c:dLbls>
          <c:showLegendKey val="0"/>
          <c:showVal val="0"/>
          <c:showCatName val="0"/>
          <c:showSerName val="0"/>
          <c:showPercent val="0"/>
          <c:showBubbleSize val="0"/>
        </c:dLbls>
        <c:gapWidth val="100"/>
        <c:axId val="554376864"/>
        <c:axId val="554388928"/>
      </c:barChart>
      <c:valAx>
        <c:axId val="554388928"/>
        <c:scaling>
          <c:orientation val="minMax"/>
        </c:scaling>
        <c:delete val="1"/>
        <c:axPos val="b"/>
        <c:numFmt formatCode="&quot;$&quot;#,##0" sourceLinked="1"/>
        <c:majorTickMark val="out"/>
        <c:minorTickMark val="none"/>
        <c:tickLblPos val="nextTo"/>
        <c:crossAx val="554376864"/>
        <c:crosses val="autoZero"/>
        <c:crossBetween val="between"/>
      </c:valAx>
      <c:catAx>
        <c:axId val="554376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889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[30-Stock-Portfolio-tracker_with_vlookup_of_impact_score.xlsx]pivots!PT_INDUSTRY</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r>
              <a:rPr lang="en-US">
                <a:latin typeface="Arial Nova Cond Light" panose="020B0306020202020204" pitchFamily="34" charset="0"/>
              </a:rPr>
              <a:t>Curren</a:t>
            </a:r>
            <a:r>
              <a:rPr lang="en-US" baseline="0">
                <a:latin typeface="Arial Nova Cond Light" panose="020B0306020202020204" pitchFamily="34" charset="0"/>
              </a:rPr>
              <a:t>t </a:t>
            </a:r>
            <a:r>
              <a:rPr lang="en-US">
                <a:latin typeface="Arial Nova Cond Light" panose="020B0306020202020204" pitchFamily="34" charset="0"/>
              </a:rPr>
              <a:t>Market</a:t>
            </a:r>
            <a:r>
              <a:rPr lang="en-US" baseline="0">
                <a:latin typeface="Arial Nova Cond Light" panose="020B0306020202020204" pitchFamily="34" charset="0"/>
              </a:rPr>
              <a:t> Value (Stocks) by Industry</a:t>
            </a:r>
            <a:endParaRPr lang="en-US">
              <a:latin typeface="Arial Nova Cond Light" panose="020B0306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pivots!$A$4:$A$9</c:f>
              <c:strCache>
                <c:ptCount val="5"/>
                <c:pt idx="0">
                  <c:v>Media &amp; Publishing</c:v>
                </c:pt>
                <c:pt idx="1">
                  <c:v>Computers, Phones &amp; Household Electronics</c:v>
                </c:pt>
                <c:pt idx="2">
                  <c:v>Automobiles &amp; Auto Parts</c:v>
                </c:pt>
                <c:pt idx="3">
                  <c:v>Software &amp; IT Services</c:v>
                </c:pt>
                <c:pt idx="4">
                  <c:v>Freight &amp; Logistics Services</c:v>
                </c:pt>
              </c:strCache>
            </c:strRef>
          </c:cat>
          <c:val>
            <c:numRef>
              <c:f>pivots!$B$4:$B$9</c:f>
              <c:numCache>
                <c:formatCode>"$"#,##0</c:formatCode>
                <c:ptCount val="5"/>
                <c:pt idx="0">
                  <c:v>473.84999999999997</c:v>
                </c:pt>
                <c:pt idx="1">
                  <c:v>676.78000000000009</c:v>
                </c:pt>
                <c:pt idx="2">
                  <c:v>840.1</c:v>
                </c:pt>
                <c:pt idx="3">
                  <c:v>1589.8400000000001</c:v>
                </c:pt>
                <c:pt idx="4">
                  <c:v>3145.08</c:v>
                </c:pt>
              </c:numCache>
            </c:numRef>
          </c:val>
          <c:extLst>
            <c:ext xmlns:c16="http://schemas.microsoft.com/office/drawing/2014/chart" uri="{C3380CC4-5D6E-409C-BE32-E72D297353CC}">
              <c16:uniqueId val="{00000000-5035-453B-B0D3-F9C202BE5AC2}"/>
            </c:ext>
          </c:extLst>
        </c:ser>
        <c:dLbls>
          <c:showLegendKey val="0"/>
          <c:showVal val="0"/>
          <c:showCatName val="0"/>
          <c:showSerName val="0"/>
          <c:showPercent val="0"/>
          <c:showBubbleSize val="0"/>
        </c:dLbls>
        <c:gapWidth val="182"/>
        <c:axId val="940975375"/>
        <c:axId val="940964559"/>
      </c:barChart>
      <c:catAx>
        <c:axId val="940975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940964559"/>
        <c:crosses val="autoZero"/>
        <c:auto val="1"/>
        <c:lblAlgn val="ctr"/>
        <c:lblOffset val="100"/>
        <c:noMultiLvlLbl val="0"/>
      </c:catAx>
      <c:valAx>
        <c:axId val="940964559"/>
        <c:scaling>
          <c:orientation val="minMax"/>
        </c:scaling>
        <c:delete val="1"/>
        <c:axPos val="b"/>
        <c:numFmt formatCode="&quot;$&quot;#,##0" sourceLinked="1"/>
        <c:majorTickMark val="none"/>
        <c:minorTickMark val="none"/>
        <c:tickLblPos val="nextTo"/>
        <c:crossAx val="94097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[30-Stock-Portfolio-tracker_with_vlookup_of_impact_score.xlsx]pivots!PT_INS_TYPE</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r>
              <a:rPr lang="en-US">
                <a:latin typeface="Arial Nova Cond Light" panose="020B0306020202020204" pitchFamily="34" charset="0"/>
              </a:rPr>
              <a:t>Instrument</a:t>
            </a:r>
            <a:r>
              <a:rPr lang="en-US" baseline="0">
                <a:latin typeface="Arial Nova Cond Light" panose="020B0306020202020204" pitchFamily="34" charset="0"/>
              </a:rPr>
              <a:t> Type</a:t>
            </a:r>
            <a:endParaRPr lang="en-US">
              <a:latin typeface="Arial Nova Cond Light" panose="020B0306020202020204" pitchFamily="34" charset="0"/>
            </a:endParaRPr>
          </a:p>
        </c:rich>
      </c:tx>
      <c:layout>
        <c:manualLayout>
          <c:xMode val="edge"/>
          <c:yMode val="edge"/>
          <c:x val="0.29929560127676824"/>
          <c:y val="1.09247939170141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ova Cond Light" panose="020B0306020202020204" pitchFamily="34" charset="0"/>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5"/>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solidFill>
          <a:ln w="19050">
            <a:solidFill>
              <a:schemeClr val="lt1"/>
            </a:solidFill>
          </a:ln>
          <a:effectLst/>
        </c:spPr>
      </c:pivotFmt>
      <c:pivotFmt>
        <c:idx val="9"/>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5">
              <a:shade val="65000"/>
            </a:schemeClr>
          </a:solidFill>
          <a:ln w="19050">
            <a:solidFill>
              <a:schemeClr val="lt1"/>
            </a:solidFill>
          </a:ln>
          <a:effectLst/>
        </c:spPr>
      </c:pivotFmt>
      <c:pivotFmt>
        <c:idx val="11"/>
        <c:spPr>
          <a:solidFill>
            <a:schemeClr val="accent5"/>
          </a:solidFill>
          <a:ln w="19050">
            <a:solidFill>
              <a:schemeClr val="lt1"/>
            </a:solidFill>
          </a:ln>
          <a:effectLst/>
        </c:spPr>
      </c:pivotFmt>
      <c:pivotFmt>
        <c:idx val="12"/>
        <c:spPr>
          <a:solidFill>
            <a:schemeClr val="accent5">
              <a:tint val="65000"/>
            </a:schemeClr>
          </a:solidFill>
          <a:ln w="19050">
            <a:solidFill>
              <a:schemeClr val="lt1"/>
            </a:solidFill>
          </a:ln>
          <a:effectLst/>
        </c:spPr>
      </c:pivotFmt>
      <c:pivotFmt>
        <c:idx val="13"/>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5">
              <a:shade val="65000"/>
            </a:schemeClr>
          </a:solidFill>
          <a:ln w="19050">
            <a:solidFill>
              <a:schemeClr val="lt1"/>
            </a:solidFill>
          </a:ln>
          <a:effectLst/>
        </c:spPr>
      </c:pivotFmt>
      <c:pivotFmt>
        <c:idx val="15"/>
        <c:spPr>
          <a:solidFill>
            <a:schemeClr val="accent5"/>
          </a:solidFill>
          <a:ln w="19050">
            <a:solidFill>
              <a:schemeClr val="lt1"/>
            </a:solidFill>
          </a:ln>
          <a:effectLst/>
        </c:spPr>
      </c:pivotFmt>
      <c:pivotFmt>
        <c:idx val="16"/>
        <c:spPr>
          <a:solidFill>
            <a:schemeClr val="accent5">
              <a:tint val="65000"/>
            </a:schemeClr>
          </a:solidFill>
          <a:ln w="19050">
            <a:solidFill>
              <a:schemeClr val="lt1"/>
            </a:solidFill>
          </a:ln>
          <a:effectLst/>
        </c:spPr>
      </c:pivotFmt>
      <c:pivotFmt>
        <c:idx val="17"/>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5">
              <a:shade val="65000"/>
            </a:schemeClr>
          </a:solidFill>
          <a:ln w="19050">
            <a:solidFill>
              <a:schemeClr val="lt1"/>
            </a:solidFill>
          </a:ln>
          <a:effectLst/>
        </c:spPr>
      </c:pivotFmt>
      <c:pivotFmt>
        <c:idx val="19"/>
        <c:spPr>
          <a:solidFill>
            <a:schemeClr val="accent5"/>
          </a:solidFill>
          <a:ln w="19050">
            <a:solidFill>
              <a:schemeClr val="lt1"/>
            </a:solidFill>
          </a:ln>
          <a:effectLst/>
        </c:spPr>
      </c:pivotFmt>
      <c:pivotFmt>
        <c:idx val="20"/>
        <c:spPr>
          <a:solidFill>
            <a:schemeClr val="accent5">
              <a:tint val="65000"/>
            </a:schemeClr>
          </a:solidFill>
          <a:ln w="19050">
            <a:solidFill>
              <a:schemeClr val="lt1"/>
            </a:solidFill>
          </a:ln>
          <a:effectLst/>
        </c:spPr>
      </c:pivotFmt>
      <c:pivotFmt>
        <c:idx val="2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5">
              <a:shade val="65000"/>
            </a:schemeClr>
          </a:solidFill>
          <a:ln w="19050">
            <a:solidFill>
              <a:schemeClr val="lt1"/>
            </a:solidFill>
          </a:ln>
          <a:effectLst/>
        </c:spPr>
      </c:pivotFmt>
      <c:pivotFmt>
        <c:idx val="23"/>
        <c:spPr>
          <a:solidFill>
            <a:schemeClr val="accent5"/>
          </a:solidFill>
          <a:ln w="19050">
            <a:solidFill>
              <a:schemeClr val="lt1"/>
            </a:solidFill>
          </a:ln>
          <a:effectLst/>
        </c:spPr>
      </c:pivotFmt>
      <c:pivotFmt>
        <c:idx val="24"/>
        <c:spPr>
          <a:solidFill>
            <a:schemeClr val="accent5">
              <a:tint val="65000"/>
            </a:schemeClr>
          </a:solidFill>
          <a:ln w="19050">
            <a:solidFill>
              <a:schemeClr val="lt1"/>
            </a:solidFill>
          </a:ln>
          <a:effectLst/>
        </c:spPr>
      </c:pivotFmt>
      <c:pivotFmt>
        <c:idx val="25"/>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5">
              <a:shade val="65000"/>
            </a:schemeClr>
          </a:solidFill>
          <a:ln w="19050">
            <a:solidFill>
              <a:schemeClr val="lt1"/>
            </a:solidFill>
          </a:ln>
          <a:effectLst/>
        </c:spPr>
      </c:pivotFmt>
      <c:pivotFmt>
        <c:idx val="27"/>
        <c:spPr>
          <a:solidFill>
            <a:schemeClr val="accent5"/>
          </a:solidFill>
          <a:ln w="19050">
            <a:solidFill>
              <a:schemeClr val="lt1"/>
            </a:solidFill>
          </a:ln>
          <a:effectLst/>
        </c:spPr>
      </c:pivotFmt>
      <c:pivotFmt>
        <c:idx val="28"/>
        <c:spPr>
          <a:solidFill>
            <a:schemeClr val="accent5">
              <a:tint val="65000"/>
            </a:schemeClr>
          </a:solidFill>
          <a:ln w="19050">
            <a:solidFill>
              <a:schemeClr val="lt1"/>
            </a:solidFill>
          </a:ln>
          <a:effectLst/>
        </c:spPr>
      </c:pivotFmt>
      <c:pivotFmt>
        <c:idx val="29"/>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shade val="65000"/>
            </a:schemeClr>
          </a:solidFill>
          <a:ln w="19050">
            <a:solidFill>
              <a:schemeClr val="lt1"/>
            </a:solidFill>
          </a:ln>
          <a:effectLst/>
        </c:spPr>
      </c:pivotFmt>
      <c:pivotFmt>
        <c:idx val="31"/>
        <c:spPr>
          <a:solidFill>
            <a:schemeClr val="accent5"/>
          </a:solidFill>
          <a:ln w="19050">
            <a:solidFill>
              <a:schemeClr val="lt1"/>
            </a:solidFill>
          </a:ln>
          <a:effectLst/>
        </c:spPr>
      </c:pivotFmt>
      <c:pivotFmt>
        <c:idx val="32"/>
        <c:spPr>
          <a:solidFill>
            <a:schemeClr val="accent5">
              <a:tint val="65000"/>
            </a:schemeClr>
          </a:solidFill>
          <a:ln w="19050">
            <a:solidFill>
              <a:schemeClr val="lt1"/>
            </a:solidFill>
          </a:ln>
          <a:effectLst/>
        </c:spPr>
      </c:pivotFmt>
      <c:pivotFmt>
        <c:idx val="33"/>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w="19050">
            <a:solidFill>
              <a:schemeClr val="lt1"/>
            </a:solidFill>
          </a:ln>
          <a:effectLst/>
        </c:spPr>
      </c:pivotFmt>
      <c:pivotFmt>
        <c:idx val="35"/>
        <c:spPr>
          <a:solidFill>
            <a:schemeClr val="accent5">
              <a:tint val="65000"/>
            </a:schemeClr>
          </a:solidFill>
          <a:ln w="19050">
            <a:solidFill>
              <a:schemeClr val="lt1"/>
            </a:solidFill>
          </a:ln>
          <a:effectLst/>
        </c:spPr>
      </c:pivotFmt>
      <c:pivotFmt>
        <c:idx val="36"/>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solidFill>
          <a:ln w="19050">
            <a:solidFill>
              <a:schemeClr val="lt1"/>
            </a:solidFill>
          </a:ln>
          <a:effectLst/>
        </c:spPr>
      </c:pivotFmt>
      <c:pivotFmt>
        <c:idx val="38"/>
        <c:spPr>
          <a:solidFill>
            <a:schemeClr val="accent5">
              <a:tint val="65000"/>
            </a:schemeClr>
          </a:solidFill>
          <a:ln w="19050">
            <a:solidFill>
              <a:schemeClr val="lt1"/>
            </a:solidFill>
          </a:ln>
          <a:effectLst/>
        </c:spPr>
      </c:pivotFmt>
    </c:pivotFmts>
    <c:plotArea>
      <c:layout>
        <c:manualLayout>
          <c:layoutTarget val="inner"/>
          <c:xMode val="edge"/>
          <c:yMode val="edge"/>
          <c:x val="0.24609003392517495"/>
          <c:y val="0.20730923256233746"/>
          <c:w val="0.67361288828399157"/>
          <c:h val="0.66292255647643217"/>
        </c:manualLayout>
      </c:layout>
      <c:barChart>
        <c:barDir val="bar"/>
        <c:grouping val="clustered"/>
        <c:varyColors val="0"/>
        <c:ser>
          <c:idx val="0"/>
          <c:order val="0"/>
          <c:tx>
            <c:strRef>
              <c:f>pivots!$G$3</c:f>
              <c:strCache>
                <c:ptCount val="1"/>
                <c:pt idx="0">
                  <c:v>Total</c:v>
                </c:pt>
              </c:strCache>
            </c:strRef>
          </c:tx>
          <c:spPr>
            <a:solidFill>
              <a:schemeClr val="accent5"/>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0-0C66-4E61-A374-B368075C63CD}"/>
              </c:ext>
            </c:extLst>
          </c:dPt>
          <c:dPt>
            <c:idx val="1"/>
            <c:invertIfNegative val="0"/>
            <c:bubble3D val="0"/>
            <c:spPr>
              <a:solidFill>
                <a:schemeClr val="accent5"/>
              </a:solidFill>
              <a:ln w="19050">
                <a:solidFill>
                  <a:schemeClr val="lt1"/>
                </a:solidFill>
              </a:ln>
              <a:effectLst/>
            </c:spPr>
            <c:extLst>
              <c:ext xmlns:c16="http://schemas.microsoft.com/office/drawing/2014/chart" uri="{C3380CC4-5D6E-409C-BE32-E72D297353CC}">
                <c16:uniqueId val="{00000002-0C66-4E61-A374-B368075C63CD}"/>
              </c:ext>
            </c:extLst>
          </c:dPt>
          <c:dPt>
            <c:idx val="2"/>
            <c:invertIfNegative val="0"/>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4-0C66-4E61-A374-B368075C63CD}"/>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ova Cond Light" panose="020B0306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pivots!$F$4:$F$7</c:f>
              <c:strCache>
                <c:ptCount val="3"/>
                <c:pt idx="1">
                  <c:v>ETF</c:v>
                </c:pt>
                <c:pt idx="2">
                  <c:v>Stock</c:v>
                </c:pt>
              </c:strCache>
            </c:strRef>
          </c:cat>
          <c:val>
            <c:numRef>
              <c:f>pivots!$G$4:$G$7</c:f>
              <c:numCache>
                <c:formatCode>"$"#,##0</c:formatCode>
                <c:ptCount val="3"/>
                <c:pt idx="0">
                  <c:v>0</c:v>
                </c:pt>
                <c:pt idx="1">
                  <c:v>5434.7550000000001</c:v>
                </c:pt>
                <c:pt idx="2">
                  <c:v>6725.6500000000015</c:v>
                </c:pt>
              </c:numCache>
            </c:numRef>
          </c:val>
          <c:extLst>
            <c:ext xmlns:c16="http://schemas.microsoft.com/office/drawing/2014/chart" uri="{C3380CC4-5D6E-409C-BE32-E72D297353CC}">
              <c16:uniqueId val="{00000005-0C66-4E61-A374-B368075C63CD}"/>
            </c:ext>
          </c:extLst>
        </c:ser>
        <c:dLbls>
          <c:showLegendKey val="0"/>
          <c:showVal val="0"/>
          <c:showCatName val="0"/>
          <c:showSerName val="0"/>
          <c:showPercent val="0"/>
          <c:showBubbleSize val="0"/>
        </c:dLbls>
        <c:gapWidth val="100"/>
        <c:axId val="554376864"/>
        <c:axId val="554388928"/>
      </c:barChart>
      <c:valAx>
        <c:axId val="554388928"/>
        <c:scaling>
          <c:orientation val="minMax"/>
        </c:scaling>
        <c:delete val="1"/>
        <c:axPos val="b"/>
        <c:numFmt formatCode="&quot;$&quot;#,##0" sourceLinked="1"/>
        <c:majorTickMark val="out"/>
        <c:minorTickMark val="none"/>
        <c:tickLblPos val="nextTo"/>
        <c:crossAx val="554376864"/>
        <c:crosses val="autoZero"/>
        <c:crossBetween val="between"/>
      </c:valAx>
      <c:catAx>
        <c:axId val="554376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889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76200</xdr:colOff>
      <xdr:row>16</xdr:row>
      <xdr:rowOff>47819</xdr:rowOff>
    </xdr:from>
    <xdr:to>
      <xdr:col>4</xdr:col>
      <xdr:colOff>533400</xdr:colOff>
      <xdr:row>25</xdr:row>
      <xdr:rowOff>241465</xdr:rowOff>
    </xdr:to>
    <xdr:graphicFrame macro="">
      <xdr:nvGraphicFramePr>
        <xdr:cNvPr id="4" name="Chart 3">
          <a:extLst>
            <a:ext uri="{FF2B5EF4-FFF2-40B4-BE49-F238E27FC236}">
              <a16:creationId xmlns:a16="http://schemas.microsoft.com/office/drawing/2014/main" id="{94134C3B-4AD8-4EB9-9FF6-4087F9F577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56570</xdr:colOff>
      <xdr:row>3</xdr:row>
      <xdr:rowOff>75951</xdr:rowOff>
    </xdr:from>
    <xdr:to>
      <xdr:col>0</xdr:col>
      <xdr:colOff>1318011</xdr:colOff>
      <xdr:row>4</xdr:row>
      <xdr:rowOff>212532</xdr:rowOff>
    </xdr:to>
    <xdr:sp macro="" textlink="C_CURR_VALUE">
      <xdr:nvSpPr>
        <xdr:cNvPr id="5" name="Rectangle: Rounded Corners 4">
          <a:extLst>
            <a:ext uri="{FF2B5EF4-FFF2-40B4-BE49-F238E27FC236}">
              <a16:creationId xmlns:a16="http://schemas.microsoft.com/office/drawing/2014/main" id="{945EC216-D33C-4FE6-9082-4D8DDDC782CA}"/>
            </a:ext>
          </a:extLst>
        </xdr:cNvPr>
        <xdr:cNvSpPr>
          <a:spLocks noChangeAspect="1"/>
        </xdr:cNvSpPr>
      </xdr:nvSpPr>
      <xdr:spPr>
        <a:xfrm>
          <a:off x="60380" y="1114176"/>
          <a:ext cx="1253821" cy="408996"/>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BC9A7A4-9C25-4A4F-B533-4AD0D6DE5B35}" type="TxLink">
            <a:rPr lang="en-US" sz="1600" b="0" i="0" u="none" strike="noStrike">
              <a:solidFill>
                <a:schemeClr val="bg1"/>
              </a:solidFill>
              <a:latin typeface="HP Simplified"/>
            </a:rPr>
            <a:pPr algn="ctr"/>
            <a:t>$3,849 </a:t>
          </a:fld>
          <a:endParaRPr lang="en-US" sz="1600">
            <a:solidFill>
              <a:schemeClr val="bg1"/>
            </a:solidFill>
          </a:endParaRPr>
        </a:p>
      </xdr:txBody>
    </xdr:sp>
    <xdr:clientData/>
  </xdr:twoCellAnchor>
  <xdr:twoCellAnchor>
    <xdr:from>
      <xdr:col>0</xdr:col>
      <xdr:colOff>1333500</xdr:colOff>
      <xdr:row>10</xdr:row>
      <xdr:rowOff>191908</xdr:rowOff>
    </xdr:from>
    <xdr:to>
      <xdr:col>4</xdr:col>
      <xdr:colOff>91440</xdr:colOff>
      <xdr:row>17</xdr:row>
      <xdr:rowOff>51336</xdr:rowOff>
    </xdr:to>
    <xdr:graphicFrame macro="">
      <xdr:nvGraphicFramePr>
        <xdr:cNvPr id="6" name="Chart 5">
          <a:extLst>
            <a:ext uri="{FF2B5EF4-FFF2-40B4-BE49-F238E27FC236}">
              <a16:creationId xmlns:a16="http://schemas.microsoft.com/office/drawing/2014/main" id="{1667D072-8E12-4F4F-B2A4-0AA0240947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92269</xdr:colOff>
      <xdr:row>10</xdr:row>
      <xdr:rowOff>208804</xdr:rowOff>
    </xdr:from>
    <xdr:to>
      <xdr:col>0</xdr:col>
      <xdr:colOff>1349900</xdr:colOff>
      <xdr:row>12</xdr:row>
      <xdr:rowOff>40585</xdr:rowOff>
    </xdr:to>
    <xdr:sp macro="" textlink="C_CASH_AVL">
      <xdr:nvSpPr>
        <xdr:cNvPr id="8" name="Rectangle: Rounded Corners 7">
          <a:extLst>
            <a:ext uri="{FF2B5EF4-FFF2-40B4-BE49-F238E27FC236}">
              <a16:creationId xmlns:a16="http://schemas.microsoft.com/office/drawing/2014/main" id="{634A19DD-7012-4220-B5D5-894BC894C60C}"/>
            </a:ext>
          </a:extLst>
        </xdr:cNvPr>
        <xdr:cNvSpPr>
          <a:spLocks noChangeAspect="1"/>
        </xdr:cNvSpPr>
      </xdr:nvSpPr>
      <xdr:spPr>
        <a:xfrm>
          <a:off x="84649" y="3190129"/>
          <a:ext cx="1257631" cy="374706"/>
        </a:xfrm>
        <a:prstGeom prst="round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B0C32FF-7334-4959-B2E2-4DC031C826A1}" type="TxLink">
            <a:rPr lang="en-US" sz="1600" b="0" i="0" u="none" strike="noStrike">
              <a:solidFill>
                <a:schemeClr val="bg1"/>
              </a:solidFill>
              <a:latin typeface="HP Simplified"/>
              <a:ea typeface="+mn-ea"/>
              <a:cs typeface="+mn-cs"/>
            </a:rPr>
            <a:pPr marL="0" indent="0" algn="ctr"/>
            <a:t>$8,616</a:t>
          </a:fld>
          <a:endParaRPr lang="en-US" sz="1600" b="0" i="0" u="none" strike="noStrike">
            <a:solidFill>
              <a:schemeClr val="bg1"/>
            </a:solidFill>
            <a:latin typeface="HP Simplified"/>
            <a:ea typeface="+mn-ea"/>
            <a:cs typeface="+mn-cs"/>
          </a:endParaRPr>
        </a:p>
      </xdr:txBody>
    </xdr:sp>
    <xdr:clientData/>
  </xdr:twoCellAnchor>
  <xdr:twoCellAnchor>
    <xdr:from>
      <xdr:col>0</xdr:col>
      <xdr:colOff>65020</xdr:colOff>
      <xdr:row>10</xdr:row>
      <xdr:rowOff>19050</xdr:rowOff>
    </xdr:from>
    <xdr:to>
      <xdr:col>0</xdr:col>
      <xdr:colOff>1316936</xdr:colOff>
      <xdr:row>10</xdr:row>
      <xdr:rowOff>180396</xdr:rowOff>
    </xdr:to>
    <xdr:sp macro="" textlink="C_CASH_AVL">
      <xdr:nvSpPr>
        <xdr:cNvPr id="9" name="Rectangle: Rounded Corners 8">
          <a:extLst>
            <a:ext uri="{FF2B5EF4-FFF2-40B4-BE49-F238E27FC236}">
              <a16:creationId xmlns:a16="http://schemas.microsoft.com/office/drawing/2014/main" id="{1E41DC7F-5DEB-48DC-B6EF-762883461C98}"/>
            </a:ext>
          </a:extLst>
        </xdr:cNvPr>
        <xdr:cNvSpPr/>
      </xdr:nvSpPr>
      <xdr:spPr>
        <a:xfrm>
          <a:off x="65020" y="3343275"/>
          <a:ext cx="1251916" cy="16134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0" i="0" u="none" strike="noStrike">
              <a:solidFill>
                <a:srgbClr val="7030A0"/>
              </a:solidFill>
              <a:latin typeface="HP Simplified"/>
              <a:ea typeface="+mn-ea"/>
              <a:cs typeface="+mn-cs"/>
            </a:rPr>
            <a:t>CASH</a:t>
          </a:r>
        </a:p>
      </xdr:txBody>
    </xdr:sp>
    <xdr:clientData/>
  </xdr:twoCellAnchor>
  <xdr:twoCellAnchor>
    <xdr:from>
      <xdr:col>0</xdr:col>
      <xdr:colOff>9526</xdr:colOff>
      <xdr:row>2</xdr:row>
      <xdr:rowOff>43815</xdr:rowOff>
    </xdr:from>
    <xdr:to>
      <xdr:col>0</xdr:col>
      <xdr:colOff>1419226</xdr:colOff>
      <xdr:row>3</xdr:row>
      <xdr:rowOff>76200</xdr:rowOff>
    </xdr:to>
    <xdr:sp macro="" textlink="C_CASH_AVL">
      <xdr:nvSpPr>
        <xdr:cNvPr id="10" name="Rectangle: Rounded Corners 9">
          <a:extLst>
            <a:ext uri="{FF2B5EF4-FFF2-40B4-BE49-F238E27FC236}">
              <a16:creationId xmlns:a16="http://schemas.microsoft.com/office/drawing/2014/main" id="{4286D7CD-180C-46BA-92DC-546127327743}"/>
            </a:ext>
          </a:extLst>
        </xdr:cNvPr>
        <xdr:cNvSpPr/>
      </xdr:nvSpPr>
      <xdr:spPr>
        <a:xfrm>
          <a:off x="9526" y="1272540"/>
          <a:ext cx="1409700" cy="30861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0" i="0" u="none" strike="noStrike">
              <a:solidFill>
                <a:srgbClr val="00B0F0"/>
              </a:solidFill>
              <a:latin typeface="HP Simplified"/>
              <a:ea typeface="+mn-ea"/>
              <a:cs typeface="+mn-cs"/>
            </a:rPr>
            <a:t>MARKET VALUE</a:t>
          </a:r>
        </a:p>
      </xdr:txBody>
    </xdr:sp>
    <xdr:clientData/>
  </xdr:twoCellAnchor>
  <xdr:twoCellAnchor editAs="absolute">
    <xdr:from>
      <xdr:col>0</xdr:col>
      <xdr:colOff>55245</xdr:colOff>
      <xdr:row>7</xdr:row>
      <xdr:rowOff>17145</xdr:rowOff>
    </xdr:from>
    <xdr:to>
      <xdr:col>0</xdr:col>
      <xdr:colOff>1312876</xdr:colOff>
      <xdr:row>8</xdr:row>
      <xdr:rowOff>136581</xdr:rowOff>
    </xdr:to>
    <xdr:sp macro="" textlink="C_TOT_GAINLOSS">
      <xdr:nvSpPr>
        <xdr:cNvPr id="11" name="Rectangle: Rounded Corners 10">
          <a:extLst>
            <a:ext uri="{FF2B5EF4-FFF2-40B4-BE49-F238E27FC236}">
              <a16:creationId xmlns:a16="http://schemas.microsoft.com/office/drawing/2014/main" id="{659494AE-690C-46E2-8D3B-6114417B871E}"/>
            </a:ext>
          </a:extLst>
        </xdr:cNvPr>
        <xdr:cNvSpPr>
          <a:spLocks noChangeAspect="1"/>
        </xdr:cNvSpPr>
      </xdr:nvSpPr>
      <xdr:spPr>
        <a:xfrm>
          <a:off x="68580" y="2169795"/>
          <a:ext cx="1253821" cy="389946"/>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0CDD302-3D62-4A46-A2CA-A3FBAFF4890C}" type="TxLink">
            <a:rPr lang="en-US" sz="1600" b="0" i="0" u="none" strike="noStrike">
              <a:solidFill>
                <a:schemeClr val="bg1">
                  <a:lumMod val="95000"/>
                </a:schemeClr>
              </a:solidFill>
              <a:latin typeface="HP Simplified"/>
              <a:ea typeface="+mn-ea"/>
              <a:cs typeface="+mn-cs"/>
            </a:rPr>
            <a:pPr marL="0" indent="0" algn="ctr"/>
            <a:t>$2,465</a:t>
          </a:fld>
          <a:endParaRPr lang="en-US" sz="1600" b="0" i="0" u="none" strike="noStrike">
            <a:solidFill>
              <a:schemeClr val="bg1">
                <a:lumMod val="95000"/>
              </a:schemeClr>
            </a:solidFill>
            <a:latin typeface="HP Simplified"/>
            <a:ea typeface="+mn-ea"/>
            <a:cs typeface="+mn-cs"/>
          </a:endParaRPr>
        </a:p>
      </xdr:txBody>
    </xdr:sp>
    <xdr:clientData/>
  </xdr:twoCellAnchor>
  <xdr:twoCellAnchor>
    <xdr:from>
      <xdr:col>0</xdr:col>
      <xdr:colOff>15240</xdr:colOff>
      <xdr:row>5</xdr:row>
      <xdr:rowOff>20954</xdr:rowOff>
    </xdr:from>
    <xdr:to>
      <xdr:col>0</xdr:col>
      <xdr:colOff>1386840</xdr:colOff>
      <xdr:row>7</xdr:row>
      <xdr:rowOff>81915</xdr:rowOff>
    </xdr:to>
    <xdr:sp macro="" textlink="C_CASH_AVL">
      <xdr:nvSpPr>
        <xdr:cNvPr id="12" name="Rectangle: Rounded Corners 11">
          <a:extLst>
            <a:ext uri="{FF2B5EF4-FFF2-40B4-BE49-F238E27FC236}">
              <a16:creationId xmlns:a16="http://schemas.microsoft.com/office/drawing/2014/main" id="{2273F4D4-FFE5-48D0-A46D-0A7538A93562}"/>
            </a:ext>
          </a:extLst>
        </xdr:cNvPr>
        <xdr:cNvSpPr/>
      </xdr:nvSpPr>
      <xdr:spPr>
        <a:xfrm>
          <a:off x="15240" y="2078354"/>
          <a:ext cx="1371600" cy="61341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0" i="0" u="none" strike="noStrike">
              <a:solidFill>
                <a:srgbClr val="00B0F0"/>
              </a:solidFill>
              <a:latin typeface="HP Simplified"/>
              <a:ea typeface="+mn-ea"/>
              <a:cs typeface="+mn-cs"/>
            </a:rPr>
            <a:t>TOTAL GAIN/LOSS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16</xdr:row>
      <xdr:rowOff>47819</xdr:rowOff>
    </xdr:from>
    <xdr:to>
      <xdr:col>4</xdr:col>
      <xdr:colOff>533400</xdr:colOff>
      <xdr:row>25</xdr:row>
      <xdr:rowOff>241465</xdr:rowOff>
    </xdr:to>
    <xdr:graphicFrame macro="">
      <xdr:nvGraphicFramePr>
        <xdr:cNvPr id="2" name="Chart 1">
          <a:extLst>
            <a:ext uri="{FF2B5EF4-FFF2-40B4-BE49-F238E27FC236}">
              <a16:creationId xmlns:a16="http://schemas.microsoft.com/office/drawing/2014/main" id="{076F7958-E1C7-4B3C-A9C4-5B9A94756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56570</xdr:colOff>
      <xdr:row>3</xdr:row>
      <xdr:rowOff>75951</xdr:rowOff>
    </xdr:from>
    <xdr:to>
      <xdr:col>0</xdr:col>
      <xdr:colOff>1318011</xdr:colOff>
      <xdr:row>4</xdr:row>
      <xdr:rowOff>212532</xdr:rowOff>
    </xdr:to>
    <xdr:sp macro="" textlink="C_CURR_VALUE">
      <xdr:nvSpPr>
        <xdr:cNvPr id="3" name="Rectangle: Rounded Corners 2">
          <a:extLst>
            <a:ext uri="{FF2B5EF4-FFF2-40B4-BE49-F238E27FC236}">
              <a16:creationId xmlns:a16="http://schemas.microsoft.com/office/drawing/2014/main" id="{F6EB65D1-E720-4CDB-8AC8-9D1A006C4FEE}"/>
            </a:ext>
          </a:extLst>
        </xdr:cNvPr>
        <xdr:cNvSpPr>
          <a:spLocks noChangeAspect="1"/>
        </xdr:cNvSpPr>
      </xdr:nvSpPr>
      <xdr:spPr>
        <a:xfrm>
          <a:off x="56570" y="1112271"/>
          <a:ext cx="1261441" cy="410901"/>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BC9A7A4-9C25-4A4F-B533-4AD0D6DE5B35}" type="TxLink">
            <a:rPr lang="en-US" sz="1600" b="0" i="0" u="none" strike="noStrike">
              <a:solidFill>
                <a:schemeClr val="bg1"/>
              </a:solidFill>
              <a:latin typeface="HP Simplified"/>
            </a:rPr>
            <a:pPr algn="ctr"/>
            <a:t>$3,849 </a:t>
          </a:fld>
          <a:endParaRPr lang="en-US" sz="1600">
            <a:solidFill>
              <a:schemeClr val="bg1"/>
            </a:solidFill>
          </a:endParaRPr>
        </a:p>
      </xdr:txBody>
    </xdr:sp>
    <xdr:clientData/>
  </xdr:twoCellAnchor>
  <xdr:twoCellAnchor>
    <xdr:from>
      <xdr:col>0</xdr:col>
      <xdr:colOff>1333500</xdr:colOff>
      <xdr:row>10</xdr:row>
      <xdr:rowOff>191908</xdr:rowOff>
    </xdr:from>
    <xdr:to>
      <xdr:col>4</xdr:col>
      <xdr:colOff>91440</xdr:colOff>
      <xdr:row>17</xdr:row>
      <xdr:rowOff>51336</xdr:rowOff>
    </xdr:to>
    <xdr:graphicFrame macro="">
      <xdr:nvGraphicFramePr>
        <xdr:cNvPr id="4" name="Chart 3">
          <a:extLst>
            <a:ext uri="{FF2B5EF4-FFF2-40B4-BE49-F238E27FC236}">
              <a16:creationId xmlns:a16="http://schemas.microsoft.com/office/drawing/2014/main" id="{EB14FC78-4E94-4900-99B1-80FBFA8F7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92269</xdr:colOff>
      <xdr:row>10</xdr:row>
      <xdr:rowOff>208804</xdr:rowOff>
    </xdr:from>
    <xdr:to>
      <xdr:col>0</xdr:col>
      <xdr:colOff>1349900</xdr:colOff>
      <xdr:row>12</xdr:row>
      <xdr:rowOff>40585</xdr:rowOff>
    </xdr:to>
    <xdr:sp macro="" textlink="C_CASH_AVL">
      <xdr:nvSpPr>
        <xdr:cNvPr id="5" name="Rectangle: Rounded Corners 4">
          <a:extLst>
            <a:ext uri="{FF2B5EF4-FFF2-40B4-BE49-F238E27FC236}">
              <a16:creationId xmlns:a16="http://schemas.microsoft.com/office/drawing/2014/main" id="{36CD09E5-0F90-44CA-905E-925ECB85B6DC}"/>
            </a:ext>
          </a:extLst>
        </xdr:cNvPr>
        <xdr:cNvSpPr>
          <a:spLocks noChangeAspect="1"/>
        </xdr:cNvSpPr>
      </xdr:nvSpPr>
      <xdr:spPr>
        <a:xfrm>
          <a:off x="92269" y="3165364"/>
          <a:ext cx="1257631" cy="380421"/>
        </a:xfrm>
        <a:prstGeom prst="round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B0C32FF-7334-4959-B2E2-4DC031C826A1}" type="TxLink">
            <a:rPr lang="en-US" sz="1600" b="0" i="0" u="none" strike="noStrike">
              <a:solidFill>
                <a:schemeClr val="bg1"/>
              </a:solidFill>
              <a:latin typeface="HP Simplified"/>
              <a:ea typeface="+mn-ea"/>
              <a:cs typeface="+mn-cs"/>
            </a:rPr>
            <a:pPr marL="0" indent="0" algn="ctr"/>
            <a:t>$8,616</a:t>
          </a:fld>
          <a:endParaRPr lang="en-US" sz="1600" b="0" i="0" u="none" strike="noStrike">
            <a:solidFill>
              <a:schemeClr val="bg1"/>
            </a:solidFill>
            <a:latin typeface="HP Simplified"/>
            <a:ea typeface="+mn-ea"/>
            <a:cs typeface="+mn-cs"/>
          </a:endParaRPr>
        </a:p>
      </xdr:txBody>
    </xdr:sp>
    <xdr:clientData/>
  </xdr:twoCellAnchor>
  <xdr:twoCellAnchor>
    <xdr:from>
      <xdr:col>0</xdr:col>
      <xdr:colOff>65020</xdr:colOff>
      <xdr:row>10</xdr:row>
      <xdr:rowOff>19050</xdr:rowOff>
    </xdr:from>
    <xdr:to>
      <xdr:col>0</xdr:col>
      <xdr:colOff>1316936</xdr:colOff>
      <xdr:row>10</xdr:row>
      <xdr:rowOff>180396</xdr:rowOff>
    </xdr:to>
    <xdr:sp macro="" textlink="C_CASH_AVL">
      <xdr:nvSpPr>
        <xdr:cNvPr id="6" name="Rectangle: Rounded Corners 5">
          <a:extLst>
            <a:ext uri="{FF2B5EF4-FFF2-40B4-BE49-F238E27FC236}">
              <a16:creationId xmlns:a16="http://schemas.microsoft.com/office/drawing/2014/main" id="{04C1BAEF-1CAD-4711-912C-657DEF87FDC7}"/>
            </a:ext>
          </a:extLst>
        </xdr:cNvPr>
        <xdr:cNvSpPr/>
      </xdr:nvSpPr>
      <xdr:spPr>
        <a:xfrm>
          <a:off x="65020" y="2975610"/>
          <a:ext cx="1251916" cy="16134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600" b="0" i="0" u="none" strike="noStrike">
              <a:solidFill>
                <a:srgbClr val="7030A0"/>
              </a:solidFill>
              <a:latin typeface="HP Simplified"/>
              <a:ea typeface="+mn-ea"/>
              <a:cs typeface="+mn-cs"/>
            </a:rPr>
            <a:t>CASH</a:t>
          </a:r>
        </a:p>
      </xdr:txBody>
    </xdr:sp>
    <xdr:clientData/>
  </xdr:twoCellAnchor>
  <xdr:twoCellAnchor>
    <xdr:from>
      <xdr:col>0</xdr:col>
      <xdr:colOff>9526</xdr:colOff>
      <xdr:row>2</xdr:row>
      <xdr:rowOff>43815</xdr:rowOff>
    </xdr:from>
    <xdr:to>
      <xdr:col>0</xdr:col>
      <xdr:colOff>1419226</xdr:colOff>
      <xdr:row>3</xdr:row>
      <xdr:rowOff>76200</xdr:rowOff>
    </xdr:to>
    <xdr:sp macro="" textlink="C_CASH_AVL">
      <xdr:nvSpPr>
        <xdr:cNvPr id="7" name="Rectangle: Rounded Corners 6">
          <a:extLst>
            <a:ext uri="{FF2B5EF4-FFF2-40B4-BE49-F238E27FC236}">
              <a16:creationId xmlns:a16="http://schemas.microsoft.com/office/drawing/2014/main" id="{E6F13EC1-1B43-46ED-A673-BEF8E1AB8935}"/>
            </a:ext>
          </a:extLst>
        </xdr:cNvPr>
        <xdr:cNvSpPr/>
      </xdr:nvSpPr>
      <xdr:spPr>
        <a:xfrm>
          <a:off x="9526" y="805815"/>
          <a:ext cx="1409700" cy="30670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0" i="0" u="none" strike="noStrike">
              <a:solidFill>
                <a:srgbClr val="00B0F0"/>
              </a:solidFill>
              <a:latin typeface="HP Simplified"/>
              <a:ea typeface="+mn-ea"/>
              <a:cs typeface="+mn-cs"/>
            </a:rPr>
            <a:t>MARKET VALUE</a:t>
          </a:r>
        </a:p>
      </xdr:txBody>
    </xdr:sp>
    <xdr:clientData/>
  </xdr:twoCellAnchor>
  <xdr:twoCellAnchor editAs="absolute">
    <xdr:from>
      <xdr:col>0</xdr:col>
      <xdr:colOff>55245</xdr:colOff>
      <xdr:row>7</xdr:row>
      <xdr:rowOff>17145</xdr:rowOff>
    </xdr:from>
    <xdr:to>
      <xdr:col>0</xdr:col>
      <xdr:colOff>1312876</xdr:colOff>
      <xdr:row>8</xdr:row>
      <xdr:rowOff>136581</xdr:rowOff>
    </xdr:to>
    <xdr:sp macro="" textlink="C_TOT_GAINLOSS">
      <xdr:nvSpPr>
        <xdr:cNvPr id="8" name="Rectangle: Rounded Corners 7">
          <a:extLst>
            <a:ext uri="{FF2B5EF4-FFF2-40B4-BE49-F238E27FC236}">
              <a16:creationId xmlns:a16="http://schemas.microsoft.com/office/drawing/2014/main" id="{C990BBB1-2295-48E0-AE2B-0C946EF0F7A2}"/>
            </a:ext>
          </a:extLst>
        </xdr:cNvPr>
        <xdr:cNvSpPr>
          <a:spLocks noChangeAspect="1"/>
        </xdr:cNvSpPr>
      </xdr:nvSpPr>
      <xdr:spPr>
        <a:xfrm>
          <a:off x="55245" y="2150745"/>
          <a:ext cx="1257631" cy="393756"/>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0CDD302-3D62-4A46-A2CA-A3FBAFF4890C}" type="TxLink">
            <a:rPr lang="en-US" sz="1600" b="0" i="0" u="none" strike="noStrike">
              <a:solidFill>
                <a:schemeClr val="bg1">
                  <a:lumMod val="95000"/>
                </a:schemeClr>
              </a:solidFill>
              <a:latin typeface="HP Simplified"/>
              <a:ea typeface="+mn-ea"/>
              <a:cs typeface="+mn-cs"/>
            </a:rPr>
            <a:pPr marL="0" indent="0" algn="ctr"/>
            <a:t>$2,465</a:t>
          </a:fld>
          <a:endParaRPr lang="en-US" sz="1600" b="0" i="0" u="none" strike="noStrike">
            <a:solidFill>
              <a:schemeClr val="bg1">
                <a:lumMod val="95000"/>
              </a:schemeClr>
            </a:solidFill>
            <a:latin typeface="HP Simplified"/>
            <a:ea typeface="+mn-ea"/>
            <a:cs typeface="+mn-cs"/>
          </a:endParaRPr>
        </a:p>
      </xdr:txBody>
    </xdr:sp>
    <xdr:clientData/>
  </xdr:twoCellAnchor>
  <xdr:twoCellAnchor>
    <xdr:from>
      <xdr:col>0</xdr:col>
      <xdr:colOff>15240</xdr:colOff>
      <xdr:row>5</xdr:row>
      <xdr:rowOff>20954</xdr:rowOff>
    </xdr:from>
    <xdr:to>
      <xdr:col>0</xdr:col>
      <xdr:colOff>1386840</xdr:colOff>
      <xdr:row>7</xdr:row>
      <xdr:rowOff>81915</xdr:rowOff>
    </xdr:to>
    <xdr:sp macro="" textlink="C_CASH_AVL">
      <xdr:nvSpPr>
        <xdr:cNvPr id="9" name="Rectangle: Rounded Corners 8">
          <a:extLst>
            <a:ext uri="{FF2B5EF4-FFF2-40B4-BE49-F238E27FC236}">
              <a16:creationId xmlns:a16="http://schemas.microsoft.com/office/drawing/2014/main" id="{F03E4185-6B11-41F9-9C08-CA73ABA896FF}"/>
            </a:ext>
          </a:extLst>
        </xdr:cNvPr>
        <xdr:cNvSpPr/>
      </xdr:nvSpPr>
      <xdr:spPr>
        <a:xfrm>
          <a:off x="15240" y="1605914"/>
          <a:ext cx="1371600" cy="60960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0" i="0" u="none" strike="noStrike">
              <a:solidFill>
                <a:srgbClr val="00B0F0"/>
              </a:solidFill>
              <a:latin typeface="HP Simplified"/>
              <a:ea typeface="+mn-ea"/>
              <a:cs typeface="+mn-cs"/>
            </a:rPr>
            <a:t>TOTAL GAIN/LOSS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574</xdr:colOff>
      <xdr:row>0</xdr:row>
      <xdr:rowOff>0</xdr:rowOff>
    </xdr:from>
    <xdr:to>
      <xdr:col>8</xdr:col>
      <xdr:colOff>552118</xdr:colOff>
      <xdr:row>11</xdr:row>
      <xdr:rowOff>69989</xdr:rowOff>
    </xdr:to>
    <xdr:sp macro="" textlink="">
      <xdr:nvSpPr>
        <xdr:cNvPr id="2" name="Rectangle: Rounded Corners 2">
          <a:extLst>
            <a:ext uri="{FF2B5EF4-FFF2-40B4-BE49-F238E27FC236}">
              <a16:creationId xmlns:a16="http://schemas.microsoft.com/office/drawing/2014/main" id="{75BA2692-53B4-AC4F-9E61-73161E0A1034}"/>
            </a:ext>
          </a:extLst>
        </xdr:cNvPr>
        <xdr:cNvSpPr/>
      </xdr:nvSpPr>
      <xdr:spPr>
        <a:xfrm>
          <a:off x="574" y="0"/>
          <a:ext cx="7155544" cy="2165489"/>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US" sz="1400">
              <a:solidFill>
                <a:srgbClr val="FFFF00"/>
              </a:solidFill>
              <a:effectLst/>
              <a:latin typeface="Arial Nova Cond Light" panose="020B0306020202020204" pitchFamily="34" charset="0"/>
              <a:ea typeface="+mn-ea"/>
              <a:cs typeface="+mn-cs"/>
            </a:rPr>
            <a:t>Transaction Types</a:t>
          </a:r>
        </a:p>
        <a:p>
          <a:pPr lvl="0"/>
          <a:r>
            <a:rPr lang="en-US" sz="1400">
              <a:solidFill>
                <a:schemeClr val="lt1"/>
              </a:solidFill>
              <a:effectLst/>
              <a:latin typeface="Arial Nova Cond Light" panose="020B0306020202020204" pitchFamily="34" charset="0"/>
              <a:ea typeface="+mn-ea"/>
              <a:cs typeface="+mn-cs"/>
            </a:rPr>
            <a:t>1. </a:t>
          </a:r>
          <a:r>
            <a:rPr lang="en-US" sz="1400" b="0">
              <a:solidFill>
                <a:srgbClr val="FFFF00"/>
              </a:solidFill>
              <a:effectLst/>
              <a:latin typeface="Arial Nova Cond Light" panose="020B0306020202020204" pitchFamily="34" charset="0"/>
              <a:ea typeface="+mn-ea"/>
              <a:cs typeface="+mn-cs"/>
            </a:rPr>
            <a:t>Buy</a:t>
          </a:r>
          <a:r>
            <a:rPr lang="en-US" sz="1400" b="0">
              <a:solidFill>
                <a:schemeClr val="lt1"/>
              </a:solidFill>
              <a:effectLst/>
              <a:latin typeface="Arial Nova Cond Light" panose="020B0306020202020204" pitchFamily="34" charset="0"/>
              <a:ea typeface="+mn-ea"/>
              <a:cs typeface="+mn-cs"/>
            </a:rPr>
            <a:t>:</a:t>
          </a:r>
          <a:r>
            <a:rPr lang="en-US" sz="1400">
              <a:solidFill>
                <a:schemeClr val="lt1"/>
              </a:solidFill>
              <a:effectLst/>
              <a:latin typeface="Arial Nova Cond Light" panose="020B0306020202020204" pitchFamily="34" charset="0"/>
              <a:ea typeface="+mn-ea"/>
              <a:cs typeface="+mn-cs"/>
            </a:rPr>
            <a:t> When buying a stock – Reduces Cash balance.</a:t>
          </a:r>
          <a:r>
            <a:rPr lang="en-US" sz="1400" baseline="0">
              <a:solidFill>
                <a:schemeClr val="lt1"/>
              </a:solidFill>
              <a:effectLst/>
              <a:latin typeface="Arial Nova Cond Light" panose="020B0306020202020204" pitchFamily="34" charset="0"/>
              <a:ea typeface="+mn-ea"/>
              <a:cs typeface="+mn-cs"/>
            </a:rPr>
            <a:t> I</a:t>
          </a:r>
          <a:r>
            <a:rPr lang="en-US" sz="1400">
              <a:solidFill>
                <a:schemeClr val="lt1"/>
              </a:solidFill>
              <a:effectLst/>
              <a:latin typeface="Arial Nova Cond Light" panose="020B0306020202020204" pitchFamily="34" charset="0"/>
              <a:ea typeface="+mn-ea"/>
              <a:cs typeface="+mn-cs"/>
            </a:rPr>
            <a:t>ncreases</a:t>
          </a:r>
          <a:r>
            <a:rPr lang="en-US" sz="1400" baseline="0">
              <a:solidFill>
                <a:schemeClr val="lt1"/>
              </a:solidFill>
              <a:effectLst/>
              <a:latin typeface="Arial Nova Cond Light" panose="020B0306020202020204" pitchFamily="34" charset="0"/>
              <a:ea typeface="+mn-ea"/>
              <a:cs typeface="+mn-cs"/>
            </a:rPr>
            <a:t> </a:t>
          </a:r>
          <a:r>
            <a:rPr lang="en-US" sz="1400">
              <a:solidFill>
                <a:schemeClr val="lt1"/>
              </a:solidFill>
              <a:effectLst/>
              <a:latin typeface="Arial Nova Cond Light" panose="020B0306020202020204" pitchFamily="34" charset="0"/>
              <a:ea typeface="+mn-ea"/>
              <a:cs typeface="+mn-cs"/>
            </a:rPr>
            <a:t>stock quantity &amp; Value</a:t>
          </a:r>
        </a:p>
        <a:p>
          <a:pPr lvl="0"/>
          <a:r>
            <a:rPr lang="en-US" sz="1400">
              <a:solidFill>
                <a:schemeClr val="lt1"/>
              </a:solidFill>
              <a:effectLst/>
              <a:latin typeface="Arial Nova Cond Light" panose="020B0306020202020204" pitchFamily="34" charset="0"/>
              <a:ea typeface="+mn-ea"/>
              <a:cs typeface="+mn-cs"/>
            </a:rPr>
            <a:t>2. </a:t>
          </a:r>
          <a:r>
            <a:rPr lang="en-US" sz="1400">
              <a:solidFill>
                <a:srgbClr val="FFFF00"/>
              </a:solidFill>
              <a:effectLst/>
              <a:latin typeface="Arial Nova Cond Light" panose="020B0306020202020204" pitchFamily="34" charset="0"/>
              <a:ea typeface="+mn-ea"/>
              <a:cs typeface="+mn-cs"/>
            </a:rPr>
            <a:t>Sell:</a:t>
          </a:r>
          <a:r>
            <a:rPr lang="en-US" sz="1400">
              <a:solidFill>
                <a:schemeClr val="lt1"/>
              </a:solidFill>
              <a:effectLst/>
              <a:latin typeface="Arial Nova Cond Light" panose="020B0306020202020204" pitchFamily="34" charset="0"/>
              <a:ea typeface="+mn-ea"/>
              <a:cs typeface="+mn-cs"/>
            </a:rPr>
            <a:t> When selling a stock - Increases Cash balance.</a:t>
          </a:r>
          <a:r>
            <a:rPr lang="en-US" sz="1400" baseline="0">
              <a:solidFill>
                <a:schemeClr val="lt1"/>
              </a:solidFill>
              <a:effectLst/>
              <a:latin typeface="Arial Nova Cond Light" panose="020B0306020202020204" pitchFamily="34" charset="0"/>
              <a:ea typeface="+mn-ea"/>
              <a:cs typeface="+mn-cs"/>
            </a:rPr>
            <a:t> D</a:t>
          </a:r>
          <a:r>
            <a:rPr lang="en-US" sz="1400">
              <a:solidFill>
                <a:schemeClr val="lt1"/>
              </a:solidFill>
              <a:effectLst/>
              <a:latin typeface="Arial Nova Cond Light" panose="020B0306020202020204" pitchFamily="34" charset="0"/>
              <a:ea typeface="+mn-ea"/>
              <a:cs typeface="+mn-cs"/>
            </a:rPr>
            <a:t>ecreases stock quantity and Value</a:t>
          </a:r>
        </a:p>
        <a:p>
          <a:pPr lvl="0"/>
          <a:r>
            <a:rPr lang="en-US" sz="1400">
              <a:solidFill>
                <a:schemeClr val="lt1"/>
              </a:solidFill>
              <a:effectLst/>
              <a:latin typeface="Arial Nova Cond Light" panose="020B0306020202020204" pitchFamily="34" charset="0"/>
              <a:ea typeface="+mn-ea"/>
              <a:cs typeface="+mn-cs"/>
            </a:rPr>
            <a:t>3. </a:t>
          </a:r>
          <a:r>
            <a:rPr lang="en-US" sz="1400">
              <a:solidFill>
                <a:srgbClr val="FFFF00"/>
              </a:solidFill>
              <a:effectLst/>
              <a:latin typeface="Arial Nova Cond Light" panose="020B0306020202020204" pitchFamily="34" charset="0"/>
              <a:ea typeface="+mn-ea"/>
              <a:cs typeface="+mn-cs"/>
            </a:rPr>
            <a:t>Cash Deposit:</a:t>
          </a:r>
          <a:r>
            <a:rPr lang="en-US" sz="1400">
              <a:solidFill>
                <a:schemeClr val="lt1"/>
              </a:solidFill>
              <a:effectLst/>
              <a:latin typeface="Arial Nova Cond Light" panose="020B0306020202020204" pitchFamily="34" charset="0"/>
              <a:ea typeface="+mn-ea"/>
              <a:cs typeface="+mn-cs"/>
            </a:rPr>
            <a:t> When adding Cash from external accounts into stock management platform</a:t>
          </a:r>
        </a:p>
        <a:p>
          <a:pPr lvl="0"/>
          <a:r>
            <a:rPr lang="en-US" sz="1400">
              <a:solidFill>
                <a:schemeClr val="lt1"/>
              </a:solidFill>
              <a:effectLst/>
              <a:latin typeface="Arial Nova Cond Light" panose="020B0306020202020204" pitchFamily="34" charset="0"/>
              <a:ea typeface="+mn-ea"/>
              <a:cs typeface="+mn-cs"/>
            </a:rPr>
            <a:t>4. </a:t>
          </a:r>
          <a:r>
            <a:rPr lang="en-US" sz="1400">
              <a:solidFill>
                <a:srgbClr val="FFFF00"/>
              </a:solidFill>
              <a:effectLst/>
              <a:latin typeface="Arial Nova Cond Light" panose="020B0306020202020204" pitchFamily="34" charset="0"/>
              <a:ea typeface="+mn-ea"/>
              <a:cs typeface="+mn-cs"/>
            </a:rPr>
            <a:t>Cash Withdrawal:</a:t>
          </a:r>
          <a:r>
            <a:rPr lang="en-US" sz="1400" baseline="0">
              <a:solidFill>
                <a:schemeClr val="lt1"/>
              </a:solidFill>
              <a:effectLst/>
              <a:latin typeface="Arial Nova Cond Light" panose="020B0306020202020204" pitchFamily="34" charset="0"/>
              <a:ea typeface="+mn-ea"/>
              <a:cs typeface="+mn-cs"/>
            </a:rPr>
            <a:t> </a:t>
          </a:r>
          <a:r>
            <a:rPr lang="en-US" sz="1400">
              <a:solidFill>
                <a:schemeClr val="lt1"/>
              </a:solidFill>
              <a:effectLst/>
              <a:latin typeface="Arial Nova Cond Light" panose="020B0306020202020204" pitchFamily="34" charset="0"/>
              <a:ea typeface="+mn-ea"/>
              <a:cs typeface="+mn-cs"/>
            </a:rPr>
            <a:t>When taking Cash from Stock Management platform to external account </a:t>
          </a:r>
        </a:p>
        <a:p>
          <a:pPr lvl="0"/>
          <a:r>
            <a:rPr lang="en-US" sz="1400">
              <a:solidFill>
                <a:schemeClr val="lt1"/>
              </a:solidFill>
              <a:effectLst/>
              <a:latin typeface="Arial Nova Cond Light" panose="020B0306020202020204" pitchFamily="34" charset="0"/>
              <a:ea typeface="+mn-ea"/>
              <a:cs typeface="+mn-cs"/>
            </a:rPr>
            <a:t>5. </a:t>
          </a:r>
          <a:r>
            <a:rPr lang="en-US" sz="1400">
              <a:solidFill>
                <a:srgbClr val="FFFF00"/>
              </a:solidFill>
              <a:effectLst/>
              <a:latin typeface="Arial Nova Cond Light" panose="020B0306020202020204" pitchFamily="34" charset="0"/>
              <a:ea typeface="+mn-ea"/>
              <a:cs typeface="+mn-cs"/>
            </a:rPr>
            <a:t>Fees:</a:t>
          </a:r>
          <a:r>
            <a:rPr lang="en-US" sz="1400">
              <a:solidFill>
                <a:schemeClr val="lt1"/>
              </a:solidFill>
              <a:effectLst/>
              <a:latin typeface="Arial Nova Cond Light" panose="020B0306020202020204" pitchFamily="34" charset="0"/>
              <a:ea typeface="+mn-ea"/>
              <a:cs typeface="+mn-cs"/>
            </a:rPr>
            <a:t> When any fees are applied which reduces money from your Cash balance</a:t>
          </a:r>
        </a:p>
        <a:p>
          <a:pPr lvl="0"/>
          <a:r>
            <a:rPr lang="en-US" sz="1400">
              <a:solidFill>
                <a:schemeClr val="lt1"/>
              </a:solidFill>
              <a:effectLst/>
              <a:latin typeface="Arial Nova Cond Light" panose="020B0306020202020204" pitchFamily="34" charset="0"/>
              <a:ea typeface="+mn-ea"/>
              <a:cs typeface="+mn-cs"/>
            </a:rPr>
            <a:t>6. </a:t>
          </a:r>
          <a:r>
            <a:rPr lang="en-US" sz="1400">
              <a:solidFill>
                <a:srgbClr val="FFFF00"/>
              </a:solidFill>
              <a:effectLst/>
              <a:latin typeface="Arial Nova Cond Light" panose="020B0306020202020204" pitchFamily="34" charset="0"/>
              <a:ea typeface="+mn-ea"/>
              <a:cs typeface="+mn-cs"/>
            </a:rPr>
            <a:t>Dividend Payout:</a:t>
          </a:r>
          <a:r>
            <a:rPr lang="en-US" sz="1400">
              <a:solidFill>
                <a:schemeClr val="lt1"/>
              </a:solidFill>
              <a:effectLst/>
              <a:latin typeface="Arial Nova Cond Light" panose="020B0306020202020204" pitchFamily="34" charset="0"/>
              <a:ea typeface="+mn-ea"/>
              <a:cs typeface="+mn-cs"/>
            </a:rPr>
            <a:t> When Dividend is issued that increases money in your Cash Balance</a:t>
          </a:r>
        </a:p>
        <a:p>
          <a:pPr lvl="0"/>
          <a:r>
            <a:rPr lang="en-US" sz="1400">
              <a:solidFill>
                <a:schemeClr val="lt1"/>
              </a:solidFill>
              <a:effectLst/>
              <a:latin typeface="Arial Nova Cond Light" panose="020B0306020202020204" pitchFamily="34" charset="0"/>
              <a:ea typeface="+mn-ea"/>
              <a:cs typeface="+mn-cs"/>
            </a:rPr>
            <a:t>7. </a:t>
          </a:r>
          <a:r>
            <a:rPr lang="en-US" sz="1400">
              <a:solidFill>
                <a:srgbClr val="FFFF00"/>
              </a:solidFill>
              <a:effectLst/>
              <a:latin typeface="Arial Nova Cond Light" panose="020B0306020202020204" pitchFamily="34" charset="0"/>
              <a:ea typeface="+mn-ea"/>
              <a:cs typeface="+mn-cs"/>
            </a:rPr>
            <a:t>Dividend Reinvestment:</a:t>
          </a:r>
          <a:r>
            <a:rPr lang="en-US" sz="1400" baseline="0">
              <a:solidFill>
                <a:schemeClr val="lt1"/>
              </a:solidFill>
              <a:effectLst/>
              <a:latin typeface="Arial Nova Cond Light" panose="020B0306020202020204" pitchFamily="34" charset="0"/>
              <a:ea typeface="+mn-ea"/>
              <a:cs typeface="+mn-cs"/>
            </a:rPr>
            <a:t> </a:t>
          </a:r>
          <a:r>
            <a:rPr lang="en-US" sz="1400">
              <a:solidFill>
                <a:schemeClr val="lt1"/>
              </a:solidFill>
              <a:effectLst/>
              <a:latin typeface="Arial Nova Cond Light" panose="020B0306020202020204" pitchFamily="34" charset="0"/>
              <a:ea typeface="+mn-ea"/>
              <a:cs typeface="+mn-cs"/>
            </a:rPr>
            <a:t>When Dividend is issued as stocks. Increases stock quantity &amp; value. </a:t>
          </a:r>
        </a:p>
        <a:p>
          <a:pPr algn="l"/>
          <a:endParaRPr lang="en-US" sz="1400">
            <a:latin typeface="Arial Nova Cond Light" panose="020B0306020202020204" pitchFamily="34" charset="0"/>
          </a:endParaRPr>
        </a:p>
      </xdr:txBody>
    </xdr:sp>
    <xdr:clientData/>
  </xdr:twoCellAnchor>
  <xdr:twoCellAnchor>
    <xdr:from>
      <xdr:col>0</xdr:col>
      <xdr:colOff>0</xdr:colOff>
      <xdr:row>12</xdr:row>
      <xdr:rowOff>72640</xdr:rowOff>
    </xdr:from>
    <xdr:to>
      <xdr:col>8</xdr:col>
      <xdr:colOff>590218</xdr:colOff>
      <xdr:row>26</xdr:row>
      <xdr:rowOff>97157</xdr:rowOff>
    </xdr:to>
    <xdr:sp macro="" textlink="">
      <xdr:nvSpPr>
        <xdr:cNvPr id="3" name="Rectangle: Rounded Corners 6">
          <a:extLst>
            <a:ext uri="{FF2B5EF4-FFF2-40B4-BE49-F238E27FC236}">
              <a16:creationId xmlns:a16="http://schemas.microsoft.com/office/drawing/2014/main" id="{DB87BD17-DED2-3C4F-8FDA-B45B51E70F68}"/>
            </a:ext>
          </a:extLst>
        </xdr:cNvPr>
        <xdr:cNvSpPr/>
      </xdr:nvSpPr>
      <xdr:spPr>
        <a:xfrm>
          <a:off x="0" y="2358640"/>
          <a:ext cx="7194218" cy="2691517"/>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US" sz="1400">
              <a:solidFill>
                <a:srgbClr val="FFFF00"/>
              </a:solidFill>
              <a:effectLst/>
              <a:latin typeface="Arial Nova Cond Light" panose="020B0306020202020204" pitchFamily="34" charset="0"/>
              <a:ea typeface="+mn-ea"/>
              <a:cs typeface="+mn-cs"/>
            </a:rPr>
            <a:t>Calculations</a:t>
          </a:r>
        </a:p>
        <a:p>
          <a:pPr lvl="0"/>
          <a:r>
            <a:rPr lang="en-US" sz="1400">
              <a:solidFill>
                <a:srgbClr val="FFFF00"/>
              </a:solidFill>
              <a:effectLst/>
              <a:latin typeface="Arial Nova Cond Light" panose="020B0306020202020204" pitchFamily="34" charset="0"/>
              <a:ea typeface="+mn-ea"/>
              <a:cs typeface="+mn-cs"/>
            </a:rPr>
            <a:t>Current Quantity </a:t>
          </a:r>
          <a:r>
            <a:rPr lang="en-US" sz="1400">
              <a:solidFill>
                <a:schemeClr val="lt1"/>
              </a:solidFill>
              <a:effectLst/>
              <a:latin typeface="Arial Nova Cond Light" panose="020B0306020202020204" pitchFamily="34" charset="0"/>
              <a:ea typeface="+mn-ea"/>
              <a:cs typeface="+mn-cs"/>
            </a:rPr>
            <a:t>= Quantity Bought – Quantity Sold + Quantity Dividend Reinvestment</a:t>
          </a:r>
        </a:p>
        <a:p>
          <a:pPr lvl="0"/>
          <a:r>
            <a:rPr lang="en-US" sz="1400">
              <a:solidFill>
                <a:srgbClr val="FFFF00"/>
              </a:solidFill>
              <a:effectLst/>
              <a:latin typeface="Arial Nova Cond Light" panose="020B0306020202020204" pitchFamily="34" charset="0"/>
              <a:ea typeface="+mn-ea"/>
              <a:cs typeface="+mn-cs"/>
            </a:rPr>
            <a:t>Current Value </a:t>
          </a:r>
          <a:r>
            <a:rPr lang="en-US" sz="1400">
              <a:solidFill>
                <a:schemeClr val="lt1"/>
              </a:solidFill>
              <a:effectLst/>
              <a:latin typeface="Arial Nova Cond Light" panose="020B0306020202020204" pitchFamily="34" charset="0"/>
              <a:ea typeface="+mn-ea"/>
              <a:cs typeface="+mn-cs"/>
            </a:rPr>
            <a:t>= Current Quantity * Last Price of Stock</a:t>
          </a:r>
        </a:p>
        <a:p>
          <a:pPr lvl="0"/>
          <a:r>
            <a:rPr lang="en-US" sz="1400">
              <a:solidFill>
                <a:srgbClr val="FFFF00"/>
              </a:solidFill>
              <a:effectLst/>
              <a:latin typeface="Arial Nova Cond Light" panose="020B0306020202020204" pitchFamily="34" charset="0"/>
              <a:ea typeface="+mn-ea"/>
              <a:cs typeface="+mn-cs"/>
            </a:rPr>
            <a:t>Today’s Gain/Loss </a:t>
          </a:r>
          <a:r>
            <a:rPr lang="en-US" sz="1400">
              <a:solidFill>
                <a:schemeClr val="lt1"/>
              </a:solidFill>
              <a:effectLst/>
              <a:latin typeface="Arial Nova Cond Light" panose="020B0306020202020204" pitchFamily="34" charset="0"/>
              <a:ea typeface="+mn-ea"/>
              <a:cs typeface="+mn-cs"/>
            </a:rPr>
            <a:t>= Current Value – (Previous Close * Current Quantity)</a:t>
          </a:r>
        </a:p>
        <a:p>
          <a:pPr lvl="0"/>
          <a:r>
            <a:rPr lang="en-US" sz="1400">
              <a:solidFill>
                <a:srgbClr val="FFFF00"/>
              </a:solidFill>
              <a:effectLst/>
              <a:latin typeface="Arial Nova Cond Light" panose="020B0306020202020204" pitchFamily="34" charset="0"/>
              <a:ea typeface="+mn-ea"/>
              <a:cs typeface="+mn-cs"/>
            </a:rPr>
            <a:t>% Today’s Gain/Loss</a:t>
          </a:r>
          <a:r>
            <a:rPr lang="en-US" sz="1400">
              <a:solidFill>
                <a:schemeClr val="lt1"/>
              </a:solidFill>
              <a:effectLst/>
              <a:latin typeface="Arial Nova Cond Light" panose="020B0306020202020204" pitchFamily="34" charset="0"/>
              <a:ea typeface="+mn-ea"/>
              <a:cs typeface="+mn-cs"/>
            </a:rPr>
            <a:t> = Today’s Gain/Loss / (Current Value - Today's Gain/Loss)</a:t>
          </a:r>
        </a:p>
        <a:p>
          <a:pPr lvl="0"/>
          <a:r>
            <a:rPr lang="en-US" sz="1400">
              <a:solidFill>
                <a:srgbClr val="FFFF00"/>
              </a:solidFill>
              <a:effectLst/>
              <a:latin typeface="Arial Nova Cond Light" panose="020B0306020202020204" pitchFamily="34" charset="0"/>
              <a:ea typeface="+mn-ea"/>
              <a:cs typeface="+mn-cs"/>
            </a:rPr>
            <a:t>Total Gain/Loss</a:t>
          </a:r>
          <a:r>
            <a:rPr lang="en-US" sz="1400">
              <a:solidFill>
                <a:schemeClr val="lt1"/>
              </a:solidFill>
              <a:effectLst/>
              <a:latin typeface="Arial Nova Cond Light" panose="020B0306020202020204" pitchFamily="34" charset="0"/>
              <a:ea typeface="+mn-ea"/>
              <a:cs typeface="+mn-cs"/>
            </a:rPr>
            <a:t> = Current Value – Invested Amount</a:t>
          </a:r>
        </a:p>
        <a:p>
          <a:pPr lvl="0"/>
          <a:r>
            <a:rPr lang="en-US" sz="1400">
              <a:solidFill>
                <a:srgbClr val="FFFF00"/>
              </a:solidFill>
              <a:effectLst/>
              <a:latin typeface="Arial Nova Cond Light" panose="020B0306020202020204" pitchFamily="34" charset="0"/>
              <a:ea typeface="+mn-ea"/>
              <a:cs typeface="+mn-cs"/>
            </a:rPr>
            <a:t>Invested Amount </a:t>
          </a:r>
          <a:r>
            <a:rPr lang="en-US" sz="1400">
              <a:solidFill>
                <a:schemeClr val="lt1"/>
              </a:solidFill>
              <a:effectLst/>
              <a:latin typeface="Arial Nova Cond Light" panose="020B0306020202020204" pitchFamily="34" charset="0"/>
              <a:ea typeface="+mn-ea"/>
              <a:cs typeface="+mn-cs"/>
            </a:rPr>
            <a:t>= Total Amount used to buy the stock – Total Amount used to sell the stock</a:t>
          </a:r>
        </a:p>
        <a:p>
          <a:pPr lvl="0"/>
          <a:r>
            <a:rPr lang="en-US" sz="1400">
              <a:solidFill>
                <a:srgbClr val="FFFF00"/>
              </a:solidFill>
              <a:effectLst/>
              <a:latin typeface="Arial Nova Cond Light" panose="020B0306020202020204" pitchFamily="34" charset="0"/>
              <a:ea typeface="+mn-ea"/>
              <a:cs typeface="+mn-cs"/>
            </a:rPr>
            <a:t>% Total Gain/Loss</a:t>
          </a:r>
          <a:r>
            <a:rPr lang="en-US" sz="1400">
              <a:solidFill>
                <a:schemeClr val="lt1"/>
              </a:solidFill>
              <a:effectLst/>
              <a:latin typeface="Arial Nova Cond Light" panose="020B0306020202020204" pitchFamily="34" charset="0"/>
              <a:ea typeface="+mn-ea"/>
              <a:cs typeface="+mn-cs"/>
            </a:rPr>
            <a:t> = Total Gain/Loss / Invested Amount</a:t>
          </a:r>
        </a:p>
        <a:p>
          <a:pPr lvl="0"/>
          <a:r>
            <a:rPr lang="en-US" sz="1400">
              <a:solidFill>
                <a:srgbClr val="FFFF00"/>
              </a:solidFill>
              <a:effectLst/>
              <a:latin typeface="Arial Nova Cond Light" panose="020B0306020202020204" pitchFamily="34" charset="0"/>
              <a:ea typeface="+mn-ea"/>
              <a:cs typeface="+mn-cs"/>
            </a:rPr>
            <a:t>Cash Available </a:t>
          </a:r>
          <a:r>
            <a:rPr lang="en-US" sz="1400">
              <a:solidFill>
                <a:schemeClr val="lt1"/>
              </a:solidFill>
              <a:effectLst/>
              <a:latin typeface="Arial Nova Cond Light" panose="020B0306020202020204" pitchFamily="34" charset="0"/>
              <a:ea typeface="+mn-ea"/>
              <a:cs typeface="+mn-cs"/>
            </a:rPr>
            <a:t>= Starting Cash Balance - Total Amount used to Buy Stock – Cash Withdrawal – Fees + Total Amount of Selling stock + Cash Deposit + Dividend Payout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nnis R" refreshedDate="44936.798101388886" createdVersion="7" refreshedVersion="8" minRefreshableVersion="3" recordCount="100" xr:uid="{649052A6-5A7E-410F-841D-19BEDE34AF58}">
  <cacheSource type="worksheet">
    <worksheetSource name="T_WATCHLIST"/>
  </cacheSource>
  <cacheFields count="21">
    <cacheField name="Stock" numFmtId="0">
      <sharedItems/>
    </cacheField>
    <cacheField name="Symbol" numFmtId="0">
      <sharedItems/>
    </cacheField>
    <cacheField name="Quantity" numFmtId="0">
      <sharedItems containsMixedTypes="1" containsNumber="1" minValue="5" maxValue="11"/>
    </cacheField>
    <cacheField name="Last Price" numFmtId="0">
      <sharedItems containsMixedTypes="1" containsNumber="1" minValue="24.125" maxValue="324.05"/>
    </cacheField>
    <cacheField name="Change " numFmtId="2">
      <sharedItems containsMixedTypes="1" containsNumber="1" minValue="0.16500000000000001" maxValue="6.71"/>
    </cacheField>
    <cacheField name="% Change" numFmtId="10">
      <sharedItems containsMixedTypes="1" containsNumber="1" minValue="2.245E-3" maxValue="5.9348999999999999E-2"/>
    </cacheField>
    <cacheField name="Current Value" numFmtId="44">
      <sharedItems containsMixedTypes="1" containsNumber="1" minValue="241.25" maxValue="3240.5"/>
    </cacheField>
    <cacheField name="Today's Gain/Loss" numFmtId="164">
      <sharedItems containsMixedTypes="1" containsNumber="1" minValue="1.6499999999999773" maxValue="40.099999999999909"/>
    </cacheField>
    <cacheField name="% Today's Gain/Loss" numFmtId="10">
      <sharedItems containsMixedTypes="1" containsNumber="1" minValue="2.2451211789763763E-3" maxValue="5.9349018220414065E-2"/>
    </cacheField>
    <cacheField name="Total Gain/Loss" numFmtId="44">
      <sharedItems containsMixedTypes="1" containsNumber="1" minValue="-27.199999999999989" maxValue="797.85000000000014"/>
    </cacheField>
    <cacheField name="% Total Gain/Loss" numFmtId="165">
      <sharedItems containsMixedTypes="1" containsNumber="1" minValue="-5.4285999401257341E-2" maxValue="0.93144977168949783"/>
    </cacheField>
    <cacheField name="52 Week Low" numFmtId="2">
      <sharedItems containsMixedTypes="1" containsNumber="1" minValue="21.434999999999999" maxValue="291.61500000000001"/>
    </cacheField>
    <cacheField name="52 week range" numFmtId="0">
      <sharedItems/>
    </cacheField>
    <cacheField name="52 Week High" numFmtId="2">
      <sharedItems containsMixedTypes="1" containsNumber="1" minValue="32.15" maxValue="447.46"/>
    </cacheField>
    <cacheField name="Purchase Qty" numFmtId="0">
      <sharedItems containsMixedTypes="1" containsNumber="1" containsInteger="1" minValue="5" maxValue="15"/>
    </cacheField>
    <cacheField name="Purchase Amt" numFmtId="44">
      <sharedItems containsMixedTypes="1" containsNumber="1" minValue="263.76" maxValue="2574.9"/>
    </cacheField>
    <cacheField name="Sold Qty" numFmtId="0">
      <sharedItems containsMixedTypes="1" containsNumber="1" containsInteger="1" minValue="0" maxValue="5"/>
    </cacheField>
    <cacheField name="Sold Amt" numFmtId="44">
      <sharedItems containsMixedTypes="1" containsNumber="1" minValue="0" maxValue="812.75"/>
    </cacheField>
    <cacheField name="Invested Amt" numFmtId="44">
      <sharedItems containsMixedTypes="1" containsNumber="1" minValue="212.88" maxValue="2574.9"/>
    </cacheField>
    <cacheField name="Industry" numFmtId="0">
      <sharedItems count="7">
        <s v="Computers, Phones &amp; Household Electronics"/>
        <s v="Freight &amp; Logistics Services"/>
        <s v="Automobiles &amp; Auto Parts"/>
        <s v="Software &amp; IT Services"/>
        <s v="Not Available"/>
        <s v="Media &amp; Publishing"/>
        <s v=""/>
      </sharedItems>
    </cacheField>
    <cacheField name="Instrument Type" numFmtId="0">
      <sharedItems count="4">
        <s v="Stock"/>
        <s v="ETF"/>
        <s v=""/>
        <s v="Not Available"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APPLE INC. (XNAS:AAPL)"/>
    <s v="AAPL"/>
    <n v="5.2"/>
    <n v="130.15"/>
    <n v="0.53"/>
    <n v="4.0889999999999998E-3"/>
    <n v="676.78000000000009"/>
    <n v="2.7560000000000855"/>
    <n v="4.0888751735844503E-3"/>
    <n v="326.38000000000005"/>
    <n v="0.93144977168949783"/>
    <n v="124.17"/>
    <s v="06000000000"/>
    <n v="179.61"/>
    <n v="10"/>
    <n v="758"/>
    <n v="5"/>
    <n v="407.59999999999997"/>
    <n v="350.40000000000003"/>
    <x v="0"/>
    <x v="0"/>
  </r>
  <r>
    <s v="FEDEX CORPORATION (XNYS:FDX)"/>
    <s v="FDX"/>
    <n v="7"/>
    <n v="189.74"/>
    <n v="3.97"/>
    <n v="2.1371000000000001E-2"/>
    <n v="1328.18"/>
    <n v="27.789999999999964"/>
    <n v="2.1370511923346044E-2"/>
    <n v="488.25000000000011"/>
    <n v="0.58129844153679489"/>
    <n v="141.91929999999999"/>
    <s v="00006000000"/>
    <n v="262.62"/>
    <n v="7"/>
    <n v="839.93"/>
    <n v="0"/>
    <n v="0"/>
    <n v="839.93"/>
    <x v="1"/>
    <x v="0"/>
  </r>
  <r>
    <s v="HONDA MOTOR CO., LTD. (XNYS:HMC)"/>
    <s v="HMC"/>
    <n v="10"/>
    <n v="24.125"/>
    <n v="0.16500000000000001"/>
    <n v="6.8859999999999998E-3"/>
    <n v="241.25"/>
    <n v="1.6499999999999773"/>
    <n v="6.8864774624373005E-3"/>
    <n v="28.370000000000005"/>
    <n v="0.1332675685832394"/>
    <n v="21.434999999999999"/>
    <s v="00060000000"/>
    <n v="32.15"/>
    <n v="12"/>
    <n v="263.76"/>
    <n v="2"/>
    <n v="50.88"/>
    <n v="212.88"/>
    <x v="2"/>
    <x v="0"/>
  </r>
  <r>
    <s v="MICROSOFT CORPORATION (XNAS:MSFT)"/>
    <s v="MSFT"/>
    <n v="7"/>
    <n v="227.12"/>
    <n v="2.19"/>
    <n v="9.7359999999999999E-3"/>
    <n v="1589.8400000000001"/>
    <n v="15.330000000000155"/>
    <n v="9.7363624238653006E-3"/>
    <n v="207.34000000000015"/>
    <n v="0.14997468354430391"/>
    <n v="213.43100000000001"/>
    <s v="06000000000"/>
    <n v="323.41000000000003"/>
    <n v="7"/>
    <n v="1382.5"/>
    <n v="0"/>
    <n v="0"/>
    <n v="1382.5"/>
    <x v="3"/>
    <x v="0"/>
  </r>
  <r>
    <s v="SPDR Gold (ARCX:GLD)"/>
    <s v="GLD"/>
    <n v="10"/>
    <n v="174.1"/>
    <n v="0.39"/>
    <n v="2.245E-3"/>
    <n v="1741"/>
    <n v="3.8999999999998636"/>
    <n v="2.2451211789763763E-3"/>
    <n v="127.35000000000036"/>
    <n v="7.8920459827100289E-2"/>
    <n v="150.5703"/>
    <s v="00000060000"/>
    <n v="193.3"/>
    <n v="15"/>
    <n v="2426.3999999999996"/>
    <n v="5"/>
    <n v="812.75"/>
    <n v="1613.6499999999996"/>
    <x v="4"/>
    <x v="1"/>
  </r>
  <r>
    <s v="TESLA, INC. (XNAS:TSLA)"/>
    <s v="TSLA"/>
    <n v="5"/>
    <n v="119.77"/>
    <n v="6.71"/>
    <n v="5.9348999999999999E-2"/>
    <n v="598.85"/>
    <n v="33.550000000000068"/>
    <n v="5.9349018220414065E-2"/>
    <n v="112.60000000000002"/>
    <n v="0.23156812339331626"/>
    <n v="101.81"/>
    <s v="06000000000"/>
    <n v="384.28960000000001"/>
    <n v="5"/>
    <n v="486.25"/>
    <n v="0"/>
    <n v="0"/>
    <n v="486.25"/>
    <x v="2"/>
    <x v="0"/>
  </r>
  <r>
    <s v="THE WALT DISNEY COMPANY (XNYS:DIS)"/>
    <s v="DIS"/>
    <n v="5"/>
    <n v="94.77"/>
    <n v="0.85"/>
    <n v="9.0500000000000008E-3"/>
    <n v="473.84999999999997"/>
    <n v="4.2499999999999432"/>
    <n v="9.0502555366267952E-3"/>
    <n v="-27.199999999999989"/>
    <n v="-5.4285999401257341E-2"/>
    <n v="84.07"/>
    <s v="06000000000"/>
    <n v="158.99"/>
    <n v="5"/>
    <n v="501.04999999999995"/>
    <n v="0"/>
    <n v="0"/>
    <n v="501.04999999999995"/>
    <x v="5"/>
    <x v="0"/>
  </r>
  <r>
    <s v="UNITED PARCEL SERVICE, INC. (XNYS:UPS)"/>
    <s v="UPS"/>
    <n v="10"/>
    <n v="181.69"/>
    <n v="2.74"/>
    <n v="1.5311999999999999E-2"/>
    <n v="1816.9"/>
    <n v="27.400000000000091"/>
    <n v="1.5311539536183342E-2"/>
    <n v="797.85000000000014"/>
    <n v="0.78293508660026512"/>
    <n v="154.87180000000001"/>
    <s v="00060000000"/>
    <n v="233.72"/>
    <n v="10"/>
    <n v="1019.05"/>
    <n v="0"/>
    <n v="0"/>
    <n v="1019.05"/>
    <x v="1"/>
    <x v="0"/>
  </r>
  <r>
    <s v="Vanguard EM St I;ETF (ARCX:VWO)"/>
    <s v="VWO"/>
    <n v="11"/>
    <n v="41.204999999999998"/>
    <n v="0.215"/>
    <n v="5.2449999999999997E-3"/>
    <n v="453.255"/>
    <n v="2.3649999999999523"/>
    <n v="5.2451817516466371E-3"/>
    <n v="54.504999999999995"/>
    <n v="0.13668965517241377"/>
    <n v="34.880099999999999"/>
    <s v="00006000000"/>
    <n v="51.255000000000003"/>
    <n v="11"/>
    <n v="398.75"/>
    <n v="0"/>
    <n v="0"/>
    <n v="398.75"/>
    <x v="4"/>
    <x v="1"/>
  </r>
  <r>
    <s v="Vanguard InfoTch Idx;ETF (ARCX:VGT)"/>
    <s v="VGT"/>
    <n v="10"/>
    <n v="324.05"/>
    <n v="4.01"/>
    <n v="1.2529999999999999E-2"/>
    <n v="3240.5"/>
    <n v="40.099999999999909"/>
    <n v="1.2529683789526281E-2"/>
    <n v="665.59999999999991"/>
    <n v="0.25849547555244862"/>
    <n v="291.61500000000001"/>
    <s v="00600000000"/>
    <n v="447.46"/>
    <n v="10"/>
    <n v="2574.9"/>
    <n v="0"/>
    <n v="0"/>
    <n v="2574.9"/>
    <x v="4"/>
    <x v="1"/>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r>
    <s v=""/>
    <s v=""/>
    <s v=""/>
    <s v=""/>
    <s v=""/>
    <s v=""/>
    <s v=""/>
    <s v=""/>
    <s v=""/>
    <s v=""/>
    <s v=""/>
    <s v=""/>
    <s v=""/>
    <s v=""/>
    <s v=""/>
    <s v=""/>
    <s v=""/>
    <s v=""/>
    <s v=""/>
    <x v="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AF0C76-F995-4A92-BD9D-B066E6607982}" name="PT_INDUSTRY"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6">
  <location ref="A3:B9" firstHeaderRow="1" firstDataRow="1" firstDataCol="1" rowPageCount="1" colPageCount="1"/>
  <pivotFields count="21">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2"/>
        <item x="0"/>
        <item x="1"/>
        <item x="5"/>
        <item x="4"/>
        <item x="3"/>
        <item x="6"/>
        <item t="default"/>
      </items>
      <autoSortScope>
        <pivotArea dataOnly="0" outline="0" fieldPosition="0">
          <references count="1">
            <reference field="4294967294" count="1" selected="0">
              <x v="0"/>
            </reference>
          </references>
        </pivotArea>
      </autoSortScope>
    </pivotField>
    <pivotField axis="axisPage" showAll="0">
      <items count="5">
        <item x="1"/>
        <item m="1" x="3"/>
        <item x="0"/>
        <item x="2"/>
        <item t="default"/>
      </items>
    </pivotField>
  </pivotFields>
  <rowFields count="1">
    <field x="19"/>
  </rowFields>
  <rowItems count="6">
    <i>
      <x v="3"/>
    </i>
    <i>
      <x v="1"/>
    </i>
    <i>
      <x/>
    </i>
    <i>
      <x v="5"/>
    </i>
    <i>
      <x v="2"/>
    </i>
    <i t="grand">
      <x/>
    </i>
  </rowItems>
  <colItems count="1">
    <i/>
  </colItems>
  <pageFields count="1">
    <pageField fld="20" item="2" hier="-1"/>
  </pageFields>
  <dataFields count="1">
    <dataField name="Sum of Current Value" fld="6" baseField="0" baseItem="0" numFmtId="166"/>
  </dataFields>
  <chartFormats count="3">
    <chartFormat chart="9" format="6"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5"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E82410-BE7B-4210-9141-A5DA3E6E2259}" name="PT_INS_TYPE"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3">
  <location ref="F3:G7" firstHeaderRow="1" firstDataRow="1" firstDataCol="1"/>
  <pivotFields count="21">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axis="axisRow" showAll="0" sortType="ascending">
      <items count="5">
        <item x="1"/>
        <item m="1" x="3"/>
        <item x="0"/>
        <item x="2"/>
        <item t="default"/>
      </items>
      <autoSortScope>
        <pivotArea dataOnly="0" outline="0" fieldPosition="0">
          <references count="1">
            <reference field="4294967294" count="1" selected="0">
              <x v="0"/>
            </reference>
          </references>
        </pivotArea>
      </autoSortScope>
    </pivotField>
  </pivotFields>
  <rowFields count="1">
    <field x="20"/>
  </rowFields>
  <rowItems count="4">
    <i>
      <x v="3"/>
    </i>
    <i>
      <x/>
    </i>
    <i>
      <x v="2"/>
    </i>
    <i t="grand">
      <x/>
    </i>
  </rowItems>
  <colItems count="1">
    <i/>
  </colItems>
  <dataFields count="1">
    <dataField name="Sum of Current Value" fld="6" baseField="0" baseItem="0" numFmtId="166"/>
  </dataFields>
  <chartFormats count="17">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4" format="21" series="1">
      <pivotArea type="data" outline="0" fieldPosition="0">
        <references count="1">
          <reference field="4294967294" count="1" selected="0">
            <x v="0"/>
          </reference>
        </references>
      </pivotArea>
    </chartFormat>
    <chartFormat chart="14" format="22">
      <pivotArea type="data" outline="0" fieldPosition="0">
        <references count="2">
          <reference field="4294967294" count="1" selected="0">
            <x v="0"/>
          </reference>
          <reference field="20" count="1" selected="0">
            <x v="1"/>
          </reference>
        </references>
      </pivotArea>
    </chartFormat>
    <chartFormat chart="14" format="23">
      <pivotArea type="data" outline="0" fieldPosition="0">
        <references count="2">
          <reference field="4294967294" count="1" selected="0">
            <x v="0"/>
          </reference>
          <reference field="20" count="1" selected="0">
            <x v="0"/>
          </reference>
        </references>
      </pivotArea>
    </chartFormat>
    <chartFormat chart="14" format="24">
      <pivotArea type="data" outline="0" fieldPosition="0">
        <references count="2">
          <reference field="4294967294" count="1" selected="0">
            <x v="0"/>
          </reference>
          <reference field="20" count="1" selected="0">
            <x v="2"/>
          </reference>
        </references>
      </pivotArea>
    </chartFormat>
    <chartFormat chart="16" format="29" series="1">
      <pivotArea type="data" outline="0" fieldPosition="0">
        <references count="1">
          <reference field="4294967294" count="1" selected="0">
            <x v="0"/>
          </reference>
        </references>
      </pivotArea>
    </chartFormat>
    <chartFormat chart="16" format="30">
      <pivotArea type="data" outline="0" fieldPosition="0">
        <references count="2">
          <reference field="4294967294" count="1" selected="0">
            <x v="0"/>
          </reference>
          <reference field="20" count="1" selected="0">
            <x v="1"/>
          </reference>
        </references>
      </pivotArea>
    </chartFormat>
    <chartFormat chart="16" format="31">
      <pivotArea type="data" outline="0" fieldPosition="0">
        <references count="2">
          <reference field="4294967294" count="1" selected="0">
            <x v="0"/>
          </reference>
          <reference field="20" count="1" selected="0">
            <x v="0"/>
          </reference>
        </references>
      </pivotArea>
    </chartFormat>
    <chartFormat chart="16" format="32">
      <pivotArea type="data" outline="0" fieldPosition="0">
        <references count="2">
          <reference field="4294967294" count="1" selected="0">
            <x v="0"/>
          </reference>
          <reference field="20" count="1" selected="0">
            <x v="2"/>
          </reference>
        </references>
      </pivotArea>
    </chartFormat>
    <chartFormat chart="18" format="37" series="1">
      <pivotArea type="data" outline="0" fieldPosition="0">
        <references count="1">
          <reference field="4294967294" count="1" selected="0">
            <x v="0"/>
          </reference>
        </references>
      </pivotArea>
    </chartFormat>
    <chartFormat chart="18" format="38">
      <pivotArea type="data" outline="0" fieldPosition="0">
        <references count="2">
          <reference field="4294967294" count="1" selected="0">
            <x v="0"/>
          </reference>
          <reference field="20" count="1" selected="0">
            <x v="1"/>
          </reference>
        </references>
      </pivotArea>
    </chartFormat>
    <chartFormat chart="18" format="39">
      <pivotArea type="data" outline="0" fieldPosition="0">
        <references count="2">
          <reference field="4294967294" count="1" selected="0">
            <x v="0"/>
          </reference>
          <reference field="20" count="1" selected="0">
            <x v="0"/>
          </reference>
        </references>
      </pivotArea>
    </chartFormat>
    <chartFormat chart="18" format="40">
      <pivotArea type="data" outline="0" fieldPosition="0">
        <references count="2">
          <reference field="4294967294" count="1" selected="0">
            <x v="0"/>
          </reference>
          <reference field="20" count="1" selected="0">
            <x v="2"/>
          </reference>
        </references>
      </pivotArea>
    </chartFormat>
    <chartFormat chart="22" format="36" series="1">
      <pivotArea type="data" outline="0" fieldPosition="0">
        <references count="1">
          <reference field="4294967294" count="1" selected="0">
            <x v="0"/>
          </reference>
        </references>
      </pivotArea>
    </chartFormat>
    <chartFormat chart="22" format="37">
      <pivotArea type="data" outline="0" fieldPosition="0">
        <references count="2">
          <reference field="4294967294" count="1" selected="0">
            <x v="0"/>
          </reference>
          <reference field="20" count="1" selected="0">
            <x v="0"/>
          </reference>
        </references>
      </pivotArea>
    </chartFormat>
    <chartFormat chart="22" format="38">
      <pivotArea type="data" outline="0" fieldPosition="0">
        <references count="2">
          <reference field="4294967294" count="1" selected="0">
            <x v="0"/>
          </reference>
          <reference field="2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9">
  <a r="1">
    <v t="i">0</v>
  </a>
  <a r="1">
    <v>21.71</v>
  </a>
  <a r="1">
    <v>22.024999999999999</v>
  </a>
  <a r="1">
    <v>124.85</v>
  </a>
  <a r="1">
    <v>119.2619</v>
  </a>
  <a r="1">
    <v>48.714799999999997</v>
  </a>
  <a r="1">
    <v>46.544899999999998</v>
  </a>
  <a r="1">
    <v>4.57</v>
  </a>
  <a r="1">
    <v>4.25</v>
  </a>
</arrayData>
</file>

<file path=xl/richData/rdrichvalue.xml><?xml version="1.0" encoding="utf-8"?>
<rvData xmlns="http://schemas.microsoft.com/office/spreadsheetml/2017/richdata" count="44">
  <rv s="0">
    <v>https://www.bing.com/financeapi/forcetrigger?t=a1sqr7&amp;q=XNYS%3aFDX&amp;form=skydnc</v>
    <v>Learn more on Bing</v>
  </rv>
  <rv s="1">
    <v>0</v>
    <v>FEDEX CORPORATION (XNYS:FDX)</v>
    <v>2</v>
    <v>3</v>
    <v>Finance</v>
    <v>4</v>
    <v>en-US</v>
    <v>a1sqr7</v>
    <v>268435456</v>
    <v>1</v>
    <v>Powered by Refinitiv</v>
    <v>313.83999999999997</v>
    <v>234.45</v>
    <v>1.1754</v>
    <v>4.5999999999999996</v>
    <v>1.6701999999999998E-2</v>
    <v>0.04</v>
    <v>1.428E-4</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38120-4117 US</v>
    <v>281.2</v>
    <v>Freight &amp; Logistics Services</v>
    <v>Stock</v>
    <v>45602.875856851562</v>
    <v>0</v>
    <v>271.62</v>
    <v>68415466469</v>
    <v>FEDEX CORPORATION</v>
    <v>FEDEX CORPORATION</v>
    <v>276</v>
    <v>16.9682</v>
    <v>275.42</v>
    <v>280.02</v>
    <v>280.06</v>
    <v>244323500</v>
    <v>FDX</v>
    <v>FEDEX CORPORATION (XNYS:FDX)</v>
    <v>2467370</v>
    <v>1248201</v>
    <v>1997</v>
  </rv>
  <rv s="2">
    <v>1</v>
  </rv>
  <rv s="0">
    <v>http://en.wikipedia.org/wiki/Public_domain</v>
    <v>Public domain</v>
  </rv>
  <rv s="0">
    <v>http://en.wikipedia.org/wiki/Ford_Motor_Company</v>
    <v>Wikipedia</v>
  </rv>
  <rv s="3">
    <v>3</v>
    <v>4</v>
  </rv>
  <rv s="4">
    <v>9</v>
    <v>https://www.bing.com/th?id=AMMS_cf0311a5f2d2dcb3110aca1404330618&amp;qlt=95</v>
    <v>5</v>
    <v>0</v>
    <v>https://www.bing.com/images/search?form=xlimg&amp;q=ford+motor+company</v>
    <v>Image of FORD MOTOR COMPANY</v>
  </rv>
  <rv s="0">
    <v>https://www.bing.com/financeapi/forcetrigger?t=a1sjw7&amp;q=XNYS%3aF&amp;form=skydnc</v>
    <v>Learn more on Bing</v>
  </rv>
  <rv s="5">
    <v>5</v>
    <v>FORD MOTOR COMPANY (XNYS:F)</v>
    <v>7</v>
    <v>8</v>
    <v>Finance</v>
    <v>4</v>
    <v>en-US</v>
    <v>a1sjw7</v>
    <v>268435456</v>
    <v>1</v>
    <v>Powered by Refinitiv</v>
    <v>14.85</v>
    <v>9.49</v>
    <v>1.6284000000000001</v>
    <v>0.59</v>
    <v>5.5660000000000001E-2</v>
    <v>-0.02</v>
    <v>-1.787E-3</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11.23</v>
    <v>6</v>
    <v>Automobiles &amp; Auto Parts</v>
    <v>Stock</v>
    <v>45602.875893622659</v>
    <v>7</v>
    <v>10.84</v>
    <v>44472293910</v>
    <v>FORD MOTOR COMPANY</v>
    <v>FORD MOTOR COMPANY</v>
    <v>10.96</v>
    <v>12.5685</v>
    <v>10.6</v>
    <v>11.19</v>
    <v>11.17</v>
    <v>3974289000</v>
    <v>F</v>
    <v>FORD MOTOR COMPANY (XNYS:F)</v>
    <v>99173639</v>
    <v>51232258</v>
    <v>1919</v>
  </rv>
  <rv s="2">
    <v>8</v>
  </rv>
  <rv s="0">
    <v>http://en.wikipedia.org/wiki/Honda</v>
    <v>Wikipedia</v>
  </rv>
  <rv s="3">
    <v>3</v>
    <v>10</v>
  </rv>
  <rv s="4">
    <v>9</v>
    <v>https://www.bing.com/th?id=AMMS_c0d58c8e4f696e2ded6f7419ca250bd7&amp;qlt=95</v>
    <v>11</v>
    <v>0</v>
    <v>https://www.bing.com/images/search?form=xlimg&amp;q=honda</v>
    <v>Image of HONDA MOTOR CO., LTD.</v>
  </rv>
  <rv s="0">
    <v>https://www.bing.com/financeapi/forcetrigger?t=a1uqyc&amp;q=XNYS%3aHMC&amp;form=skydnc</v>
    <v>Learn more on Bing</v>
  </rv>
  <rv s="5">
    <v>5</v>
    <v>HONDA MOTOR CO., LTD. (XNYS:HMC)</v>
    <v>7</v>
    <v>8</v>
    <v>Finance</v>
    <v>4</v>
    <v>en-US</v>
    <v>a1uqyc</v>
    <v>268435456</v>
    <v>1</v>
    <v>Powered by Refinitiv</v>
    <v>37.9</v>
    <v>27.271599999999999</v>
    <v>0.68269999999999997</v>
    <v>-2.4300000000000002</v>
    <v>-8.0198000000000005E-2</v>
    <v>0.11</v>
    <v>3.947E-3</v>
    <v>USD</v>
    <v>Honda Motor Co Ltd is a Japan-based company principally engaged in the motorcycle business, the automobile business, the financial service business and the life creation business. The Company operates through four business segments. The Motorcycle segment is engaged in the research and development, production and sale of motorcycles, all-terrain vehicles (ATVs), side-by-side vehicles and related parts. The Automobile segment is engaged in the research and development, production and sale of automobiles and related parts. The Financial Service segment is engaged in the sales financing and leasing of its products. The Life Creation and Other Products segment is engaged in the research and development, production and sale of power products and related parts.</v>
    <v>194993</v>
    <v>New York Stock Exchange</v>
    <v>XNYS</v>
    <v>XNYS</v>
    <v>2-1-1, Minami-Aoyama, MINATO-KU, TOKYO-TO, 107-8556 JP</v>
    <v>29.14</v>
    <v>12</v>
    <v>Automobiles &amp; Auto Parts</v>
    <v>Stock</v>
    <v>45602.875006943752</v>
    <v>13</v>
    <v>27.271599999999999</v>
    <v>52616050000</v>
    <v>HONDA MOTOR CO., LTD.</v>
    <v>HONDA MOTOR CO., LTD.</v>
    <v>28.46</v>
    <v>6.3863000000000003</v>
    <v>30.3</v>
    <v>27.87</v>
    <v>27.98</v>
    <v>1760000000</v>
    <v>HMC</v>
    <v>HONDA MOTOR CO., LTD. (XNYS:HMC)</v>
    <v>3811609</v>
    <v>617092</v>
    <v>1948</v>
  </rv>
  <rv s="2">
    <v>14</v>
  </rv>
  <rv s="0">
    <v>https://www.bing.com/financeapi/forcetrigger?t=a24kar&amp;q=XNAS%3aTSLA&amp;form=skydnc</v>
    <v>Learn more on Bing</v>
  </rv>
  <rv s="1">
    <v>0</v>
    <v>TESLA, INC. (XNAS:TSLA)</v>
    <v>2</v>
    <v>3</v>
    <v>Finance</v>
    <v>4</v>
    <v>en-US</v>
    <v>a24kar</v>
    <v>268435456</v>
    <v>1</v>
    <v>Powered by Refinitiv</v>
    <v>289.58999999999997</v>
    <v>138.80250000000001</v>
    <v>2.3020999999999998</v>
    <v>37.090000000000003</v>
    <v>0.14751</v>
    <v>-7.4999999999999997E-2</v>
    <v>-2.5989999999999997E-4</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289.58999999999997</v>
    <v>Automobiles &amp; Auto Parts</v>
    <v>Stock</v>
    <v>45602.875930890623</v>
    <v>16</v>
    <v>275.62</v>
    <v>926198611799</v>
    <v>TESLA, INC.</v>
    <v>TESLA, INC.</v>
    <v>284.64</v>
    <v>68.941100000000006</v>
    <v>251.44</v>
    <v>288.52999999999997</v>
    <v>288.45499999999998</v>
    <v>3210060000</v>
    <v>TSLA</v>
    <v>TESLA, INC. (XNAS:TSLA)</v>
    <v>162135021</v>
    <v>80767713</v>
    <v>2024</v>
  </rv>
  <rv s="2">
    <v>17</v>
  </rv>
  <rv s="6">
    <fb>119.2619</fb>
    <v>10</v>
  </rv>
  <rv s="6">
    <fb>124.85</fb>
    <v>10</v>
  </rv>
  <rv s="6">
    <fb>4.25</fb>
    <v>10</v>
  </rv>
  <rv s="6">
    <fb>4.57</fb>
    <v>10</v>
  </rv>
  <rv s="6">
    <fb>21.71</fb>
    <v>10</v>
  </rv>
  <rv s="6">
    <fb>22.024999999999999</fb>
    <v>10</v>
  </rv>
  <rv s="6">
    <fb>46.544899999999998</fb>
    <v>10</v>
  </rv>
  <rv s="6">
    <fb>48.714799999999997</fb>
    <v>10</v>
  </rv>
  <rv s="0">
    <v>https://www.bing.com/financeapi/forcetrigger?t=a3yy77&amp;q=NASDAQ+100+Index&amp;form=skydnc</v>
    <v>Learn more on Bing</v>
  </rv>
  <rv s="7">
    <v>11</v>
    <v>NASDAQ 100 Index</v>
    <v>12</v>
    <v>13</v>
    <v>Finance</v>
    <v>14</v>
    <v>en-US</v>
    <v>a3yy77</v>
    <v>268435456</v>
    <v>1</v>
    <v>Powered by Refinitiv</v>
    <v>20807.034</v>
    <v>15064.906000000001</v>
    <v>553.87800000000004</v>
    <v>2.7382E-2</v>
    <v>US</v>
    <v>20807.034</v>
    <v>Index</v>
    <v>27</v>
    <v>20526.641</v>
    <v>NASDAQ 100 Index</v>
    <v>20571.294999999998</v>
    <v>20227.455999999998</v>
    <v>20781.333999999999</v>
    <v>NDX</v>
    <v>NASDAQ 100 Index</v>
  </rv>
  <rv s="2">
    <v>28</v>
  </rv>
  <rv s="0">
    <v>https://www.bing.com/financeapi/forcetrigger?t=a33k6h&amp;q=S%26P+500+INDEX&amp;form=skydnc</v>
    <v>Learn more on Bing</v>
  </rv>
  <rv s="7">
    <v>11</v>
    <v>S&amp;P 500 INDEX</v>
    <v>12</v>
    <v>13</v>
    <v>Finance</v>
    <v>14</v>
    <v>en-US</v>
    <v>a33k6h</v>
    <v>268435456</v>
    <v>1</v>
    <v>Powered by Refinitiv</v>
    <v>5936.14</v>
    <v>4343.9399999999996</v>
    <v>145.26</v>
    <v>2.5118999999999999E-2</v>
    <v>US</v>
    <v>5936.14</v>
    <v>Index</v>
    <v>30</v>
    <v>5864.89</v>
    <v>S&amp;P 500 INDEX</v>
    <v>5864.89</v>
    <v>5782.76</v>
    <v>5928.02</v>
    <v>INX</v>
    <v>S&amp;P 500 INDEX</v>
  </rv>
  <rv s="2">
    <v>31</v>
  </rv>
  <rv s="0">
    <v>https://www.bing.com/financeapi/forcetrigger?t=a6qja2&amp;q=DOW+JONES+INDU+AVERAGE+NDX&amp;form=skydnc</v>
    <v>Learn more on Bing</v>
  </rv>
  <rv s="7">
    <v>11</v>
    <v>DOW JONES INDU AVERAGE NDX</v>
    <v>12</v>
    <v>13</v>
    <v>Finance</v>
    <v>14</v>
    <v>en-US</v>
    <v>a6qja2</v>
    <v>268435456</v>
    <v>1</v>
    <v>Powered by Refinitiv</v>
    <v>43778.78</v>
    <v>33859.769999999997</v>
    <v>1507.33</v>
    <v>3.5699999999999996E-2</v>
    <v>US</v>
    <v>43778.78</v>
    <v>Index</v>
    <v>33</v>
    <v>42850.400000000001</v>
    <v>DOW JONES INDU AVERAGE NDX</v>
    <v>42850.400000000001</v>
    <v>42221.88</v>
    <v>43729.21</v>
    <v>DJI</v>
    <v>DOW JONES INDU AVERAGE NDX</v>
  </rv>
  <rv s="2">
    <v>34</v>
  </rv>
  <rv s="8">
    <v>15</v>
    <v>a1uqyc</v>
    <v>Daily</v>
    <v>43943</v>
    <v>43943</v>
    <v>0</v>
    <v>1</v>
    <v>637231104000000000,638607132007375999,0</v>
    <v>0</v>
    <v>a1uqyc</v>
    <v>XNYS:HMC</v>
    <v>1</v>
  </rv>
  <rv s="9">
    <v>16</v>
    <v>a1uqyc</v>
    <v>Daily</v>
    <v>43943</v>
    <v>43943</v>
    <v>0</v>
    <v>1</v>
    <v>637231104000000000,638607132007879546,0</v>
    <v>0</v>
    <v>a1uqyc</v>
    <v>XNYS:HMC</v>
    <v>2</v>
  </rv>
  <rv s="9">
    <v>16</v>
    <v>a1sqr7</v>
    <v>Daily</v>
    <v>43921</v>
    <v>43921</v>
    <v>0</v>
    <v>1</v>
    <v>637212096000000000,638607132006875358,0</v>
    <v>0</v>
    <v>a1sqr7</v>
    <v>XNYS:FDX</v>
    <v>3</v>
  </rv>
  <rv s="8">
    <v>15</v>
    <v>a1sqr7</v>
    <v>Daily</v>
    <v>43921</v>
    <v>43921</v>
    <v>0</v>
    <v>1</v>
    <v>637212096000000000,638607132007707040,0</v>
    <v>0</v>
    <v>a1sqr7</v>
    <v>XNYS:FDX</v>
    <v>4</v>
  </rv>
  <rv s="9">
    <v>16</v>
    <v>a24kar</v>
    <v>Daily</v>
    <v>43945</v>
    <v>43945</v>
    <v>0</v>
    <v>1</v>
    <v>637232832000000000,638607132006699035,0</v>
    <v>0</v>
    <v>a24kar</v>
    <v>XNAS:TSLA</v>
    <v>5</v>
  </rv>
  <rv s="8">
    <v>15</v>
    <v>a24kar</v>
    <v>Daily</v>
    <v>43945</v>
    <v>43945</v>
    <v>0</v>
    <v>1</v>
    <v>637232832000000000,638607132007027594,0</v>
    <v>0</v>
    <v>a24kar</v>
    <v>XNAS:TSLA</v>
    <v>6</v>
  </rv>
  <rv s="9">
    <v>16</v>
    <v>a1sjw7</v>
    <v>Daily</v>
    <v>43923</v>
    <v>43923</v>
    <v>0</v>
    <v>1</v>
    <v>637213824000000000,638607132007197775,0</v>
    <v>0</v>
    <v>a1sjw7</v>
    <v>XNYS:F</v>
    <v>7</v>
  </rv>
  <rv s="8">
    <v>15</v>
    <v>a1sjw7</v>
    <v>Daily</v>
    <v>43923</v>
    <v>43923</v>
    <v>0</v>
    <v>1</v>
    <v>637213824000000000,638607132007541252,0</v>
    <v>0</v>
    <v>a1sjw7</v>
    <v>XNYS:F</v>
    <v>8</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stockhistorycache">
    <k n="_Format" t="spb"/>
    <k n="Symbol" t="s"/>
    <k n="Interval" t="s"/>
    <k n="StartDate" t="i"/>
    <k n="EndDate" t="i"/>
    <k n="f1904" t="b"/>
    <k n="fdcompat" t="b"/>
    <k n="etag" t="s"/>
    <k n="Date" t="a"/>
    <k n="EntityId" t="s"/>
    <k n="Instrument" t="s"/>
    <k n="Low" t="a"/>
  </s>
  <s t="_stockhistorycache">
    <k n="_Format" t="spb"/>
    <k n="Symbol" t="s"/>
    <k n="Interval" t="s"/>
    <k n="StartDate" t="i"/>
    <k n="EndDate" t="i"/>
    <k n="f1904" t="b"/>
    <k n="fdcompat" t="b"/>
    <k n="etag" t="s"/>
    <k n="Date" t="a"/>
    <k n="EntityId" t="s"/>
    <k n="Instrument" t="s"/>
    <k n="High" t="a"/>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17">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9">
      <v>1</v>
    </spb>
    <spb s="0">
      <v>2</v>
      <v>Name</v>
      <v>LearnMoreOnLink</v>
    </spb>
    <spb s="10">
      <v>1</v>
      <v>1</v>
      <v>1</v>
    </spb>
    <spb s="11">
      <v>1</v>
      <v>1</v>
      <v>3</v>
      <v>1</v>
      <v>1</v>
      <v>1</v>
      <v>5</v>
      <v>1</v>
      <v>1</v>
      <v>1</v>
      <v>9</v>
    </spb>
    <spb s="12">
      <v>from previous close</v>
      <v>from previous close</v>
    </spb>
    <spb s="13">
      <v>1</v>
      <v>11</v>
    </spb>
    <spb s="14">
      <v>11</v>
      <v>1</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UniqueName" t="spb"/>
    <k n="`%ProviderInfo" t="spb"/>
    <k n="LearnMoreOnLink" t="spb"/>
  </s>
  <s>
    <k n="Low" t="i"/>
    <k n="High" t="i"/>
    <k n="Name" t="i"/>
    <k n="Open" t="i"/>
    <k n="Price" t="i"/>
    <k n="Change" t="i"/>
    <k n="Change (%)" t="i"/>
    <k n="52 week low" t="i"/>
    <k n="52 week high" t="i"/>
    <k n="Previous close" t="i"/>
    <k n="`%EntityServiceId" t="i"/>
  </s>
  <s>
    <k n="Change" t="s"/>
    <k n="Change (%)" t="s"/>
  </s>
  <s>
    <k n="Low" t="i"/>
    <k n="Date" t="i"/>
  </s>
  <s>
    <k n="Date" t="i"/>
    <k n="High"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7" formatCode="m/d/yy\ h:mm"/>
    </x:dxf>
    <x:dxf>
      <x:numFmt numFmtId="1" formatCode="0"/>
    </x:dxf>
    <x:dxf>
      <x:numFmt numFmtId="2" formatCode="0.00"/>
    </x:dxf>
    <x:dxf>
      <x:numFmt numFmtId="19" formatCode="m/d/yy"/>
    </x:dxf>
    <x:dxf>
      <x:numFmt numFmtId="0" formatCode="General"/>
    </x:dxf>
  </dxfs>
  <richProperties>
    <rPr n="NumberFormat" t="s"/>
    <rPr n="IsTitleField" t="b"/>
    <rPr n="IsHeroField" t="b"/>
  </richProperties>
  <richStyles>
    <rSty dxfid="7">
      <rpv i="0">_([$$-en-US]* #,##0.00_);_([$$-en-US]* (#,##0.00);_([$$-en-US]* "-"??_);_(@_)</rpv>
    </rSty>
    <rSty dxfid="0">
      <rpv i="0">#,##0.00</rpv>
    </rSty>
    <rSty>
      <rpv i="1">1</rpv>
    </rSty>
    <rSty dxfid="1">
      <rpv i="0">#,##0</rpv>
    </rSty>
    <rSty dxfid="2"/>
    <rSty dxfid="7">
      <rpv i="0">_([$$-en-US]* #,##0_);_([$$-en-US]* (#,##0);_([$$-en-US]* "-"_);_(@_)</rpv>
    </rSty>
    <rSty dxfid="3"/>
    <rSty dxfid="4">
      <rpv i="0">0</rpv>
    </rSty>
    <rSty dxfid="5">
      <rpv i="0">0.00</rpv>
    </rSty>
    <rSty>
      <rpv i="2">1</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83C05C9-4F50-4C3B-AE66-96937C322881}" name="T_WATCHLIST" displayName="T_WATCHLIST" ref="F2:AA97" totalsRowShown="0" headerRowDxfId="71" dataDxfId="69" headerRowBorderDxfId="70">
  <tableColumns count="22">
    <tableColumn id="3" xr3:uid="{382F6635-B803-4E57-BB50-20D7BC682914}" name="Stock" dataDxfId="68">
      <calculatedColumnFormula array="1">IFERROR(IF(ROW(T_WATCHLIST[[#This Row],[Stock]])-ROW(T_WATCHLIST[[#Headers],[Stock]])&gt;C_CNT_STOCKS,"",INDEX(_xlfn.ANCHORARRAY(HELP!$G$2),ROW(T_WATCHLIST[[#This Row],[Stock]])-ROW(T_WATCHLIST[[#Headers],[Stock]]))),"")</calculatedColumnFormula>
    </tableColumn>
    <tableColumn id="5" xr3:uid="{13B1B9DC-F6A9-441C-9E0C-22A28CA02412}" name="Symbol" dataDxfId="67">
      <calculatedColumnFormula array="1">IFERROR(_xlfn.FIELDVALUE(T_WATCHLIST[[#This Row],[Stock]],"Ticker Symbol"),"")</calculatedColumnFormula>
    </tableColumn>
    <tableColumn id="2" xr3:uid="{71393388-C543-4555-9907-6B02F1526F0A}" name="Weight" dataDxfId="66"/>
    <tableColumn id="10" xr3:uid="{675B133E-8A5F-4993-BD51-4AB827155FDE}" name="Quantity" dataDxfId="65">
      <calculatedColumnFormula>IF(T_WATCHLIST[[#This Row],[Stock]]="","",SUMIFS(T_TXN[UNITS],T_TXN[TYPE],"Buy",T_TXN[TICKER],T_WATCHLIST[[#This Row],[Stock]])-SUMIFS(T_TXN[UNITS],T_TXN[TYPE],"Sell",T_TXN[TICKER],T_WATCHLIST[[#This Row],[Stock]])+SUMIFS(T_TXN[UNITS],T_TXN[TYPE],"Dividend Reinvestment",T_TXN[TICKER],T_WATCHLIST[[#This Row],[Stock]]))</calculatedColumnFormula>
    </tableColumn>
    <tableColumn id="7" xr3:uid="{1DF41F0A-10EC-4E23-BFB1-19FDCEF05A3D}" name="Last Price" dataDxfId="64">
      <calculatedColumnFormula array="1">IFERROR(_xlfn.FIELDVALUE(T_WATCHLIST[[#This Row],[Stock]],"Price"),"")</calculatedColumnFormula>
    </tableColumn>
    <tableColumn id="8" xr3:uid="{0A42694B-81C6-456A-9D9A-93CEE345785F}" name="Change " dataDxfId="63">
      <calculatedColumnFormula array="1">IFERROR(_xlfn.FIELDVALUE(T_WATCHLIST[[#This Row],[Stock]],"Change"),"")</calculatedColumnFormula>
    </tableColumn>
    <tableColumn id="9" xr3:uid="{86726484-B194-4891-B979-84EB86C8EAE2}" name="% Change" dataDxfId="62">
      <calculatedColumnFormula array="1">IFERROR(_xlfn.FIELDVALUE(T_WATCHLIST[[#This Row],[Stock]],"Change (%)"),"")</calculatedColumnFormula>
    </tableColumn>
    <tableColumn id="18" xr3:uid="{87C59A08-40DA-40B4-8932-4DCB95DB9902}" name="Current Value" dataDxfId="61" dataCellStyle="Currency">
      <calculatedColumnFormula>IF(T_WATCHLIST[[#This Row],[Stock]]="","",T_WATCHLIST[[#This Row],[Quantity]]*T_WATCHLIST[[#This Row],[Last Price]])</calculatedColumnFormula>
    </tableColumn>
    <tableColumn id="23" xr3:uid="{1F333483-D1B5-4B40-8F95-F2B8249D6C8E}" name="Today's Gain/Loss" dataDxfId="60">
      <calculatedColumnFormula array="1">IF(T_WATCHLIST[[#This Row],[Stock]]="","",T_WATCHLIST[[#This Row],[Current Value]]-_xlfn.FIELDVALUE(T_WATCHLIST[[#This Row],[Stock]],"Previous Close")*T_WATCHLIST[[#This Row],[Quantity]])</calculatedColumnFormula>
    </tableColumn>
    <tableColumn id="27" xr3:uid="{AB1D917A-2ACB-4ADD-8EA5-DE9F3C61A831}" name="% Today's Gain/Loss" dataDxfId="59">
      <calculatedColumnFormula>IFERROR(T_WATCHLIST[[#This Row],[Today''s Gain/Loss]]/(T_WATCHLIST[[#This Row],[Current Value]]-T_WATCHLIST[[#This Row],[Today''s Gain/Loss]]),"")</calculatedColumnFormula>
    </tableColumn>
    <tableColumn id="28" xr3:uid="{8B4CC1D3-5B5E-437C-8BB9-505B791CE1C1}" name="Total Gain/Loss" dataDxfId="58" dataCellStyle="Currency">
      <calculatedColumnFormula>IFERROR(T_WATCHLIST[[#This Row],[Current Value]]-T_WATCHLIST[[#This Row],[% Total Gain/Loss9]],"")</calculatedColumnFormula>
    </tableColumn>
    <tableColumn id="26" xr3:uid="{C6C8EAEC-9FA4-4990-B677-B3F6681090B1}" name="% Total Gain/Loss" dataDxfId="57">
      <calculatedColumnFormula>IFERROR(T_WATCHLIST[[#This Row],[Total Gain/Loss]]/T_WATCHLIST[[#This Row],[% Total Gain/Loss9]],"")</calculatedColumnFormula>
    </tableColumn>
    <tableColumn id="12" xr3:uid="{FD1CCD03-7ED7-4280-8E94-1B9A9247B1B3}" name="% Total Gain/Loss2" dataDxfId="56">
      <calculatedColumnFormula array="1">IFERROR(_xlfn.FIELDVALUE(T_WATCHLIST[[#This Row],[Stock]],"52 week low"),"")</calculatedColumnFormula>
    </tableColumn>
    <tableColumn id="19" xr3:uid="{C56D6D93-D306-4054-81A5-4C7FF27CF2C2}" name="% Total Gain/Loss3" dataDxfId="55">
      <calculatedColumnFormula>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calculatedColumnFormula>
    </tableColumn>
    <tableColumn id="13" xr3:uid="{2F61DE39-125D-4318-85F7-BE6F1D558B93}" name="% Total Gain/Loss4" dataDxfId="54">
      <calculatedColumnFormula array="1">IFERROR(_xlfn.FIELDVALUE(T_WATCHLIST[[#This Row],[Stock]],"52 week high"),"")</calculatedColumnFormula>
    </tableColumn>
    <tableColumn id="22" xr3:uid="{53EE9930-B1D1-4F5A-89D5-E6BF53828E97}" name="% Total Gain/Loss5" dataDxfId="53">
      <calculatedColumnFormula array="1">IF(T_WATCHLIST[[#This Row],[Stock]]="","",SUMPRODUCT(T_TXN[UNITS],--(T_TXN[TYPE]="Buy"),--(T_TXN[TICKER]=T_WATCHLIST[[#This Row],[Stock]])))</calculatedColumnFormula>
    </tableColumn>
    <tableColumn id="24" xr3:uid="{13C8B31C-4535-45AF-BA27-9687820B0569}" name="% Total Gain/Loss6" dataDxfId="52" dataCellStyle="Currency">
      <calculatedColumnFormula array="1">IF(T_WATCHLIST[[#This Row],[Stock]]="","",SUMPRODUCT(--(T_TXN[TYPE]="Buy"),T_TXN[UNITS],T_TXN[PRICE],--(T_TXN[TICKER]=T_WATCHLIST[[#This Row],[Stock]])))</calculatedColumnFormula>
    </tableColumn>
    <tableColumn id="32" xr3:uid="{C3A4C2DA-0D1A-4EC2-8F39-489DCBFEE44C}" name="% Total Gain/Loss7" dataDxfId="51">
      <calculatedColumnFormula array="1">IF(T_WATCHLIST[[#This Row],[Stock]]="","",SUMPRODUCT(T_TXN[UNITS],--(T_TXN[TYPE]="Sell"),--(T_TXN[TICKER]=T_WATCHLIST[[#This Row],[Stock]])))</calculatedColumnFormula>
    </tableColumn>
    <tableColumn id="25" xr3:uid="{FD20F3CC-8C81-46F7-9C62-052419FD3883}" name="% Total Gain/Loss8" dataDxfId="50" dataCellStyle="Currency">
      <calculatedColumnFormula array="1">IF(T_WATCHLIST[[#This Row],[Stock]]="","",SUMPRODUCT(--(T_TXN[TYPE]="Sell"),T_TXN[UNITS],T_TXN[PRICE],--(T_TXN[TICKER]=T_WATCHLIST[[#This Row],[Stock]])))</calculatedColumnFormula>
    </tableColumn>
    <tableColumn id="30" xr3:uid="{9563BA5C-EA6C-458C-BB03-A781D79D2F9E}" name="% Total Gain/Loss9" dataDxfId="49" dataCellStyle="Currency">
      <calculatedColumnFormula array="1">IF(T_WATCHLIST[[#This Row],[Stock]]="","",SUMPRODUCT(T_TXN[UNITS],T_TXN[PRICE],--(T_TXN[TYPE]="Buy"),--(T_TXN[TICKER]=T_WATCHLIST[[#This Row],[Stock]]))
-SUMPRODUCT(T_TXN[UNITS],T_TXN[PRICE],--(T_TXN[TYPE]="Sell"),--(T_TXN[TICKER]=T_WATCHLIST[[#This Row],[Stock]])))</calculatedColumnFormula>
    </tableColumn>
    <tableColumn id="21" xr3:uid="{92EC47B8-B17E-46E6-9558-AF4BB3FAE746}" name="% Total Gain/Loss10" dataDxfId="48">
      <calculatedColumnFormula array="1">IFERROR(IF(ROW(T_WATCHLIST[[#This Row],[Stock]])-ROW(T_WATCHLIST[[#Headers],[Stock]])&gt;=C_CNT_STOCKS,"",_FV(T_WATCHLIST[[#This Row],[Stock]],"Industry",TRUE)),"Not Available")</calculatedColumnFormula>
    </tableColumn>
    <tableColumn id="1" xr3:uid="{E14E6DB6-0C75-400D-AD73-9534A150E9E1}" name="% Total Gain/Loss11" dataDxfId="47">
      <calculatedColumnFormula array="1">IFERROR(IF(ROW(T_WATCHLIST[[#This Row],[Stock]])-ROW(T_WATCHLIST[[#Headers],[Stock]])&gt;=C_CNT_STOCKS,"",_FV(T_WATCHLIST[[#This Row],[Stock]],"Instrument type",TRUE)),"Not Available")</calculatedColumnFormula>
    </tableColumn>
  </tableColumns>
  <tableStyleInfo name="TableStyleMedium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E8060B-2D62-436A-BDC8-C10AF523EB27}" name="T_WATCHLIST4" displayName="T_WATCHLIST4" ref="F2:AA96" totalsRowShown="0" headerRowDxfId="46" dataDxfId="44" headerRowBorderDxfId="45">
  <tableColumns count="22">
    <tableColumn id="3" xr3:uid="{EA19B1BB-F4ED-41A9-934B-4ED8CD394F96}" name="Stock" dataDxfId="43">
      <calculatedColumnFormula array="1">IFERROR(IF(ROW(T_WATCHLIST4[[#This Row],[Stock]])-ROW(T_WATCHLIST4[[#Headers],[Stock]])&gt;C_CNT_STOCKS,"",INDEX(_xlfn.ANCHORARRAY(HELP!$G$2),ROW(T_WATCHLIST4[[#This Row],[Stock]])-ROW(T_WATCHLIST4[[#Headers],[Stock]]))),"")</calculatedColumnFormula>
    </tableColumn>
    <tableColumn id="5" xr3:uid="{E99DFD00-088E-4921-9564-F92DFF34D11A}" name="Symbol" dataDxfId="42">
      <calculatedColumnFormula array="1">IFERROR(_xlfn.FIELDVALUE(T_WATCHLIST4[[#This Row],[Stock]],"Ticker Symbol"),"")</calculatedColumnFormula>
    </tableColumn>
    <tableColumn id="2" xr3:uid="{BF9F6D7E-7314-41A9-BE4D-84221AA5EE2B}" name="Weight" dataDxfId="41"/>
    <tableColumn id="10" xr3:uid="{9F576663-5C74-4D6F-961D-EDA87308AB60}" name="Quantity" dataDxfId="40">
      <calculatedColumnFormula>IF(T_WATCHLIST4[[#This Row],[Stock]]="","",SUMIFS(T_TXN[UNITS],T_TXN[TYPE],"Buy",T_TXN[TICKER],T_WATCHLIST4[[#This Row],[Stock]])-SUMIFS(T_TXN[UNITS],T_TXN[TYPE],"Sell",T_TXN[TICKER],T_WATCHLIST4[[#This Row],[Stock]])+SUMIFS(T_TXN[UNITS],T_TXN[TYPE],"Dividend Reinvestment",T_TXN[TICKER],T_WATCHLIST4[[#This Row],[Stock]]))</calculatedColumnFormula>
    </tableColumn>
    <tableColumn id="7" xr3:uid="{237A844C-6587-4A64-824E-C220741A942C}" name="Last Price" dataDxfId="39">
      <calculatedColumnFormula array="1">IFERROR(_xlfn.FIELDVALUE(T_WATCHLIST4[[#This Row],[Stock]],"Price"),"")</calculatedColumnFormula>
    </tableColumn>
    <tableColumn id="8" xr3:uid="{3003C4F0-2D97-4591-BFAE-739DDBF06568}" name="Change " dataDxfId="38">
      <calculatedColumnFormula array="1">IFERROR(_xlfn.FIELDVALUE(T_WATCHLIST4[[#This Row],[Stock]],"Change"),"")</calculatedColumnFormula>
    </tableColumn>
    <tableColumn id="9" xr3:uid="{0B2E19B1-6DBB-46C6-BCC6-F5A85CDC9568}" name="% Change" dataDxfId="37">
      <calculatedColumnFormula array="1">IFERROR(_xlfn.FIELDVALUE(T_WATCHLIST4[[#This Row],[Stock]],"Change (%)"),"")</calculatedColumnFormula>
    </tableColumn>
    <tableColumn id="18" xr3:uid="{B36EDA0C-47DB-45E9-8CED-5BF074F196FC}" name="Current Value" dataDxfId="36" dataCellStyle="Currency">
      <calculatedColumnFormula>IF(T_WATCHLIST4[[#This Row],[Stock]]="","",T_WATCHLIST4[[#This Row],[Quantity]]*T_WATCHLIST4[[#This Row],[Last Price]])</calculatedColumnFormula>
    </tableColumn>
    <tableColumn id="23" xr3:uid="{CE73092F-BB4E-4400-8F44-C25A2AF60E8F}" name="Today's Gain/Loss" dataDxfId="35">
      <calculatedColumnFormula array="1">IF(T_WATCHLIST4[[#This Row],[Stock]]="","",T_WATCHLIST4[[#This Row],[Current Value]]-_xlfn.FIELDVALUE(T_WATCHLIST4[[#This Row],[Stock]],"Previous Close")*T_WATCHLIST4[[#This Row],[Quantity]])</calculatedColumnFormula>
    </tableColumn>
    <tableColumn id="27" xr3:uid="{CAB63E3D-9D45-49C9-A558-FEA14F3062AF}" name="% Today's Gain/Loss" dataDxfId="34">
      <calculatedColumnFormula>IFERROR(T_WATCHLIST4[[#This Row],[Today''s Gain/Loss]]/(T_WATCHLIST4[[#This Row],[Current Value]]-T_WATCHLIST4[[#This Row],[Today''s Gain/Loss]]),"")</calculatedColumnFormula>
    </tableColumn>
    <tableColumn id="28" xr3:uid="{8790B62B-1865-40EA-9742-F6710D919C32}" name="Total Gain/Loss" dataDxfId="33" dataCellStyle="Currency">
      <calculatedColumnFormula>IFERROR(T_WATCHLIST4[[#This Row],[Current Value]]-T_WATCHLIST4[[#This Row],[% Total Gain/Loss9]],"")</calculatedColumnFormula>
    </tableColumn>
    <tableColumn id="26" xr3:uid="{9F2C74FC-2C6B-4573-B378-9F08A9B694A9}" name="% Total Gain/Loss" dataDxfId="32">
      <calculatedColumnFormula>IFERROR(T_WATCHLIST4[[#This Row],[Total Gain/Loss]]/T_WATCHLIST4[[#This Row],[% Total Gain/Loss9]],"")</calculatedColumnFormula>
    </tableColumn>
    <tableColumn id="12" xr3:uid="{E3C2B594-DD93-49F5-82D7-8DBCA8F61182}" name="% Total Gain/Loss2" dataDxfId="31">
      <calculatedColumnFormula array="1">IFERROR(_xlfn.FIELDVALUE(T_WATCHLIST4[[#This Row],[Stock]],"52 week low"),"")</calculatedColumnFormula>
    </tableColumn>
    <tableColumn id="19" xr3:uid="{3A9FA7FF-3C66-42E7-9C67-1220ABEDA28F}" name="% Total Gain/Loss3" dataDxfId="30">
      <calculatedColumnFormula>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calculatedColumnFormula>
    </tableColumn>
    <tableColumn id="13" xr3:uid="{849397C7-E84F-43C7-AF85-204277BE6BD8}" name="% Total Gain/Loss4" dataDxfId="29">
      <calculatedColumnFormula array="1">IFERROR(_xlfn.FIELDVALUE(T_WATCHLIST4[[#This Row],[Stock]],"52 week high"),"")</calculatedColumnFormula>
    </tableColumn>
    <tableColumn id="22" xr3:uid="{009005D2-7F83-4688-8F80-988AC0D44E07}" name="% Total Gain/Loss5" dataDxfId="28">
      <calculatedColumnFormula array="1">IF(T_WATCHLIST4[[#This Row],[Stock]]="","",SUMPRODUCT(T_TXN[UNITS],--(T_TXN[TYPE]="Buy"),--(T_TXN[TICKER]=T_WATCHLIST4[[#This Row],[Stock]])))</calculatedColumnFormula>
    </tableColumn>
    <tableColumn id="24" xr3:uid="{64FFEC1E-B005-44F6-802D-9C3BAC5DD7F0}" name="% Total Gain/Loss6" dataDxfId="27" dataCellStyle="Currency">
      <calculatedColumnFormula array="1">IF(T_WATCHLIST4[[#This Row],[Stock]]="","",SUMPRODUCT(--(T_TXN[TYPE]="Buy"),T_TXN[UNITS],T_TXN[PRICE],--(T_TXN[TICKER]=T_WATCHLIST4[[#This Row],[Stock]])))</calculatedColumnFormula>
    </tableColumn>
    <tableColumn id="32" xr3:uid="{DDC1062D-9631-48EC-A6BE-F3EED4AAA297}" name="% Total Gain/Loss7" dataDxfId="26">
      <calculatedColumnFormula array="1">IF(T_WATCHLIST4[[#This Row],[Stock]]="","",SUMPRODUCT(T_TXN[UNITS],--(T_TXN[TYPE]="Sell"),--(T_TXN[TICKER]=T_WATCHLIST4[[#This Row],[Stock]])))</calculatedColumnFormula>
    </tableColumn>
    <tableColumn id="25" xr3:uid="{A25BC267-6BF8-4C46-AC84-4BCA3AD7EE64}" name="% Total Gain/Loss8" dataDxfId="25" dataCellStyle="Currency">
      <calculatedColumnFormula array="1">IF(T_WATCHLIST4[[#This Row],[Stock]]="","",SUMPRODUCT(--(T_TXN[TYPE]="Sell"),T_TXN[UNITS],T_TXN[PRICE],--(T_TXN[TICKER]=T_WATCHLIST4[[#This Row],[Stock]])))</calculatedColumnFormula>
    </tableColumn>
    <tableColumn id="30" xr3:uid="{C9165D2D-9A83-402E-BCCD-188B1EAA596E}" name="% Total Gain/Loss9" dataDxfId="24" dataCellStyle="Currency">
      <calculatedColumnFormula array="1">IF(T_WATCHLIST4[[#This Row],[Stock]]="","",SUMPRODUCT(T_TXN[UNITS],T_TXN[PRICE],--(T_TXN[TYPE]="Buy"),--(T_TXN[TICKER]=T_WATCHLIST4[[#This Row],[Stock]]))
-SUMPRODUCT(T_TXN[UNITS],T_TXN[PRICE],--(T_TXN[TYPE]="Sell"),--(T_TXN[TICKER]=T_WATCHLIST4[[#This Row],[Stock]])))</calculatedColumnFormula>
    </tableColumn>
    <tableColumn id="21" xr3:uid="{7533C120-C60E-4208-B1E4-BF3176EE9ACD}" name="% Total Gain/Loss10" dataDxfId="23">
      <calculatedColumnFormula array="1">IFERROR(IF(ROW(T_WATCHLIST4[[#This Row],[Stock]])-ROW(T_WATCHLIST4[[#Headers],[Stock]])&gt;=C_CNT_STOCKS,"",_FV(T_WATCHLIST4[[#This Row],[Stock]],"Industry",TRUE)),"Not Available")</calculatedColumnFormula>
    </tableColumn>
    <tableColumn id="1" xr3:uid="{D7FB62D7-6CDF-462C-871C-5464128ADC41}" name="% Total Gain/Loss11" dataDxfId="22">
      <calculatedColumnFormula array="1">IFERROR(IF(ROW(T_WATCHLIST4[[#This Row],[Stock]])-ROW(T_WATCHLIST4[[#Headers],[Stock]])&gt;=C_CNT_STOCKS,"",_FV(T_WATCHLIST4[[#This Row],[Stock]],"Instrument type",TRUE)),"Not Available")</calculatedColumnFormula>
    </tableColumn>
  </tableColumns>
  <tableStyleInfo name="TableStyleMedium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1A0155-84A4-43D4-900B-3F398F04FC86}" name="T_TXN" displayName="T_TXN" ref="A3:K7" totalsRowShown="0" headerRowDxfId="21" dataDxfId="20">
  <autoFilter ref="A3:K7" xr:uid="{5388DC0C-5446-46A4-BFC0-2F0508059024}"/>
  <sortState xmlns:xlrd2="http://schemas.microsoft.com/office/spreadsheetml/2017/richdata2" ref="A4:K7">
    <sortCondition ref="A3:A7"/>
  </sortState>
  <tableColumns count="11">
    <tableColumn id="1" xr3:uid="{B6E0F41F-DEA7-4874-A080-9C9EF99AA40C}" name="TXN DATE" dataDxfId="19"/>
    <tableColumn id="2" xr3:uid="{9D8E211F-BD67-4948-B51D-1DD5ACE070DF}" name="TICKER" dataDxfId="18"/>
    <tableColumn id="4" xr3:uid="{E070BA40-9F0F-451B-A5CE-C657739D4F8A}" name="TYPE" dataDxfId="17"/>
    <tableColumn id="5" xr3:uid="{0C74AD0D-A9AA-446F-982B-30AA95A0CA36}" name="UNITS" dataDxfId="16"/>
    <tableColumn id="6" xr3:uid="{2D66916E-2161-403D-BDFF-DA38332F921E}" name="PRICE" dataDxfId="15"/>
    <tableColumn id="3" xr3:uid="{AE9CB7BD-335E-459B-85AD-5DE50DA35304}" name="Low" dataDxfId="14">
      <calculatedColumnFormula array="1">IFERROR(_xlfn.STOCKHISTORY(T_TXN[[#This Row],[TICKER]],T_TXN[[#This Row],[TXN DATE]],T_TXN[[#This Row],[TXN DATE]],0,0,4),"")</calculatedColumnFormula>
    </tableColumn>
    <tableColumn id="7" xr3:uid="{61DC9923-7680-4FB0-A2D5-F56DEDF5BD4D}" name="High" dataDxfId="13">
      <calculatedColumnFormula array="1">IFERROR(_xlfn.STOCKHISTORY(T_TXN[[#This Row],[TICKER]],T_TXN[[#This Row],[TXN DATE]],T_TXN[[#This Row],[TXN DATE]],0,0,3),"")</calculatedColumnFormula>
    </tableColumn>
    <tableColumn id="10" xr3:uid="{10D40E28-D25B-4FBF-8FD7-261E4014D802}" name="Valid?" dataDxfId="12">
      <calculatedColumnFormula>IFERROR(
IF(OR(T_TXN[[#This Row],[TYPE]]="Cash Deposit",T_TXN[[#This Row],[TYPE]]="Cash Withdrawal",T_TXN[[#This Row],[TYPE]]="Fees",T_TXN[[#This Row],[TYPE]]="Dividend Payout"),IF(T_TXN[[#This Row],[PRICE]]="","Invalid","Valid"),
IF(T_TXN[[#This Row],[TICKER]]="","Invalid",IF(AND(T_TXN[[#This Row],[PRICE]]&gt;=T_TXN[[#This Row],[Low]],T_TXN[[#This Row],[PRICE]]&lt;=T_TXN[[#This Row],[High]]),"Valid","Invalid"))),"Not Available")</calculatedColumnFormula>
    </tableColumn>
    <tableColumn id="12" xr3:uid="{D45CBDF3-2346-4461-B955-34637A98AB91}" name="AMOUNT" dataDxfId="11">
      <calculatedColumnFormula>IF(OR(T_TXN[[#This Row],[TYPE]]="Cash Deposit",T_TXN[[#This Row],[TYPE]]="Cash Withdrawal",T_TXN[[#This Row],[TYPE]]="Fees",T_TXN[[#This Row],[TYPE]]="Dividend Payout"),T_TXN[[#This Row],[PRICE]],T_TXN[[#This Row],[PRICE]]*T_TXN[[#This Row],[UNITS]])</calculatedColumnFormula>
    </tableColumn>
    <tableColumn id="9" xr3:uid="{882F7603-853D-48FF-A7C2-FB9C178CECE7}" name="Cash Balance" dataDxfId="10" dataCellStyle="Currency">
      <calculatedColumnFormula>ROUND(
IF(ROW(T_TXN[[#This Row],[TXN DATE]])-ROW(T_TXN[[#Headers],[TXN DATE]])=1,I_ST_CASH,OFFSET(T_TXN[[#This Row],[Cash Balance]],-1,0))
+(IF(T_TXN[[#This Row],[TYPE]]="Buy",-1,IF(T_TXN[[#This Row],[TYPE]]="Sell",1,0))*T_TXN[[#This Row],[AMOUNT]])
+(IF(T_TXN[[#This Row],[TYPE]]="Cash Deposit",1,IF(T_TXN[[#This Row],[TYPE]]="Cash Withdrawal",-1,0))*T_TXN[[#This Row],[AMOUNT]])
+(IF(T_TXN[[#This Row],[TYPE]]="Dividend Payout",1,IF(T_TXN[[#This Row],[TYPE]]="Fees",-1,0))*T_TXN[[#This Row],[AMOUNT]]),2)</calculatedColumnFormula>
    </tableColumn>
    <tableColumn id="8" xr3:uid="{FFAC6924-8C94-CD47-A1AD-63B8A1A108FF}" name="Portfolio Weighting" dataDxfId="9" dataCellStyle="Percent">
      <calculatedColumnFormula>'Max average portfolio return'!M3/TRANSACTIONS!$B$26</calculatedColumnFormula>
    </tableColumn>
  </tableColumns>
  <tableStyleInfo name="TableStyleMedium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9A7132-A395-4F66-820C-A6650885B6D7}" name="T_ATTR" displayName="T_ATTR" ref="B2:B32" totalsRowShown="0" headerRowDxfId="8" dataDxfId="7">
  <autoFilter ref="B2:B32" xr:uid="{5EB889EA-2B90-4BD6-B244-3B0E3E9334E3}"/>
  <tableColumns count="1">
    <tableColumn id="1" xr3:uid="{6A8F38B4-5759-4C34-942B-5F7E549AC5EA}" name="Attribute"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CB2C8-448E-41B0-86C7-4A199BE322CA}">
  <dimension ref="A1:AH108"/>
  <sheetViews>
    <sheetView showGridLines="0" zoomScale="80" zoomScaleNormal="80" workbookViewId="0">
      <pane xSplit="9" ySplit="2" topLeftCell="AG6" activePane="bottomRight" state="frozen"/>
      <selection pane="topRight" activeCell="E1" sqref="E1"/>
      <selection pane="bottomLeft" activeCell="A3" sqref="A3"/>
      <selection pane="bottomRight" activeCell="AG3" sqref="AG3:AG6"/>
    </sheetView>
  </sheetViews>
  <sheetFormatPr baseColWidth="10" defaultColWidth="9.1640625" defaultRowHeight="14"/>
  <cols>
    <col min="1" max="1" width="42.33203125" style="42" bestFit="1" customWidth="1"/>
    <col min="2" max="2" width="50.6640625" style="42" customWidth="1"/>
    <col min="3" max="3" width="20.6640625" style="42" customWidth="1"/>
    <col min="4" max="4" width="11.5" style="42" customWidth="1"/>
    <col min="5" max="5" width="18.5" style="42" customWidth="1"/>
    <col min="6" max="6" width="44.6640625" style="42" bestFit="1" customWidth="1"/>
    <col min="7" max="7" width="10.5" style="42" bestFit="1" customWidth="1"/>
    <col min="8" max="8" width="10.5" style="119" customWidth="1"/>
    <col min="9" max="9" width="10.5" style="42" customWidth="1"/>
    <col min="10" max="10" width="9.1640625" style="42"/>
    <col min="11" max="11" width="10.6640625" style="42" customWidth="1"/>
    <col min="12" max="12" width="13.5" style="42" customWidth="1"/>
    <col min="13" max="13" width="12.5" style="42" customWidth="1"/>
    <col min="14" max="14" width="12.1640625" style="42" bestFit="1" customWidth="1"/>
    <col min="15" max="15" width="12.6640625" style="42" customWidth="1"/>
    <col min="16" max="16" width="12.83203125" style="42" bestFit="1" customWidth="1"/>
    <col min="17" max="17" width="13.5" style="42" customWidth="1"/>
    <col min="18" max="18" width="12.5" style="42" hidden="1" customWidth="1"/>
    <col min="19" max="19" width="24.83203125" style="42" hidden="1" customWidth="1"/>
    <col min="20" max="20" width="17.1640625" style="42" hidden="1" customWidth="1"/>
    <col min="21" max="21" width="0" style="42" hidden="1" customWidth="1"/>
    <col min="22" max="22" width="11.6640625" style="42" hidden="1" customWidth="1"/>
    <col min="23" max="23" width="6.83203125" style="42" hidden="1" customWidth="1"/>
    <col min="24" max="24" width="10" style="42" hidden="1" customWidth="1"/>
    <col min="25" max="25" width="9.33203125" style="42" hidden="1" customWidth="1"/>
    <col min="26" max="26" width="6.83203125" style="42" hidden="1" customWidth="1"/>
    <col min="27" max="27" width="11" style="42" hidden="1" customWidth="1"/>
    <col min="28" max="28" width="11.83203125" style="42" customWidth="1"/>
    <col min="29" max="30" width="9.1640625" style="42"/>
    <col min="31" max="31" width="16.5" style="42" customWidth="1"/>
    <col min="32" max="32" width="18" style="42" customWidth="1"/>
    <col min="33" max="33" width="36.5" style="42" bestFit="1" customWidth="1"/>
    <col min="34" max="34" width="40.6640625" style="42" bestFit="1" customWidth="1"/>
    <col min="35" max="35" width="14.83203125" style="42" bestFit="1" customWidth="1"/>
    <col min="36" max="36" width="15.33203125" style="42" customWidth="1"/>
    <col min="37" max="37" width="16.5" style="42" customWidth="1"/>
    <col min="38" max="39" width="1.6640625" style="42" customWidth="1"/>
    <col min="40" max="16384" width="9.1640625" style="42"/>
  </cols>
  <sheetData>
    <row r="1" spans="1:34" ht="30" customHeight="1">
      <c r="A1" s="52" t="s">
        <v>94</v>
      </c>
      <c r="B1" s="53"/>
      <c r="C1" s="53"/>
      <c r="D1" s="53"/>
      <c r="E1" s="53"/>
      <c r="F1" s="54" t="s">
        <v>70</v>
      </c>
      <c r="G1" s="53"/>
      <c r="H1" s="113"/>
      <c r="I1" s="53"/>
      <c r="J1" s="53"/>
      <c r="K1" s="55" t="s">
        <v>84</v>
      </c>
      <c r="L1" s="56">
        <v>-7</v>
      </c>
      <c r="M1" s="127" cm="1">
        <f t="array" ref="M1">_FV(HELP!D7,"Last trade time",TRUE)+('Max average portfolio return'!$L$1/24)</f>
        <v>45602.584190184898</v>
      </c>
      <c r="N1" s="127"/>
      <c r="O1" s="53"/>
      <c r="P1" s="57"/>
      <c r="Q1" s="53"/>
      <c r="R1" s="53"/>
      <c r="S1" s="53"/>
      <c r="T1" s="53"/>
      <c r="U1" s="53"/>
      <c r="V1" s="53"/>
      <c r="W1" s="53"/>
      <c r="X1" s="53"/>
      <c r="Y1" s="53"/>
      <c r="Z1" s="53"/>
      <c r="AA1" s="53"/>
      <c r="AB1" s="53"/>
      <c r="AC1" s="53"/>
      <c r="AD1" s="53"/>
      <c r="AE1" s="53"/>
      <c r="AF1" s="53"/>
      <c r="AG1" s="53"/>
      <c r="AH1" s="53"/>
    </row>
    <row r="2" spans="1:34" s="43" customFormat="1" ht="30" customHeight="1">
      <c r="A2" s="126">
        <f>C_LAST_TRADE_TIME</f>
        <v>45602.584190184898</v>
      </c>
      <c r="B2" s="126"/>
      <c r="C2" s="126"/>
      <c r="D2" s="126"/>
      <c r="E2" s="126"/>
      <c r="F2" s="58" t="s">
        <v>61</v>
      </c>
      <c r="G2" s="58" t="s">
        <v>80</v>
      </c>
      <c r="H2" s="114" t="s">
        <v>108</v>
      </c>
      <c r="I2" s="58" t="s">
        <v>65</v>
      </c>
      <c r="J2" s="58" t="s">
        <v>66</v>
      </c>
      <c r="K2" s="58" t="s">
        <v>6</v>
      </c>
      <c r="L2" s="58" t="s">
        <v>67</v>
      </c>
      <c r="M2" s="58" t="s">
        <v>49</v>
      </c>
      <c r="N2" s="58" t="s">
        <v>47</v>
      </c>
      <c r="O2" s="58" t="s">
        <v>68</v>
      </c>
      <c r="P2" s="58" t="s">
        <v>46</v>
      </c>
      <c r="Q2" s="58" t="s">
        <v>69</v>
      </c>
      <c r="R2" s="58" t="s">
        <v>95</v>
      </c>
      <c r="S2" s="58" t="s">
        <v>96</v>
      </c>
      <c r="T2" s="58" t="s">
        <v>97</v>
      </c>
      <c r="U2" s="58" t="s">
        <v>98</v>
      </c>
      <c r="V2" s="58" t="s">
        <v>99</v>
      </c>
      <c r="W2" s="58" t="s">
        <v>100</v>
      </c>
      <c r="X2" s="58" t="s">
        <v>101</v>
      </c>
      <c r="Y2" s="58" t="s">
        <v>102</v>
      </c>
      <c r="Z2" s="58" t="s">
        <v>103</v>
      </c>
      <c r="AA2" s="58" t="s">
        <v>104</v>
      </c>
      <c r="AB2" s="59" t="s">
        <v>91</v>
      </c>
      <c r="AC2" s="59" t="s">
        <v>92</v>
      </c>
      <c r="AD2" s="59" t="s">
        <v>85</v>
      </c>
      <c r="AE2" s="59" t="s">
        <v>86</v>
      </c>
      <c r="AF2" s="59" t="s">
        <v>87</v>
      </c>
      <c r="AG2" s="59" t="s">
        <v>88</v>
      </c>
      <c r="AH2" s="59" t="s">
        <v>93</v>
      </c>
    </row>
    <row r="3" spans="1:34" s="43" customFormat="1" ht="22" customHeight="1">
      <c r="B3" s="60" t="s">
        <v>71</v>
      </c>
      <c r="E3" s="61"/>
      <c r="F3" s="62" t="e" cm="1" vm="1">
        <f t="array" ref="F3">IFERROR(IF(ROW(T_WATCHLIST[[#This Row],[Stock]])-ROW(T_WATCHLIST[[#Headers],[Stock]])&gt;C_CNT_STOCKS,"",INDEX(_xlfn.ANCHORARRAY(HELP!$G$2),ROW(T_WATCHLIST[[#This Row],[Stock]])-ROW(T_WATCHLIST[[#Headers],[Stock]]))),"")</f>
        <v>#VALUE!</v>
      </c>
      <c r="G3" s="63" t="str" cm="1">
        <f t="array" ref="G3">IFERROR(_xlfn.FIELDVALUE(T_WATCHLIST[[#This Row],[Stock]],"Ticker Symbol"),"")</f>
        <v>FDX</v>
      </c>
      <c r="H3" s="115">
        <v>0</v>
      </c>
      <c r="I3" s="64">
        <f>IF(T_WATCHLIST[[#This Row],[Stock]]="","",SUMIFS(T_TXN[UNITS],T_TXN[TYPE],"Buy",T_TXN[TICKER],T_WATCHLIST[[#This Row],[Stock]])-SUMIFS(T_TXN[UNITS],T_TXN[TYPE],"Sell",T_TXN[TICKER],T_WATCHLIST[[#This Row],[Stock]])+SUMIFS(T_TXN[UNITS],T_TXN[TYPE],"Dividend Reinvestment",T_TXN[TICKER],T_WATCHLIST[[#This Row],[Stock]]))</f>
        <v>7</v>
      </c>
      <c r="J3" s="62" cm="1">
        <f t="array" ref="J3">IFERROR(_xlfn.FIELDVALUE(T_WATCHLIST[[#This Row],[Stock]],"Price"),"")</f>
        <v>280.02</v>
      </c>
      <c r="K3" s="65" cm="1">
        <f t="array" ref="K3">IFERROR(_xlfn.FIELDVALUE(T_WATCHLIST[[#This Row],[Stock]],"Change"),"")</f>
        <v>4.5999999999999996</v>
      </c>
      <c r="L3" s="66" cm="1">
        <f t="array" ref="L3">IFERROR(_xlfn.FIELDVALUE(T_WATCHLIST[[#This Row],[Stock]],"Change (%)"),"")</f>
        <v>1.6701999999999998E-2</v>
      </c>
      <c r="M3" s="67">
        <f>IF(T_WATCHLIST[[#This Row],[Stock]]="","",T_WATCHLIST[[#This Row],[Quantity]]*T_WATCHLIST[[#This Row],[Last Price]])</f>
        <v>1960.1399999999999</v>
      </c>
      <c r="N3" s="68" cm="1">
        <f t="array" ref="N3">IF(T_WATCHLIST[[#This Row],[Stock]]="","",T_WATCHLIST[[#This Row],[Current Value]]-_xlfn.FIELDVALUE(T_WATCHLIST[[#This Row],[Stock]],"Previous Close")*T_WATCHLIST[[#This Row],[Quantity]])</f>
        <v>32.199999999999818</v>
      </c>
      <c r="O3" s="69">
        <f>IFERROR(T_WATCHLIST[[#This Row],[Today''s Gain/Loss]]/(T_WATCHLIST[[#This Row],[Current Value]]-T_WATCHLIST[[#This Row],[Today''s Gain/Loss]]),"")</f>
        <v>1.6701764577735728E-2</v>
      </c>
      <c r="P3" s="67">
        <f>IFERROR(T_WATCHLIST[[#This Row],[Current Value]]-T_WATCHLIST[[#This Row],[% Total Gain/Loss9]],"")</f>
        <v>1120.21</v>
      </c>
      <c r="Q3" s="70">
        <f>IFERROR(T_WATCHLIST[[#This Row],[Total Gain/Loss]]/T_WATCHLIST[[#This Row],[% Total Gain/Loss9]],"")</f>
        <v>1.3336944745395451</v>
      </c>
      <c r="R3" s="71" cm="1">
        <f t="array" ref="R3">IFERROR(_xlfn.FIELDVALUE(T_WATCHLIST[[#This Row],[Stock]],"52 week low"),"")</f>
        <v>234.45</v>
      </c>
      <c r="S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00000060000</v>
      </c>
      <c r="T3" s="73" cm="1">
        <f t="array" ref="T3">IFERROR(_xlfn.FIELDVALUE(T_WATCHLIST[[#This Row],[Stock]],"52 week high"),"")</f>
        <v>313.83999999999997</v>
      </c>
      <c r="U3" s="64" cm="1">
        <f t="array" ref="U3">IF(T_WATCHLIST[[#This Row],[Stock]]="","",SUMPRODUCT(T_TXN[UNITS],--(T_TXN[TYPE]="Buy"),--(T_TXN[TICKER]=T_WATCHLIST[[#This Row],[Stock]])))</f>
        <v>7</v>
      </c>
      <c r="V3" s="67" cm="1">
        <f t="array" ref="V3">IF(T_WATCHLIST[[#This Row],[Stock]]="","",SUMPRODUCT(--(T_TXN[TYPE]="Buy"),T_TXN[UNITS],T_TXN[PRICE],--(T_TXN[TICKER]=T_WATCHLIST[[#This Row],[Stock]])))</f>
        <v>839.93</v>
      </c>
      <c r="W3" s="64" cm="1">
        <f t="array" ref="W3">IF(T_WATCHLIST[[#This Row],[Stock]]="","",SUMPRODUCT(T_TXN[UNITS],--(T_TXN[TYPE]="Sell"),--(T_TXN[TICKER]=T_WATCHLIST[[#This Row],[Stock]])))</f>
        <v>0</v>
      </c>
      <c r="X3" s="67" cm="1">
        <f t="array" ref="X3">IF(T_WATCHLIST[[#This Row],[Stock]]="","",SUMPRODUCT(--(T_TXN[TYPE]="Sell"),T_TXN[UNITS],T_TXN[PRICE],--(T_TXN[TICKER]=T_WATCHLIST[[#This Row],[Stock]])))</f>
        <v>0</v>
      </c>
      <c r="Y3" s="67" cm="1">
        <f t="array" ref="Y3">IF(T_WATCHLIST[[#This Row],[Stock]]="","",SUMPRODUCT(T_TXN[UNITS],T_TXN[PRICE],--(T_TXN[TYPE]="Buy"),--(T_TXN[TICKER]=T_WATCHLIST[[#This Row],[Stock]])) -SUMPRODUCT(T_TXN[UNITS],T_TXN[PRICE],--(T_TXN[TYPE]="Sell"),--(T_TXN[TICKER]=T_WATCHLIST[[#This Row],[Stock]])))</f>
        <v>839.93</v>
      </c>
      <c r="Z3" s="64" t="str" cm="1">
        <f t="array" ref="Z3">IFERROR(IF(ROW(T_WATCHLIST[[#This Row],[Stock]])-ROW(T_WATCHLIST[[#Headers],[Stock]])&gt;=C_CNT_STOCKS,"",_FV(T_WATCHLIST[[#This Row],[Stock]],"Industry",TRUE)),"Not Available")</f>
        <v>Freight &amp; Logistics Services</v>
      </c>
      <c r="AA3" s="64" t="str" cm="1">
        <f t="array" ref="AA3">IFERROR(IF(ROW(T_WATCHLIST[[#This Row],[Stock]])-ROW(T_WATCHLIST[[#Headers],[Stock]])&gt;=C_CNT_STOCKS,"",_FV(T_WATCHLIST[[#This Row],[Stock]],"Instrument type",TRUE)),"Not Available")</f>
        <v>Stock</v>
      </c>
      <c r="AB3" s="92">
        <f>'Max average portfolio return'!M3/TRANSACTIONS!$B$26</f>
        <v>0.50924234827090797</v>
      </c>
      <c r="AC3" s="50">
        <v>90</v>
      </c>
      <c r="AD3" s="50">
        <v>30</v>
      </c>
      <c r="AE3" s="50">
        <v>21</v>
      </c>
      <c r="AF3" s="50">
        <v>44</v>
      </c>
      <c r="AG3" s="50">
        <f>VLOOKUP(G3,'Impact Scores'!$B:$Z,25)</f>
        <v>230</v>
      </c>
      <c r="AH3" s="51">
        <f>AG3*T_WATCHLIST[[#This Row],[Weight]]</f>
        <v>0</v>
      </c>
    </row>
    <row r="4" spans="1:34" s="43" customFormat="1" ht="22" customHeight="1">
      <c r="B4" s="74" cm="1">
        <f t="array" ref="B4">_FV(I_EXH_1,"Change (%)",TRUE)</f>
        <v>2.7382E-2</v>
      </c>
      <c r="C4" s="75" t="str" cm="1">
        <f t="array" ref="C4">_FV(I_EXH_1,"Name",TRUE)</f>
        <v>NASDAQ 100 Index</v>
      </c>
      <c r="E4" s="61"/>
      <c r="F4" s="62" t="e" cm="1" vm="2">
        <f t="array" ref="F4">IFERROR(IF(ROW(T_WATCHLIST[[#This Row],[Stock]])-ROW(T_WATCHLIST[[#Headers],[Stock]])&gt;C_CNT_STOCKS,"",INDEX(_xlfn.ANCHORARRAY(HELP!$G$2),ROW(T_WATCHLIST[[#This Row],[Stock]])-ROW(T_WATCHLIST[[#Headers],[Stock]]))),"")</f>
        <v>#VALUE!</v>
      </c>
      <c r="G4" s="63" t="str" cm="1">
        <f t="array" ref="G4">IFERROR(_xlfn.FIELDVALUE(T_WATCHLIST[[#This Row],[Stock]],"Ticker Symbol"),"")</f>
        <v>F</v>
      </c>
      <c r="H4" s="115">
        <v>0.5714285714285714</v>
      </c>
      <c r="I4" s="64">
        <f>IF(T_WATCHLIST[[#This Row],[Stock]]="","",SUMIFS(T_TXN[UNITS],T_TXN[TYPE],"Buy",T_TXN[TICKER],T_WATCHLIST[[#This Row],[Stock]])-SUMIFS(T_TXN[UNITS],T_TXN[TYPE],"Sell",T_TXN[TICKER],T_WATCHLIST[[#This Row],[Stock]])+SUMIFS(T_TXN[UNITS],T_TXN[TYPE],"Dividend Reinvestment",T_TXN[TICKER],T_WATCHLIST[[#This Row],[Stock]]))</f>
        <v>10</v>
      </c>
      <c r="J4" s="62" cm="1">
        <f t="array" ref="J4">IFERROR(_xlfn.FIELDVALUE(T_WATCHLIST[[#This Row],[Stock]],"Price"),"")</f>
        <v>11.19</v>
      </c>
      <c r="K4" s="65" cm="1">
        <f t="array" ref="K4">IFERROR(_xlfn.FIELDVALUE(T_WATCHLIST[[#This Row],[Stock]],"Change"),"")</f>
        <v>0.59</v>
      </c>
      <c r="L4" s="76" cm="1">
        <f t="array" ref="L4">IFERROR(_xlfn.FIELDVALUE(T_WATCHLIST[[#This Row],[Stock]],"Change (%)"),"")</f>
        <v>5.5660000000000001E-2</v>
      </c>
      <c r="M4" s="67">
        <f>IF(T_WATCHLIST[[#This Row],[Stock]]="","",T_WATCHLIST[[#This Row],[Quantity]]*T_WATCHLIST[[#This Row],[Last Price]])</f>
        <v>111.89999999999999</v>
      </c>
      <c r="N4" s="68" cm="1">
        <f t="array" ref="N4">IF(T_WATCHLIST[[#This Row],[Stock]]="","",T_WATCHLIST[[#This Row],[Current Value]]-_xlfn.FIELDVALUE(T_WATCHLIST[[#This Row],[Stock]],"Previous Close")*T_WATCHLIST[[#This Row],[Quantity]])</f>
        <v>5.8999999999999915</v>
      </c>
      <c r="O4" s="69">
        <f>IFERROR(T_WATCHLIST[[#This Row],[Today''s Gain/Loss]]/(T_WATCHLIST[[#This Row],[Current Value]]-T_WATCHLIST[[#This Row],[Today''s Gain/Loss]]),"")</f>
        <v>5.5660377358490484E-2</v>
      </c>
      <c r="P4" s="67">
        <f>IFERROR(T_WATCHLIST[[#This Row],[Current Value]]-T_WATCHLIST[[#This Row],[% Total Gain/Loss9]],"")</f>
        <v>66.899999999999991</v>
      </c>
      <c r="Q4" s="70">
        <f>IFERROR(T_WATCHLIST[[#This Row],[Total Gain/Loss]]/T_WATCHLIST[[#This Row],[% Total Gain/Loss9]],"")</f>
        <v>1.4866666666666666</v>
      </c>
      <c r="R4" s="77" cm="1">
        <f t="array" ref="R4">IFERROR(_xlfn.FIELDVALUE(T_WATCHLIST[[#This Row],[Stock]],"52 week low"),"")</f>
        <v>9.49</v>
      </c>
      <c r="S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00060000000</v>
      </c>
      <c r="T4" s="73" cm="1">
        <f t="array" ref="T4">IFERROR(_xlfn.FIELDVALUE(T_WATCHLIST[[#This Row],[Stock]],"52 week high"),"")</f>
        <v>14.85</v>
      </c>
      <c r="U4" s="64" cm="1">
        <f t="array" ref="U4">IF(T_WATCHLIST[[#This Row],[Stock]]="","",SUMPRODUCT(T_TXN[UNITS],--(T_TXN[TYPE]="Buy"),--(T_TXN[TICKER]=T_WATCHLIST[[#This Row],[Stock]])))</f>
        <v>10</v>
      </c>
      <c r="V4" s="67" cm="1">
        <f t="array" ref="V4">IF(T_WATCHLIST[[#This Row],[Stock]]="","",SUMPRODUCT(--(T_TXN[TYPE]="Buy"),T_TXN[UNITS],T_TXN[PRICE],--(T_TXN[TICKER]=T_WATCHLIST[[#This Row],[Stock]])))</f>
        <v>45</v>
      </c>
      <c r="W4" s="64" cm="1">
        <f t="array" ref="W4">IF(T_WATCHLIST[[#This Row],[Stock]]="","",SUMPRODUCT(T_TXN[UNITS],--(T_TXN[TYPE]="Sell"),--(T_TXN[TICKER]=T_WATCHLIST[[#This Row],[Stock]])))</f>
        <v>0</v>
      </c>
      <c r="X4" s="67" cm="1">
        <f t="array" ref="X4">IF(T_WATCHLIST[[#This Row],[Stock]]="","",SUMPRODUCT(--(T_TXN[TYPE]="Sell"),T_TXN[UNITS],T_TXN[PRICE],--(T_TXN[TICKER]=T_WATCHLIST[[#This Row],[Stock]])))</f>
        <v>0</v>
      </c>
      <c r="Y4" s="67" cm="1">
        <f t="array" ref="Y4">IF(T_WATCHLIST[[#This Row],[Stock]]="","",SUMPRODUCT(T_TXN[UNITS],T_TXN[PRICE],--(T_TXN[TYPE]="Buy"),--(T_TXN[TICKER]=T_WATCHLIST[[#This Row],[Stock]])) -SUMPRODUCT(T_TXN[UNITS],T_TXN[PRICE],--(T_TXN[TYPE]="Sell"),--(T_TXN[TICKER]=T_WATCHLIST[[#This Row],[Stock]])))</f>
        <v>45</v>
      </c>
      <c r="Z4" s="64" t="str" cm="1">
        <f t="array" ref="Z4">IFERROR(IF(ROW(T_WATCHLIST[[#This Row],[Stock]])-ROW(T_WATCHLIST[[#Headers],[Stock]])&gt;=C_CNT_STOCKS,"",_FV(T_WATCHLIST[[#This Row],[Stock]],"Industry",TRUE)),"Not Available")</f>
        <v>Automobiles &amp; Auto Parts</v>
      </c>
      <c r="AA4" s="64" t="str" cm="1">
        <f t="array" ref="AA4">IFERROR(IF(ROW(T_WATCHLIST[[#This Row],[Stock]])-ROW(T_WATCHLIST[[#Headers],[Stock]])&gt;=C_CNT_STOCKS,"",_FV(T_WATCHLIST[[#This Row],[Stock]],"Instrument type",TRUE)),"Not Available")</f>
        <v>Stock</v>
      </c>
      <c r="AB4" s="92">
        <f>'Max average portfolio return'!AC3/TRANSACTIONS!$B$26</f>
        <v>2.3381907080301263E-2</v>
      </c>
      <c r="AC4" s="50">
        <v>40</v>
      </c>
      <c r="AD4" s="50">
        <v>25</v>
      </c>
      <c r="AE4" s="50">
        <v>99</v>
      </c>
      <c r="AF4" s="50">
        <v>66</v>
      </c>
      <c r="AG4" s="50">
        <f>VLOOKUP(G4,'Impact Scores'!$B:$Z,25)</f>
        <v>230</v>
      </c>
      <c r="AH4" s="51">
        <f>AG4*T_WATCHLIST[[#This Row],[Weight]]</f>
        <v>131.42857142857142</v>
      </c>
    </row>
    <row r="5" spans="1:34" s="43" customFormat="1" ht="22" customHeight="1">
      <c r="B5" s="74" cm="1">
        <f t="array" ref="B5">_FV(I_EXH_2,"Change (%)",TRUE)</f>
        <v>2.5118999999999999E-2</v>
      </c>
      <c r="C5" s="75" t="str" cm="1">
        <f t="array" ref="C5">_FV(I_EXH_2,"Name",TRUE)</f>
        <v>S&amp;P 500 INDEX</v>
      </c>
      <c r="E5" s="61"/>
      <c r="F5" s="62" t="e" cm="1" vm="3">
        <f t="array" ref="F5">IFERROR(IF(ROW(T_WATCHLIST[[#This Row],[Stock]])-ROW(T_WATCHLIST[[#Headers],[Stock]])&gt;C_CNT_STOCKS,"",INDEX(_xlfn.ANCHORARRAY(HELP!$G$2),ROW(T_WATCHLIST[[#This Row],[Stock]])-ROW(T_WATCHLIST[[#Headers],[Stock]]))),"")</f>
        <v>#VALUE!</v>
      </c>
      <c r="G5" s="63" t="str" cm="1">
        <f t="array" ref="G5">IFERROR(_xlfn.FIELDVALUE(T_WATCHLIST[[#This Row],[Stock]],"Ticker Symbol"),"")</f>
        <v>HMC</v>
      </c>
      <c r="H5" s="115">
        <v>0</v>
      </c>
      <c r="I5" s="64">
        <f>IF(T_WATCHLIST[[#This Row],[Stock]]="","",SUMIFS(T_TXN[UNITS],T_TXN[TYPE],"Buy",T_TXN[TICKER],T_WATCHLIST[[#This Row],[Stock]])-SUMIFS(T_TXN[UNITS],T_TXN[TYPE],"Sell",T_TXN[TICKER],T_WATCHLIST[[#This Row],[Stock]])+SUMIFS(T_TXN[UNITS],T_TXN[TYPE],"Dividend Reinvestment",T_TXN[TICKER],T_WATCHLIST[[#This Row],[Stock]]))</f>
        <v>12</v>
      </c>
      <c r="J5" s="62" cm="1">
        <f t="array" ref="J5">IFERROR(_xlfn.FIELDVALUE(T_WATCHLIST[[#This Row],[Stock]],"Price"),"")</f>
        <v>27.87</v>
      </c>
      <c r="K5" s="65" cm="1">
        <f t="array" ref="K5">IFERROR(_xlfn.FIELDVALUE(T_WATCHLIST[[#This Row],[Stock]],"Change"),"")</f>
        <v>-2.4300000000000002</v>
      </c>
      <c r="L5" s="76" cm="1">
        <f t="array" ref="L5">IFERROR(_xlfn.FIELDVALUE(T_WATCHLIST[[#This Row],[Stock]],"Change (%)"),"")</f>
        <v>-8.0198000000000005E-2</v>
      </c>
      <c r="M5" s="67">
        <f>IF(T_WATCHLIST[[#This Row],[Stock]]="","",T_WATCHLIST[[#This Row],[Quantity]]*T_WATCHLIST[[#This Row],[Last Price]])</f>
        <v>334.44</v>
      </c>
      <c r="N5" s="68" cm="1">
        <f t="array" ref="N5">IF(T_WATCHLIST[[#This Row],[Stock]]="","",T_WATCHLIST[[#This Row],[Current Value]]-_xlfn.FIELDVALUE(T_WATCHLIST[[#This Row],[Stock]],"Previous Close")*T_WATCHLIST[[#This Row],[Quantity]])</f>
        <v>-29.160000000000025</v>
      </c>
      <c r="O5" s="69">
        <f>IFERROR(T_WATCHLIST[[#This Row],[Today''s Gain/Loss]]/(T_WATCHLIST[[#This Row],[Current Value]]-T_WATCHLIST[[#This Row],[Today''s Gain/Loss]]),"")</f>
        <v>-8.0198019801980255E-2</v>
      </c>
      <c r="P5" s="67">
        <f>IFERROR(T_WATCHLIST[[#This Row],[Current Value]]-T_WATCHLIST[[#This Row],[% Total Gain/Loss9]],"")</f>
        <v>70.680000000000007</v>
      </c>
      <c r="Q5" s="70">
        <f>IFERROR(T_WATCHLIST[[#This Row],[Total Gain/Loss]]/T_WATCHLIST[[#This Row],[% Total Gain/Loss9]],"")</f>
        <v>0.26797088262056418</v>
      </c>
      <c r="R5" s="77" cm="1">
        <f t="array" ref="R5">IFERROR(_xlfn.FIELDVALUE(T_WATCHLIST[[#This Row],[Stock]],"52 week low"),"")</f>
        <v>27.271599999999999</v>
      </c>
      <c r="S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06000000000</v>
      </c>
      <c r="T5" s="73" cm="1">
        <f t="array" ref="T5">IFERROR(_xlfn.FIELDVALUE(T_WATCHLIST[[#This Row],[Stock]],"52 week high"),"")</f>
        <v>37.9</v>
      </c>
      <c r="U5" s="64" cm="1">
        <f t="array" ref="U5">IF(T_WATCHLIST[[#This Row],[Stock]]="","",SUMPRODUCT(T_TXN[UNITS],--(T_TXN[TYPE]="Buy"),--(T_TXN[TICKER]=T_WATCHLIST[[#This Row],[Stock]])))</f>
        <v>12</v>
      </c>
      <c r="V5" s="67" cm="1">
        <f t="array" ref="V5">IF(T_WATCHLIST[[#This Row],[Stock]]="","",SUMPRODUCT(--(T_TXN[TYPE]="Buy"),T_TXN[UNITS],T_TXN[PRICE],--(T_TXN[TICKER]=T_WATCHLIST[[#This Row],[Stock]])))</f>
        <v>263.76</v>
      </c>
      <c r="W5" s="64" cm="1">
        <f t="array" ref="W5">IF(T_WATCHLIST[[#This Row],[Stock]]="","",SUMPRODUCT(T_TXN[UNITS],--(T_TXN[TYPE]="Sell"),--(T_TXN[TICKER]=T_WATCHLIST[[#This Row],[Stock]])))</f>
        <v>0</v>
      </c>
      <c r="X5" s="67" cm="1">
        <f t="array" ref="X5">IF(T_WATCHLIST[[#This Row],[Stock]]="","",SUMPRODUCT(--(T_TXN[TYPE]="Sell"),T_TXN[UNITS],T_TXN[PRICE],--(T_TXN[TICKER]=T_WATCHLIST[[#This Row],[Stock]])))</f>
        <v>0</v>
      </c>
      <c r="Y5" s="67" cm="1">
        <f t="array" ref="Y5">IF(T_WATCHLIST[[#This Row],[Stock]]="","",SUMPRODUCT(T_TXN[UNITS],T_TXN[PRICE],--(T_TXN[TYPE]="Buy"),--(T_TXN[TICKER]=T_WATCHLIST[[#This Row],[Stock]])) -SUMPRODUCT(T_TXN[UNITS],T_TXN[PRICE],--(T_TXN[TYPE]="Sell"),--(T_TXN[TICKER]=T_WATCHLIST[[#This Row],[Stock]])))</f>
        <v>263.76</v>
      </c>
      <c r="Z5" s="64" t="str" cm="1">
        <f t="array" ref="Z5">IFERROR(IF(ROW(T_WATCHLIST[[#This Row],[Stock]])-ROW(T_WATCHLIST[[#Headers],[Stock]])&gt;=C_CNT_STOCKS,"",_FV(T_WATCHLIST[[#This Row],[Stock]],"Industry",TRUE)),"Not Available")</f>
        <v>Automobiles &amp; Auto Parts</v>
      </c>
      <c r="AA5" s="64" t="str" cm="1">
        <f t="array" ref="AA5">IFERROR(IF(ROW(T_WATCHLIST[[#This Row],[Stock]])-ROW(T_WATCHLIST[[#Headers],[Stock]])&gt;=C_CNT_STOCKS,"",_FV(T_WATCHLIST[[#This Row],[Stock]],"Instrument type",TRUE)),"Not Available")</f>
        <v>Stock</v>
      </c>
      <c r="AB5" s="92">
        <f>'Max average portfolio return'!AC4/TRANSACTIONS!$B$26</f>
        <v>1.0391958702356116E-2</v>
      </c>
      <c r="AC5" s="50">
        <v>70</v>
      </c>
      <c r="AD5" s="50">
        <v>66</v>
      </c>
      <c r="AE5" s="50">
        <v>76</v>
      </c>
      <c r="AF5" s="50">
        <v>55</v>
      </c>
      <c r="AG5" s="50">
        <f>VLOOKUP(G5,'Impact Scores'!$B:$Z,25)</f>
        <v>267</v>
      </c>
      <c r="AH5" s="51">
        <f>AG5*T_WATCHLIST[[#This Row],[Weight]]</f>
        <v>0</v>
      </c>
    </row>
    <row r="6" spans="1:34" s="43" customFormat="1" ht="22" customHeight="1">
      <c r="B6" s="74" cm="1">
        <f t="array" ref="B6">_FV(I_EXH_3,"Change (%)",TRUE)</f>
        <v>3.5699999999999996E-2</v>
      </c>
      <c r="C6" s="75" t="str" cm="1">
        <f t="array" ref="C6">_FV(I_EXH_3,"Name",TRUE)</f>
        <v>DOW JONES INDU AVERAGE NDX</v>
      </c>
      <c r="E6" s="61"/>
      <c r="F6" s="62" t="e" cm="1" vm="4">
        <f t="array" ref="F6">IFERROR(IF(ROW(T_WATCHLIST[[#This Row],[Stock]])-ROW(T_WATCHLIST[[#Headers],[Stock]])&gt;C_CNT_STOCKS,"",INDEX(_xlfn.ANCHORARRAY(HELP!$G$2),ROW(T_WATCHLIST[[#This Row],[Stock]])-ROW(T_WATCHLIST[[#Headers],[Stock]]))),"")</f>
        <v>#VALUE!</v>
      </c>
      <c r="G6" s="63" t="str" cm="1">
        <f t="array" ref="G6">IFERROR(_xlfn.FIELDVALUE(T_WATCHLIST[[#This Row],[Stock]],"Ticker Symbol"),"")</f>
        <v>TSLA</v>
      </c>
      <c r="H6" s="115">
        <v>0.42857142857142871</v>
      </c>
      <c r="I6" s="64">
        <f>IF(T_WATCHLIST[[#This Row],[Stock]]="","",SUMIFS(T_TXN[UNITS],T_TXN[TYPE],"Buy",T_TXN[TICKER],T_WATCHLIST[[#This Row],[Stock]])-SUMIFS(T_TXN[UNITS],T_TXN[TYPE],"Sell",T_TXN[TICKER],T_WATCHLIST[[#This Row],[Stock]])+SUMIFS(T_TXN[UNITS],T_TXN[TYPE],"Dividend Reinvestment",T_TXN[TICKER],T_WATCHLIST[[#This Row],[Stock]]))</f>
        <v>5</v>
      </c>
      <c r="J6" s="62" cm="1">
        <f t="array" ref="J6">IFERROR(_xlfn.FIELDVALUE(T_WATCHLIST[[#This Row],[Stock]],"Price"),"")</f>
        <v>288.52999999999997</v>
      </c>
      <c r="K6" s="65" cm="1">
        <f t="array" ref="K6">IFERROR(_xlfn.FIELDVALUE(T_WATCHLIST[[#This Row],[Stock]],"Change"),"")</f>
        <v>37.090000000000003</v>
      </c>
      <c r="L6" s="76" cm="1">
        <f t="array" ref="L6">IFERROR(_xlfn.FIELDVALUE(T_WATCHLIST[[#This Row],[Stock]],"Change (%)"),"")</f>
        <v>0.14751</v>
      </c>
      <c r="M6" s="67">
        <f>IF(T_WATCHLIST[[#This Row],[Stock]]="","",T_WATCHLIST[[#This Row],[Quantity]]*T_WATCHLIST[[#This Row],[Last Price]])</f>
        <v>1442.6499999999999</v>
      </c>
      <c r="N6" s="68" cm="1">
        <f t="array" ref="N6">IF(T_WATCHLIST[[#This Row],[Stock]]="","",T_WATCHLIST[[#This Row],[Current Value]]-_xlfn.FIELDVALUE(T_WATCHLIST[[#This Row],[Stock]],"Previous Close")*T_WATCHLIST[[#This Row],[Quantity]])</f>
        <v>185.44999999999982</v>
      </c>
      <c r="O6" s="69">
        <f>IFERROR(T_WATCHLIST[[#This Row],[Today''s Gain/Loss]]/(T_WATCHLIST[[#This Row],[Current Value]]-T_WATCHLIST[[#This Row],[Today''s Gain/Loss]]),"")</f>
        <v>0.1475103404390708</v>
      </c>
      <c r="P6" s="67">
        <f>IFERROR(T_WATCHLIST[[#This Row],[Current Value]]-T_WATCHLIST[[#This Row],[% Total Gain/Loss9]],"")</f>
        <v>1207.6499999999999</v>
      </c>
      <c r="Q6" s="70">
        <f>IFERROR(T_WATCHLIST[[#This Row],[Total Gain/Loss]]/T_WATCHLIST[[#This Row],[% Total Gain/Loss9]],"")</f>
        <v>5.1389361702127649</v>
      </c>
      <c r="R6" s="77" cm="1">
        <f t="array" ref="R6">IFERROR(_xlfn.FIELDVALUE(T_WATCHLIST[[#This Row],[Stock]],"52 week low"),"")</f>
        <v>138.80250000000001</v>
      </c>
      <c r="S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00000000006</v>
      </c>
      <c r="T6" s="73" cm="1">
        <f t="array" ref="T6">IFERROR(_xlfn.FIELDVALUE(T_WATCHLIST[[#This Row],[Stock]],"52 week high"),"")</f>
        <v>289.58999999999997</v>
      </c>
      <c r="U6" s="64" cm="1">
        <f t="array" ref="U6">IF(T_WATCHLIST[[#This Row],[Stock]]="","",SUMPRODUCT(T_TXN[UNITS],--(T_TXN[TYPE]="Buy"),--(T_TXN[TICKER]=T_WATCHLIST[[#This Row],[Stock]])))</f>
        <v>5</v>
      </c>
      <c r="V6" s="67" cm="1">
        <f t="array" ref="V6">IF(T_WATCHLIST[[#This Row],[Stock]]="","",SUMPRODUCT(--(T_TXN[TYPE]="Buy"),T_TXN[UNITS],T_TXN[PRICE],--(T_TXN[TICKER]=T_WATCHLIST[[#This Row],[Stock]])))</f>
        <v>235</v>
      </c>
      <c r="W6" s="64" cm="1">
        <f t="array" ref="W6">IF(T_WATCHLIST[[#This Row],[Stock]]="","",SUMPRODUCT(T_TXN[UNITS],--(T_TXN[TYPE]="Sell"),--(T_TXN[TICKER]=T_WATCHLIST[[#This Row],[Stock]])))</f>
        <v>0</v>
      </c>
      <c r="X6" s="67" cm="1">
        <f t="array" ref="X6">IF(T_WATCHLIST[[#This Row],[Stock]]="","",SUMPRODUCT(--(T_TXN[TYPE]="Sell"),T_TXN[UNITS],T_TXN[PRICE],--(T_TXN[TICKER]=T_WATCHLIST[[#This Row],[Stock]])))</f>
        <v>0</v>
      </c>
      <c r="Y6" s="67" cm="1">
        <f t="array" ref="Y6">IF(T_WATCHLIST[[#This Row],[Stock]]="","",SUMPRODUCT(T_TXN[UNITS],T_TXN[PRICE],--(T_TXN[TYPE]="Buy"),--(T_TXN[TICKER]=T_WATCHLIST[[#This Row],[Stock]])) -SUMPRODUCT(T_TXN[UNITS],T_TXN[PRICE],--(T_TXN[TYPE]="Sell"),--(T_TXN[TICKER]=T_WATCHLIST[[#This Row],[Stock]])))</f>
        <v>235</v>
      </c>
      <c r="Z6" s="64" t="str" cm="1">
        <f t="array" ref="Z6">IFERROR(IF(ROW(T_WATCHLIST[[#This Row],[Stock]])-ROW(T_WATCHLIST[[#Headers],[Stock]])&gt;=C_CNT_STOCKS,"",_FV(T_WATCHLIST[[#This Row],[Stock]],"Industry",TRUE)),"Not Available")</f>
        <v/>
      </c>
      <c r="AA6" s="64" t="str" cm="1">
        <f t="array" ref="AA6">IFERROR(IF(ROW(T_WATCHLIST[[#This Row],[Stock]])-ROW(T_WATCHLIST[[#Headers],[Stock]])&gt;=C_CNT_STOCKS,"",_FV(T_WATCHLIST[[#This Row],[Stock]],"Instrument type",TRUE)),"Not Available")</f>
        <v/>
      </c>
      <c r="AB6" s="92">
        <f>'Max average portfolio return'!AC5/TRANSACTIONS!$B$26</f>
        <v>1.8185927729123204E-2</v>
      </c>
      <c r="AC6" s="50">
        <v>40</v>
      </c>
      <c r="AD6" s="50">
        <v>40</v>
      </c>
      <c r="AE6" s="50">
        <v>40</v>
      </c>
      <c r="AF6" s="50">
        <v>40</v>
      </c>
      <c r="AG6" s="50">
        <f>VLOOKUP(G6,'Impact Scores'!$B:$Z,25)</f>
        <v>160</v>
      </c>
      <c r="AH6" s="51">
        <f>AG6*T_WATCHLIST[[#This Row],[Weight]]</f>
        <v>68.571428571428598</v>
      </c>
    </row>
    <row r="7" spans="1:34" s="43" customFormat="1" ht="22" customHeight="1">
      <c r="E7" s="61"/>
      <c r="F7" s="62" t="str" cm="1">
        <f t="array" ref="F7">IFERROR(IF(ROW(T_WATCHLIST[[#This Row],[Stock]])-ROW(T_WATCHLIST[[#Headers],[Stock]])&gt;C_CNT_STOCKS,"",INDEX(_xlfn.ANCHORARRAY(HELP!$G$2),ROW(T_WATCHLIST[[#This Row],[Stock]])-ROW(T_WATCHLIST[[#Headers],[Stock]]))),"")</f>
        <v/>
      </c>
      <c r="G7" s="63" t="str" cm="1">
        <f t="array" ref="G7">IFERROR(_xlfn.FIELDVALUE(T_WATCHLIST[[#This Row],[Stock]],"Ticker Symbol"),"")</f>
        <v/>
      </c>
      <c r="H7" s="115">
        <v>0</v>
      </c>
      <c r="I7" s="64" t="str">
        <f>IF(T_WATCHLIST[[#This Row],[Stock]]="","",SUMIFS(T_TXN[UNITS],T_TXN[TYPE],"Buy",T_TXN[TICKER],T_WATCHLIST[[#This Row],[Stock]])-SUMIFS(T_TXN[UNITS],T_TXN[TYPE],"Sell",T_TXN[TICKER],T_WATCHLIST[[#This Row],[Stock]])+SUMIFS(T_TXN[UNITS],T_TXN[TYPE],"Dividend Reinvestment",T_TXN[TICKER],T_WATCHLIST[[#This Row],[Stock]]))</f>
        <v/>
      </c>
      <c r="J7" s="62" t="str" cm="1">
        <f t="array" ref="J7">IFERROR(_xlfn.FIELDVALUE(T_WATCHLIST[[#This Row],[Stock]],"Price"),"")</f>
        <v/>
      </c>
      <c r="K7" s="65" t="str" cm="1">
        <f t="array" ref="K7">IFERROR(_xlfn.FIELDVALUE(T_WATCHLIST[[#This Row],[Stock]],"Change"),"")</f>
        <v/>
      </c>
      <c r="L7" s="76" t="str" cm="1">
        <f t="array" ref="L7">IFERROR(_xlfn.FIELDVALUE(T_WATCHLIST[[#This Row],[Stock]],"Change (%)"),"")</f>
        <v/>
      </c>
      <c r="M7" s="67" t="str">
        <f>IF(T_WATCHLIST[[#This Row],[Stock]]="","",T_WATCHLIST[[#This Row],[Quantity]]*T_WATCHLIST[[#This Row],[Last Price]])</f>
        <v/>
      </c>
      <c r="N7" s="68" t="str" cm="1">
        <f t="array" ref="N7">IF(T_WATCHLIST[[#This Row],[Stock]]="","",T_WATCHLIST[[#This Row],[Current Value]]-_xlfn.FIELDVALUE(T_WATCHLIST[[#This Row],[Stock]],"Previous Close")*T_WATCHLIST[[#This Row],[Quantity]])</f>
        <v/>
      </c>
      <c r="O7" s="69" t="str">
        <f>IFERROR(T_WATCHLIST[[#This Row],[Today''s Gain/Loss]]/(T_WATCHLIST[[#This Row],[Current Value]]-T_WATCHLIST[[#This Row],[Today''s Gain/Loss]]),"")</f>
        <v/>
      </c>
      <c r="P7" s="67" t="str">
        <f>IFERROR(T_WATCHLIST[[#This Row],[Current Value]]-T_WATCHLIST[[#This Row],[% Total Gain/Loss9]],"")</f>
        <v/>
      </c>
      <c r="Q7" s="70" t="str">
        <f>IFERROR(T_WATCHLIST[[#This Row],[Total Gain/Loss]]/T_WATCHLIST[[#This Row],[% Total Gain/Loss9]],"")</f>
        <v/>
      </c>
      <c r="R7" s="77" t="str" cm="1">
        <f t="array" ref="R7">IFERROR(_xlfn.FIELDVALUE(T_WATCHLIST[[#This Row],[Stock]],"52 week low"),"")</f>
        <v/>
      </c>
      <c r="S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 s="73" t="str" cm="1">
        <f t="array" ref="T7">IFERROR(_xlfn.FIELDVALUE(T_WATCHLIST[[#This Row],[Stock]],"52 week high"),"")</f>
        <v/>
      </c>
      <c r="U7" s="64" t="str" cm="1">
        <f t="array" ref="U7">IF(T_WATCHLIST[[#This Row],[Stock]]="","",SUMPRODUCT(T_TXN[UNITS],--(T_TXN[TYPE]="Buy"),--(T_TXN[TICKER]=T_WATCHLIST[[#This Row],[Stock]])))</f>
        <v/>
      </c>
      <c r="V7" s="67" t="str" cm="1">
        <f t="array" ref="V7">IF(T_WATCHLIST[[#This Row],[Stock]]="","",SUMPRODUCT(--(T_TXN[TYPE]="Buy"),T_TXN[UNITS],T_TXN[PRICE],--(T_TXN[TICKER]=T_WATCHLIST[[#This Row],[Stock]])))</f>
        <v/>
      </c>
      <c r="W7" s="64" t="str" cm="1">
        <f t="array" ref="W7">IF(T_WATCHLIST[[#This Row],[Stock]]="","",SUMPRODUCT(T_TXN[UNITS],--(T_TXN[TYPE]="Sell"),--(T_TXN[TICKER]=T_WATCHLIST[[#This Row],[Stock]])))</f>
        <v/>
      </c>
      <c r="X7" s="67" t="str" cm="1">
        <f t="array" ref="X7">IF(T_WATCHLIST[[#This Row],[Stock]]="","",SUMPRODUCT(--(T_TXN[TYPE]="Sell"),T_TXN[UNITS],T_TXN[PRICE],--(T_TXN[TICKER]=T_WATCHLIST[[#This Row],[Stock]])))</f>
        <v/>
      </c>
      <c r="Y7" s="67" t="str" cm="1">
        <f t="array" ref="Y7">IF(T_WATCHLIST[[#This Row],[Stock]]="","",SUMPRODUCT(T_TXN[UNITS],T_TXN[PRICE],--(T_TXN[TYPE]="Buy"),--(T_TXN[TICKER]=T_WATCHLIST[[#This Row],[Stock]])) -SUMPRODUCT(T_TXN[UNITS],T_TXN[PRICE],--(T_TXN[TYPE]="Sell"),--(T_TXN[TICKER]=T_WATCHLIST[[#This Row],[Stock]])))</f>
        <v/>
      </c>
      <c r="Z7" s="64" t="str" cm="1">
        <f t="array" ref="Z7">IFERROR(IF(ROW(T_WATCHLIST[[#This Row],[Stock]])-ROW(T_WATCHLIST[[#Headers],[Stock]])&gt;=C_CNT_STOCKS,"",_FV(T_WATCHLIST[[#This Row],[Stock]],"Industry",TRUE)),"Not Available")</f>
        <v/>
      </c>
      <c r="AA7" s="64" t="str" cm="1">
        <f t="array" ref="AA7">IFERROR(IF(ROW(T_WATCHLIST[[#This Row],[Stock]])-ROW(T_WATCHLIST[[#Headers],[Stock]])&gt;=C_CNT_STOCKS,"",_FV(T_WATCHLIST[[#This Row],[Stock]],"Instrument type",TRUE)),"Not Available")</f>
        <v/>
      </c>
      <c r="AG7"/>
      <c r="AH7"/>
    </row>
    <row r="8" spans="1:34" s="43" customFormat="1" ht="22" customHeight="1">
      <c r="B8" s="60" t="s">
        <v>72</v>
      </c>
      <c r="E8" s="61"/>
      <c r="F8" s="78" t="str" cm="1">
        <f t="array" ref="F8">IFERROR(IF(ROW(T_WATCHLIST[[#This Row],[Stock]])-ROW(T_WATCHLIST[[#Headers],[Stock]])&gt;C_CNT_STOCKS,"",INDEX(_xlfn.ANCHORARRAY(HELP!$G$2),ROW(T_WATCHLIST[[#This Row],[Stock]])-ROW(T_WATCHLIST[[#Headers],[Stock]]))),"")</f>
        <v/>
      </c>
      <c r="G8" s="63" t="str" cm="1">
        <f t="array" ref="G8">IFERROR(_xlfn.FIELDVALUE(T_WATCHLIST[[#This Row],[Stock]],"Ticker Symbol"),"")</f>
        <v/>
      </c>
      <c r="H8" s="115">
        <v>0</v>
      </c>
      <c r="I8" s="64" t="str">
        <f>IF(T_WATCHLIST[[#This Row],[Stock]]="","",SUMIFS(T_TXN[UNITS],T_TXN[TYPE],"Buy",T_TXN[TICKER],T_WATCHLIST[[#This Row],[Stock]])-SUMIFS(T_TXN[UNITS],T_TXN[TYPE],"Sell",T_TXN[TICKER],T_WATCHLIST[[#This Row],[Stock]])+SUMIFS(T_TXN[UNITS],T_TXN[TYPE],"Dividend Reinvestment",T_TXN[TICKER],T_WATCHLIST[[#This Row],[Stock]]))</f>
        <v/>
      </c>
      <c r="J8" s="62" t="str" cm="1">
        <f t="array" ref="J8">IFERROR(_xlfn.FIELDVALUE(T_WATCHLIST[[#This Row],[Stock]],"Price"),"")</f>
        <v/>
      </c>
      <c r="K8" s="65" t="str" cm="1">
        <f t="array" ref="K8">IFERROR(_xlfn.FIELDVALUE(T_WATCHLIST[[#This Row],[Stock]],"Change"),"")</f>
        <v/>
      </c>
      <c r="L8" s="76" t="str" cm="1">
        <f t="array" ref="L8">IFERROR(_xlfn.FIELDVALUE(T_WATCHLIST[[#This Row],[Stock]],"Change (%)"),"")</f>
        <v/>
      </c>
      <c r="M8" s="67" t="str">
        <f>IF(T_WATCHLIST[[#This Row],[Stock]]="","",T_WATCHLIST[[#This Row],[Quantity]]*T_WATCHLIST[[#This Row],[Last Price]])</f>
        <v/>
      </c>
      <c r="N8" s="68" t="str" cm="1">
        <f t="array" ref="N8">IF(T_WATCHLIST[[#This Row],[Stock]]="","",T_WATCHLIST[[#This Row],[Current Value]]-_xlfn.FIELDVALUE(T_WATCHLIST[[#This Row],[Stock]],"Previous Close")*T_WATCHLIST[[#This Row],[Quantity]])</f>
        <v/>
      </c>
      <c r="O8" s="69" t="str">
        <f>IFERROR(T_WATCHLIST[[#This Row],[Today''s Gain/Loss]]/(T_WATCHLIST[[#This Row],[Current Value]]-T_WATCHLIST[[#This Row],[Today''s Gain/Loss]]),"")</f>
        <v/>
      </c>
      <c r="P8" s="67" t="str">
        <f>IFERROR(T_WATCHLIST[[#This Row],[Current Value]]-T_WATCHLIST[[#This Row],[% Total Gain/Loss9]],"")</f>
        <v/>
      </c>
      <c r="Q8" s="70" t="str">
        <f>IFERROR(T_WATCHLIST[[#This Row],[Total Gain/Loss]]/T_WATCHLIST[[#This Row],[% Total Gain/Loss9]],"")</f>
        <v/>
      </c>
      <c r="R8" s="77" t="str" cm="1">
        <f t="array" ref="R8">IFERROR(_xlfn.FIELDVALUE(T_WATCHLIST[[#This Row],[Stock]],"52 week low"),"")</f>
        <v/>
      </c>
      <c r="S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 s="73" t="str" cm="1">
        <f t="array" ref="T8">IFERROR(_xlfn.FIELDVALUE(T_WATCHLIST[[#This Row],[Stock]],"52 week high"),"")</f>
        <v/>
      </c>
      <c r="U8" s="64" t="str" cm="1">
        <f t="array" ref="U8">IF(T_WATCHLIST[[#This Row],[Stock]]="","",SUMPRODUCT(T_TXN[UNITS],--(T_TXN[TYPE]="Buy"),--(T_TXN[TICKER]=T_WATCHLIST[[#This Row],[Stock]])))</f>
        <v/>
      </c>
      <c r="V8" s="67" t="str" cm="1">
        <f t="array" ref="V8">IF(T_WATCHLIST[[#This Row],[Stock]]="","",SUMPRODUCT(--(T_TXN[TYPE]="Buy"),T_TXN[UNITS],T_TXN[PRICE],--(T_TXN[TICKER]=T_WATCHLIST[[#This Row],[Stock]])))</f>
        <v/>
      </c>
      <c r="W8" s="64" t="str" cm="1">
        <f t="array" ref="W8">IF(T_WATCHLIST[[#This Row],[Stock]]="","",SUMPRODUCT(T_TXN[UNITS],--(T_TXN[TYPE]="Sell"),--(T_TXN[TICKER]=T_WATCHLIST[[#This Row],[Stock]])))</f>
        <v/>
      </c>
      <c r="X8" s="67" t="str" cm="1">
        <f t="array" ref="X8">IF(T_WATCHLIST[[#This Row],[Stock]]="","",SUMPRODUCT(--(T_TXN[TYPE]="Sell"),T_TXN[UNITS],T_TXN[PRICE],--(T_TXN[TICKER]=T_WATCHLIST[[#This Row],[Stock]])))</f>
        <v/>
      </c>
      <c r="Y8" s="67" t="str" cm="1">
        <f t="array" ref="Y8">IF(T_WATCHLIST[[#This Row],[Stock]]="","",SUMPRODUCT(T_TXN[UNITS],T_TXN[PRICE],--(T_TXN[TYPE]="Buy"),--(T_TXN[TICKER]=T_WATCHLIST[[#This Row],[Stock]])) -SUMPRODUCT(T_TXN[UNITS],T_TXN[PRICE],--(T_TXN[TYPE]="Sell"),--(T_TXN[TICKER]=T_WATCHLIST[[#This Row],[Stock]])))</f>
        <v/>
      </c>
      <c r="Z8" s="64" t="str" cm="1">
        <f t="array" ref="Z8">IFERROR(IF(ROW(T_WATCHLIST[[#This Row],[Stock]])-ROW(T_WATCHLIST[[#Headers],[Stock]])&gt;=C_CNT_STOCKS,"",_FV(T_WATCHLIST[[#This Row],[Stock]],"Industry",TRUE)),"Not Available")</f>
        <v/>
      </c>
      <c r="AA8" s="64" t="str" cm="1">
        <f t="array" ref="AA8">IFERROR(IF(ROW(T_WATCHLIST[[#This Row],[Stock]])-ROW(T_WATCHLIST[[#Headers],[Stock]])&gt;=C_CNT_STOCKS,"",_FV(T_WATCHLIST[[#This Row],[Stock]],"Instrument type",TRUE)),"Not Available")</f>
        <v/>
      </c>
    </row>
    <row r="9" spans="1:34" s="43" customFormat="1" ht="22" customHeight="1">
      <c r="B9" s="79">
        <f>C_TODAY_GAINLOSS</f>
        <v>194.38999999999959</v>
      </c>
      <c r="C9" s="43" t="s">
        <v>47</v>
      </c>
      <c r="E9" s="61"/>
      <c r="F9" s="62" t="str" cm="1">
        <f t="array" ref="F9">IFERROR(IF(ROW(T_WATCHLIST[[#This Row],[Stock]])-ROW(T_WATCHLIST[[#Headers],[Stock]])&gt;C_CNT_STOCKS,"",INDEX(_xlfn.ANCHORARRAY(HELP!$G$2),ROW(T_WATCHLIST[[#This Row],[Stock]])-ROW(T_WATCHLIST[[#Headers],[Stock]]))),"")</f>
        <v/>
      </c>
      <c r="G9" s="63" t="str" cm="1">
        <f t="array" ref="G9">IFERROR(_xlfn.FIELDVALUE(T_WATCHLIST[[#This Row],[Stock]],"Ticker Symbol"),"")</f>
        <v/>
      </c>
      <c r="H9" s="115">
        <v>0</v>
      </c>
      <c r="I9" s="64" t="str">
        <f>IF(T_WATCHLIST[[#This Row],[Stock]]="","",SUMIFS(T_TXN[UNITS],T_TXN[TYPE],"Buy",T_TXN[TICKER],T_WATCHLIST[[#This Row],[Stock]])-SUMIFS(T_TXN[UNITS],T_TXN[TYPE],"Sell",T_TXN[TICKER],T_WATCHLIST[[#This Row],[Stock]])+SUMIFS(T_TXN[UNITS],T_TXN[TYPE],"Dividend Reinvestment",T_TXN[TICKER],T_WATCHLIST[[#This Row],[Stock]]))</f>
        <v/>
      </c>
      <c r="J9" s="62" t="str" cm="1">
        <f t="array" ref="J9">IFERROR(_xlfn.FIELDVALUE(T_WATCHLIST[[#This Row],[Stock]],"Price"),"")</f>
        <v/>
      </c>
      <c r="K9" s="65" t="str" cm="1">
        <f t="array" ref="K9">IFERROR(_xlfn.FIELDVALUE(T_WATCHLIST[[#This Row],[Stock]],"Change"),"")</f>
        <v/>
      </c>
      <c r="L9" s="76" t="str" cm="1">
        <f t="array" ref="L9">IFERROR(_xlfn.FIELDVALUE(T_WATCHLIST[[#This Row],[Stock]],"Change (%)"),"")</f>
        <v/>
      </c>
      <c r="M9" s="67" t="str">
        <f>IF(T_WATCHLIST[[#This Row],[Stock]]="","",T_WATCHLIST[[#This Row],[Quantity]]*T_WATCHLIST[[#This Row],[Last Price]])</f>
        <v/>
      </c>
      <c r="N9" s="68" t="str" cm="1">
        <f t="array" ref="N9">IF(T_WATCHLIST[[#This Row],[Stock]]="","",T_WATCHLIST[[#This Row],[Current Value]]-_xlfn.FIELDVALUE(T_WATCHLIST[[#This Row],[Stock]],"Previous Close")*T_WATCHLIST[[#This Row],[Quantity]])</f>
        <v/>
      </c>
      <c r="O9" s="69" t="str">
        <f>IFERROR(T_WATCHLIST[[#This Row],[Today''s Gain/Loss]]/(T_WATCHLIST[[#This Row],[Current Value]]-T_WATCHLIST[[#This Row],[Today''s Gain/Loss]]),"")</f>
        <v/>
      </c>
      <c r="P9" s="67" t="str">
        <f>IFERROR(T_WATCHLIST[[#This Row],[Current Value]]-T_WATCHLIST[[#This Row],[% Total Gain/Loss9]],"")</f>
        <v/>
      </c>
      <c r="Q9" s="70" t="str">
        <f>IFERROR(T_WATCHLIST[[#This Row],[Total Gain/Loss]]/T_WATCHLIST[[#This Row],[% Total Gain/Loss9]],"")</f>
        <v/>
      </c>
      <c r="R9" s="77" t="str" cm="1">
        <f t="array" ref="R9">IFERROR(_xlfn.FIELDVALUE(T_WATCHLIST[[#This Row],[Stock]],"52 week low"),"")</f>
        <v/>
      </c>
      <c r="S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 s="73" t="str" cm="1">
        <f t="array" ref="T9">IFERROR(_xlfn.FIELDVALUE(T_WATCHLIST[[#This Row],[Stock]],"52 week high"),"")</f>
        <v/>
      </c>
      <c r="U9" s="64" t="str" cm="1">
        <f t="array" ref="U9">IF(T_WATCHLIST[[#This Row],[Stock]]="","",SUMPRODUCT(T_TXN[UNITS],--(T_TXN[TYPE]="Buy"),--(T_TXN[TICKER]=T_WATCHLIST[[#This Row],[Stock]])))</f>
        <v/>
      </c>
      <c r="V9" s="67" t="str" cm="1">
        <f t="array" ref="V9">IF(T_WATCHLIST[[#This Row],[Stock]]="","",SUMPRODUCT(--(T_TXN[TYPE]="Buy"),T_TXN[UNITS],T_TXN[PRICE],--(T_TXN[TICKER]=T_WATCHLIST[[#This Row],[Stock]])))</f>
        <v/>
      </c>
      <c r="W9" s="64" t="str" cm="1">
        <f t="array" ref="W9">IF(T_WATCHLIST[[#This Row],[Stock]]="","",SUMPRODUCT(T_TXN[UNITS],--(T_TXN[TYPE]="Sell"),--(T_TXN[TICKER]=T_WATCHLIST[[#This Row],[Stock]])))</f>
        <v/>
      </c>
      <c r="X9" s="67" t="str" cm="1">
        <f t="array" ref="X9">IF(T_WATCHLIST[[#This Row],[Stock]]="","",SUMPRODUCT(--(T_TXN[TYPE]="Sell"),T_TXN[UNITS],T_TXN[PRICE],--(T_TXN[TICKER]=T_WATCHLIST[[#This Row],[Stock]])))</f>
        <v/>
      </c>
      <c r="Y9" s="67" t="str" cm="1">
        <f t="array" ref="Y9">IF(T_WATCHLIST[[#This Row],[Stock]]="","",SUMPRODUCT(T_TXN[UNITS],T_TXN[PRICE],--(T_TXN[TYPE]="Buy"),--(T_TXN[TICKER]=T_WATCHLIST[[#This Row],[Stock]])) -SUMPRODUCT(T_TXN[UNITS],T_TXN[PRICE],--(T_TXN[TYPE]="Sell"),--(T_TXN[TICKER]=T_WATCHLIST[[#This Row],[Stock]])))</f>
        <v/>
      </c>
      <c r="Z9" s="64" t="str" cm="1">
        <f t="array" ref="Z9">IFERROR(IF(ROW(T_WATCHLIST[[#This Row],[Stock]])-ROW(T_WATCHLIST[[#Headers],[Stock]])&gt;=C_CNT_STOCKS,"",_FV(T_WATCHLIST[[#This Row],[Stock]],"Industry",TRUE)),"Not Available")</f>
        <v/>
      </c>
      <c r="AA9" s="64" t="str" cm="1">
        <f t="array" ref="AA9">IFERROR(IF(ROW(T_WATCHLIST[[#This Row],[Stock]])-ROW(T_WATCHLIST[[#Headers],[Stock]])&gt;=C_CNT_STOCKS,"",_FV(T_WATCHLIST[[#This Row],[Stock]],"Instrument type",TRUE)),"Not Available")</f>
        <v/>
      </c>
    </row>
    <row r="10" spans="1:34" s="43" customFormat="1" ht="22" customHeight="1">
      <c r="B10" s="74">
        <f>C_TODAY_GAINLOSS_P</f>
        <v>5.3188462106743446E-2</v>
      </c>
      <c r="C10" s="43" t="s">
        <v>68</v>
      </c>
      <c r="E10" s="61"/>
      <c r="F10" s="62" t="str" cm="1">
        <f t="array" ref="F10">IFERROR(IF(ROW(T_WATCHLIST[[#This Row],[Stock]])-ROW(T_WATCHLIST[[#Headers],[Stock]])&gt;C_CNT_STOCKS,"",INDEX(_xlfn.ANCHORARRAY(HELP!$G$2),ROW(T_WATCHLIST[[#This Row],[Stock]])-ROW(T_WATCHLIST[[#Headers],[Stock]]))),"")</f>
        <v/>
      </c>
      <c r="G10" s="63" t="str" cm="1">
        <f t="array" ref="G10">IFERROR(_xlfn.FIELDVALUE(T_WATCHLIST[[#This Row],[Stock]],"Ticker Symbol"),"")</f>
        <v/>
      </c>
      <c r="H10" s="115">
        <v>0</v>
      </c>
      <c r="I10" s="64" t="str">
        <f>IF(T_WATCHLIST[[#This Row],[Stock]]="","",SUMIFS(T_TXN[UNITS],T_TXN[TYPE],"Buy",T_TXN[TICKER],T_WATCHLIST[[#This Row],[Stock]])-SUMIFS(T_TXN[UNITS],T_TXN[TYPE],"Sell",T_TXN[TICKER],T_WATCHLIST[[#This Row],[Stock]])+SUMIFS(T_TXN[UNITS],T_TXN[TYPE],"Dividend Reinvestment",T_TXN[TICKER],T_WATCHLIST[[#This Row],[Stock]]))</f>
        <v/>
      </c>
      <c r="J10" s="62" t="str" cm="1">
        <f t="array" ref="J10">IFERROR(_xlfn.FIELDVALUE(T_WATCHLIST[[#This Row],[Stock]],"Price"),"")</f>
        <v/>
      </c>
      <c r="K10" s="65" t="str" cm="1">
        <f t="array" ref="K10">IFERROR(_xlfn.FIELDVALUE(T_WATCHLIST[[#This Row],[Stock]],"Change"),"")</f>
        <v/>
      </c>
      <c r="L10" s="76" t="str" cm="1">
        <f t="array" ref="L10">IFERROR(_xlfn.FIELDVALUE(T_WATCHLIST[[#This Row],[Stock]],"Change (%)"),"")</f>
        <v/>
      </c>
      <c r="M10" s="67" t="str">
        <f>IF(T_WATCHLIST[[#This Row],[Stock]]="","",T_WATCHLIST[[#This Row],[Quantity]]*T_WATCHLIST[[#This Row],[Last Price]])</f>
        <v/>
      </c>
      <c r="N10" s="68" t="str" cm="1">
        <f t="array" ref="N10">IF(T_WATCHLIST[[#This Row],[Stock]]="","",T_WATCHLIST[[#This Row],[Current Value]]-_xlfn.FIELDVALUE(T_WATCHLIST[[#This Row],[Stock]],"Previous Close")*T_WATCHLIST[[#This Row],[Quantity]])</f>
        <v/>
      </c>
      <c r="O10" s="69" t="str">
        <f>IFERROR(T_WATCHLIST[[#This Row],[Today''s Gain/Loss]]/(T_WATCHLIST[[#This Row],[Current Value]]-T_WATCHLIST[[#This Row],[Today''s Gain/Loss]]),"")</f>
        <v/>
      </c>
      <c r="P10" s="67" t="str">
        <f>IFERROR(T_WATCHLIST[[#This Row],[Current Value]]-T_WATCHLIST[[#This Row],[% Total Gain/Loss9]],"")</f>
        <v/>
      </c>
      <c r="Q10" s="70" t="str">
        <f>IFERROR(T_WATCHLIST[[#This Row],[Total Gain/Loss]]/T_WATCHLIST[[#This Row],[% Total Gain/Loss9]],"")</f>
        <v/>
      </c>
      <c r="R10" s="77" t="str" cm="1">
        <f t="array" ref="R10">IFERROR(_xlfn.FIELDVALUE(T_WATCHLIST[[#This Row],[Stock]],"52 week low"),"")</f>
        <v/>
      </c>
      <c r="S1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0" s="73" t="str" cm="1">
        <f t="array" ref="T10">IFERROR(_xlfn.FIELDVALUE(T_WATCHLIST[[#This Row],[Stock]],"52 week high"),"")</f>
        <v/>
      </c>
      <c r="U10" s="64" t="str" cm="1">
        <f t="array" ref="U10">IF(T_WATCHLIST[[#This Row],[Stock]]="","",SUMPRODUCT(T_TXN[UNITS],--(T_TXN[TYPE]="Buy"),--(T_TXN[TICKER]=T_WATCHLIST[[#This Row],[Stock]])))</f>
        <v/>
      </c>
      <c r="V10" s="67" t="str" cm="1">
        <f t="array" ref="V10">IF(T_WATCHLIST[[#This Row],[Stock]]="","",SUMPRODUCT(--(T_TXN[TYPE]="Buy"),T_TXN[UNITS],T_TXN[PRICE],--(T_TXN[TICKER]=T_WATCHLIST[[#This Row],[Stock]])))</f>
        <v/>
      </c>
      <c r="W10" s="64" t="str" cm="1">
        <f t="array" ref="W10">IF(T_WATCHLIST[[#This Row],[Stock]]="","",SUMPRODUCT(T_TXN[UNITS],--(T_TXN[TYPE]="Sell"),--(T_TXN[TICKER]=T_WATCHLIST[[#This Row],[Stock]])))</f>
        <v/>
      </c>
      <c r="X10" s="67" t="str" cm="1">
        <f t="array" ref="X10">IF(T_WATCHLIST[[#This Row],[Stock]]="","",SUMPRODUCT(--(T_TXN[TYPE]="Sell"),T_TXN[UNITS],T_TXN[PRICE],--(T_TXN[TICKER]=T_WATCHLIST[[#This Row],[Stock]])))</f>
        <v/>
      </c>
      <c r="Y10" s="67" t="str" cm="1">
        <f t="array" ref="Y10">IF(T_WATCHLIST[[#This Row],[Stock]]="","",SUMPRODUCT(T_TXN[UNITS],T_TXN[PRICE],--(T_TXN[TYPE]="Buy"),--(T_TXN[TICKER]=T_WATCHLIST[[#This Row],[Stock]])) -SUMPRODUCT(T_TXN[UNITS],T_TXN[PRICE],--(T_TXN[TYPE]="Sell"),--(T_TXN[TICKER]=T_WATCHLIST[[#This Row],[Stock]])))</f>
        <v/>
      </c>
      <c r="Z10" s="64" t="str" cm="1">
        <f t="array" ref="Z10">IFERROR(IF(ROW(T_WATCHLIST[[#This Row],[Stock]])-ROW(T_WATCHLIST[[#Headers],[Stock]])&gt;=C_CNT_STOCKS,"",_FV(T_WATCHLIST[[#This Row],[Stock]],"Industry",TRUE)),"Not Available")</f>
        <v/>
      </c>
      <c r="AA10" s="64" t="str" cm="1">
        <f t="array" ref="AA10">IFERROR(IF(ROW(T_WATCHLIST[[#This Row],[Stock]])-ROW(T_WATCHLIST[[#Headers],[Stock]])&gt;=C_CNT_STOCKS,"",_FV(T_WATCHLIST[[#This Row],[Stock]],"Instrument type",TRUE)),"Not Available")</f>
        <v/>
      </c>
    </row>
    <row r="11" spans="1:34" s="43" customFormat="1" ht="22" customHeight="1">
      <c r="E11" s="61"/>
      <c r="F11" s="62"/>
      <c r="G11" s="63" t="str" cm="1">
        <f t="array" ref="G11">IFERROR(_xlfn.FIELDVALUE(T_WATCHLIST[[#This Row],[Stock]],"Ticker Symbol"),"")</f>
        <v/>
      </c>
      <c r="H11" s="115">
        <v>0</v>
      </c>
      <c r="I11" s="64" t="str">
        <f>IF(T_WATCHLIST[[#This Row],[Stock]]="","",SUMIFS(T_TXN[UNITS],T_TXN[TYPE],"Buy",T_TXN[TICKER],T_WATCHLIST[[#This Row],[Stock]])-SUMIFS(T_TXN[UNITS],T_TXN[TYPE],"Sell",T_TXN[TICKER],T_WATCHLIST[[#This Row],[Stock]])+SUMIFS(T_TXN[UNITS],T_TXN[TYPE],"Dividend Reinvestment",T_TXN[TICKER],T_WATCHLIST[[#This Row],[Stock]]))</f>
        <v/>
      </c>
      <c r="J11" s="62" t="str" cm="1">
        <f t="array" ref="J11">IFERROR(_xlfn.FIELDVALUE(T_WATCHLIST[[#This Row],[Stock]],"Price"),"")</f>
        <v/>
      </c>
      <c r="K11" s="65" t="str" cm="1">
        <f t="array" ref="K11">IFERROR(_xlfn.FIELDVALUE(T_WATCHLIST[[#This Row],[Stock]],"Change"),"")</f>
        <v/>
      </c>
      <c r="L11" s="76" t="str" cm="1">
        <f t="array" ref="L11">IFERROR(_xlfn.FIELDVALUE(T_WATCHLIST[[#This Row],[Stock]],"Change (%)"),"")</f>
        <v/>
      </c>
      <c r="M11" s="67" t="str">
        <f>IF(T_WATCHLIST[[#This Row],[Stock]]="","",T_WATCHLIST[[#This Row],[Quantity]]*T_WATCHLIST[[#This Row],[Last Price]])</f>
        <v/>
      </c>
      <c r="N11" s="68" t="str" cm="1">
        <f t="array" ref="N11">IF(T_WATCHLIST[[#This Row],[Stock]]="","",T_WATCHLIST[[#This Row],[Current Value]]-_xlfn.FIELDVALUE(T_WATCHLIST[[#This Row],[Stock]],"Previous Close")*T_WATCHLIST[[#This Row],[Quantity]])</f>
        <v/>
      </c>
      <c r="O11" s="69" t="str">
        <f>IFERROR(T_WATCHLIST[[#This Row],[Today''s Gain/Loss]]/(T_WATCHLIST[[#This Row],[Current Value]]-T_WATCHLIST[[#This Row],[Today''s Gain/Loss]]),"")</f>
        <v/>
      </c>
      <c r="P11" s="67" t="str">
        <f>IFERROR(T_WATCHLIST[[#This Row],[Current Value]]-T_WATCHLIST[[#This Row],[% Total Gain/Loss9]],"")</f>
        <v/>
      </c>
      <c r="Q11" s="70" t="str">
        <f>IFERROR(T_WATCHLIST[[#This Row],[Total Gain/Loss]]/T_WATCHLIST[[#This Row],[% Total Gain/Loss9]],"")</f>
        <v/>
      </c>
      <c r="R11" s="77" t="str" cm="1">
        <f t="array" ref="R11">IFERROR(_xlfn.FIELDVALUE(T_WATCHLIST[[#This Row],[Stock]],"52 week low"),"")</f>
        <v/>
      </c>
      <c r="S1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1" s="73" t="str" cm="1">
        <f t="array" ref="T11">IFERROR(_xlfn.FIELDVALUE(T_WATCHLIST[[#This Row],[Stock]],"52 week high"),"")</f>
        <v/>
      </c>
      <c r="U11" s="64" t="str" cm="1">
        <f t="array" ref="U11">IF(T_WATCHLIST[[#This Row],[Stock]]="","",SUMPRODUCT(T_TXN[UNITS],--(T_TXN[TYPE]="Buy"),--(T_TXN[TICKER]=T_WATCHLIST[[#This Row],[Stock]])))</f>
        <v/>
      </c>
      <c r="V11" s="67" t="str" cm="1">
        <f t="array" ref="V11">IF(T_WATCHLIST[[#This Row],[Stock]]="","",SUMPRODUCT(--(T_TXN[TYPE]="Buy"),T_TXN[UNITS],T_TXN[PRICE],--(T_TXN[TICKER]=T_WATCHLIST[[#This Row],[Stock]])))</f>
        <v/>
      </c>
      <c r="W11" s="64" t="str" cm="1">
        <f t="array" ref="W11">IF(T_WATCHLIST[[#This Row],[Stock]]="","",SUMPRODUCT(T_TXN[UNITS],--(T_TXN[TYPE]="Sell"),--(T_TXN[TICKER]=T_WATCHLIST[[#This Row],[Stock]])))</f>
        <v/>
      </c>
      <c r="X11" s="67" t="str" cm="1">
        <f t="array" ref="X11">IF(T_WATCHLIST[[#This Row],[Stock]]="","",SUMPRODUCT(--(T_TXN[TYPE]="Sell"),T_TXN[UNITS],T_TXN[PRICE],--(T_TXN[TICKER]=T_WATCHLIST[[#This Row],[Stock]])))</f>
        <v/>
      </c>
      <c r="Y11" s="67" t="str" cm="1">
        <f t="array" ref="Y11">IF(T_WATCHLIST[[#This Row],[Stock]]="","",SUMPRODUCT(T_TXN[UNITS],T_TXN[PRICE],--(T_TXN[TYPE]="Buy"),--(T_TXN[TICKER]=T_WATCHLIST[[#This Row],[Stock]])) -SUMPRODUCT(T_TXN[UNITS],T_TXN[PRICE],--(T_TXN[TYPE]="Sell"),--(T_TXN[TICKER]=T_WATCHLIST[[#This Row],[Stock]])))</f>
        <v/>
      </c>
      <c r="Z11" s="64" t="str" cm="1">
        <f t="array" ref="Z11">IFERROR(IF(ROW(T_WATCHLIST[[#This Row],[Stock]])-ROW(T_WATCHLIST[[#Headers],[Stock]])&gt;=C_CNT_STOCKS,"",_FV(T_WATCHLIST[[#This Row],[Stock]],"Industry",TRUE)),"Not Available")</f>
        <v/>
      </c>
      <c r="AA11" s="64" t="str" cm="1">
        <f t="array" ref="AA11">IFERROR(IF(ROW(T_WATCHLIST[[#This Row],[Stock]])-ROW(T_WATCHLIST[[#Headers],[Stock]])&gt;=C_CNT_STOCKS,"",_FV(T_WATCHLIST[[#This Row],[Stock]],"Instrument type",TRUE)),"Not Available")</f>
        <v/>
      </c>
    </row>
    <row r="12" spans="1:34" s="43" customFormat="1" ht="22" customHeight="1">
      <c r="E12" s="61"/>
      <c r="F12" s="62" t="str" cm="1">
        <f t="array" ref="F12">IFERROR(IF(ROW(T_WATCHLIST[[#This Row],[Stock]])-ROW(T_WATCHLIST[[#Headers],[Stock]])&gt;C_CNT_STOCKS,"",INDEX(_xlfn.ANCHORARRAY(HELP!$G$2),ROW(T_WATCHLIST[[#This Row],[Stock]])-ROW(T_WATCHLIST[[#Headers],[Stock]]))),"")</f>
        <v/>
      </c>
      <c r="G12" s="63" t="str" cm="1">
        <f t="array" ref="G12">IFERROR(_xlfn.FIELDVALUE(T_WATCHLIST[[#This Row],[Stock]],"Ticker Symbol"),"")</f>
        <v/>
      </c>
      <c r="H12" s="115">
        <v>0</v>
      </c>
      <c r="I12" s="64" t="str">
        <f>IF(T_WATCHLIST[[#This Row],[Stock]]="","",SUMIFS(T_TXN[UNITS],T_TXN[TYPE],"Buy",T_TXN[TICKER],T_WATCHLIST[[#This Row],[Stock]])-SUMIFS(T_TXN[UNITS],T_TXN[TYPE],"Sell",T_TXN[TICKER],T_WATCHLIST[[#This Row],[Stock]])+SUMIFS(T_TXN[UNITS],T_TXN[TYPE],"Dividend Reinvestment",T_TXN[TICKER],T_WATCHLIST[[#This Row],[Stock]]))</f>
        <v/>
      </c>
      <c r="J12" s="62" t="str" cm="1">
        <f t="array" ref="J12">IFERROR(_xlfn.FIELDVALUE(T_WATCHLIST[[#This Row],[Stock]],"Price"),"")</f>
        <v/>
      </c>
      <c r="K12" s="65" t="str" cm="1">
        <f t="array" ref="K12">IFERROR(_xlfn.FIELDVALUE(T_WATCHLIST[[#This Row],[Stock]],"Change"),"")</f>
        <v/>
      </c>
      <c r="L12" s="66" t="str" cm="1">
        <f t="array" ref="L12">IFERROR(_xlfn.FIELDVALUE(T_WATCHLIST[[#This Row],[Stock]],"Change (%)"),"")</f>
        <v/>
      </c>
      <c r="M12" s="67" t="str">
        <f>IF(T_WATCHLIST[[#This Row],[Stock]]="","",T_WATCHLIST[[#This Row],[Quantity]]*T_WATCHLIST[[#This Row],[Last Price]])</f>
        <v/>
      </c>
      <c r="N12" s="68" t="str" cm="1">
        <f t="array" ref="N12">IF(T_WATCHLIST[[#This Row],[Stock]]="","",T_WATCHLIST[[#This Row],[Current Value]]-_xlfn.FIELDVALUE(T_WATCHLIST[[#This Row],[Stock]],"Previous Close")*T_WATCHLIST[[#This Row],[Quantity]])</f>
        <v/>
      </c>
      <c r="O12" s="69" t="str">
        <f>IFERROR(T_WATCHLIST[[#This Row],[Today''s Gain/Loss]]/(T_WATCHLIST[[#This Row],[Current Value]]-T_WATCHLIST[[#This Row],[Today''s Gain/Loss]]),"")</f>
        <v/>
      </c>
      <c r="P12" s="67" t="str">
        <f>IFERROR(T_WATCHLIST[[#This Row],[Current Value]]-T_WATCHLIST[[#This Row],[% Total Gain/Loss9]],"")</f>
        <v/>
      </c>
      <c r="Q12" s="70" t="str">
        <f>IFERROR(T_WATCHLIST[[#This Row],[Total Gain/Loss]]/T_WATCHLIST[[#This Row],[% Total Gain/Loss9]],"")</f>
        <v/>
      </c>
      <c r="R12" s="71" t="str" cm="1">
        <f t="array" ref="R12">IFERROR(_xlfn.FIELDVALUE(T_WATCHLIST[[#This Row],[Stock]],"52 week low"),"")</f>
        <v/>
      </c>
      <c r="S1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2" s="73" t="str" cm="1">
        <f t="array" ref="T12">IFERROR(_xlfn.FIELDVALUE(T_WATCHLIST[[#This Row],[Stock]],"52 week high"),"")</f>
        <v/>
      </c>
      <c r="U12" s="64" t="str" cm="1">
        <f t="array" ref="U12">IF(T_WATCHLIST[[#This Row],[Stock]]="","",SUMPRODUCT(T_TXN[UNITS],--(T_TXN[TYPE]="Buy"),--(T_TXN[TICKER]=T_WATCHLIST[[#This Row],[Stock]])))</f>
        <v/>
      </c>
      <c r="V12" s="67" t="str" cm="1">
        <f t="array" ref="V12">IF(T_WATCHLIST[[#This Row],[Stock]]="","",SUMPRODUCT(--(T_TXN[TYPE]="Buy"),T_TXN[UNITS],T_TXN[PRICE],--(T_TXN[TICKER]=T_WATCHLIST[[#This Row],[Stock]])))</f>
        <v/>
      </c>
      <c r="W12" s="64" t="str" cm="1">
        <f t="array" ref="W12">IF(T_WATCHLIST[[#This Row],[Stock]]="","",SUMPRODUCT(T_TXN[UNITS],--(T_TXN[TYPE]="Sell"),--(T_TXN[TICKER]=T_WATCHLIST[[#This Row],[Stock]])))</f>
        <v/>
      </c>
      <c r="X12" s="67" t="str" cm="1">
        <f t="array" ref="X12">IF(T_WATCHLIST[[#This Row],[Stock]]="","",SUMPRODUCT(--(T_TXN[TYPE]="Sell"),T_TXN[UNITS],T_TXN[PRICE],--(T_TXN[TICKER]=T_WATCHLIST[[#This Row],[Stock]])))</f>
        <v/>
      </c>
      <c r="Y12" s="67" t="str" cm="1">
        <f t="array" ref="Y12">IF(T_WATCHLIST[[#This Row],[Stock]]="","",SUMPRODUCT(T_TXN[UNITS],T_TXN[PRICE],--(T_TXN[TYPE]="Buy"),--(T_TXN[TICKER]=T_WATCHLIST[[#This Row],[Stock]])) -SUMPRODUCT(T_TXN[UNITS],T_TXN[PRICE],--(T_TXN[TYPE]="Sell"),--(T_TXN[TICKER]=T_WATCHLIST[[#This Row],[Stock]])))</f>
        <v/>
      </c>
      <c r="Z12" s="64" t="str" cm="1">
        <f t="array" ref="Z12">IFERROR(IF(ROW(T_WATCHLIST[[#This Row],[Stock]])-ROW(T_WATCHLIST[[#Headers],[Stock]])&gt;=C_CNT_STOCKS,"",_FV(T_WATCHLIST[[#This Row],[Stock]],"Industry",TRUE)),"Not Available")</f>
        <v/>
      </c>
      <c r="AA12" s="64" t="str" cm="1">
        <f t="array" ref="AA12">IFERROR(IF(ROW(T_WATCHLIST[[#This Row],[Stock]])-ROW(T_WATCHLIST[[#Headers],[Stock]])&gt;=C_CNT_STOCKS,"",_FV(T_WATCHLIST[[#This Row],[Stock]],"Instrument type",TRUE)),"Not Available")</f>
        <v/>
      </c>
    </row>
    <row r="13" spans="1:34" s="43" customFormat="1" ht="22" customHeight="1">
      <c r="E13" s="61"/>
      <c r="F13" s="75" t="str" cm="1">
        <f t="array" ref="F13">IFERROR(IF(ROW(T_WATCHLIST[[#This Row],[Stock]])-ROW(T_WATCHLIST[[#Headers],[Stock]])&gt;C_CNT_STOCKS,"",INDEX(_xlfn.ANCHORARRAY(HELP!$G$2),ROW(T_WATCHLIST[[#This Row],[Stock]])-ROW(T_WATCHLIST[[#Headers],[Stock]]))),"")</f>
        <v/>
      </c>
      <c r="G13" s="80" t="str" cm="1">
        <f t="array" ref="G13">IFERROR(_xlfn.FIELDVALUE(T_WATCHLIST[[#This Row],[Stock]],"Ticker Symbol"),"")</f>
        <v/>
      </c>
      <c r="H13" s="115">
        <v>0</v>
      </c>
      <c r="I13" s="81" t="str">
        <f>IF(T_WATCHLIST[[#This Row],[Stock]]="","",SUMIFS(T_TXN[UNITS],T_TXN[TYPE],"Buy",T_TXN[TICKER],T_WATCHLIST[[#This Row],[Stock]])-SUMIFS(T_TXN[UNITS],T_TXN[TYPE],"Sell",T_TXN[TICKER],T_WATCHLIST[[#This Row],[Stock]])+SUMIFS(T_TXN[UNITS],T_TXN[TYPE],"Dividend Reinvestment",T_TXN[TICKER],T_WATCHLIST[[#This Row],[Stock]]))</f>
        <v/>
      </c>
      <c r="J13" s="75" t="str" cm="1">
        <f t="array" ref="J13">IFERROR(_xlfn.FIELDVALUE(T_WATCHLIST[[#This Row],[Stock]],"Price"),"")</f>
        <v/>
      </c>
      <c r="K13" s="82" t="str" cm="1">
        <f t="array" ref="K13">IFERROR(_xlfn.FIELDVALUE(T_WATCHLIST[[#This Row],[Stock]],"Change"),"")</f>
        <v/>
      </c>
      <c r="L13" s="83" t="str" cm="1">
        <f t="array" ref="L13">IFERROR(_xlfn.FIELDVALUE(T_WATCHLIST[[#This Row],[Stock]],"Change (%)"),"")</f>
        <v/>
      </c>
      <c r="M13" s="84" t="str">
        <f>IF(T_WATCHLIST[[#This Row],[Stock]]="","",T_WATCHLIST[[#This Row],[Quantity]]*T_WATCHLIST[[#This Row],[Last Price]])</f>
        <v/>
      </c>
      <c r="N13" s="85" t="str" cm="1">
        <f t="array" ref="N13">IF(T_WATCHLIST[[#This Row],[Stock]]="","",T_WATCHLIST[[#This Row],[Current Value]]-_xlfn.FIELDVALUE(T_WATCHLIST[[#This Row],[Stock]],"Previous Close")*T_WATCHLIST[[#This Row],[Quantity]])</f>
        <v/>
      </c>
      <c r="O13" s="86" t="str">
        <f>IFERROR(T_WATCHLIST[[#This Row],[Today''s Gain/Loss]]/(T_WATCHLIST[[#This Row],[Current Value]]-T_WATCHLIST[[#This Row],[Today''s Gain/Loss]]),"")</f>
        <v/>
      </c>
      <c r="P13" s="84" t="str">
        <f>IFERROR(T_WATCHLIST[[#This Row],[Current Value]]-T_WATCHLIST[[#This Row],[% Total Gain/Loss9]],"")</f>
        <v/>
      </c>
      <c r="Q13" s="87" t="str">
        <f>IFERROR(T_WATCHLIST[[#This Row],[Total Gain/Loss]]/T_WATCHLIST[[#This Row],[% Total Gain/Loss9]],"")</f>
        <v/>
      </c>
      <c r="R13" s="88" t="str" cm="1">
        <f t="array" ref="R13">IFERROR(_xlfn.FIELDVALUE(T_WATCHLIST[[#This Row],[Stock]],"52 week low"),"")</f>
        <v/>
      </c>
      <c r="S1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3" s="73" t="str" cm="1">
        <f t="array" ref="T13">IFERROR(_xlfn.FIELDVALUE(T_WATCHLIST[[#This Row],[Stock]],"52 week high"),"")</f>
        <v/>
      </c>
      <c r="U13" s="64" t="str" cm="1">
        <f t="array" ref="U13">IF(T_WATCHLIST[[#This Row],[Stock]]="","",SUMPRODUCT(T_TXN[UNITS],--(T_TXN[TYPE]="Buy"),--(T_TXN[TICKER]=T_WATCHLIST[[#This Row],[Stock]])))</f>
        <v/>
      </c>
      <c r="V13" s="67" t="str" cm="1">
        <f t="array" ref="V13">IF(T_WATCHLIST[[#This Row],[Stock]]="","",SUMPRODUCT(--(T_TXN[TYPE]="Buy"),T_TXN[UNITS],T_TXN[PRICE],--(T_TXN[TICKER]=T_WATCHLIST[[#This Row],[Stock]])))</f>
        <v/>
      </c>
      <c r="W13" s="64" t="str" cm="1">
        <f t="array" ref="W13">IF(T_WATCHLIST[[#This Row],[Stock]]="","",SUMPRODUCT(T_TXN[UNITS],--(T_TXN[TYPE]="Sell"),--(T_TXN[TICKER]=T_WATCHLIST[[#This Row],[Stock]])))</f>
        <v/>
      </c>
      <c r="X13" s="67" t="str" cm="1">
        <f t="array" ref="X13">IF(T_WATCHLIST[[#This Row],[Stock]]="","",SUMPRODUCT(--(T_TXN[TYPE]="Sell"),T_TXN[UNITS],T_TXN[PRICE],--(T_TXN[TICKER]=T_WATCHLIST[[#This Row],[Stock]])))</f>
        <v/>
      </c>
      <c r="Y13" s="67" t="str" cm="1">
        <f t="array" ref="Y13">IF(T_WATCHLIST[[#This Row],[Stock]]="","",SUMPRODUCT(T_TXN[UNITS],T_TXN[PRICE],--(T_TXN[TYPE]="Buy"),--(T_TXN[TICKER]=T_WATCHLIST[[#This Row],[Stock]])) -SUMPRODUCT(T_TXN[UNITS],T_TXN[PRICE],--(T_TXN[TYPE]="Sell"),--(T_TXN[TICKER]=T_WATCHLIST[[#This Row],[Stock]])))</f>
        <v/>
      </c>
      <c r="Z13" s="64" t="str" cm="1">
        <f t="array" ref="Z13">IFERROR(IF(ROW(T_WATCHLIST[[#This Row],[Stock]])-ROW(T_WATCHLIST[[#Headers],[Stock]])&gt;=C_CNT_STOCKS,"",_FV(T_WATCHLIST[[#This Row],[Stock]],"Industry",TRUE)),"Not Available")</f>
        <v/>
      </c>
      <c r="AA13" s="64" t="str" cm="1">
        <f t="array" ref="AA13">IFERROR(IF(ROW(T_WATCHLIST[[#This Row],[Stock]])-ROW(T_WATCHLIST[[#Headers],[Stock]])&gt;=C_CNT_STOCKS,"",_FV(T_WATCHLIST[[#This Row],[Stock]],"Instrument type",TRUE)),"Not Available")</f>
        <v/>
      </c>
    </row>
    <row r="14" spans="1:34" s="43" customFormat="1" ht="22" customHeight="1">
      <c r="E14" s="61"/>
      <c r="F14" s="75" t="str" cm="1">
        <f t="array" ref="F14">IFERROR(IF(ROW(T_WATCHLIST[[#This Row],[Stock]])-ROW(T_WATCHLIST[[#Headers],[Stock]])&gt;C_CNT_STOCKS,"",INDEX(_xlfn.ANCHORARRAY(HELP!$G$2),ROW(T_WATCHLIST[[#This Row],[Stock]])-ROW(T_WATCHLIST[[#Headers],[Stock]]))),"")</f>
        <v/>
      </c>
      <c r="G14" s="80" t="str" cm="1">
        <f t="array" ref="G14">IFERROR(_xlfn.FIELDVALUE(T_WATCHLIST[[#This Row],[Stock]],"Ticker Symbol"),"")</f>
        <v/>
      </c>
      <c r="H14" s="115">
        <v>0</v>
      </c>
      <c r="I14" s="81" t="str">
        <f>IF(T_WATCHLIST[[#This Row],[Stock]]="","",SUMIFS(T_TXN[UNITS],T_TXN[TYPE],"Buy",T_TXN[TICKER],T_WATCHLIST[[#This Row],[Stock]])-SUMIFS(T_TXN[UNITS],T_TXN[TYPE],"Sell",T_TXN[TICKER],T_WATCHLIST[[#This Row],[Stock]])+SUMIFS(T_TXN[UNITS],T_TXN[TYPE],"Dividend Reinvestment",T_TXN[TICKER],T_WATCHLIST[[#This Row],[Stock]]))</f>
        <v/>
      </c>
      <c r="J14" s="75" t="str" cm="1">
        <f t="array" ref="J14">IFERROR(_xlfn.FIELDVALUE(T_WATCHLIST[[#This Row],[Stock]],"Price"),"")</f>
        <v/>
      </c>
      <c r="K14" s="82" t="str" cm="1">
        <f t="array" ref="K14">IFERROR(_xlfn.FIELDVALUE(T_WATCHLIST[[#This Row],[Stock]],"Change"),"")</f>
        <v/>
      </c>
      <c r="L14" s="83" t="str" cm="1">
        <f t="array" ref="L14">IFERROR(_xlfn.FIELDVALUE(T_WATCHLIST[[#This Row],[Stock]],"Change (%)"),"")</f>
        <v/>
      </c>
      <c r="M14" s="84" t="str">
        <f>IF(T_WATCHLIST[[#This Row],[Stock]]="","",T_WATCHLIST[[#This Row],[Quantity]]*T_WATCHLIST[[#This Row],[Last Price]])</f>
        <v/>
      </c>
      <c r="N14" s="85" t="str" cm="1">
        <f t="array" ref="N14">IF(T_WATCHLIST[[#This Row],[Stock]]="","",T_WATCHLIST[[#This Row],[Current Value]]-_xlfn.FIELDVALUE(T_WATCHLIST[[#This Row],[Stock]],"Previous Close")*T_WATCHLIST[[#This Row],[Quantity]])</f>
        <v/>
      </c>
      <c r="O14" s="86" t="str">
        <f>IFERROR(T_WATCHLIST[[#This Row],[Today''s Gain/Loss]]/(T_WATCHLIST[[#This Row],[Current Value]]-T_WATCHLIST[[#This Row],[Today''s Gain/Loss]]),"")</f>
        <v/>
      </c>
      <c r="P14" s="84" t="str">
        <f>IFERROR(T_WATCHLIST[[#This Row],[Current Value]]-T_WATCHLIST[[#This Row],[% Total Gain/Loss9]],"")</f>
        <v/>
      </c>
      <c r="Q14" s="87" t="str">
        <f>IFERROR(T_WATCHLIST[[#This Row],[Total Gain/Loss]]/T_WATCHLIST[[#This Row],[% Total Gain/Loss9]],"")</f>
        <v/>
      </c>
      <c r="R14" s="88" t="str" cm="1">
        <f t="array" ref="R14">IFERROR(_xlfn.FIELDVALUE(T_WATCHLIST[[#This Row],[Stock]],"52 week low"),"")</f>
        <v/>
      </c>
      <c r="S1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4" s="73" t="str" cm="1">
        <f t="array" ref="T14">IFERROR(_xlfn.FIELDVALUE(T_WATCHLIST[[#This Row],[Stock]],"52 week high"),"")</f>
        <v/>
      </c>
      <c r="U14" s="64" t="str" cm="1">
        <f t="array" ref="U14">IF(T_WATCHLIST[[#This Row],[Stock]]="","",SUMPRODUCT(T_TXN[UNITS],--(T_TXN[TYPE]="Buy"),--(T_TXN[TICKER]=T_WATCHLIST[[#This Row],[Stock]])))</f>
        <v/>
      </c>
      <c r="V14" s="67" t="str" cm="1">
        <f t="array" ref="V14">IF(T_WATCHLIST[[#This Row],[Stock]]="","",SUMPRODUCT(--(T_TXN[TYPE]="Buy"),T_TXN[UNITS],T_TXN[PRICE],--(T_TXN[TICKER]=T_WATCHLIST[[#This Row],[Stock]])))</f>
        <v/>
      </c>
      <c r="W14" s="64" t="str" cm="1">
        <f t="array" ref="W14">IF(T_WATCHLIST[[#This Row],[Stock]]="","",SUMPRODUCT(T_TXN[UNITS],--(T_TXN[TYPE]="Sell"),--(T_TXN[TICKER]=T_WATCHLIST[[#This Row],[Stock]])))</f>
        <v/>
      </c>
      <c r="X14" s="67" t="str" cm="1">
        <f t="array" ref="X14">IF(T_WATCHLIST[[#This Row],[Stock]]="","",SUMPRODUCT(--(T_TXN[TYPE]="Sell"),T_TXN[UNITS],T_TXN[PRICE],--(T_TXN[TICKER]=T_WATCHLIST[[#This Row],[Stock]])))</f>
        <v/>
      </c>
      <c r="Y14" s="67" t="str" cm="1">
        <f t="array" ref="Y14">IF(T_WATCHLIST[[#This Row],[Stock]]="","",SUMPRODUCT(T_TXN[UNITS],T_TXN[PRICE],--(T_TXN[TYPE]="Buy"),--(T_TXN[TICKER]=T_WATCHLIST[[#This Row],[Stock]])) -SUMPRODUCT(T_TXN[UNITS],T_TXN[PRICE],--(T_TXN[TYPE]="Sell"),--(T_TXN[TICKER]=T_WATCHLIST[[#This Row],[Stock]])))</f>
        <v/>
      </c>
      <c r="Z14" s="64" t="str" cm="1">
        <f t="array" ref="Z14">IFERROR(IF(ROW(T_WATCHLIST[[#This Row],[Stock]])-ROW(T_WATCHLIST[[#Headers],[Stock]])&gt;=C_CNT_STOCKS,"",_FV(T_WATCHLIST[[#This Row],[Stock]],"Industry",TRUE)),"Not Available")</f>
        <v/>
      </c>
      <c r="AA14" s="64" t="str" cm="1">
        <f t="array" ref="AA14">IFERROR(IF(ROW(T_WATCHLIST[[#This Row],[Stock]])-ROW(T_WATCHLIST[[#Headers],[Stock]])&gt;=C_CNT_STOCKS,"",_FV(T_WATCHLIST[[#This Row],[Stock]],"Instrument type",TRUE)),"Not Available")</f>
        <v/>
      </c>
    </row>
    <row r="15" spans="1:34" s="43" customFormat="1" ht="22" customHeight="1">
      <c r="E15" s="61"/>
      <c r="F15" s="75" t="str" cm="1">
        <f t="array" ref="F15">IFERROR(IF(ROW(T_WATCHLIST[[#This Row],[Stock]])-ROW(T_WATCHLIST[[#Headers],[Stock]])&gt;C_CNT_STOCKS,"",INDEX(_xlfn.ANCHORARRAY(HELP!$G$2),ROW(T_WATCHLIST[[#This Row],[Stock]])-ROW(T_WATCHLIST[[#Headers],[Stock]]))),"")</f>
        <v/>
      </c>
      <c r="G15" s="80" t="str" cm="1">
        <f t="array" ref="G15">IFERROR(_xlfn.FIELDVALUE(T_WATCHLIST[[#This Row],[Stock]],"Ticker Symbol"),"")</f>
        <v/>
      </c>
      <c r="H15" s="115">
        <v>0</v>
      </c>
      <c r="I15" s="81" t="str">
        <f>IF(T_WATCHLIST[[#This Row],[Stock]]="","",SUMIFS(T_TXN[UNITS],T_TXN[TYPE],"Buy",T_TXN[TICKER],T_WATCHLIST[[#This Row],[Stock]])-SUMIFS(T_TXN[UNITS],T_TXN[TYPE],"Sell",T_TXN[TICKER],T_WATCHLIST[[#This Row],[Stock]])+SUMIFS(T_TXN[UNITS],T_TXN[TYPE],"Dividend Reinvestment",T_TXN[TICKER],T_WATCHLIST[[#This Row],[Stock]]))</f>
        <v/>
      </c>
      <c r="J15" s="75" t="str" cm="1">
        <f t="array" ref="J15">IFERROR(_xlfn.FIELDVALUE(T_WATCHLIST[[#This Row],[Stock]],"Price"),"")</f>
        <v/>
      </c>
      <c r="K15" s="82" t="str" cm="1">
        <f t="array" ref="K15">IFERROR(_xlfn.FIELDVALUE(T_WATCHLIST[[#This Row],[Stock]],"Change"),"")</f>
        <v/>
      </c>
      <c r="L15" s="83" t="str" cm="1">
        <f t="array" ref="L15">IFERROR(_xlfn.FIELDVALUE(T_WATCHLIST[[#This Row],[Stock]],"Change (%)"),"")</f>
        <v/>
      </c>
      <c r="M15" s="84" t="str">
        <f>IF(T_WATCHLIST[[#This Row],[Stock]]="","",T_WATCHLIST[[#This Row],[Quantity]]*T_WATCHLIST[[#This Row],[Last Price]])</f>
        <v/>
      </c>
      <c r="N15" s="85" t="str" cm="1">
        <f t="array" ref="N15">IF(T_WATCHLIST[[#This Row],[Stock]]="","",T_WATCHLIST[[#This Row],[Current Value]]-_xlfn.FIELDVALUE(T_WATCHLIST[[#This Row],[Stock]],"Previous Close")*T_WATCHLIST[[#This Row],[Quantity]])</f>
        <v/>
      </c>
      <c r="O15" s="86" t="str">
        <f>IFERROR(T_WATCHLIST[[#This Row],[Today''s Gain/Loss]]/(T_WATCHLIST[[#This Row],[Current Value]]-T_WATCHLIST[[#This Row],[Today''s Gain/Loss]]),"")</f>
        <v/>
      </c>
      <c r="P15" s="84" t="str">
        <f>IFERROR(T_WATCHLIST[[#This Row],[Current Value]]-T_WATCHLIST[[#This Row],[% Total Gain/Loss9]],"")</f>
        <v/>
      </c>
      <c r="Q15" s="87" t="str">
        <f>IFERROR(T_WATCHLIST[[#This Row],[Total Gain/Loss]]/T_WATCHLIST[[#This Row],[% Total Gain/Loss9]],"")</f>
        <v/>
      </c>
      <c r="R15" s="88" t="str" cm="1">
        <f t="array" ref="R15">IFERROR(_xlfn.FIELDVALUE(T_WATCHLIST[[#This Row],[Stock]],"52 week low"),"")</f>
        <v/>
      </c>
      <c r="S1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5" s="73" t="str" cm="1">
        <f t="array" ref="T15">IFERROR(_xlfn.FIELDVALUE(T_WATCHLIST[[#This Row],[Stock]],"52 week high"),"")</f>
        <v/>
      </c>
      <c r="U15" s="64" t="str" cm="1">
        <f t="array" ref="U15">IF(T_WATCHLIST[[#This Row],[Stock]]="","",SUMPRODUCT(T_TXN[UNITS],--(T_TXN[TYPE]="Buy"),--(T_TXN[TICKER]=T_WATCHLIST[[#This Row],[Stock]])))</f>
        <v/>
      </c>
      <c r="V15" s="67" t="str" cm="1">
        <f t="array" ref="V15">IF(T_WATCHLIST[[#This Row],[Stock]]="","",SUMPRODUCT(--(T_TXN[TYPE]="Buy"),T_TXN[UNITS],T_TXN[PRICE],--(T_TXN[TICKER]=T_WATCHLIST[[#This Row],[Stock]])))</f>
        <v/>
      </c>
      <c r="W15" s="64" t="str" cm="1">
        <f t="array" ref="W15">IF(T_WATCHLIST[[#This Row],[Stock]]="","",SUMPRODUCT(T_TXN[UNITS],--(T_TXN[TYPE]="Sell"),--(T_TXN[TICKER]=T_WATCHLIST[[#This Row],[Stock]])))</f>
        <v/>
      </c>
      <c r="X15" s="67" t="str" cm="1">
        <f t="array" ref="X15">IF(T_WATCHLIST[[#This Row],[Stock]]="","",SUMPRODUCT(--(T_TXN[TYPE]="Sell"),T_TXN[UNITS],T_TXN[PRICE],--(T_TXN[TICKER]=T_WATCHLIST[[#This Row],[Stock]])))</f>
        <v/>
      </c>
      <c r="Y15" s="67" t="str" cm="1">
        <f t="array" ref="Y15">IF(T_WATCHLIST[[#This Row],[Stock]]="","",SUMPRODUCT(T_TXN[UNITS],T_TXN[PRICE],--(T_TXN[TYPE]="Buy"),--(T_TXN[TICKER]=T_WATCHLIST[[#This Row],[Stock]])) -SUMPRODUCT(T_TXN[UNITS],T_TXN[PRICE],--(T_TXN[TYPE]="Sell"),--(T_TXN[TICKER]=T_WATCHLIST[[#This Row],[Stock]])))</f>
        <v/>
      </c>
      <c r="Z15" s="64" t="str" cm="1">
        <f t="array" ref="Z15">IFERROR(IF(ROW(T_WATCHLIST[[#This Row],[Stock]])-ROW(T_WATCHLIST[[#Headers],[Stock]])&gt;=C_CNT_STOCKS,"",_FV(T_WATCHLIST[[#This Row],[Stock]],"Industry",TRUE)),"Not Available")</f>
        <v/>
      </c>
      <c r="AA15" s="64" t="str" cm="1">
        <f t="array" ref="AA15">IFERROR(IF(ROW(T_WATCHLIST[[#This Row],[Stock]])-ROW(T_WATCHLIST[[#Headers],[Stock]])&gt;=C_CNT_STOCKS,"",_FV(T_WATCHLIST[[#This Row],[Stock]],"Instrument type",TRUE)),"Not Available")</f>
        <v/>
      </c>
      <c r="AB15" s="42"/>
      <c r="AC15" s="42"/>
    </row>
    <row r="16" spans="1:34" s="43" customFormat="1" ht="22" customHeight="1">
      <c r="E16" s="61"/>
      <c r="F16" s="75" t="str" cm="1">
        <f t="array" ref="F16">IFERROR(IF(ROW(T_WATCHLIST[[#This Row],[Stock]])-ROW(T_WATCHLIST[[#Headers],[Stock]])&gt;C_CNT_STOCKS,"",INDEX(_xlfn.ANCHORARRAY(HELP!$G$2),ROW(T_WATCHLIST[[#This Row],[Stock]])-ROW(T_WATCHLIST[[#Headers],[Stock]]))),"")</f>
        <v/>
      </c>
      <c r="G16" s="80" t="str" cm="1">
        <f t="array" ref="G16">IFERROR(_xlfn.FIELDVALUE(T_WATCHLIST[[#This Row],[Stock]],"Ticker Symbol"),"")</f>
        <v/>
      </c>
      <c r="H16" s="115">
        <v>0</v>
      </c>
      <c r="I16" s="81" t="str">
        <f>IF(T_WATCHLIST[[#This Row],[Stock]]="","",SUMIFS(T_TXN[UNITS],T_TXN[TYPE],"Buy",T_TXN[TICKER],T_WATCHLIST[[#This Row],[Stock]])-SUMIFS(T_TXN[UNITS],T_TXN[TYPE],"Sell",T_TXN[TICKER],T_WATCHLIST[[#This Row],[Stock]])+SUMIFS(T_TXN[UNITS],T_TXN[TYPE],"Dividend Reinvestment",T_TXN[TICKER],T_WATCHLIST[[#This Row],[Stock]]))</f>
        <v/>
      </c>
      <c r="J16" s="75" t="str" cm="1">
        <f t="array" ref="J16">IFERROR(_xlfn.FIELDVALUE(T_WATCHLIST[[#This Row],[Stock]],"Price"),"")</f>
        <v/>
      </c>
      <c r="K16" s="82" t="str" cm="1">
        <f t="array" ref="K16">IFERROR(_xlfn.FIELDVALUE(T_WATCHLIST[[#This Row],[Stock]],"Change"),"")</f>
        <v/>
      </c>
      <c r="L16" s="83" t="str" cm="1">
        <f t="array" ref="L16">IFERROR(_xlfn.FIELDVALUE(T_WATCHLIST[[#This Row],[Stock]],"Change (%)"),"")</f>
        <v/>
      </c>
      <c r="M16" s="84" t="str">
        <f>IF(T_WATCHLIST[[#This Row],[Stock]]="","",T_WATCHLIST[[#This Row],[Quantity]]*T_WATCHLIST[[#This Row],[Last Price]])</f>
        <v/>
      </c>
      <c r="N16" s="85" t="str" cm="1">
        <f t="array" ref="N16">IF(T_WATCHLIST[[#This Row],[Stock]]="","",T_WATCHLIST[[#This Row],[Current Value]]-_xlfn.FIELDVALUE(T_WATCHLIST[[#This Row],[Stock]],"Previous Close")*T_WATCHLIST[[#This Row],[Quantity]])</f>
        <v/>
      </c>
      <c r="O16" s="86" t="str">
        <f>IFERROR(T_WATCHLIST[[#This Row],[Today''s Gain/Loss]]/(T_WATCHLIST[[#This Row],[Current Value]]-T_WATCHLIST[[#This Row],[Today''s Gain/Loss]]),"")</f>
        <v/>
      </c>
      <c r="P16" s="84" t="str">
        <f>IFERROR(T_WATCHLIST[[#This Row],[Current Value]]-T_WATCHLIST[[#This Row],[% Total Gain/Loss9]],"")</f>
        <v/>
      </c>
      <c r="Q16" s="87" t="str">
        <f>IFERROR(T_WATCHLIST[[#This Row],[Total Gain/Loss]]/T_WATCHLIST[[#This Row],[% Total Gain/Loss9]],"")</f>
        <v/>
      </c>
      <c r="R16" s="88" t="str" cm="1">
        <f t="array" ref="R16">IFERROR(_xlfn.FIELDVALUE(T_WATCHLIST[[#This Row],[Stock]],"52 week low"),"")</f>
        <v/>
      </c>
      <c r="S1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6" s="73" t="str" cm="1">
        <f t="array" ref="T16">IFERROR(_xlfn.FIELDVALUE(T_WATCHLIST[[#This Row],[Stock]],"52 week high"),"")</f>
        <v/>
      </c>
      <c r="U16" s="64" t="str" cm="1">
        <f t="array" ref="U16">IF(T_WATCHLIST[[#This Row],[Stock]]="","",SUMPRODUCT(T_TXN[UNITS],--(T_TXN[TYPE]="Buy"),--(T_TXN[TICKER]=T_WATCHLIST[[#This Row],[Stock]])))</f>
        <v/>
      </c>
      <c r="V16" s="67" t="str" cm="1">
        <f t="array" ref="V16">IF(T_WATCHLIST[[#This Row],[Stock]]="","",SUMPRODUCT(--(T_TXN[TYPE]="Buy"),T_TXN[UNITS],T_TXN[PRICE],--(T_TXN[TICKER]=T_WATCHLIST[[#This Row],[Stock]])))</f>
        <v/>
      </c>
      <c r="W16" s="64" t="str" cm="1">
        <f t="array" ref="W16">IF(T_WATCHLIST[[#This Row],[Stock]]="","",SUMPRODUCT(T_TXN[UNITS],--(T_TXN[TYPE]="Sell"),--(T_TXN[TICKER]=T_WATCHLIST[[#This Row],[Stock]])))</f>
        <v/>
      </c>
      <c r="X16" s="67" t="str" cm="1">
        <f t="array" ref="X16">IF(T_WATCHLIST[[#This Row],[Stock]]="","",SUMPRODUCT(--(T_TXN[TYPE]="Sell"),T_TXN[UNITS],T_TXN[PRICE],--(T_TXN[TICKER]=T_WATCHLIST[[#This Row],[Stock]])))</f>
        <v/>
      </c>
      <c r="Y16" s="67" t="str" cm="1">
        <f t="array" ref="Y16">IF(T_WATCHLIST[[#This Row],[Stock]]="","",SUMPRODUCT(T_TXN[UNITS],T_TXN[PRICE],--(T_TXN[TYPE]="Buy"),--(T_TXN[TICKER]=T_WATCHLIST[[#This Row],[Stock]])) -SUMPRODUCT(T_TXN[UNITS],T_TXN[PRICE],--(T_TXN[TYPE]="Sell"),--(T_TXN[TICKER]=T_WATCHLIST[[#This Row],[Stock]])))</f>
        <v/>
      </c>
      <c r="Z16" s="64" t="str" cm="1">
        <f t="array" ref="Z16">IFERROR(IF(ROW(T_WATCHLIST[[#This Row],[Stock]])-ROW(T_WATCHLIST[[#Headers],[Stock]])&gt;=C_CNT_STOCKS,"",_FV(T_WATCHLIST[[#This Row],[Stock]],"Industry",TRUE)),"Not Available")</f>
        <v/>
      </c>
      <c r="AA16" s="64" t="str" cm="1">
        <f t="array" ref="AA16">IFERROR(IF(ROW(T_WATCHLIST[[#This Row],[Stock]])-ROW(T_WATCHLIST[[#Headers],[Stock]])&gt;=C_CNT_STOCKS,"",_FV(T_WATCHLIST[[#This Row],[Stock]],"Instrument type",TRUE)),"Not Available")</f>
        <v/>
      </c>
      <c r="AB16" s="42"/>
      <c r="AC16" s="42"/>
    </row>
    <row r="17" spans="1:29" s="43" customFormat="1" ht="22" customHeight="1">
      <c r="E17" s="61"/>
      <c r="F17" s="75" t="str" cm="1">
        <f t="array" ref="F17">IFERROR(IF(ROW(T_WATCHLIST[[#This Row],[Stock]])-ROW(T_WATCHLIST[[#Headers],[Stock]])&gt;C_CNT_STOCKS,"",INDEX(_xlfn.ANCHORARRAY(HELP!$G$2),ROW(T_WATCHLIST[[#This Row],[Stock]])-ROW(T_WATCHLIST[[#Headers],[Stock]]))),"")</f>
        <v/>
      </c>
      <c r="G17" s="80" t="str" cm="1">
        <f t="array" ref="G17">IFERROR(_xlfn.FIELDVALUE(T_WATCHLIST[[#This Row],[Stock]],"Ticker Symbol"),"")</f>
        <v/>
      </c>
      <c r="H17" s="115">
        <v>0</v>
      </c>
      <c r="I17" s="81" t="str">
        <f>IF(T_WATCHLIST[[#This Row],[Stock]]="","",SUMIFS(T_TXN[UNITS],T_TXN[TYPE],"Buy",T_TXN[TICKER],T_WATCHLIST[[#This Row],[Stock]])-SUMIFS(T_TXN[UNITS],T_TXN[TYPE],"Sell",T_TXN[TICKER],T_WATCHLIST[[#This Row],[Stock]])+SUMIFS(T_TXN[UNITS],T_TXN[TYPE],"Dividend Reinvestment",T_TXN[TICKER],T_WATCHLIST[[#This Row],[Stock]]))</f>
        <v/>
      </c>
      <c r="J17" s="75" t="str" cm="1">
        <f t="array" ref="J17">IFERROR(_xlfn.FIELDVALUE(T_WATCHLIST[[#This Row],[Stock]],"Price"),"")</f>
        <v/>
      </c>
      <c r="K17" s="82" t="str" cm="1">
        <f t="array" ref="K17">IFERROR(_xlfn.FIELDVALUE(T_WATCHLIST[[#This Row],[Stock]],"Change"),"")</f>
        <v/>
      </c>
      <c r="L17" s="83" t="str" cm="1">
        <f t="array" ref="L17">IFERROR(_xlfn.FIELDVALUE(T_WATCHLIST[[#This Row],[Stock]],"Change (%)"),"")</f>
        <v/>
      </c>
      <c r="M17" s="84" t="str">
        <f>IF(T_WATCHLIST[[#This Row],[Stock]]="","",T_WATCHLIST[[#This Row],[Quantity]]*T_WATCHLIST[[#This Row],[Last Price]])</f>
        <v/>
      </c>
      <c r="N17" s="85" t="str" cm="1">
        <f t="array" ref="N17">IF(T_WATCHLIST[[#This Row],[Stock]]="","",T_WATCHLIST[[#This Row],[Current Value]]-_xlfn.FIELDVALUE(T_WATCHLIST[[#This Row],[Stock]],"Previous Close")*T_WATCHLIST[[#This Row],[Quantity]])</f>
        <v/>
      </c>
      <c r="O17" s="86" t="str">
        <f>IFERROR(T_WATCHLIST[[#This Row],[Today''s Gain/Loss]]/(T_WATCHLIST[[#This Row],[Current Value]]-T_WATCHLIST[[#This Row],[Today''s Gain/Loss]]),"")</f>
        <v/>
      </c>
      <c r="P17" s="84" t="str">
        <f>IFERROR(T_WATCHLIST[[#This Row],[Current Value]]-T_WATCHLIST[[#This Row],[% Total Gain/Loss9]],"")</f>
        <v/>
      </c>
      <c r="Q17" s="87" t="str">
        <f>IFERROR(T_WATCHLIST[[#This Row],[Total Gain/Loss]]/T_WATCHLIST[[#This Row],[% Total Gain/Loss9]],"")</f>
        <v/>
      </c>
      <c r="R17" s="88" t="str" cm="1">
        <f t="array" ref="R17">IFERROR(_xlfn.FIELDVALUE(T_WATCHLIST[[#This Row],[Stock]],"52 week low"),"")</f>
        <v/>
      </c>
      <c r="S1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7" s="73" t="str" cm="1">
        <f t="array" ref="T17">IFERROR(_xlfn.FIELDVALUE(T_WATCHLIST[[#This Row],[Stock]],"52 week high"),"")</f>
        <v/>
      </c>
      <c r="U17" s="64" t="str" cm="1">
        <f t="array" ref="U17">IF(T_WATCHLIST[[#This Row],[Stock]]="","",SUMPRODUCT(T_TXN[UNITS],--(T_TXN[TYPE]="Buy"),--(T_TXN[TICKER]=T_WATCHLIST[[#This Row],[Stock]])))</f>
        <v/>
      </c>
      <c r="V17" s="67" t="str" cm="1">
        <f t="array" ref="V17">IF(T_WATCHLIST[[#This Row],[Stock]]="","",SUMPRODUCT(--(T_TXN[TYPE]="Buy"),T_TXN[UNITS],T_TXN[PRICE],--(T_TXN[TICKER]=T_WATCHLIST[[#This Row],[Stock]])))</f>
        <v/>
      </c>
      <c r="W17" s="64" t="str" cm="1">
        <f t="array" ref="W17">IF(T_WATCHLIST[[#This Row],[Stock]]="","",SUMPRODUCT(T_TXN[UNITS],--(T_TXN[TYPE]="Sell"),--(T_TXN[TICKER]=T_WATCHLIST[[#This Row],[Stock]])))</f>
        <v/>
      </c>
      <c r="X17" s="67" t="str" cm="1">
        <f t="array" ref="X17">IF(T_WATCHLIST[[#This Row],[Stock]]="","",SUMPRODUCT(--(T_TXN[TYPE]="Sell"),T_TXN[UNITS],T_TXN[PRICE],--(T_TXN[TICKER]=T_WATCHLIST[[#This Row],[Stock]])))</f>
        <v/>
      </c>
      <c r="Y17" s="67" t="str" cm="1">
        <f t="array" ref="Y17">IF(T_WATCHLIST[[#This Row],[Stock]]="","",SUMPRODUCT(T_TXN[UNITS],T_TXN[PRICE],--(T_TXN[TYPE]="Buy"),--(T_TXN[TICKER]=T_WATCHLIST[[#This Row],[Stock]])) -SUMPRODUCT(T_TXN[UNITS],T_TXN[PRICE],--(T_TXN[TYPE]="Sell"),--(T_TXN[TICKER]=T_WATCHLIST[[#This Row],[Stock]])))</f>
        <v/>
      </c>
      <c r="Z17" s="64" t="str" cm="1">
        <f t="array" ref="Z17">IFERROR(IF(ROW(T_WATCHLIST[[#This Row],[Stock]])-ROW(T_WATCHLIST[[#Headers],[Stock]])&gt;=C_CNT_STOCKS,"",_FV(T_WATCHLIST[[#This Row],[Stock]],"Industry",TRUE)),"Not Available")</f>
        <v/>
      </c>
      <c r="AA17" s="64" t="str" cm="1">
        <f t="array" ref="AA17">IFERROR(IF(ROW(T_WATCHLIST[[#This Row],[Stock]])-ROW(T_WATCHLIST[[#Headers],[Stock]])&gt;=C_CNT_STOCKS,"",_FV(T_WATCHLIST[[#This Row],[Stock]],"Instrument type",TRUE)),"Not Available")</f>
        <v/>
      </c>
      <c r="AB17" s="42"/>
      <c r="AC17" s="42"/>
    </row>
    <row r="18" spans="1:29" s="43" customFormat="1" ht="22" customHeight="1">
      <c r="E18" s="61"/>
      <c r="F18" s="75" t="str" cm="1">
        <f t="array" ref="F18">IFERROR(IF(ROW(T_WATCHLIST[[#This Row],[Stock]])-ROW(T_WATCHLIST[[#Headers],[Stock]])&gt;C_CNT_STOCKS,"",INDEX(_xlfn.ANCHORARRAY(HELP!$G$2),ROW(T_WATCHLIST[[#This Row],[Stock]])-ROW(T_WATCHLIST[[#Headers],[Stock]]))),"")</f>
        <v/>
      </c>
      <c r="G18" s="80" t="str" cm="1">
        <f t="array" ref="G18">IFERROR(_xlfn.FIELDVALUE(T_WATCHLIST[[#This Row],[Stock]],"Ticker Symbol"),"")</f>
        <v/>
      </c>
      <c r="H18" s="115">
        <v>0</v>
      </c>
      <c r="I18" s="81" t="str">
        <f>IF(T_WATCHLIST[[#This Row],[Stock]]="","",SUMIFS(T_TXN[UNITS],T_TXN[TYPE],"Buy",T_TXN[TICKER],T_WATCHLIST[[#This Row],[Stock]])-SUMIFS(T_TXN[UNITS],T_TXN[TYPE],"Sell",T_TXN[TICKER],T_WATCHLIST[[#This Row],[Stock]])+SUMIFS(T_TXN[UNITS],T_TXN[TYPE],"Dividend Reinvestment",T_TXN[TICKER],T_WATCHLIST[[#This Row],[Stock]]))</f>
        <v/>
      </c>
      <c r="J18" s="75" t="str" cm="1">
        <f t="array" ref="J18">IFERROR(_xlfn.FIELDVALUE(T_WATCHLIST[[#This Row],[Stock]],"Price"),"")</f>
        <v/>
      </c>
      <c r="K18" s="82" t="str" cm="1">
        <f t="array" ref="K18">IFERROR(_xlfn.FIELDVALUE(T_WATCHLIST[[#This Row],[Stock]],"Change"),"")</f>
        <v/>
      </c>
      <c r="L18" s="83" t="str" cm="1">
        <f t="array" ref="L18">IFERROR(_xlfn.FIELDVALUE(T_WATCHLIST[[#This Row],[Stock]],"Change (%)"),"")</f>
        <v/>
      </c>
      <c r="M18" s="84" t="str">
        <f>IF(T_WATCHLIST[[#This Row],[Stock]]="","",T_WATCHLIST[[#This Row],[Quantity]]*T_WATCHLIST[[#This Row],[Last Price]])</f>
        <v/>
      </c>
      <c r="N18" s="85" t="str" cm="1">
        <f t="array" ref="N18">IF(T_WATCHLIST[[#This Row],[Stock]]="","",T_WATCHLIST[[#This Row],[Current Value]]-_xlfn.FIELDVALUE(T_WATCHLIST[[#This Row],[Stock]],"Previous Close")*T_WATCHLIST[[#This Row],[Quantity]])</f>
        <v/>
      </c>
      <c r="O18" s="86" t="str">
        <f>IFERROR(T_WATCHLIST[[#This Row],[Today''s Gain/Loss]]/(T_WATCHLIST[[#This Row],[Current Value]]-T_WATCHLIST[[#This Row],[Today''s Gain/Loss]]),"")</f>
        <v/>
      </c>
      <c r="P18" s="84" t="str">
        <f>IFERROR(T_WATCHLIST[[#This Row],[Current Value]]-T_WATCHLIST[[#This Row],[% Total Gain/Loss9]],"")</f>
        <v/>
      </c>
      <c r="Q18" s="87" t="str">
        <f>IFERROR(T_WATCHLIST[[#This Row],[Total Gain/Loss]]/T_WATCHLIST[[#This Row],[% Total Gain/Loss9]],"")</f>
        <v/>
      </c>
      <c r="R18" s="88" t="str" cm="1">
        <f t="array" ref="R18">IFERROR(_xlfn.FIELDVALUE(T_WATCHLIST[[#This Row],[Stock]],"52 week low"),"")</f>
        <v/>
      </c>
      <c r="S1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8" s="73" t="str" cm="1">
        <f t="array" ref="T18">IFERROR(_xlfn.FIELDVALUE(T_WATCHLIST[[#This Row],[Stock]],"52 week high"),"")</f>
        <v/>
      </c>
      <c r="U18" s="64" t="str" cm="1">
        <f t="array" ref="U18">IF(T_WATCHLIST[[#This Row],[Stock]]="","",SUMPRODUCT(T_TXN[UNITS],--(T_TXN[TYPE]="Buy"),--(T_TXN[TICKER]=T_WATCHLIST[[#This Row],[Stock]])))</f>
        <v/>
      </c>
      <c r="V18" s="67" t="str" cm="1">
        <f t="array" ref="V18">IF(T_WATCHLIST[[#This Row],[Stock]]="","",SUMPRODUCT(--(T_TXN[TYPE]="Buy"),T_TXN[UNITS],T_TXN[PRICE],--(T_TXN[TICKER]=T_WATCHLIST[[#This Row],[Stock]])))</f>
        <v/>
      </c>
      <c r="W18" s="64" t="str" cm="1">
        <f t="array" ref="W18">IF(T_WATCHLIST[[#This Row],[Stock]]="","",SUMPRODUCT(T_TXN[UNITS],--(T_TXN[TYPE]="Sell"),--(T_TXN[TICKER]=T_WATCHLIST[[#This Row],[Stock]])))</f>
        <v/>
      </c>
      <c r="X18" s="67" t="str" cm="1">
        <f t="array" ref="X18">IF(T_WATCHLIST[[#This Row],[Stock]]="","",SUMPRODUCT(--(T_TXN[TYPE]="Sell"),T_TXN[UNITS],T_TXN[PRICE],--(T_TXN[TICKER]=T_WATCHLIST[[#This Row],[Stock]])))</f>
        <v/>
      </c>
      <c r="Y18" s="67" t="str" cm="1">
        <f t="array" ref="Y18">IF(T_WATCHLIST[[#This Row],[Stock]]="","",SUMPRODUCT(T_TXN[UNITS],T_TXN[PRICE],--(T_TXN[TYPE]="Buy"),--(T_TXN[TICKER]=T_WATCHLIST[[#This Row],[Stock]])) -SUMPRODUCT(T_TXN[UNITS],T_TXN[PRICE],--(T_TXN[TYPE]="Sell"),--(T_TXN[TICKER]=T_WATCHLIST[[#This Row],[Stock]])))</f>
        <v/>
      </c>
      <c r="Z18" s="64" t="str" cm="1">
        <f t="array" ref="Z18">IFERROR(IF(ROW(T_WATCHLIST[[#This Row],[Stock]])-ROW(T_WATCHLIST[[#Headers],[Stock]])&gt;=C_CNT_STOCKS,"",_FV(T_WATCHLIST[[#This Row],[Stock]],"Industry",TRUE)),"Not Available")</f>
        <v/>
      </c>
      <c r="AA18" s="64" t="str" cm="1">
        <f t="array" ref="AA18">IFERROR(IF(ROW(T_WATCHLIST[[#This Row],[Stock]])-ROW(T_WATCHLIST[[#Headers],[Stock]])&gt;=C_CNT_STOCKS,"",_FV(T_WATCHLIST[[#This Row],[Stock]],"Instrument type",TRUE)),"Not Available")</f>
        <v/>
      </c>
      <c r="AB18" s="42"/>
      <c r="AC18" s="42"/>
    </row>
    <row r="19" spans="1:29" s="43" customFormat="1" ht="22" customHeight="1">
      <c r="E19" s="61"/>
      <c r="F19" s="75" t="str" cm="1">
        <f t="array" ref="F19">IFERROR(IF(ROW(T_WATCHLIST[[#This Row],[Stock]])-ROW(T_WATCHLIST[[#Headers],[Stock]])&gt;C_CNT_STOCKS,"",INDEX(_xlfn.ANCHORARRAY(HELP!$G$2),ROW(T_WATCHLIST[[#This Row],[Stock]])-ROW(T_WATCHLIST[[#Headers],[Stock]]))),"")</f>
        <v/>
      </c>
      <c r="G19" s="80" t="str" cm="1">
        <f t="array" ref="G19">IFERROR(_xlfn.FIELDVALUE(T_WATCHLIST[[#This Row],[Stock]],"Ticker Symbol"),"")</f>
        <v/>
      </c>
      <c r="H19" s="115">
        <v>0</v>
      </c>
      <c r="I19" s="81" t="str">
        <f>IF(T_WATCHLIST[[#This Row],[Stock]]="","",SUMIFS(T_TXN[UNITS],T_TXN[TYPE],"Buy",T_TXN[TICKER],T_WATCHLIST[[#This Row],[Stock]])-SUMIFS(T_TXN[UNITS],T_TXN[TYPE],"Sell",T_TXN[TICKER],T_WATCHLIST[[#This Row],[Stock]])+SUMIFS(T_TXN[UNITS],T_TXN[TYPE],"Dividend Reinvestment",T_TXN[TICKER],T_WATCHLIST[[#This Row],[Stock]]))</f>
        <v/>
      </c>
      <c r="J19" s="75" t="str" cm="1">
        <f t="array" ref="J19">IFERROR(_xlfn.FIELDVALUE(T_WATCHLIST[[#This Row],[Stock]],"Price"),"")</f>
        <v/>
      </c>
      <c r="K19" s="82" t="str" cm="1">
        <f t="array" ref="K19">IFERROR(_xlfn.FIELDVALUE(T_WATCHLIST[[#This Row],[Stock]],"Change"),"")</f>
        <v/>
      </c>
      <c r="L19" s="83" t="str" cm="1">
        <f t="array" ref="L19">IFERROR(_xlfn.FIELDVALUE(T_WATCHLIST[[#This Row],[Stock]],"Change (%)"),"")</f>
        <v/>
      </c>
      <c r="M19" s="84" t="str">
        <f>IF(T_WATCHLIST[[#This Row],[Stock]]="","",T_WATCHLIST[[#This Row],[Quantity]]*T_WATCHLIST[[#This Row],[Last Price]])</f>
        <v/>
      </c>
      <c r="N19" s="85" t="str" cm="1">
        <f t="array" ref="N19">IF(T_WATCHLIST[[#This Row],[Stock]]="","",T_WATCHLIST[[#This Row],[Current Value]]-_xlfn.FIELDVALUE(T_WATCHLIST[[#This Row],[Stock]],"Previous Close")*T_WATCHLIST[[#This Row],[Quantity]])</f>
        <v/>
      </c>
      <c r="O19" s="86" t="str">
        <f>IFERROR(T_WATCHLIST[[#This Row],[Today''s Gain/Loss]]/(T_WATCHLIST[[#This Row],[Current Value]]-T_WATCHLIST[[#This Row],[Today''s Gain/Loss]]),"")</f>
        <v/>
      </c>
      <c r="P19" s="84" t="str">
        <f>IFERROR(T_WATCHLIST[[#This Row],[Current Value]]-T_WATCHLIST[[#This Row],[% Total Gain/Loss9]],"")</f>
        <v/>
      </c>
      <c r="Q19" s="87" t="str">
        <f>IFERROR(T_WATCHLIST[[#This Row],[Total Gain/Loss]]/T_WATCHLIST[[#This Row],[% Total Gain/Loss9]],"")</f>
        <v/>
      </c>
      <c r="R19" s="88" t="str" cm="1">
        <f t="array" ref="R19">IFERROR(_xlfn.FIELDVALUE(T_WATCHLIST[[#This Row],[Stock]],"52 week low"),"")</f>
        <v/>
      </c>
      <c r="S1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19" s="73" t="str" cm="1">
        <f t="array" ref="T19">IFERROR(_xlfn.FIELDVALUE(T_WATCHLIST[[#This Row],[Stock]],"52 week high"),"")</f>
        <v/>
      </c>
      <c r="U19" s="64" t="str" cm="1">
        <f t="array" ref="U19">IF(T_WATCHLIST[[#This Row],[Stock]]="","",SUMPRODUCT(T_TXN[UNITS],--(T_TXN[TYPE]="Buy"),--(T_TXN[TICKER]=T_WATCHLIST[[#This Row],[Stock]])))</f>
        <v/>
      </c>
      <c r="V19" s="67" t="str" cm="1">
        <f t="array" ref="V19">IF(T_WATCHLIST[[#This Row],[Stock]]="","",SUMPRODUCT(--(T_TXN[TYPE]="Buy"),T_TXN[UNITS],T_TXN[PRICE],--(T_TXN[TICKER]=T_WATCHLIST[[#This Row],[Stock]])))</f>
        <v/>
      </c>
      <c r="W19" s="64" t="str" cm="1">
        <f t="array" ref="W19">IF(T_WATCHLIST[[#This Row],[Stock]]="","",SUMPRODUCT(T_TXN[UNITS],--(T_TXN[TYPE]="Sell"),--(T_TXN[TICKER]=T_WATCHLIST[[#This Row],[Stock]])))</f>
        <v/>
      </c>
      <c r="X19" s="67" t="str" cm="1">
        <f t="array" ref="X19">IF(T_WATCHLIST[[#This Row],[Stock]]="","",SUMPRODUCT(--(T_TXN[TYPE]="Sell"),T_TXN[UNITS],T_TXN[PRICE],--(T_TXN[TICKER]=T_WATCHLIST[[#This Row],[Stock]])))</f>
        <v/>
      </c>
      <c r="Y19" s="67" t="str" cm="1">
        <f t="array" ref="Y19">IF(T_WATCHLIST[[#This Row],[Stock]]="","",SUMPRODUCT(T_TXN[UNITS],T_TXN[PRICE],--(T_TXN[TYPE]="Buy"),--(T_TXN[TICKER]=T_WATCHLIST[[#This Row],[Stock]])) -SUMPRODUCT(T_TXN[UNITS],T_TXN[PRICE],--(T_TXN[TYPE]="Sell"),--(T_TXN[TICKER]=T_WATCHLIST[[#This Row],[Stock]])))</f>
        <v/>
      </c>
      <c r="Z19" s="64" t="str" cm="1">
        <f t="array" ref="Z19">IFERROR(IF(ROW(T_WATCHLIST[[#This Row],[Stock]])-ROW(T_WATCHLIST[[#Headers],[Stock]])&gt;=C_CNT_STOCKS,"",_FV(T_WATCHLIST[[#This Row],[Stock]],"Industry",TRUE)),"Not Available")</f>
        <v/>
      </c>
      <c r="AA19" s="64" t="str" cm="1">
        <f t="array" ref="AA19">IFERROR(IF(ROW(T_WATCHLIST[[#This Row],[Stock]])-ROW(T_WATCHLIST[[#Headers],[Stock]])&gt;=C_CNT_STOCKS,"",_FV(T_WATCHLIST[[#This Row],[Stock]],"Instrument type",TRUE)),"Not Available")</f>
        <v/>
      </c>
      <c r="AB19" s="42"/>
      <c r="AC19" s="42"/>
    </row>
    <row r="20" spans="1:29" s="43" customFormat="1" ht="22" customHeight="1">
      <c r="E20" s="61"/>
      <c r="F20" s="75" t="str" cm="1">
        <f t="array" ref="F20">IFERROR(IF(ROW(T_WATCHLIST[[#This Row],[Stock]])-ROW(T_WATCHLIST[[#Headers],[Stock]])&gt;C_CNT_STOCKS,"",INDEX(_xlfn.ANCHORARRAY(HELP!$G$2),ROW(T_WATCHLIST[[#This Row],[Stock]])-ROW(T_WATCHLIST[[#Headers],[Stock]]))),"")</f>
        <v/>
      </c>
      <c r="G20" s="80" t="str" cm="1">
        <f t="array" ref="G20">IFERROR(_xlfn.FIELDVALUE(T_WATCHLIST[[#This Row],[Stock]],"Ticker Symbol"),"")</f>
        <v/>
      </c>
      <c r="H20" s="115">
        <v>0</v>
      </c>
      <c r="I20" s="81" t="str">
        <f>IF(T_WATCHLIST[[#This Row],[Stock]]="","",SUMIFS(T_TXN[UNITS],T_TXN[TYPE],"Buy",T_TXN[TICKER],T_WATCHLIST[[#This Row],[Stock]])-SUMIFS(T_TXN[UNITS],T_TXN[TYPE],"Sell",T_TXN[TICKER],T_WATCHLIST[[#This Row],[Stock]])+SUMIFS(T_TXN[UNITS],T_TXN[TYPE],"Dividend Reinvestment",T_TXN[TICKER],T_WATCHLIST[[#This Row],[Stock]]))</f>
        <v/>
      </c>
      <c r="J20" s="75" t="str" cm="1">
        <f t="array" ref="J20">IFERROR(_xlfn.FIELDVALUE(T_WATCHLIST[[#This Row],[Stock]],"Price"),"")</f>
        <v/>
      </c>
      <c r="K20" s="82" t="str" cm="1">
        <f t="array" ref="K20">IFERROR(_xlfn.FIELDVALUE(T_WATCHLIST[[#This Row],[Stock]],"Change"),"")</f>
        <v/>
      </c>
      <c r="L20" s="83" t="str" cm="1">
        <f t="array" ref="L20">IFERROR(_xlfn.FIELDVALUE(T_WATCHLIST[[#This Row],[Stock]],"Change (%)"),"")</f>
        <v/>
      </c>
      <c r="M20" s="84" t="str">
        <f>IF(T_WATCHLIST[[#This Row],[Stock]]="","",T_WATCHLIST[[#This Row],[Quantity]]*T_WATCHLIST[[#This Row],[Last Price]])</f>
        <v/>
      </c>
      <c r="N20" s="85" t="str" cm="1">
        <f t="array" ref="N20">IF(T_WATCHLIST[[#This Row],[Stock]]="","",T_WATCHLIST[[#This Row],[Current Value]]-_xlfn.FIELDVALUE(T_WATCHLIST[[#This Row],[Stock]],"Previous Close")*T_WATCHLIST[[#This Row],[Quantity]])</f>
        <v/>
      </c>
      <c r="O20" s="86" t="str">
        <f>IFERROR(T_WATCHLIST[[#This Row],[Today''s Gain/Loss]]/(T_WATCHLIST[[#This Row],[Current Value]]-T_WATCHLIST[[#This Row],[Today''s Gain/Loss]]),"")</f>
        <v/>
      </c>
      <c r="P20" s="84" t="str">
        <f>IFERROR(T_WATCHLIST[[#This Row],[Current Value]]-T_WATCHLIST[[#This Row],[% Total Gain/Loss9]],"")</f>
        <v/>
      </c>
      <c r="Q20" s="87" t="str">
        <f>IFERROR(T_WATCHLIST[[#This Row],[Total Gain/Loss]]/T_WATCHLIST[[#This Row],[% Total Gain/Loss9]],"")</f>
        <v/>
      </c>
      <c r="R20" s="88" t="str" cm="1">
        <f t="array" ref="R20">IFERROR(_xlfn.FIELDVALUE(T_WATCHLIST[[#This Row],[Stock]],"52 week low"),"")</f>
        <v/>
      </c>
      <c r="S2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0" s="73" t="str" cm="1">
        <f t="array" ref="T20">IFERROR(_xlfn.FIELDVALUE(T_WATCHLIST[[#This Row],[Stock]],"52 week high"),"")</f>
        <v/>
      </c>
      <c r="U20" s="64" t="str" cm="1">
        <f t="array" ref="U20">IF(T_WATCHLIST[[#This Row],[Stock]]="","",SUMPRODUCT(T_TXN[UNITS],--(T_TXN[TYPE]="Buy"),--(T_TXN[TICKER]=T_WATCHLIST[[#This Row],[Stock]])))</f>
        <v/>
      </c>
      <c r="V20" s="67" t="str" cm="1">
        <f t="array" ref="V20">IF(T_WATCHLIST[[#This Row],[Stock]]="","",SUMPRODUCT(--(T_TXN[TYPE]="Buy"),T_TXN[UNITS],T_TXN[PRICE],--(T_TXN[TICKER]=T_WATCHLIST[[#This Row],[Stock]])))</f>
        <v/>
      </c>
      <c r="W20" s="64" t="str" cm="1">
        <f t="array" ref="W20">IF(T_WATCHLIST[[#This Row],[Stock]]="","",SUMPRODUCT(T_TXN[UNITS],--(T_TXN[TYPE]="Sell"),--(T_TXN[TICKER]=T_WATCHLIST[[#This Row],[Stock]])))</f>
        <v/>
      </c>
      <c r="X20" s="67" t="str" cm="1">
        <f t="array" ref="X20">IF(T_WATCHLIST[[#This Row],[Stock]]="","",SUMPRODUCT(--(T_TXN[TYPE]="Sell"),T_TXN[UNITS],T_TXN[PRICE],--(T_TXN[TICKER]=T_WATCHLIST[[#This Row],[Stock]])))</f>
        <v/>
      </c>
      <c r="Y20" s="67" t="str" cm="1">
        <f t="array" ref="Y20">IF(T_WATCHLIST[[#This Row],[Stock]]="","",SUMPRODUCT(T_TXN[UNITS],T_TXN[PRICE],--(T_TXN[TYPE]="Buy"),--(T_TXN[TICKER]=T_WATCHLIST[[#This Row],[Stock]])) -SUMPRODUCT(T_TXN[UNITS],T_TXN[PRICE],--(T_TXN[TYPE]="Sell"),--(T_TXN[TICKER]=T_WATCHLIST[[#This Row],[Stock]])))</f>
        <v/>
      </c>
      <c r="Z20" s="64" t="str" cm="1">
        <f t="array" ref="Z20">IFERROR(IF(ROW(T_WATCHLIST[[#This Row],[Stock]])-ROW(T_WATCHLIST[[#Headers],[Stock]])&gt;=C_CNT_STOCKS,"",_FV(T_WATCHLIST[[#This Row],[Stock]],"Industry",TRUE)),"Not Available")</f>
        <v/>
      </c>
      <c r="AA20" s="64" t="str" cm="1">
        <f t="array" ref="AA20">IFERROR(IF(ROW(T_WATCHLIST[[#This Row],[Stock]])-ROW(T_WATCHLIST[[#Headers],[Stock]])&gt;=C_CNT_STOCKS,"",_FV(T_WATCHLIST[[#This Row],[Stock]],"Instrument type",TRUE)),"Not Available")</f>
        <v/>
      </c>
      <c r="AB20" s="42"/>
      <c r="AC20" s="42"/>
    </row>
    <row r="21" spans="1:29" s="43" customFormat="1" ht="22" customHeight="1">
      <c r="E21" s="61"/>
      <c r="F21" s="75" t="str" cm="1">
        <f t="array" ref="F21">IFERROR(IF(ROW(T_WATCHLIST[[#This Row],[Stock]])-ROW(T_WATCHLIST[[#Headers],[Stock]])&gt;C_CNT_STOCKS,"",INDEX(_xlfn.ANCHORARRAY(HELP!$G$2),ROW(T_WATCHLIST[[#This Row],[Stock]])-ROW(T_WATCHLIST[[#Headers],[Stock]]))),"")</f>
        <v/>
      </c>
      <c r="G21" s="80" t="str" cm="1">
        <f t="array" ref="G21">IFERROR(_xlfn.FIELDVALUE(T_WATCHLIST[[#This Row],[Stock]],"Ticker Symbol"),"")</f>
        <v/>
      </c>
      <c r="H21" s="115">
        <v>0</v>
      </c>
      <c r="I21" s="81" t="str">
        <f>IF(T_WATCHLIST[[#This Row],[Stock]]="","",SUMIFS(T_TXN[UNITS],T_TXN[TYPE],"Buy",T_TXN[TICKER],T_WATCHLIST[[#This Row],[Stock]])-SUMIFS(T_TXN[UNITS],T_TXN[TYPE],"Sell",T_TXN[TICKER],T_WATCHLIST[[#This Row],[Stock]])+SUMIFS(T_TXN[UNITS],T_TXN[TYPE],"Dividend Reinvestment",T_TXN[TICKER],T_WATCHLIST[[#This Row],[Stock]]))</f>
        <v/>
      </c>
      <c r="J21" s="75" t="str" cm="1">
        <f t="array" ref="J21">IFERROR(_xlfn.FIELDVALUE(T_WATCHLIST[[#This Row],[Stock]],"Price"),"")</f>
        <v/>
      </c>
      <c r="K21" s="82" t="str" cm="1">
        <f t="array" ref="K21">IFERROR(_xlfn.FIELDVALUE(T_WATCHLIST[[#This Row],[Stock]],"Change"),"")</f>
        <v/>
      </c>
      <c r="L21" s="83" t="str" cm="1">
        <f t="array" ref="L21">IFERROR(_xlfn.FIELDVALUE(T_WATCHLIST[[#This Row],[Stock]],"Change (%)"),"")</f>
        <v/>
      </c>
      <c r="M21" s="84" t="str">
        <f>IF(T_WATCHLIST[[#This Row],[Stock]]="","",T_WATCHLIST[[#This Row],[Quantity]]*T_WATCHLIST[[#This Row],[Last Price]])</f>
        <v/>
      </c>
      <c r="N21" s="85" t="str" cm="1">
        <f t="array" ref="N21">IF(T_WATCHLIST[[#This Row],[Stock]]="","",T_WATCHLIST[[#This Row],[Current Value]]-_xlfn.FIELDVALUE(T_WATCHLIST[[#This Row],[Stock]],"Previous Close")*T_WATCHLIST[[#This Row],[Quantity]])</f>
        <v/>
      </c>
      <c r="O21" s="86" t="str">
        <f>IFERROR(T_WATCHLIST[[#This Row],[Today''s Gain/Loss]]/(T_WATCHLIST[[#This Row],[Current Value]]-T_WATCHLIST[[#This Row],[Today''s Gain/Loss]]),"")</f>
        <v/>
      </c>
      <c r="P21" s="84" t="str">
        <f>IFERROR(T_WATCHLIST[[#This Row],[Current Value]]-T_WATCHLIST[[#This Row],[% Total Gain/Loss9]],"")</f>
        <v/>
      </c>
      <c r="Q21" s="87" t="str">
        <f>IFERROR(T_WATCHLIST[[#This Row],[Total Gain/Loss]]/T_WATCHLIST[[#This Row],[% Total Gain/Loss9]],"")</f>
        <v/>
      </c>
      <c r="R21" s="88" t="str" cm="1">
        <f t="array" ref="R21">IFERROR(_xlfn.FIELDVALUE(T_WATCHLIST[[#This Row],[Stock]],"52 week low"),"")</f>
        <v/>
      </c>
      <c r="S2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1" s="73" t="str" cm="1">
        <f t="array" ref="T21">IFERROR(_xlfn.FIELDVALUE(T_WATCHLIST[[#This Row],[Stock]],"52 week high"),"")</f>
        <v/>
      </c>
      <c r="U21" s="64" t="str" cm="1">
        <f t="array" ref="U21">IF(T_WATCHLIST[[#This Row],[Stock]]="","",SUMPRODUCT(T_TXN[UNITS],--(T_TXN[TYPE]="Buy"),--(T_TXN[TICKER]=T_WATCHLIST[[#This Row],[Stock]])))</f>
        <v/>
      </c>
      <c r="V21" s="67" t="str" cm="1">
        <f t="array" ref="V21">IF(T_WATCHLIST[[#This Row],[Stock]]="","",SUMPRODUCT(--(T_TXN[TYPE]="Buy"),T_TXN[UNITS],T_TXN[PRICE],--(T_TXN[TICKER]=T_WATCHLIST[[#This Row],[Stock]])))</f>
        <v/>
      </c>
      <c r="W21" s="64" t="str" cm="1">
        <f t="array" ref="W21">IF(T_WATCHLIST[[#This Row],[Stock]]="","",SUMPRODUCT(T_TXN[UNITS],--(T_TXN[TYPE]="Sell"),--(T_TXN[TICKER]=T_WATCHLIST[[#This Row],[Stock]])))</f>
        <v/>
      </c>
      <c r="X21" s="67" t="str" cm="1">
        <f t="array" ref="X21">IF(T_WATCHLIST[[#This Row],[Stock]]="","",SUMPRODUCT(--(T_TXN[TYPE]="Sell"),T_TXN[UNITS],T_TXN[PRICE],--(T_TXN[TICKER]=T_WATCHLIST[[#This Row],[Stock]])))</f>
        <v/>
      </c>
      <c r="Y21" s="67" t="str" cm="1">
        <f t="array" ref="Y21">IF(T_WATCHLIST[[#This Row],[Stock]]="","",SUMPRODUCT(T_TXN[UNITS],T_TXN[PRICE],--(T_TXN[TYPE]="Buy"),--(T_TXN[TICKER]=T_WATCHLIST[[#This Row],[Stock]])) -SUMPRODUCT(T_TXN[UNITS],T_TXN[PRICE],--(T_TXN[TYPE]="Sell"),--(T_TXN[TICKER]=T_WATCHLIST[[#This Row],[Stock]])))</f>
        <v/>
      </c>
      <c r="Z21" s="64" t="str" cm="1">
        <f t="array" ref="Z21">IFERROR(IF(ROW(T_WATCHLIST[[#This Row],[Stock]])-ROW(T_WATCHLIST[[#Headers],[Stock]])&gt;=C_CNT_STOCKS,"",_FV(T_WATCHLIST[[#This Row],[Stock]],"Industry",TRUE)),"Not Available")</f>
        <v/>
      </c>
      <c r="AA21" s="64" t="str" cm="1">
        <f t="array" ref="AA21">IFERROR(IF(ROW(T_WATCHLIST[[#This Row],[Stock]])-ROW(T_WATCHLIST[[#Headers],[Stock]])&gt;=C_CNT_STOCKS,"",_FV(T_WATCHLIST[[#This Row],[Stock]],"Instrument type",TRUE)),"Not Available")</f>
        <v/>
      </c>
      <c r="AB21" s="42"/>
      <c r="AC21" s="42"/>
    </row>
    <row r="22" spans="1:29" s="43" customFormat="1" ht="22" customHeight="1">
      <c r="E22" s="61"/>
      <c r="F22" s="75" t="str" cm="1">
        <f t="array" ref="F22">IFERROR(IF(ROW(T_WATCHLIST[[#This Row],[Stock]])-ROW(T_WATCHLIST[[#Headers],[Stock]])&gt;C_CNT_STOCKS,"",INDEX(_xlfn.ANCHORARRAY(HELP!$G$2),ROW(T_WATCHLIST[[#This Row],[Stock]])-ROW(T_WATCHLIST[[#Headers],[Stock]]))),"")</f>
        <v/>
      </c>
      <c r="G22" s="80" t="str" cm="1">
        <f t="array" ref="G22">IFERROR(_xlfn.FIELDVALUE(T_WATCHLIST[[#This Row],[Stock]],"Ticker Symbol"),"")</f>
        <v/>
      </c>
      <c r="H22" s="115">
        <v>0</v>
      </c>
      <c r="I22" s="81" t="str">
        <f>IF(T_WATCHLIST[[#This Row],[Stock]]="","",SUMIFS(T_TXN[UNITS],T_TXN[TYPE],"Buy",T_TXN[TICKER],T_WATCHLIST[[#This Row],[Stock]])-SUMIFS(T_TXN[UNITS],T_TXN[TYPE],"Sell",T_TXN[TICKER],T_WATCHLIST[[#This Row],[Stock]])+SUMIFS(T_TXN[UNITS],T_TXN[TYPE],"Dividend Reinvestment",T_TXN[TICKER],T_WATCHLIST[[#This Row],[Stock]]))</f>
        <v/>
      </c>
      <c r="J22" s="75" t="str" cm="1">
        <f t="array" ref="J22">IFERROR(_xlfn.FIELDVALUE(T_WATCHLIST[[#This Row],[Stock]],"Price"),"")</f>
        <v/>
      </c>
      <c r="K22" s="82" t="str" cm="1">
        <f t="array" ref="K22">IFERROR(_xlfn.FIELDVALUE(T_WATCHLIST[[#This Row],[Stock]],"Change"),"")</f>
        <v/>
      </c>
      <c r="L22" s="83" t="str" cm="1">
        <f t="array" ref="L22">IFERROR(_xlfn.FIELDVALUE(T_WATCHLIST[[#This Row],[Stock]],"Change (%)"),"")</f>
        <v/>
      </c>
      <c r="M22" s="84" t="str">
        <f>IF(T_WATCHLIST[[#This Row],[Stock]]="","",T_WATCHLIST[[#This Row],[Quantity]]*T_WATCHLIST[[#This Row],[Last Price]])</f>
        <v/>
      </c>
      <c r="N22" s="85" t="str" cm="1">
        <f t="array" ref="N22">IF(T_WATCHLIST[[#This Row],[Stock]]="","",T_WATCHLIST[[#This Row],[Current Value]]-_xlfn.FIELDVALUE(T_WATCHLIST[[#This Row],[Stock]],"Previous Close")*T_WATCHLIST[[#This Row],[Quantity]])</f>
        <v/>
      </c>
      <c r="O22" s="86" t="str">
        <f>IFERROR(T_WATCHLIST[[#This Row],[Today''s Gain/Loss]]/(T_WATCHLIST[[#This Row],[Current Value]]-T_WATCHLIST[[#This Row],[Today''s Gain/Loss]]),"")</f>
        <v/>
      </c>
      <c r="P22" s="84" t="str">
        <f>IFERROR(T_WATCHLIST[[#This Row],[Current Value]]-T_WATCHLIST[[#This Row],[% Total Gain/Loss9]],"")</f>
        <v/>
      </c>
      <c r="Q22" s="87" t="str">
        <f>IFERROR(T_WATCHLIST[[#This Row],[Total Gain/Loss]]/T_WATCHLIST[[#This Row],[% Total Gain/Loss9]],"")</f>
        <v/>
      </c>
      <c r="R22" s="88" t="str" cm="1">
        <f t="array" ref="R22">IFERROR(_xlfn.FIELDVALUE(T_WATCHLIST[[#This Row],[Stock]],"52 week low"),"")</f>
        <v/>
      </c>
      <c r="S2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2" s="73" t="str" cm="1">
        <f t="array" ref="T22">IFERROR(_xlfn.FIELDVALUE(T_WATCHLIST[[#This Row],[Stock]],"52 week high"),"")</f>
        <v/>
      </c>
      <c r="U22" s="64" t="str" cm="1">
        <f t="array" ref="U22">IF(T_WATCHLIST[[#This Row],[Stock]]="","",SUMPRODUCT(T_TXN[UNITS],--(T_TXN[TYPE]="Buy"),--(T_TXN[TICKER]=T_WATCHLIST[[#This Row],[Stock]])))</f>
        <v/>
      </c>
      <c r="V22" s="67" t="str" cm="1">
        <f t="array" ref="V22">IF(T_WATCHLIST[[#This Row],[Stock]]="","",SUMPRODUCT(--(T_TXN[TYPE]="Buy"),T_TXN[UNITS],T_TXN[PRICE],--(T_TXN[TICKER]=T_WATCHLIST[[#This Row],[Stock]])))</f>
        <v/>
      </c>
      <c r="W22" s="64" t="str" cm="1">
        <f t="array" ref="W22">IF(T_WATCHLIST[[#This Row],[Stock]]="","",SUMPRODUCT(T_TXN[UNITS],--(T_TXN[TYPE]="Sell"),--(T_TXN[TICKER]=T_WATCHLIST[[#This Row],[Stock]])))</f>
        <v/>
      </c>
      <c r="X22" s="67" t="str" cm="1">
        <f t="array" ref="X22">IF(T_WATCHLIST[[#This Row],[Stock]]="","",SUMPRODUCT(--(T_TXN[TYPE]="Sell"),T_TXN[UNITS],T_TXN[PRICE],--(T_TXN[TICKER]=T_WATCHLIST[[#This Row],[Stock]])))</f>
        <v/>
      </c>
      <c r="Y22" s="67" t="str" cm="1">
        <f t="array" ref="Y22">IF(T_WATCHLIST[[#This Row],[Stock]]="","",SUMPRODUCT(T_TXN[UNITS],T_TXN[PRICE],--(T_TXN[TYPE]="Buy"),--(T_TXN[TICKER]=T_WATCHLIST[[#This Row],[Stock]])) -SUMPRODUCT(T_TXN[UNITS],T_TXN[PRICE],--(T_TXN[TYPE]="Sell"),--(T_TXN[TICKER]=T_WATCHLIST[[#This Row],[Stock]])))</f>
        <v/>
      </c>
      <c r="Z22" s="64" t="str" cm="1">
        <f t="array" ref="Z22">IFERROR(IF(ROW(T_WATCHLIST[[#This Row],[Stock]])-ROW(T_WATCHLIST[[#Headers],[Stock]])&gt;=C_CNT_STOCKS,"",_FV(T_WATCHLIST[[#This Row],[Stock]],"Industry",TRUE)),"Not Available")</f>
        <v/>
      </c>
      <c r="AA22" s="64" t="str" cm="1">
        <f t="array" ref="AA22">IFERROR(IF(ROW(T_WATCHLIST[[#This Row],[Stock]])-ROW(T_WATCHLIST[[#Headers],[Stock]])&gt;=C_CNT_STOCKS,"",_FV(T_WATCHLIST[[#This Row],[Stock]],"Instrument type",TRUE)),"Not Available")</f>
        <v/>
      </c>
      <c r="AB22" s="42"/>
      <c r="AC22" s="42"/>
    </row>
    <row r="23" spans="1:29" s="43" customFormat="1" ht="22" customHeight="1">
      <c r="E23" s="61"/>
      <c r="F23" s="75" t="str" cm="1">
        <f t="array" ref="F23">IFERROR(IF(ROW(T_WATCHLIST[[#This Row],[Stock]])-ROW(T_WATCHLIST[[#Headers],[Stock]])&gt;C_CNT_STOCKS,"",INDEX(_xlfn.ANCHORARRAY(HELP!$G$2),ROW(T_WATCHLIST[[#This Row],[Stock]])-ROW(T_WATCHLIST[[#Headers],[Stock]]))),"")</f>
        <v/>
      </c>
      <c r="G23" s="80" t="str" cm="1">
        <f t="array" ref="G23">IFERROR(_xlfn.FIELDVALUE(T_WATCHLIST[[#This Row],[Stock]],"Ticker Symbol"),"")</f>
        <v/>
      </c>
      <c r="H23" s="117"/>
      <c r="I23" s="81" t="str">
        <f>IF(T_WATCHLIST[[#This Row],[Stock]]="","",SUMIFS(T_TXN[UNITS],T_TXN[TYPE],"Buy",T_TXN[TICKER],T_WATCHLIST[[#This Row],[Stock]])-SUMIFS(T_TXN[UNITS],T_TXN[TYPE],"Sell",T_TXN[TICKER],T_WATCHLIST[[#This Row],[Stock]])+SUMIFS(T_TXN[UNITS],T_TXN[TYPE],"Dividend Reinvestment",T_TXN[TICKER],T_WATCHLIST[[#This Row],[Stock]]))</f>
        <v/>
      </c>
      <c r="J23" s="75" t="str" cm="1">
        <f t="array" ref="J23">IFERROR(_xlfn.FIELDVALUE(T_WATCHLIST[[#This Row],[Stock]],"Price"),"")</f>
        <v/>
      </c>
      <c r="K23" s="82" t="str" cm="1">
        <f t="array" ref="K23">IFERROR(_xlfn.FIELDVALUE(T_WATCHLIST[[#This Row],[Stock]],"Change"),"")</f>
        <v/>
      </c>
      <c r="L23" s="83" t="str" cm="1">
        <f t="array" ref="L23">IFERROR(_xlfn.FIELDVALUE(T_WATCHLIST[[#This Row],[Stock]],"Change (%)"),"")</f>
        <v/>
      </c>
      <c r="M23" s="84" t="str">
        <f>IF(T_WATCHLIST[[#This Row],[Stock]]="","",T_WATCHLIST[[#This Row],[Quantity]]*T_WATCHLIST[[#This Row],[Last Price]])</f>
        <v/>
      </c>
      <c r="N23" s="85" t="str" cm="1">
        <f t="array" ref="N23">IF(T_WATCHLIST[[#This Row],[Stock]]="","",T_WATCHLIST[[#This Row],[Current Value]]-_xlfn.FIELDVALUE(T_WATCHLIST[[#This Row],[Stock]],"Previous Close")*T_WATCHLIST[[#This Row],[Quantity]])</f>
        <v/>
      </c>
      <c r="O23" s="86" t="str">
        <f>IFERROR(T_WATCHLIST[[#This Row],[Today''s Gain/Loss]]/(T_WATCHLIST[[#This Row],[Current Value]]-T_WATCHLIST[[#This Row],[Today''s Gain/Loss]]),"")</f>
        <v/>
      </c>
      <c r="P23" s="84" t="str">
        <f>IFERROR(T_WATCHLIST[[#This Row],[Current Value]]-T_WATCHLIST[[#This Row],[% Total Gain/Loss9]],"")</f>
        <v/>
      </c>
      <c r="Q23" s="87" t="str">
        <f>IFERROR(T_WATCHLIST[[#This Row],[Total Gain/Loss]]/T_WATCHLIST[[#This Row],[% Total Gain/Loss9]],"")</f>
        <v/>
      </c>
      <c r="R23" s="88" t="str" cm="1">
        <f t="array" ref="R23">IFERROR(_xlfn.FIELDVALUE(T_WATCHLIST[[#This Row],[Stock]],"52 week low"),"")</f>
        <v/>
      </c>
      <c r="S2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3" s="73" t="str" cm="1">
        <f t="array" ref="T23">IFERROR(_xlfn.FIELDVALUE(T_WATCHLIST[[#This Row],[Stock]],"52 week high"),"")</f>
        <v/>
      </c>
      <c r="U23" s="64" t="str" cm="1">
        <f t="array" ref="U23">IF(T_WATCHLIST[[#This Row],[Stock]]="","",SUMPRODUCT(T_TXN[UNITS],--(T_TXN[TYPE]="Buy"),--(T_TXN[TICKER]=T_WATCHLIST[[#This Row],[Stock]])))</f>
        <v/>
      </c>
      <c r="V23" s="67" t="str" cm="1">
        <f t="array" ref="V23">IF(T_WATCHLIST[[#This Row],[Stock]]="","",SUMPRODUCT(--(T_TXN[TYPE]="Buy"),T_TXN[UNITS],T_TXN[PRICE],--(T_TXN[TICKER]=T_WATCHLIST[[#This Row],[Stock]])))</f>
        <v/>
      </c>
      <c r="W23" s="64" t="str" cm="1">
        <f t="array" ref="W23">IF(T_WATCHLIST[[#This Row],[Stock]]="","",SUMPRODUCT(T_TXN[UNITS],--(T_TXN[TYPE]="Sell"),--(T_TXN[TICKER]=T_WATCHLIST[[#This Row],[Stock]])))</f>
        <v/>
      </c>
      <c r="X23" s="67" t="str" cm="1">
        <f t="array" ref="X23">IF(T_WATCHLIST[[#This Row],[Stock]]="","",SUMPRODUCT(--(T_TXN[TYPE]="Sell"),T_TXN[UNITS],T_TXN[PRICE],--(T_TXN[TICKER]=T_WATCHLIST[[#This Row],[Stock]])))</f>
        <v/>
      </c>
      <c r="Y23" s="67" t="str" cm="1">
        <f t="array" ref="Y23">IF(T_WATCHLIST[[#This Row],[Stock]]="","",SUMPRODUCT(T_TXN[UNITS],T_TXN[PRICE],--(T_TXN[TYPE]="Buy"),--(T_TXN[TICKER]=T_WATCHLIST[[#This Row],[Stock]])) -SUMPRODUCT(T_TXN[UNITS],T_TXN[PRICE],--(T_TXN[TYPE]="Sell"),--(T_TXN[TICKER]=T_WATCHLIST[[#This Row],[Stock]])))</f>
        <v/>
      </c>
      <c r="Z23" s="64" t="str" cm="1">
        <f t="array" ref="Z23">IFERROR(IF(ROW(T_WATCHLIST[[#This Row],[Stock]])-ROW(T_WATCHLIST[[#Headers],[Stock]])&gt;=C_CNT_STOCKS,"",_FV(T_WATCHLIST[[#This Row],[Stock]],"Industry",TRUE)),"Not Available")</f>
        <v/>
      </c>
      <c r="AA23" s="64" t="str" cm="1">
        <f t="array" ref="AA23">IFERROR(IF(ROW(T_WATCHLIST[[#This Row],[Stock]])-ROW(T_WATCHLIST[[#Headers],[Stock]])&gt;=C_CNT_STOCKS,"",_FV(T_WATCHLIST[[#This Row],[Stock]],"Instrument type",TRUE)),"Not Available")</f>
        <v/>
      </c>
      <c r="AB23" s="42"/>
      <c r="AC23" s="42"/>
    </row>
    <row r="24" spans="1:29" s="43" customFormat="1" ht="22" customHeight="1">
      <c r="E24" s="61"/>
      <c r="F24" s="75" t="str" cm="1">
        <f t="array" ref="F24">IFERROR(IF(ROW(T_WATCHLIST[[#This Row],[Stock]])-ROW(T_WATCHLIST[[#Headers],[Stock]])&gt;C_CNT_STOCKS,"",INDEX(_xlfn.ANCHORARRAY(HELP!$G$2),ROW(T_WATCHLIST[[#This Row],[Stock]])-ROW(T_WATCHLIST[[#Headers],[Stock]]))),"")</f>
        <v/>
      </c>
      <c r="G24" s="80" t="str" cm="1">
        <f t="array" ref="G24">IFERROR(_xlfn.FIELDVALUE(T_WATCHLIST[[#This Row],[Stock]],"Ticker Symbol"),"")</f>
        <v/>
      </c>
      <c r="H24" s="117"/>
      <c r="I24" s="81" t="str">
        <f>IF(T_WATCHLIST[[#This Row],[Stock]]="","",SUMIFS(T_TXN[UNITS],T_TXN[TYPE],"Buy",T_TXN[TICKER],T_WATCHLIST[[#This Row],[Stock]])-SUMIFS(T_TXN[UNITS],T_TXN[TYPE],"Sell",T_TXN[TICKER],T_WATCHLIST[[#This Row],[Stock]])+SUMIFS(T_TXN[UNITS],T_TXN[TYPE],"Dividend Reinvestment",T_TXN[TICKER],T_WATCHLIST[[#This Row],[Stock]]))</f>
        <v/>
      </c>
      <c r="J24" s="75" t="str" cm="1">
        <f t="array" ref="J24">IFERROR(_xlfn.FIELDVALUE(T_WATCHLIST[[#This Row],[Stock]],"Price"),"")</f>
        <v/>
      </c>
      <c r="K24" s="82" t="str" cm="1">
        <f t="array" ref="K24">IFERROR(_xlfn.FIELDVALUE(T_WATCHLIST[[#This Row],[Stock]],"Change"),"")</f>
        <v/>
      </c>
      <c r="L24" s="83" t="str" cm="1">
        <f t="array" ref="L24">IFERROR(_xlfn.FIELDVALUE(T_WATCHLIST[[#This Row],[Stock]],"Change (%)"),"")</f>
        <v/>
      </c>
      <c r="M24" s="84" t="str">
        <f>IF(T_WATCHLIST[[#This Row],[Stock]]="","",T_WATCHLIST[[#This Row],[Quantity]]*T_WATCHLIST[[#This Row],[Last Price]])</f>
        <v/>
      </c>
      <c r="N24" s="85" t="str" cm="1">
        <f t="array" ref="N24">IF(T_WATCHLIST[[#This Row],[Stock]]="","",T_WATCHLIST[[#This Row],[Current Value]]-_xlfn.FIELDVALUE(T_WATCHLIST[[#This Row],[Stock]],"Previous Close")*T_WATCHLIST[[#This Row],[Quantity]])</f>
        <v/>
      </c>
      <c r="O24" s="86" t="str">
        <f>IFERROR(T_WATCHLIST[[#This Row],[Today''s Gain/Loss]]/(T_WATCHLIST[[#This Row],[Current Value]]-T_WATCHLIST[[#This Row],[Today''s Gain/Loss]]),"")</f>
        <v/>
      </c>
      <c r="P24" s="84" t="str">
        <f>IFERROR(T_WATCHLIST[[#This Row],[Current Value]]-T_WATCHLIST[[#This Row],[% Total Gain/Loss9]],"")</f>
        <v/>
      </c>
      <c r="Q24" s="87" t="str">
        <f>IFERROR(T_WATCHLIST[[#This Row],[Total Gain/Loss]]/T_WATCHLIST[[#This Row],[% Total Gain/Loss9]],"")</f>
        <v/>
      </c>
      <c r="R24" s="88" t="str" cm="1">
        <f t="array" ref="R24">IFERROR(_xlfn.FIELDVALUE(T_WATCHLIST[[#This Row],[Stock]],"52 week low"),"")</f>
        <v/>
      </c>
      <c r="S2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4" s="73" t="str" cm="1">
        <f t="array" ref="T24">IFERROR(_xlfn.FIELDVALUE(T_WATCHLIST[[#This Row],[Stock]],"52 week high"),"")</f>
        <v/>
      </c>
      <c r="U24" s="64" t="str" cm="1">
        <f t="array" ref="U24">IF(T_WATCHLIST[[#This Row],[Stock]]="","",SUMPRODUCT(T_TXN[UNITS],--(T_TXN[TYPE]="Buy"),--(T_TXN[TICKER]=T_WATCHLIST[[#This Row],[Stock]])))</f>
        <v/>
      </c>
      <c r="V24" s="67" t="str" cm="1">
        <f t="array" ref="V24">IF(T_WATCHLIST[[#This Row],[Stock]]="","",SUMPRODUCT(--(T_TXN[TYPE]="Buy"),T_TXN[UNITS],T_TXN[PRICE],--(T_TXN[TICKER]=T_WATCHLIST[[#This Row],[Stock]])))</f>
        <v/>
      </c>
      <c r="W24" s="64" t="str" cm="1">
        <f t="array" ref="W24">IF(T_WATCHLIST[[#This Row],[Stock]]="","",SUMPRODUCT(T_TXN[UNITS],--(T_TXN[TYPE]="Sell"),--(T_TXN[TICKER]=T_WATCHLIST[[#This Row],[Stock]])))</f>
        <v/>
      </c>
      <c r="X24" s="67" t="str" cm="1">
        <f t="array" ref="X24">IF(T_WATCHLIST[[#This Row],[Stock]]="","",SUMPRODUCT(--(T_TXN[TYPE]="Sell"),T_TXN[UNITS],T_TXN[PRICE],--(T_TXN[TICKER]=T_WATCHLIST[[#This Row],[Stock]])))</f>
        <v/>
      </c>
      <c r="Y24" s="67" t="str" cm="1">
        <f t="array" ref="Y24">IF(T_WATCHLIST[[#This Row],[Stock]]="","",SUMPRODUCT(T_TXN[UNITS],T_TXN[PRICE],--(T_TXN[TYPE]="Buy"),--(T_TXN[TICKER]=T_WATCHLIST[[#This Row],[Stock]])) -SUMPRODUCT(T_TXN[UNITS],T_TXN[PRICE],--(T_TXN[TYPE]="Sell"),--(T_TXN[TICKER]=T_WATCHLIST[[#This Row],[Stock]])))</f>
        <v/>
      </c>
      <c r="Z24" s="64" t="str" cm="1">
        <f t="array" ref="Z24">IFERROR(IF(ROW(T_WATCHLIST[[#This Row],[Stock]])-ROW(T_WATCHLIST[[#Headers],[Stock]])&gt;=C_CNT_STOCKS,"",_FV(T_WATCHLIST[[#This Row],[Stock]],"Industry",TRUE)),"Not Available")</f>
        <v/>
      </c>
      <c r="AA24" s="64" t="str" cm="1">
        <f t="array" ref="AA24">IFERROR(IF(ROW(T_WATCHLIST[[#This Row],[Stock]])-ROW(T_WATCHLIST[[#Headers],[Stock]])&gt;=C_CNT_STOCKS,"",_FV(T_WATCHLIST[[#This Row],[Stock]],"Instrument type",TRUE)),"Not Available")</f>
        <v/>
      </c>
      <c r="AB24" s="42"/>
      <c r="AC24" s="42"/>
    </row>
    <row r="25" spans="1:29" s="43" customFormat="1" ht="22" customHeight="1">
      <c r="B25" s="43" t="b">
        <f>G3='Impact Scores'!B39</f>
        <v>1</v>
      </c>
      <c r="E25" s="61"/>
      <c r="F25" s="75" t="str" cm="1">
        <f t="array" ref="F25">IFERROR(IF(ROW(T_WATCHLIST[[#This Row],[Stock]])-ROW(T_WATCHLIST[[#Headers],[Stock]])&gt;C_CNT_STOCKS,"",INDEX(_xlfn.ANCHORARRAY(HELP!$G$2),ROW(T_WATCHLIST[[#This Row],[Stock]])-ROW(T_WATCHLIST[[#Headers],[Stock]]))),"")</f>
        <v/>
      </c>
      <c r="G25" s="80" t="str" cm="1">
        <f t="array" ref="G25">IFERROR(_xlfn.FIELDVALUE(T_WATCHLIST[[#This Row],[Stock]],"Ticker Symbol"),"")</f>
        <v/>
      </c>
      <c r="H25" s="117"/>
      <c r="I25" s="81" t="str">
        <f>IF(T_WATCHLIST[[#This Row],[Stock]]="","",SUMIFS(T_TXN[UNITS],T_TXN[TYPE],"Buy",T_TXN[TICKER],T_WATCHLIST[[#This Row],[Stock]])-SUMIFS(T_TXN[UNITS],T_TXN[TYPE],"Sell",T_TXN[TICKER],T_WATCHLIST[[#This Row],[Stock]])+SUMIFS(T_TXN[UNITS],T_TXN[TYPE],"Dividend Reinvestment",T_TXN[TICKER],T_WATCHLIST[[#This Row],[Stock]]))</f>
        <v/>
      </c>
      <c r="J25" s="75" t="str" cm="1">
        <f t="array" ref="J25">IFERROR(_xlfn.FIELDVALUE(T_WATCHLIST[[#This Row],[Stock]],"Price"),"")</f>
        <v/>
      </c>
      <c r="K25" s="82" t="str" cm="1">
        <f t="array" ref="K25">IFERROR(_xlfn.FIELDVALUE(T_WATCHLIST[[#This Row],[Stock]],"Change"),"")</f>
        <v/>
      </c>
      <c r="L25" s="83" t="str" cm="1">
        <f t="array" ref="L25">IFERROR(_xlfn.FIELDVALUE(T_WATCHLIST[[#This Row],[Stock]],"Change (%)"),"")</f>
        <v/>
      </c>
      <c r="M25" s="84" t="str">
        <f>IF(T_WATCHLIST[[#This Row],[Stock]]="","",T_WATCHLIST[[#This Row],[Quantity]]*T_WATCHLIST[[#This Row],[Last Price]])</f>
        <v/>
      </c>
      <c r="N25" s="85" t="str" cm="1">
        <f t="array" ref="N25">IF(T_WATCHLIST[[#This Row],[Stock]]="","",T_WATCHLIST[[#This Row],[Current Value]]-_xlfn.FIELDVALUE(T_WATCHLIST[[#This Row],[Stock]],"Previous Close")*T_WATCHLIST[[#This Row],[Quantity]])</f>
        <v/>
      </c>
      <c r="O25" s="86" t="str">
        <f>IFERROR(T_WATCHLIST[[#This Row],[Today''s Gain/Loss]]/(T_WATCHLIST[[#This Row],[Current Value]]-T_WATCHLIST[[#This Row],[Today''s Gain/Loss]]),"")</f>
        <v/>
      </c>
      <c r="P25" s="84" t="str">
        <f>IFERROR(T_WATCHLIST[[#This Row],[Current Value]]-T_WATCHLIST[[#This Row],[% Total Gain/Loss9]],"")</f>
        <v/>
      </c>
      <c r="Q25" s="87" t="str">
        <f>IFERROR(T_WATCHLIST[[#This Row],[Total Gain/Loss]]/T_WATCHLIST[[#This Row],[% Total Gain/Loss9]],"")</f>
        <v/>
      </c>
      <c r="R25" s="88" t="str" cm="1">
        <f t="array" ref="R25">IFERROR(_xlfn.FIELDVALUE(T_WATCHLIST[[#This Row],[Stock]],"52 week low"),"")</f>
        <v/>
      </c>
      <c r="S2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5" s="73" t="str" cm="1">
        <f t="array" ref="T25">IFERROR(_xlfn.FIELDVALUE(T_WATCHLIST[[#This Row],[Stock]],"52 week high"),"")</f>
        <v/>
      </c>
      <c r="U25" s="64" t="str" cm="1">
        <f t="array" ref="U25">IF(T_WATCHLIST[[#This Row],[Stock]]="","",SUMPRODUCT(T_TXN[UNITS],--(T_TXN[TYPE]="Buy"),--(T_TXN[TICKER]=T_WATCHLIST[[#This Row],[Stock]])))</f>
        <v/>
      </c>
      <c r="V25" s="67" t="str" cm="1">
        <f t="array" ref="V25">IF(T_WATCHLIST[[#This Row],[Stock]]="","",SUMPRODUCT(--(T_TXN[TYPE]="Buy"),T_TXN[UNITS],T_TXN[PRICE],--(T_TXN[TICKER]=T_WATCHLIST[[#This Row],[Stock]])))</f>
        <v/>
      </c>
      <c r="W25" s="64" t="str" cm="1">
        <f t="array" ref="W25">IF(T_WATCHLIST[[#This Row],[Stock]]="","",SUMPRODUCT(T_TXN[UNITS],--(T_TXN[TYPE]="Sell"),--(T_TXN[TICKER]=T_WATCHLIST[[#This Row],[Stock]])))</f>
        <v/>
      </c>
      <c r="X25" s="67" t="str" cm="1">
        <f t="array" ref="X25">IF(T_WATCHLIST[[#This Row],[Stock]]="","",SUMPRODUCT(--(T_TXN[TYPE]="Sell"),T_TXN[UNITS],T_TXN[PRICE],--(T_TXN[TICKER]=T_WATCHLIST[[#This Row],[Stock]])))</f>
        <v/>
      </c>
      <c r="Y25" s="67" t="str" cm="1">
        <f t="array" ref="Y25">IF(T_WATCHLIST[[#This Row],[Stock]]="","",SUMPRODUCT(T_TXN[UNITS],T_TXN[PRICE],--(T_TXN[TYPE]="Buy"),--(T_TXN[TICKER]=T_WATCHLIST[[#This Row],[Stock]])) -SUMPRODUCT(T_TXN[UNITS],T_TXN[PRICE],--(T_TXN[TYPE]="Sell"),--(T_TXN[TICKER]=T_WATCHLIST[[#This Row],[Stock]])))</f>
        <v/>
      </c>
      <c r="Z25" s="64" t="str" cm="1">
        <f t="array" ref="Z25">IFERROR(IF(ROW(T_WATCHLIST[[#This Row],[Stock]])-ROW(T_WATCHLIST[[#Headers],[Stock]])&gt;=C_CNT_STOCKS,"",_FV(T_WATCHLIST[[#This Row],[Stock]],"Industry",TRUE)),"Not Available")</f>
        <v/>
      </c>
      <c r="AA25" s="64" t="str" cm="1">
        <f t="array" ref="AA25">IFERROR(IF(ROW(T_WATCHLIST[[#This Row],[Stock]])-ROW(T_WATCHLIST[[#Headers],[Stock]])&gt;=C_CNT_STOCKS,"",_FV(T_WATCHLIST[[#This Row],[Stock]],"Instrument type",TRUE)),"Not Available")</f>
        <v/>
      </c>
      <c r="AB25" s="42"/>
      <c r="AC25" s="42"/>
    </row>
    <row r="26" spans="1:29" s="43" customFormat="1" ht="22" customHeight="1">
      <c r="E26" s="61"/>
      <c r="F26" s="75" t="str" cm="1">
        <f t="array" ref="F26">IFERROR(IF(ROW(T_WATCHLIST[[#This Row],[Stock]])-ROW(T_WATCHLIST[[#Headers],[Stock]])&gt;C_CNT_STOCKS,"",INDEX(_xlfn.ANCHORARRAY(HELP!$G$2),ROW(T_WATCHLIST[[#This Row],[Stock]])-ROW(T_WATCHLIST[[#Headers],[Stock]]))),"")</f>
        <v/>
      </c>
      <c r="G26" s="80" t="str" cm="1">
        <f t="array" ref="G26">IFERROR(_xlfn.FIELDVALUE(T_WATCHLIST[[#This Row],[Stock]],"Ticker Symbol"),"")</f>
        <v/>
      </c>
      <c r="H26" s="117"/>
      <c r="I26" s="81" t="str">
        <f>IF(T_WATCHLIST[[#This Row],[Stock]]="","",SUMIFS(T_TXN[UNITS],T_TXN[TYPE],"Buy",T_TXN[TICKER],T_WATCHLIST[[#This Row],[Stock]])-SUMIFS(T_TXN[UNITS],T_TXN[TYPE],"Sell",T_TXN[TICKER],T_WATCHLIST[[#This Row],[Stock]])+SUMIFS(T_TXN[UNITS],T_TXN[TYPE],"Dividend Reinvestment",T_TXN[TICKER],T_WATCHLIST[[#This Row],[Stock]]))</f>
        <v/>
      </c>
      <c r="J26" s="75" t="str" cm="1">
        <f t="array" ref="J26">IFERROR(_xlfn.FIELDVALUE(T_WATCHLIST[[#This Row],[Stock]],"Price"),"")</f>
        <v/>
      </c>
      <c r="K26" s="82" t="str" cm="1">
        <f t="array" ref="K26">IFERROR(_xlfn.FIELDVALUE(T_WATCHLIST[[#This Row],[Stock]],"Change"),"")</f>
        <v/>
      </c>
      <c r="L26" s="83" t="str" cm="1">
        <f t="array" ref="L26">IFERROR(_xlfn.FIELDVALUE(T_WATCHLIST[[#This Row],[Stock]],"Change (%)"),"")</f>
        <v/>
      </c>
      <c r="M26" s="84" t="str">
        <f>IF(T_WATCHLIST[[#This Row],[Stock]]="","",T_WATCHLIST[[#This Row],[Quantity]]*T_WATCHLIST[[#This Row],[Last Price]])</f>
        <v/>
      </c>
      <c r="N26" s="85" t="str" cm="1">
        <f t="array" ref="N26">IF(T_WATCHLIST[[#This Row],[Stock]]="","",T_WATCHLIST[[#This Row],[Current Value]]-_xlfn.FIELDVALUE(T_WATCHLIST[[#This Row],[Stock]],"Previous Close")*T_WATCHLIST[[#This Row],[Quantity]])</f>
        <v/>
      </c>
      <c r="O26" s="86" t="str">
        <f>IFERROR(T_WATCHLIST[[#This Row],[Today''s Gain/Loss]]/(T_WATCHLIST[[#This Row],[Current Value]]-T_WATCHLIST[[#This Row],[Today''s Gain/Loss]]),"")</f>
        <v/>
      </c>
      <c r="P26" s="84" t="str">
        <f>IFERROR(T_WATCHLIST[[#This Row],[Current Value]]-T_WATCHLIST[[#This Row],[% Total Gain/Loss9]],"")</f>
        <v/>
      </c>
      <c r="Q26" s="87" t="str">
        <f>IFERROR(T_WATCHLIST[[#This Row],[Total Gain/Loss]]/T_WATCHLIST[[#This Row],[% Total Gain/Loss9]],"")</f>
        <v/>
      </c>
      <c r="R26" s="88" t="str" cm="1">
        <f t="array" ref="R26">IFERROR(_xlfn.FIELDVALUE(T_WATCHLIST[[#This Row],[Stock]],"52 week low"),"")</f>
        <v/>
      </c>
      <c r="S2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6" s="73" t="str" cm="1">
        <f t="array" ref="T26">IFERROR(_xlfn.FIELDVALUE(T_WATCHLIST[[#This Row],[Stock]],"52 week high"),"")</f>
        <v/>
      </c>
      <c r="U26" s="64" t="str" cm="1">
        <f t="array" ref="U26">IF(T_WATCHLIST[[#This Row],[Stock]]="","",SUMPRODUCT(T_TXN[UNITS],--(T_TXN[TYPE]="Buy"),--(T_TXN[TICKER]=T_WATCHLIST[[#This Row],[Stock]])))</f>
        <v/>
      </c>
      <c r="V26" s="67" t="str" cm="1">
        <f t="array" ref="V26">IF(T_WATCHLIST[[#This Row],[Stock]]="","",SUMPRODUCT(--(T_TXN[TYPE]="Buy"),T_TXN[UNITS],T_TXN[PRICE],--(T_TXN[TICKER]=T_WATCHLIST[[#This Row],[Stock]])))</f>
        <v/>
      </c>
      <c r="W26" s="64" t="str" cm="1">
        <f t="array" ref="W26">IF(T_WATCHLIST[[#This Row],[Stock]]="","",SUMPRODUCT(T_TXN[UNITS],--(T_TXN[TYPE]="Sell"),--(T_TXN[TICKER]=T_WATCHLIST[[#This Row],[Stock]])))</f>
        <v/>
      </c>
      <c r="X26" s="67" t="str" cm="1">
        <f t="array" ref="X26">IF(T_WATCHLIST[[#This Row],[Stock]]="","",SUMPRODUCT(--(T_TXN[TYPE]="Sell"),T_TXN[UNITS],T_TXN[PRICE],--(T_TXN[TICKER]=T_WATCHLIST[[#This Row],[Stock]])))</f>
        <v/>
      </c>
      <c r="Y26" s="67" t="str" cm="1">
        <f t="array" ref="Y26">IF(T_WATCHLIST[[#This Row],[Stock]]="","",SUMPRODUCT(T_TXN[UNITS],T_TXN[PRICE],--(T_TXN[TYPE]="Buy"),--(T_TXN[TICKER]=T_WATCHLIST[[#This Row],[Stock]])) -SUMPRODUCT(T_TXN[UNITS],T_TXN[PRICE],--(T_TXN[TYPE]="Sell"),--(T_TXN[TICKER]=T_WATCHLIST[[#This Row],[Stock]])))</f>
        <v/>
      </c>
      <c r="Z26" s="64" t="str" cm="1">
        <f t="array" ref="Z26">IFERROR(IF(ROW(T_WATCHLIST[[#This Row],[Stock]])-ROW(T_WATCHLIST[[#Headers],[Stock]])&gt;=C_CNT_STOCKS,"",_FV(T_WATCHLIST[[#This Row],[Stock]],"Industry",TRUE)),"Not Available")</f>
        <v/>
      </c>
      <c r="AA26" s="64" t="str" cm="1">
        <f t="array" ref="AA26">IFERROR(IF(ROW(T_WATCHLIST[[#This Row],[Stock]])-ROW(T_WATCHLIST[[#Headers],[Stock]])&gt;=C_CNT_STOCKS,"",_FV(T_WATCHLIST[[#This Row],[Stock]],"Instrument type",TRUE)),"Not Available")</f>
        <v/>
      </c>
      <c r="AB26" s="42"/>
      <c r="AC26" s="42"/>
    </row>
    <row r="27" spans="1:29" s="43" customFormat="1" ht="28" customHeight="1">
      <c r="E27" s="61"/>
      <c r="F27" s="75" t="str" cm="1">
        <f t="array" ref="F27">IFERROR(IF(ROW(T_WATCHLIST[[#This Row],[Stock]])-ROW(T_WATCHLIST[[#Headers],[Stock]])&gt;C_CNT_STOCKS,"",INDEX(_xlfn.ANCHORARRAY(HELP!$G$2),ROW(T_WATCHLIST[[#This Row],[Stock]])-ROW(T_WATCHLIST[[#Headers],[Stock]]))),"")</f>
        <v/>
      </c>
      <c r="G27" s="80" t="str" cm="1">
        <f t="array" ref="G27">IFERROR(_xlfn.FIELDVALUE(T_WATCHLIST[[#This Row],[Stock]],"Ticker Symbol"),"")</f>
        <v/>
      </c>
      <c r="H27" s="117"/>
      <c r="I27" s="81" t="str">
        <f>IF(T_WATCHLIST[[#This Row],[Stock]]="","",SUMIFS(T_TXN[UNITS],T_TXN[TYPE],"Buy",T_TXN[TICKER],T_WATCHLIST[[#This Row],[Stock]])-SUMIFS(T_TXN[UNITS],T_TXN[TYPE],"Sell",T_TXN[TICKER],T_WATCHLIST[[#This Row],[Stock]])+SUMIFS(T_TXN[UNITS],T_TXN[TYPE],"Dividend Reinvestment",T_TXN[TICKER],T_WATCHLIST[[#This Row],[Stock]]))</f>
        <v/>
      </c>
      <c r="J27" s="75" t="str" cm="1">
        <f t="array" ref="J27">IFERROR(_xlfn.FIELDVALUE(T_WATCHLIST[[#This Row],[Stock]],"Price"),"")</f>
        <v/>
      </c>
      <c r="K27" s="82" t="str" cm="1">
        <f t="array" ref="K27">IFERROR(_xlfn.FIELDVALUE(T_WATCHLIST[[#This Row],[Stock]],"Change"),"")</f>
        <v/>
      </c>
      <c r="L27" s="83" t="str" cm="1">
        <f t="array" ref="L27">IFERROR(_xlfn.FIELDVALUE(T_WATCHLIST[[#This Row],[Stock]],"Change (%)"),"")</f>
        <v/>
      </c>
      <c r="M27" s="84" t="str">
        <f>IF(T_WATCHLIST[[#This Row],[Stock]]="","",T_WATCHLIST[[#This Row],[Quantity]]*T_WATCHLIST[[#This Row],[Last Price]])</f>
        <v/>
      </c>
      <c r="N27" s="85" t="str" cm="1">
        <f t="array" ref="N27">IF(T_WATCHLIST[[#This Row],[Stock]]="","",T_WATCHLIST[[#This Row],[Current Value]]-_xlfn.FIELDVALUE(T_WATCHLIST[[#This Row],[Stock]],"Previous Close")*T_WATCHLIST[[#This Row],[Quantity]])</f>
        <v/>
      </c>
      <c r="O27" s="86" t="str">
        <f>IFERROR(T_WATCHLIST[[#This Row],[Today''s Gain/Loss]]/(T_WATCHLIST[[#This Row],[Current Value]]-T_WATCHLIST[[#This Row],[Today''s Gain/Loss]]),"")</f>
        <v/>
      </c>
      <c r="P27" s="84" t="str">
        <f>IFERROR(T_WATCHLIST[[#This Row],[Current Value]]-T_WATCHLIST[[#This Row],[% Total Gain/Loss9]],"")</f>
        <v/>
      </c>
      <c r="Q27" s="87" t="str">
        <f>IFERROR(T_WATCHLIST[[#This Row],[Total Gain/Loss]]/T_WATCHLIST[[#This Row],[% Total Gain/Loss9]],"")</f>
        <v/>
      </c>
      <c r="R27" s="88" t="str" cm="1">
        <f t="array" ref="R27">IFERROR(_xlfn.FIELDVALUE(T_WATCHLIST[[#This Row],[Stock]],"52 week low"),"")</f>
        <v/>
      </c>
      <c r="S2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7" s="73" t="str" cm="1">
        <f t="array" ref="T27">IFERROR(_xlfn.FIELDVALUE(T_WATCHLIST[[#This Row],[Stock]],"52 week high"),"")</f>
        <v/>
      </c>
      <c r="U27" s="64" t="str" cm="1">
        <f t="array" ref="U27">IF(T_WATCHLIST[[#This Row],[Stock]]="","",SUMPRODUCT(T_TXN[UNITS],--(T_TXN[TYPE]="Buy"),--(T_TXN[TICKER]=T_WATCHLIST[[#This Row],[Stock]])))</f>
        <v/>
      </c>
      <c r="V27" s="67" t="str" cm="1">
        <f t="array" ref="V27">IF(T_WATCHLIST[[#This Row],[Stock]]="","",SUMPRODUCT(--(T_TXN[TYPE]="Buy"),T_TXN[UNITS],T_TXN[PRICE],--(T_TXN[TICKER]=T_WATCHLIST[[#This Row],[Stock]])))</f>
        <v/>
      </c>
      <c r="W27" s="64" t="str" cm="1">
        <f t="array" ref="W27">IF(T_WATCHLIST[[#This Row],[Stock]]="","",SUMPRODUCT(T_TXN[UNITS],--(T_TXN[TYPE]="Sell"),--(T_TXN[TICKER]=T_WATCHLIST[[#This Row],[Stock]])))</f>
        <v/>
      </c>
      <c r="X27" s="67" t="str" cm="1">
        <f t="array" ref="X27">IF(T_WATCHLIST[[#This Row],[Stock]]="","",SUMPRODUCT(--(T_TXN[TYPE]="Sell"),T_TXN[UNITS],T_TXN[PRICE],--(T_TXN[TICKER]=T_WATCHLIST[[#This Row],[Stock]])))</f>
        <v/>
      </c>
      <c r="Y27" s="67" t="str" cm="1">
        <f t="array" ref="Y27">IF(T_WATCHLIST[[#This Row],[Stock]]="","",SUMPRODUCT(T_TXN[UNITS],T_TXN[PRICE],--(T_TXN[TYPE]="Buy"),--(T_TXN[TICKER]=T_WATCHLIST[[#This Row],[Stock]])) -SUMPRODUCT(T_TXN[UNITS],T_TXN[PRICE],--(T_TXN[TYPE]="Sell"),--(T_TXN[TICKER]=T_WATCHLIST[[#This Row],[Stock]])))</f>
        <v/>
      </c>
      <c r="Z27" s="64" t="str" cm="1">
        <f t="array" ref="Z27">IFERROR(IF(ROW(T_WATCHLIST[[#This Row],[Stock]])-ROW(T_WATCHLIST[[#Headers],[Stock]])&gt;=C_CNT_STOCKS,"",_FV(T_WATCHLIST[[#This Row],[Stock]],"Industry",TRUE)),"Not Available")</f>
        <v/>
      </c>
      <c r="AA27" s="64" t="str" cm="1">
        <f t="array" ref="AA27">IFERROR(IF(ROW(T_WATCHLIST[[#This Row],[Stock]])-ROW(T_WATCHLIST[[#Headers],[Stock]])&gt;=C_CNT_STOCKS,"",_FV(T_WATCHLIST[[#This Row],[Stock]],"Instrument type",TRUE)),"Not Available")</f>
        <v/>
      </c>
      <c r="AB27" s="42"/>
      <c r="AC27" s="42"/>
    </row>
    <row r="28" spans="1:29" ht="46" customHeight="1">
      <c r="A28" s="91" t="s">
        <v>106</v>
      </c>
      <c r="B28" s="90" t="s">
        <v>105</v>
      </c>
      <c r="E28" s="89"/>
      <c r="F28" s="75" t="str" cm="1">
        <f t="array" ref="F28">IFERROR(IF(ROW(T_WATCHLIST[[#This Row],[Stock]])-ROW(T_WATCHLIST[[#Headers],[Stock]])&gt;C_CNT_STOCKS,"",INDEX(_xlfn.ANCHORARRAY(HELP!$G$2),ROW(T_WATCHLIST[[#This Row],[Stock]])-ROW(T_WATCHLIST[[#Headers],[Stock]]))),"")</f>
        <v/>
      </c>
      <c r="G28" s="80" t="str" cm="1">
        <f t="array" ref="G28">IFERROR(_xlfn.FIELDVALUE(T_WATCHLIST[[#This Row],[Stock]],"Ticker Symbol"),"")</f>
        <v/>
      </c>
      <c r="H28" s="117"/>
      <c r="I28" s="81" t="str">
        <f>IF(T_WATCHLIST[[#This Row],[Stock]]="","",SUMIFS(T_TXN[UNITS],T_TXN[TYPE],"Buy",T_TXN[TICKER],T_WATCHLIST[[#This Row],[Stock]])-SUMIFS(T_TXN[UNITS],T_TXN[TYPE],"Sell",T_TXN[TICKER],T_WATCHLIST[[#This Row],[Stock]])+SUMIFS(T_TXN[UNITS],T_TXN[TYPE],"Dividend Reinvestment",T_TXN[TICKER],T_WATCHLIST[[#This Row],[Stock]]))</f>
        <v/>
      </c>
      <c r="J28" s="75" t="str" cm="1">
        <f t="array" ref="J28">IFERROR(_xlfn.FIELDVALUE(T_WATCHLIST[[#This Row],[Stock]],"Price"),"")</f>
        <v/>
      </c>
      <c r="K28" s="82" t="str" cm="1">
        <f t="array" ref="K28">IFERROR(_xlfn.FIELDVALUE(T_WATCHLIST[[#This Row],[Stock]],"Change"),"")</f>
        <v/>
      </c>
      <c r="L28" s="83" t="str" cm="1">
        <f t="array" ref="L28">IFERROR(_xlfn.FIELDVALUE(T_WATCHLIST[[#This Row],[Stock]],"Change (%)"),"")</f>
        <v/>
      </c>
      <c r="M28" s="84" t="str">
        <f>IF(T_WATCHLIST[[#This Row],[Stock]]="","",T_WATCHLIST[[#This Row],[Quantity]]*T_WATCHLIST[[#This Row],[Last Price]])</f>
        <v/>
      </c>
      <c r="N28" s="85" t="str" cm="1">
        <f t="array" ref="N28">IF(T_WATCHLIST[[#This Row],[Stock]]="","",T_WATCHLIST[[#This Row],[Current Value]]-_xlfn.FIELDVALUE(T_WATCHLIST[[#This Row],[Stock]],"Previous Close")*T_WATCHLIST[[#This Row],[Quantity]])</f>
        <v/>
      </c>
      <c r="O28" s="86" t="str">
        <f>IFERROR(T_WATCHLIST[[#This Row],[Today''s Gain/Loss]]/(T_WATCHLIST[[#This Row],[Current Value]]-T_WATCHLIST[[#This Row],[Today''s Gain/Loss]]),"")</f>
        <v/>
      </c>
      <c r="P28" s="84" t="str">
        <f>IFERROR(T_WATCHLIST[[#This Row],[Current Value]]-T_WATCHLIST[[#This Row],[% Total Gain/Loss9]],"")</f>
        <v/>
      </c>
      <c r="Q28" s="87" t="str">
        <f>IFERROR(T_WATCHLIST[[#This Row],[Total Gain/Loss]]/T_WATCHLIST[[#This Row],[% Total Gain/Loss9]],"")</f>
        <v/>
      </c>
      <c r="R28" s="88" t="str" cm="1">
        <f t="array" ref="R28">IFERROR(_xlfn.FIELDVALUE(T_WATCHLIST[[#This Row],[Stock]],"52 week low"),"")</f>
        <v/>
      </c>
      <c r="S2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8" s="73" t="str" cm="1">
        <f t="array" ref="T28">IFERROR(_xlfn.FIELDVALUE(T_WATCHLIST[[#This Row],[Stock]],"52 week high"),"")</f>
        <v/>
      </c>
      <c r="U28" s="64" t="str" cm="1">
        <f t="array" ref="U28">IF(T_WATCHLIST[[#This Row],[Stock]]="","",SUMPRODUCT(T_TXN[UNITS],--(T_TXN[TYPE]="Buy"),--(T_TXN[TICKER]=T_WATCHLIST[[#This Row],[Stock]])))</f>
        <v/>
      </c>
      <c r="V28" s="67" t="str" cm="1">
        <f t="array" ref="V28">IF(T_WATCHLIST[[#This Row],[Stock]]="","",SUMPRODUCT(--(T_TXN[TYPE]="Buy"),T_TXN[UNITS],T_TXN[PRICE],--(T_TXN[TICKER]=T_WATCHLIST[[#This Row],[Stock]])))</f>
        <v/>
      </c>
      <c r="W28" s="64" t="str" cm="1">
        <f t="array" ref="W28">IF(T_WATCHLIST[[#This Row],[Stock]]="","",SUMPRODUCT(T_TXN[UNITS],--(T_TXN[TYPE]="Sell"),--(T_TXN[TICKER]=T_WATCHLIST[[#This Row],[Stock]])))</f>
        <v/>
      </c>
      <c r="X28" s="67" t="str" cm="1">
        <f t="array" ref="X28">IF(T_WATCHLIST[[#This Row],[Stock]]="","",SUMPRODUCT(--(T_TXN[TYPE]="Sell"),T_TXN[UNITS],T_TXN[PRICE],--(T_TXN[TICKER]=T_WATCHLIST[[#This Row],[Stock]])))</f>
        <v/>
      </c>
      <c r="Y28" s="67" t="str" cm="1">
        <f t="array" ref="Y28">IF(T_WATCHLIST[[#This Row],[Stock]]="","",SUMPRODUCT(T_TXN[UNITS],T_TXN[PRICE],--(T_TXN[TYPE]="Buy"),--(T_TXN[TICKER]=T_WATCHLIST[[#This Row],[Stock]])) -SUMPRODUCT(T_TXN[UNITS],T_TXN[PRICE],--(T_TXN[TYPE]="Sell"),--(T_TXN[TICKER]=T_WATCHLIST[[#This Row],[Stock]])))</f>
        <v/>
      </c>
      <c r="Z28" s="64" t="str" cm="1">
        <f t="array" ref="Z28">IFERROR(IF(ROW(T_WATCHLIST[[#This Row],[Stock]])-ROW(T_WATCHLIST[[#Headers],[Stock]])&gt;=C_CNT_STOCKS,"",_FV(T_WATCHLIST[[#This Row],[Stock]],"Industry",TRUE)),"Not Available")</f>
        <v/>
      </c>
      <c r="AA28" s="64" t="str" cm="1">
        <f t="array" ref="AA28">IFERROR(IF(ROW(T_WATCHLIST[[#This Row],[Stock]])-ROW(T_WATCHLIST[[#Headers],[Stock]])&gt;=C_CNT_STOCKS,"",_FV(T_WATCHLIST[[#This Row],[Stock]],"Instrument type",TRUE)),"Not Available")</f>
        <v/>
      </c>
    </row>
    <row r="29" spans="1:29" ht="15">
      <c r="E29" s="89"/>
      <c r="F29" s="75" t="str" cm="1">
        <f t="array" ref="F29">IFERROR(IF(ROW(T_WATCHLIST[[#This Row],[Stock]])-ROW(T_WATCHLIST[[#Headers],[Stock]])&gt;C_CNT_STOCKS,"",INDEX(_xlfn.ANCHORARRAY(HELP!$G$2),ROW(T_WATCHLIST[[#This Row],[Stock]])-ROW(T_WATCHLIST[[#Headers],[Stock]]))),"")</f>
        <v/>
      </c>
      <c r="G29" s="80" t="str" cm="1">
        <f t="array" ref="G29">IFERROR(_xlfn.FIELDVALUE(T_WATCHLIST[[#This Row],[Stock]],"Ticker Symbol"),"")</f>
        <v/>
      </c>
      <c r="H29" s="117"/>
      <c r="I29" s="81" t="str">
        <f>IF(T_WATCHLIST[[#This Row],[Stock]]="","",SUMIFS(T_TXN[UNITS],T_TXN[TYPE],"Buy",T_TXN[TICKER],T_WATCHLIST[[#This Row],[Stock]])-SUMIFS(T_TXN[UNITS],T_TXN[TYPE],"Sell",T_TXN[TICKER],T_WATCHLIST[[#This Row],[Stock]])+SUMIFS(T_TXN[UNITS],T_TXN[TYPE],"Dividend Reinvestment",T_TXN[TICKER],T_WATCHLIST[[#This Row],[Stock]]))</f>
        <v/>
      </c>
      <c r="J29" s="75" t="str" cm="1">
        <f t="array" ref="J29">IFERROR(_xlfn.FIELDVALUE(T_WATCHLIST[[#This Row],[Stock]],"Price"),"")</f>
        <v/>
      </c>
      <c r="K29" s="82" t="str" cm="1">
        <f t="array" ref="K29">IFERROR(_xlfn.FIELDVALUE(T_WATCHLIST[[#This Row],[Stock]],"Change"),"")</f>
        <v/>
      </c>
      <c r="L29" s="83" t="str" cm="1">
        <f t="array" ref="L29">IFERROR(_xlfn.FIELDVALUE(T_WATCHLIST[[#This Row],[Stock]],"Change (%)"),"")</f>
        <v/>
      </c>
      <c r="M29" s="84" t="str">
        <f>IF(T_WATCHLIST[[#This Row],[Stock]]="","",T_WATCHLIST[[#This Row],[Quantity]]*T_WATCHLIST[[#This Row],[Last Price]])</f>
        <v/>
      </c>
      <c r="N29" s="85" t="str" cm="1">
        <f t="array" ref="N29">IF(T_WATCHLIST[[#This Row],[Stock]]="","",T_WATCHLIST[[#This Row],[Current Value]]-_xlfn.FIELDVALUE(T_WATCHLIST[[#This Row],[Stock]],"Previous Close")*T_WATCHLIST[[#This Row],[Quantity]])</f>
        <v/>
      </c>
      <c r="O29" s="86" t="str">
        <f>IFERROR(T_WATCHLIST[[#This Row],[Today''s Gain/Loss]]/(T_WATCHLIST[[#This Row],[Current Value]]-T_WATCHLIST[[#This Row],[Today''s Gain/Loss]]),"")</f>
        <v/>
      </c>
      <c r="P29" s="84" t="str">
        <f>IFERROR(T_WATCHLIST[[#This Row],[Current Value]]-T_WATCHLIST[[#This Row],[% Total Gain/Loss9]],"")</f>
        <v/>
      </c>
      <c r="Q29" s="87" t="str">
        <f>IFERROR(T_WATCHLIST[[#This Row],[Total Gain/Loss]]/T_WATCHLIST[[#This Row],[% Total Gain/Loss9]],"")</f>
        <v/>
      </c>
      <c r="R29" s="88" t="str" cm="1">
        <f t="array" ref="R29">IFERROR(_xlfn.FIELDVALUE(T_WATCHLIST[[#This Row],[Stock]],"52 week low"),"")</f>
        <v/>
      </c>
      <c r="S2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29" s="73" t="str" cm="1">
        <f t="array" ref="T29">IFERROR(_xlfn.FIELDVALUE(T_WATCHLIST[[#This Row],[Stock]],"52 week high"),"")</f>
        <v/>
      </c>
      <c r="U29" s="64" t="str" cm="1">
        <f t="array" ref="U29">IF(T_WATCHLIST[[#This Row],[Stock]]="","",SUMPRODUCT(T_TXN[UNITS],--(T_TXN[TYPE]="Buy"),--(T_TXN[TICKER]=T_WATCHLIST[[#This Row],[Stock]])))</f>
        <v/>
      </c>
      <c r="V29" s="67" t="str" cm="1">
        <f t="array" ref="V29">IF(T_WATCHLIST[[#This Row],[Stock]]="","",SUMPRODUCT(--(T_TXN[TYPE]="Buy"),T_TXN[UNITS],T_TXN[PRICE],--(T_TXN[TICKER]=T_WATCHLIST[[#This Row],[Stock]])))</f>
        <v/>
      </c>
      <c r="W29" s="64" t="str" cm="1">
        <f t="array" ref="W29">IF(T_WATCHLIST[[#This Row],[Stock]]="","",SUMPRODUCT(T_TXN[UNITS],--(T_TXN[TYPE]="Sell"),--(T_TXN[TICKER]=T_WATCHLIST[[#This Row],[Stock]])))</f>
        <v/>
      </c>
      <c r="X29" s="67" t="str" cm="1">
        <f t="array" ref="X29">IF(T_WATCHLIST[[#This Row],[Stock]]="","",SUMPRODUCT(--(T_TXN[TYPE]="Sell"),T_TXN[UNITS],T_TXN[PRICE],--(T_TXN[TICKER]=T_WATCHLIST[[#This Row],[Stock]])))</f>
        <v/>
      </c>
      <c r="Y29" s="67" t="str" cm="1">
        <f t="array" ref="Y29">IF(T_WATCHLIST[[#This Row],[Stock]]="","",SUMPRODUCT(T_TXN[UNITS],T_TXN[PRICE],--(T_TXN[TYPE]="Buy"),--(T_TXN[TICKER]=T_WATCHLIST[[#This Row],[Stock]])) -SUMPRODUCT(T_TXN[UNITS],T_TXN[PRICE],--(T_TXN[TYPE]="Sell"),--(T_TXN[TICKER]=T_WATCHLIST[[#This Row],[Stock]])))</f>
        <v/>
      </c>
      <c r="Z29" s="64" t="str" cm="1">
        <f t="array" ref="Z29">IFERROR(IF(ROW(T_WATCHLIST[[#This Row],[Stock]])-ROW(T_WATCHLIST[[#Headers],[Stock]])&gt;=C_CNT_STOCKS,"",_FV(T_WATCHLIST[[#This Row],[Stock]],"Industry",TRUE)),"Not Available")</f>
        <v/>
      </c>
      <c r="AA29" s="64" t="str" cm="1">
        <f t="array" ref="AA29">IFERROR(IF(ROW(T_WATCHLIST[[#This Row],[Stock]])-ROW(T_WATCHLIST[[#Headers],[Stock]])&gt;=C_CNT_STOCKS,"",_FV(T_WATCHLIST[[#This Row],[Stock]],"Instrument type",TRUE)),"Not Available")</f>
        <v/>
      </c>
    </row>
    <row r="30" spans="1:29" ht="22" customHeight="1">
      <c r="A30" s="110" t="s">
        <v>114</v>
      </c>
      <c r="E30" s="89"/>
      <c r="F30" s="75" t="str" cm="1">
        <f t="array" ref="F30">IFERROR(IF(ROW(T_WATCHLIST[[#This Row],[Stock]])-ROW(T_WATCHLIST[[#Headers],[Stock]])&gt;C_CNT_STOCKS,"",INDEX(_xlfn.ANCHORARRAY(HELP!$G$2),ROW(T_WATCHLIST[[#This Row],[Stock]])-ROW(T_WATCHLIST[[#Headers],[Stock]]))),"")</f>
        <v/>
      </c>
      <c r="G30" s="80" t="str" cm="1">
        <f t="array" ref="G30">IFERROR(_xlfn.FIELDVALUE(T_WATCHLIST[[#This Row],[Stock]],"Ticker Symbol"),"")</f>
        <v/>
      </c>
      <c r="H30" s="117"/>
      <c r="I30" s="81" t="str">
        <f>IF(T_WATCHLIST[[#This Row],[Stock]]="","",SUMIFS(T_TXN[UNITS],T_TXN[TYPE],"Buy",T_TXN[TICKER],T_WATCHLIST[[#This Row],[Stock]])-SUMIFS(T_TXN[UNITS],T_TXN[TYPE],"Sell",T_TXN[TICKER],T_WATCHLIST[[#This Row],[Stock]])+SUMIFS(T_TXN[UNITS],T_TXN[TYPE],"Dividend Reinvestment",T_TXN[TICKER],T_WATCHLIST[[#This Row],[Stock]]))</f>
        <v/>
      </c>
      <c r="J30" s="75" t="str" cm="1">
        <f t="array" ref="J30">IFERROR(_xlfn.FIELDVALUE(T_WATCHLIST[[#This Row],[Stock]],"Price"),"")</f>
        <v/>
      </c>
      <c r="K30" s="82" t="str" cm="1">
        <f t="array" ref="K30">IFERROR(_xlfn.FIELDVALUE(T_WATCHLIST[[#This Row],[Stock]],"Change"),"")</f>
        <v/>
      </c>
      <c r="L30" s="83" t="str" cm="1">
        <f t="array" ref="L30">IFERROR(_xlfn.FIELDVALUE(T_WATCHLIST[[#This Row],[Stock]],"Change (%)"),"")</f>
        <v/>
      </c>
      <c r="M30" s="84" t="str">
        <f>IF(T_WATCHLIST[[#This Row],[Stock]]="","",T_WATCHLIST[[#This Row],[Quantity]]*T_WATCHLIST[[#This Row],[Last Price]])</f>
        <v/>
      </c>
      <c r="N30" s="85" t="str" cm="1">
        <f t="array" ref="N30">IF(T_WATCHLIST[[#This Row],[Stock]]="","",T_WATCHLIST[[#This Row],[Current Value]]-_xlfn.FIELDVALUE(T_WATCHLIST[[#This Row],[Stock]],"Previous Close")*T_WATCHLIST[[#This Row],[Quantity]])</f>
        <v/>
      </c>
      <c r="O30" s="86" t="str">
        <f>IFERROR(T_WATCHLIST[[#This Row],[Today''s Gain/Loss]]/(T_WATCHLIST[[#This Row],[Current Value]]-T_WATCHLIST[[#This Row],[Today''s Gain/Loss]]),"")</f>
        <v/>
      </c>
      <c r="P30" s="84" t="str">
        <f>IFERROR(T_WATCHLIST[[#This Row],[Current Value]]-T_WATCHLIST[[#This Row],[% Total Gain/Loss9]],"")</f>
        <v/>
      </c>
      <c r="Q30" s="87" t="str">
        <f>IFERROR(T_WATCHLIST[[#This Row],[Total Gain/Loss]]/T_WATCHLIST[[#This Row],[% Total Gain/Loss9]],"")</f>
        <v/>
      </c>
      <c r="R30" s="88" t="str" cm="1">
        <f t="array" ref="R30">IFERROR(_xlfn.FIELDVALUE(T_WATCHLIST[[#This Row],[Stock]],"52 week low"),"")</f>
        <v/>
      </c>
      <c r="S3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0" s="73" t="str" cm="1">
        <f t="array" ref="T30">IFERROR(_xlfn.FIELDVALUE(T_WATCHLIST[[#This Row],[Stock]],"52 week high"),"")</f>
        <v/>
      </c>
      <c r="U30" s="64" t="str" cm="1">
        <f t="array" ref="U30">IF(T_WATCHLIST[[#This Row],[Stock]]="","",SUMPRODUCT(T_TXN[UNITS],--(T_TXN[TYPE]="Buy"),--(T_TXN[TICKER]=T_WATCHLIST[[#This Row],[Stock]])))</f>
        <v/>
      </c>
      <c r="V30" s="67" t="str" cm="1">
        <f t="array" ref="V30">IF(T_WATCHLIST[[#This Row],[Stock]]="","",SUMPRODUCT(--(T_TXN[TYPE]="Buy"),T_TXN[UNITS],T_TXN[PRICE],--(T_TXN[TICKER]=T_WATCHLIST[[#This Row],[Stock]])))</f>
        <v/>
      </c>
      <c r="W30" s="64" t="str" cm="1">
        <f t="array" ref="W30">IF(T_WATCHLIST[[#This Row],[Stock]]="","",SUMPRODUCT(T_TXN[UNITS],--(T_TXN[TYPE]="Sell"),--(T_TXN[TICKER]=T_WATCHLIST[[#This Row],[Stock]])))</f>
        <v/>
      </c>
      <c r="X30" s="67" t="str" cm="1">
        <f t="array" ref="X30">IF(T_WATCHLIST[[#This Row],[Stock]]="","",SUMPRODUCT(--(T_TXN[TYPE]="Sell"),T_TXN[UNITS],T_TXN[PRICE],--(T_TXN[TICKER]=T_WATCHLIST[[#This Row],[Stock]])))</f>
        <v/>
      </c>
      <c r="Y30" s="67" t="str" cm="1">
        <f t="array" ref="Y30">IF(T_WATCHLIST[[#This Row],[Stock]]="","",SUMPRODUCT(T_TXN[UNITS],T_TXN[PRICE],--(T_TXN[TYPE]="Buy"),--(T_TXN[TICKER]=T_WATCHLIST[[#This Row],[Stock]])) -SUMPRODUCT(T_TXN[UNITS],T_TXN[PRICE],--(T_TXN[TYPE]="Sell"),--(T_TXN[TICKER]=T_WATCHLIST[[#This Row],[Stock]])))</f>
        <v/>
      </c>
      <c r="Z30" s="64" t="str" cm="1">
        <f t="array" ref="Z30">IFERROR(IF(ROW(T_WATCHLIST[[#This Row],[Stock]])-ROW(T_WATCHLIST[[#Headers],[Stock]])&gt;=C_CNT_STOCKS,"",_FV(T_WATCHLIST[[#This Row],[Stock]],"Industry",TRUE)),"Not Available")</f>
        <v/>
      </c>
      <c r="AA30" s="64" t="str" cm="1">
        <f t="array" ref="AA30">IFERROR(IF(ROW(T_WATCHLIST[[#This Row],[Stock]])-ROW(T_WATCHLIST[[#Headers],[Stock]])&gt;=C_CNT_STOCKS,"",_FV(T_WATCHLIST[[#This Row],[Stock]],"Instrument type",TRUE)),"Not Available")</f>
        <v/>
      </c>
    </row>
    <row r="31" spans="1:29" ht="22" customHeight="1">
      <c r="A31" s="42" t="s">
        <v>109</v>
      </c>
      <c r="B31" s="93">
        <f>SUMPRODUCT(H3:H22,L3:L22)</f>
        <v>9.5024285714285742E-2</v>
      </c>
      <c r="E31" s="89"/>
      <c r="F31" s="75" t="str" cm="1">
        <f t="array" ref="F31">IFERROR(IF(ROW(T_WATCHLIST[[#This Row],[Stock]])-ROW(T_WATCHLIST[[#Headers],[Stock]])&gt;C_CNT_STOCKS,"",INDEX(_xlfn.ANCHORARRAY(HELP!$G$2),ROW(T_WATCHLIST[[#This Row],[Stock]])-ROW(T_WATCHLIST[[#Headers],[Stock]]))),"")</f>
        <v/>
      </c>
      <c r="G31" s="80" t="str" cm="1">
        <f t="array" ref="G31">IFERROR(_xlfn.FIELDVALUE(T_WATCHLIST[[#This Row],[Stock]],"Ticker Symbol"),"")</f>
        <v/>
      </c>
      <c r="H31" s="117"/>
      <c r="I31" s="81" t="str">
        <f>IF(T_WATCHLIST[[#This Row],[Stock]]="","",SUMIFS(T_TXN[UNITS],T_TXN[TYPE],"Buy",T_TXN[TICKER],T_WATCHLIST[[#This Row],[Stock]])-SUMIFS(T_TXN[UNITS],T_TXN[TYPE],"Sell",T_TXN[TICKER],T_WATCHLIST[[#This Row],[Stock]])+SUMIFS(T_TXN[UNITS],T_TXN[TYPE],"Dividend Reinvestment",T_TXN[TICKER],T_WATCHLIST[[#This Row],[Stock]]))</f>
        <v/>
      </c>
      <c r="J31" s="75" t="str" cm="1">
        <f t="array" ref="J31">IFERROR(_xlfn.FIELDVALUE(T_WATCHLIST[[#This Row],[Stock]],"Price"),"")</f>
        <v/>
      </c>
      <c r="K31" s="82" t="str" cm="1">
        <f t="array" ref="K31">IFERROR(_xlfn.FIELDVALUE(T_WATCHLIST[[#This Row],[Stock]],"Change"),"")</f>
        <v/>
      </c>
      <c r="L31" s="83" t="str" cm="1">
        <f t="array" ref="L31">IFERROR(_xlfn.FIELDVALUE(T_WATCHLIST[[#This Row],[Stock]],"Change (%)"),"")</f>
        <v/>
      </c>
      <c r="M31" s="84" t="str">
        <f>IF(T_WATCHLIST[[#This Row],[Stock]]="","",T_WATCHLIST[[#This Row],[Quantity]]*T_WATCHLIST[[#This Row],[Last Price]])</f>
        <v/>
      </c>
      <c r="N31" s="85" t="str" cm="1">
        <f t="array" ref="N31">IF(T_WATCHLIST[[#This Row],[Stock]]="","",T_WATCHLIST[[#This Row],[Current Value]]-_xlfn.FIELDVALUE(T_WATCHLIST[[#This Row],[Stock]],"Previous Close")*T_WATCHLIST[[#This Row],[Quantity]])</f>
        <v/>
      </c>
      <c r="O31" s="86" t="str">
        <f>IFERROR(T_WATCHLIST[[#This Row],[Today''s Gain/Loss]]/(T_WATCHLIST[[#This Row],[Current Value]]-T_WATCHLIST[[#This Row],[Today''s Gain/Loss]]),"")</f>
        <v/>
      </c>
      <c r="P31" s="84" t="str">
        <f>IFERROR(T_WATCHLIST[[#This Row],[Current Value]]-T_WATCHLIST[[#This Row],[% Total Gain/Loss9]],"")</f>
        <v/>
      </c>
      <c r="Q31" s="87" t="str">
        <f>IFERROR(T_WATCHLIST[[#This Row],[Total Gain/Loss]]/T_WATCHLIST[[#This Row],[% Total Gain/Loss9]],"")</f>
        <v/>
      </c>
      <c r="R31" s="88" t="str" cm="1">
        <f t="array" ref="R31">IFERROR(_xlfn.FIELDVALUE(T_WATCHLIST[[#This Row],[Stock]],"52 week low"),"")</f>
        <v/>
      </c>
      <c r="S3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1" s="73" t="str" cm="1">
        <f t="array" ref="T31">IFERROR(_xlfn.FIELDVALUE(T_WATCHLIST[[#This Row],[Stock]],"52 week high"),"")</f>
        <v/>
      </c>
      <c r="U31" s="64" t="str" cm="1">
        <f t="array" ref="U31">IF(T_WATCHLIST[[#This Row],[Stock]]="","",SUMPRODUCT(T_TXN[UNITS],--(T_TXN[TYPE]="Buy"),--(T_TXN[TICKER]=T_WATCHLIST[[#This Row],[Stock]])))</f>
        <v/>
      </c>
      <c r="V31" s="67" t="str" cm="1">
        <f t="array" ref="V31">IF(T_WATCHLIST[[#This Row],[Stock]]="","",SUMPRODUCT(--(T_TXN[TYPE]="Buy"),T_TXN[UNITS],T_TXN[PRICE],--(T_TXN[TICKER]=T_WATCHLIST[[#This Row],[Stock]])))</f>
        <v/>
      </c>
      <c r="W31" s="64" t="str" cm="1">
        <f t="array" ref="W31">IF(T_WATCHLIST[[#This Row],[Stock]]="","",SUMPRODUCT(T_TXN[UNITS],--(T_TXN[TYPE]="Sell"),--(T_TXN[TICKER]=T_WATCHLIST[[#This Row],[Stock]])))</f>
        <v/>
      </c>
      <c r="X31" s="67" t="str" cm="1">
        <f t="array" ref="X31">IF(T_WATCHLIST[[#This Row],[Stock]]="","",SUMPRODUCT(--(T_TXN[TYPE]="Sell"),T_TXN[UNITS],T_TXN[PRICE],--(T_TXN[TICKER]=T_WATCHLIST[[#This Row],[Stock]])))</f>
        <v/>
      </c>
      <c r="Y31" s="67" t="str" cm="1">
        <f t="array" ref="Y31">IF(T_WATCHLIST[[#This Row],[Stock]]="","",SUMPRODUCT(T_TXN[UNITS],T_TXN[PRICE],--(T_TXN[TYPE]="Buy"),--(T_TXN[TICKER]=T_WATCHLIST[[#This Row],[Stock]])) -SUMPRODUCT(T_TXN[UNITS],T_TXN[PRICE],--(T_TXN[TYPE]="Sell"),--(T_TXN[TICKER]=T_WATCHLIST[[#This Row],[Stock]])))</f>
        <v/>
      </c>
      <c r="Z31" s="64" t="str" cm="1">
        <f t="array" ref="Z31">IFERROR(IF(ROW(T_WATCHLIST[[#This Row],[Stock]])-ROW(T_WATCHLIST[[#Headers],[Stock]])&gt;=C_CNT_STOCKS,"",_FV(T_WATCHLIST[[#This Row],[Stock]],"Industry",TRUE)),"Not Available")</f>
        <v/>
      </c>
      <c r="AA31" s="64" t="str" cm="1">
        <f t="array" ref="AA31">IFERROR(IF(ROW(T_WATCHLIST[[#This Row],[Stock]])-ROW(T_WATCHLIST[[#Headers],[Stock]])&gt;=C_CNT_STOCKS,"",_FV(T_WATCHLIST[[#This Row],[Stock]],"Instrument type",TRUE)),"Not Available")</f>
        <v/>
      </c>
    </row>
    <row r="32" spans="1:29" ht="22" customHeight="1">
      <c r="E32" s="89"/>
      <c r="F32" s="75" t="str" cm="1">
        <f t="array" ref="F32">IFERROR(IF(ROW(T_WATCHLIST[[#This Row],[Stock]])-ROW(T_WATCHLIST[[#Headers],[Stock]])&gt;C_CNT_STOCKS,"",INDEX(_xlfn.ANCHORARRAY(HELP!$G$2),ROW(T_WATCHLIST[[#This Row],[Stock]])-ROW(T_WATCHLIST[[#Headers],[Stock]]))),"")</f>
        <v/>
      </c>
      <c r="G32" s="80" t="str" cm="1">
        <f t="array" ref="G32">IFERROR(_xlfn.FIELDVALUE(T_WATCHLIST[[#This Row],[Stock]],"Ticker Symbol"),"")</f>
        <v/>
      </c>
      <c r="H32" s="117"/>
      <c r="I32" s="81" t="str">
        <f>IF(T_WATCHLIST[[#This Row],[Stock]]="","",SUMIFS(T_TXN[UNITS],T_TXN[TYPE],"Buy",T_TXN[TICKER],T_WATCHLIST[[#This Row],[Stock]])-SUMIFS(T_TXN[UNITS],T_TXN[TYPE],"Sell",T_TXN[TICKER],T_WATCHLIST[[#This Row],[Stock]])+SUMIFS(T_TXN[UNITS],T_TXN[TYPE],"Dividend Reinvestment",T_TXN[TICKER],T_WATCHLIST[[#This Row],[Stock]]))</f>
        <v/>
      </c>
      <c r="J32" s="75" t="str" cm="1">
        <f t="array" ref="J32">IFERROR(_xlfn.FIELDVALUE(T_WATCHLIST[[#This Row],[Stock]],"Price"),"")</f>
        <v/>
      </c>
      <c r="K32" s="82" t="str" cm="1">
        <f t="array" ref="K32">IFERROR(_xlfn.FIELDVALUE(T_WATCHLIST[[#This Row],[Stock]],"Change"),"")</f>
        <v/>
      </c>
      <c r="L32" s="83" t="str" cm="1">
        <f t="array" ref="L32">IFERROR(_xlfn.FIELDVALUE(T_WATCHLIST[[#This Row],[Stock]],"Change (%)"),"")</f>
        <v/>
      </c>
      <c r="M32" s="84" t="str">
        <f>IF(T_WATCHLIST[[#This Row],[Stock]]="","",T_WATCHLIST[[#This Row],[Quantity]]*T_WATCHLIST[[#This Row],[Last Price]])</f>
        <v/>
      </c>
      <c r="N32" s="85" t="str" cm="1">
        <f t="array" ref="N32">IF(T_WATCHLIST[[#This Row],[Stock]]="","",T_WATCHLIST[[#This Row],[Current Value]]-_xlfn.FIELDVALUE(T_WATCHLIST[[#This Row],[Stock]],"Previous Close")*T_WATCHLIST[[#This Row],[Quantity]])</f>
        <v/>
      </c>
      <c r="O32" s="86" t="str">
        <f>IFERROR(T_WATCHLIST[[#This Row],[Today''s Gain/Loss]]/(T_WATCHLIST[[#This Row],[Current Value]]-T_WATCHLIST[[#This Row],[Today''s Gain/Loss]]),"")</f>
        <v/>
      </c>
      <c r="P32" s="84" t="str">
        <f>IFERROR(T_WATCHLIST[[#This Row],[Current Value]]-T_WATCHLIST[[#This Row],[% Total Gain/Loss9]],"")</f>
        <v/>
      </c>
      <c r="Q32" s="87" t="str">
        <f>IFERROR(T_WATCHLIST[[#This Row],[Total Gain/Loss]]/T_WATCHLIST[[#This Row],[% Total Gain/Loss9]],"")</f>
        <v/>
      </c>
      <c r="R32" s="88" t="str" cm="1">
        <f t="array" ref="R32">IFERROR(_xlfn.FIELDVALUE(T_WATCHLIST[[#This Row],[Stock]],"52 week low"),"")</f>
        <v/>
      </c>
      <c r="S3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2" s="73" t="str" cm="1">
        <f t="array" ref="T32">IFERROR(_xlfn.FIELDVALUE(T_WATCHLIST[[#This Row],[Stock]],"52 week high"),"")</f>
        <v/>
      </c>
      <c r="U32" s="64" t="str" cm="1">
        <f t="array" ref="U32">IF(T_WATCHLIST[[#This Row],[Stock]]="","",SUMPRODUCT(T_TXN[UNITS],--(T_TXN[TYPE]="Buy"),--(T_TXN[TICKER]=T_WATCHLIST[[#This Row],[Stock]])))</f>
        <v/>
      </c>
      <c r="V32" s="67" t="str" cm="1">
        <f t="array" ref="V32">IF(T_WATCHLIST[[#This Row],[Stock]]="","",SUMPRODUCT(--(T_TXN[TYPE]="Buy"),T_TXN[UNITS],T_TXN[PRICE],--(T_TXN[TICKER]=T_WATCHLIST[[#This Row],[Stock]])))</f>
        <v/>
      </c>
      <c r="W32" s="64" t="str" cm="1">
        <f t="array" ref="W32">IF(T_WATCHLIST[[#This Row],[Stock]]="","",SUMPRODUCT(T_TXN[UNITS],--(T_TXN[TYPE]="Sell"),--(T_TXN[TICKER]=T_WATCHLIST[[#This Row],[Stock]])))</f>
        <v/>
      </c>
      <c r="X32" s="67" t="str" cm="1">
        <f t="array" ref="X32">IF(T_WATCHLIST[[#This Row],[Stock]]="","",SUMPRODUCT(--(T_TXN[TYPE]="Sell"),T_TXN[UNITS],T_TXN[PRICE],--(T_TXN[TICKER]=T_WATCHLIST[[#This Row],[Stock]])))</f>
        <v/>
      </c>
      <c r="Y32" s="67" t="str" cm="1">
        <f t="array" ref="Y32">IF(T_WATCHLIST[[#This Row],[Stock]]="","",SUMPRODUCT(T_TXN[UNITS],T_TXN[PRICE],--(T_TXN[TYPE]="Buy"),--(T_TXN[TICKER]=T_WATCHLIST[[#This Row],[Stock]])) -SUMPRODUCT(T_TXN[UNITS],T_TXN[PRICE],--(T_TXN[TYPE]="Sell"),--(T_TXN[TICKER]=T_WATCHLIST[[#This Row],[Stock]])))</f>
        <v/>
      </c>
      <c r="Z32" s="64" t="str" cm="1">
        <f t="array" ref="Z32">IFERROR(IF(ROW(T_WATCHLIST[[#This Row],[Stock]])-ROW(T_WATCHLIST[[#Headers],[Stock]])&gt;=C_CNT_STOCKS,"",_FV(T_WATCHLIST[[#This Row],[Stock]],"Industry",TRUE)),"Not Available")</f>
        <v/>
      </c>
      <c r="AA32" s="64" t="str" cm="1">
        <f t="array" ref="AA32">IFERROR(IF(ROW(T_WATCHLIST[[#This Row],[Stock]])-ROW(T_WATCHLIST[[#Headers],[Stock]])&gt;=C_CNT_STOCKS,"",_FV(T_WATCHLIST[[#This Row],[Stock]],"Instrument type",TRUE)),"Not Available")</f>
        <v/>
      </c>
    </row>
    <row r="33" spans="1:27" ht="22" customHeight="1">
      <c r="A33" s="110" t="s">
        <v>115</v>
      </c>
      <c r="E33" s="89"/>
      <c r="F33" s="95" t="str" cm="1">
        <f t="array" ref="F33">IFERROR(IF(ROW(T_WATCHLIST[[#This Row],[Stock]])-ROW(T_WATCHLIST[[#Headers],[Stock]])&gt;C_CNT_STOCKS,"",INDEX(_xlfn.ANCHORARRAY(HELP!$G$2),ROW(T_WATCHLIST[[#This Row],[Stock]])-ROW(T_WATCHLIST[[#Headers],[Stock]]))),"")</f>
        <v/>
      </c>
      <c r="G33" s="96" t="str" cm="1">
        <f t="array" ref="G33">IFERROR(_xlfn.FIELDVALUE(T_WATCHLIST[[#This Row],[Stock]],"Ticker Symbol"),"")</f>
        <v/>
      </c>
      <c r="H33" s="118"/>
      <c r="I33" s="97" t="str">
        <f>IF(T_WATCHLIST[[#This Row],[Stock]]="","",SUMIFS(T_TXN[UNITS],T_TXN[TYPE],"Buy",T_TXN[TICKER],T_WATCHLIST[[#This Row],[Stock]])-SUMIFS(T_TXN[UNITS],T_TXN[TYPE],"Sell",T_TXN[TICKER],T_WATCHLIST[[#This Row],[Stock]])+SUMIFS(T_TXN[UNITS],T_TXN[TYPE],"Dividend Reinvestment",T_TXN[TICKER],T_WATCHLIST[[#This Row],[Stock]]))</f>
        <v/>
      </c>
      <c r="J33" s="95" t="str" cm="1">
        <f t="array" ref="J33">IFERROR(_xlfn.FIELDVALUE(T_WATCHLIST[[#This Row],[Stock]],"Price"),"")</f>
        <v/>
      </c>
      <c r="K33" s="98" t="str" cm="1">
        <f t="array" ref="K33">IFERROR(_xlfn.FIELDVALUE(T_WATCHLIST[[#This Row],[Stock]],"Change"),"")</f>
        <v/>
      </c>
      <c r="L33" s="99" t="str" cm="1">
        <f t="array" ref="L33">IFERROR(_xlfn.FIELDVALUE(T_WATCHLIST[[#This Row],[Stock]],"Change (%)"),"")</f>
        <v/>
      </c>
      <c r="M33" s="100" t="str">
        <f>IF(T_WATCHLIST[[#This Row],[Stock]]="","",T_WATCHLIST[[#This Row],[Quantity]]*T_WATCHLIST[[#This Row],[Last Price]])</f>
        <v/>
      </c>
      <c r="N33" s="101" t="str" cm="1">
        <f t="array" ref="N33">IF(T_WATCHLIST[[#This Row],[Stock]]="","",T_WATCHLIST[[#This Row],[Current Value]]-_xlfn.FIELDVALUE(T_WATCHLIST[[#This Row],[Stock]],"Previous Close")*T_WATCHLIST[[#This Row],[Quantity]])</f>
        <v/>
      </c>
      <c r="O33" s="102" t="str">
        <f>IFERROR(T_WATCHLIST[[#This Row],[Today''s Gain/Loss]]/(T_WATCHLIST[[#This Row],[Current Value]]-T_WATCHLIST[[#This Row],[Today''s Gain/Loss]]),"")</f>
        <v/>
      </c>
      <c r="P33" s="103" t="str">
        <f>IFERROR(T_WATCHLIST[[#This Row],[Current Value]]-T_WATCHLIST[[#This Row],[% Total Gain/Loss9]],"")</f>
        <v/>
      </c>
      <c r="Q33" s="104" t="str">
        <f>IFERROR(T_WATCHLIST[[#This Row],[Total Gain/Loss]]/T_WATCHLIST[[#This Row],[% Total Gain/Loss9]],"")</f>
        <v/>
      </c>
      <c r="R33" s="105" t="str" cm="1">
        <f t="array" ref="R33">IFERROR(_xlfn.FIELDVALUE(T_WATCHLIST[[#This Row],[Stock]],"52 week low"),"")</f>
        <v/>
      </c>
      <c r="S33" s="106"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3" s="107" t="str" cm="1">
        <f t="array" ref="T33">IFERROR(_xlfn.FIELDVALUE(T_WATCHLIST[[#This Row],[Stock]],"52 week high"),"")</f>
        <v/>
      </c>
      <c r="U33" s="108" t="str" cm="1">
        <f t="array" ref="U33">IF(T_WATCHLIST[[#This Row],[Stock]]="","",SUMPRODUCT(T_TXN[UNITS],--(T_TXN[TYPE]="Buy"),--(T_TXN[TICKER]=T_WATCHLIST[[#This Row],[Stock]])))</f>
        <v/>
      </c>
      <c r="V33" s="109" t="str" cm="1">
        <f t="array" ref="V33">IF(T_WATCHLIST[[#This Row],[Stock]]="","",SUMPRODUCT(--(T_TXN[TYPE]="Buy"),T_TXN[UNITS],T_TXN[PRICE],--(T_TXN[TICKER]=T_WATCHLIST[[#This Row],[Stock]])))</f>
        <v/>
      </c>
      <c r="W33" s="108" t="str" cm="1">
        <f t="array" ref="W33">IF(T_WATCHLIST[[#This Row],[Stock]]="","",SUMPRODUCT(T_TXN[UNITS],--(T_TXN[TYPE]="Sell"),--(T_TXN[TICKER]=T_WATCHLIST[[#This Row],[Stock]])))</f>
        <v/>
      </c>
      <c r="X33" s="109" t="str" cm="1">
        <f t="array" ref="X33">IF(T_WATCHLIST[[#This Row],[Stock]]="","",SUMPRODUCT(--(T_TXN[TYPE]="Sell"),T_TXN[UNITS],T_TXN[PRICE],--(T_TXN[TICKER]=T_WATCHLIST[[#This Row],[Stock]])))</f>
        <v/>
      </c>
      <c r="Y33" s="109" t="str" cm="1">
        <f t="array" ref="Y33">IF(T_WATCHLIST[[#This Row],[Stock]]="","",SUMPRODUCT(T_TXN[UNITS],T_TXN[PRICE],--(T_TXN[TYPE]="Buy"),--(T_TXN[TICKER]=T_WATCHLIST[[#This Row],[Stock]]))
-SUMPRODUCT(T_TXN[UNITS],T_TXN[PRICE],--(T_TXN[TYPE]="Sell"),--(T_TXN[TICKER]=T_WATCHLIST[[#This Row],[Stock]])))</f>
        <v/>
      </c>
      <c r="Z33" s="108" t="str" cm="1">
        <f t="array" ref="Z33">IFERROR(IF(ROW(T_WATCHLIST[[#This Row],[Stock]])-ROW(T_WATCHLIST[[#Headers],[Stock]])&gt;=C_CNT_STOCKS,"",_FV(T_WATCHLIST[[#This Row],[Stock]],"Industry",TRUE)),"Not Available")</f>
        <v/>
      </c>
      <c r="AA33" s="108" t="str" cm="1">
        <f t="array" ref="AA33">IFERROR(IF(ROW(T_WATCHLIST[[#This Row],[Stock]])-ROW(T_WATCHLIST[[#Headers],[Stock]])&gt;=C_CNT_STOCKS,"",_FV(T_WATCHLIST[[#This Row],[Stock]],"Instrument type",TRUE)),"Not Available")</f>
        <v/>
      </c>
    </row>
    <row r="34" spans="1:27" ht="22" customHeight="1">
      <c r="A34" s="42" t="s">
        <v>110</v>
      </c>
      <c r="B34" s="42">
        <f>SUMPRODUCT(H3:H6,AG3:AG6)</f>
        <v>200</v>
      </c>
      <c r="C34" s="94" t="s">
        <v>113</v>
      </c>
      <c r="D34" s="42">
        <v>200</v>
      </c>
      <c r="E34" s="89"/>
      <c r="F34" s="75" t="str" cm="1">
        <f t="array" ref="F34">IFERROR(IF(ROW(T_WATCHLIST[[#This Row],[Stock]])-ROW(T_WATCHLIST[[#Headers],[Stock]])&gt;C_CNT_STOCKS,"",INDEX(_xlfn.ANCHORARRAY(HELP!$G$2),ROW(T_WATCHLIST[[#This Row],[Stock]])-ROW(T_WATCHLIST[[#Headers],[Stock]]))),"")</f>
        <v/>
      </c>
      <c r="G34" s="80" t="str" cm="1">
        <f t="array" ref="G34">IFERROR(_xlfn.FIELDVALUE(T_WATCHLIST[[#This Row],[Stock]],"Ticker Symbol"),"")</f>
        <v/>
      </c>
      <c r="H34" s="117"/>
      <c r="I34" s="81" t="str">
        <f>IF(T_WATCHLIST[[#This Row],[Stock]]="","",SUMIFS(T_TXN[UNITS],T_TXN[TYPE],"Buy",T_TXN[TICKER],T_WATCHLIST[[#This Row],[Stock]])-SUMIFS(T_TXN[UNITS],T_TXN[TYPE],"Sell",T_TXN[TICKER],T_WATCHLIST[[#This Row],[Stock]])+SUMIFS(T_TXN[UNITS],T_TXN[TYPE],"Dividend Reinvestment",T_TXN[TICKER],T_WATCHLIST[[#This Row],[Stock]]))</f>
        <v/>
      </c>
      <c r="J34" s="75" t="str" cm="1">
        <f t="array" ref="J34">IFERROR(_xlfn.FIELDVALUE(T_WATCHLIST[[#This Row],[Stock]],"Price"),"")</f>
        <v/>
      </c>
      <c r="K34" s="82" t="str" cm="1">
        <f t="array" ref="K34">IFERROR(_xlfn.FIELDVALUE(T_WATCHLIST[[#This Row],[Stock]],"Change"),"")</f>
        <v/>
      </c>
      <c r="L34" s="83" t="str" cm="1">
        <f t="array" ref="L34">IFERROR(_xlfn.FIELDVALUE(T_WATCHLIST[[#This Row],[Stock]],"Change (%)"),"")</f>
        <v/>
      </c>
      <c r="M34" s="84" t="str">
        <f>IF(T_WATCHLIST[[#This Row],[Stock]]="","",T_WATCHLIST[[#This Row],[Quantity]]*T_WATCHLIST[[#This Row],[Last Price]])</f>
        <v/>
      </c>
      <c r="N34" s="85" t="str" cm="1">
        <f t="array" ref="N34">IF(T_WATCHLIST[[#This Row],[Stock]]="","",T_WATCHLIST[[#This Row],[Current Value]]-_xlfn.FIELDVALUE(T_WATCHLIST[[#This Row],[Stock]],"Previous Close")*T_WATCHLIST[[#This Row],[Quantity]])</f>
        <v/>
      </c>
      <c r="O34" s="86" t="str">
        <f>IFERROR(T_WATCHLIST[[#This Row],[Today''s Gain/Loss]]/(T_WATCHLIST[[#This Row],[Current Value]]-T_WATCHLIST[[#This Row],[Today''s Gain/Loss]]),"")</f>
        <v/>
      </c>
      <c r="P34" s="84" t="str">
        <f>IFERROR(T_WATCHLIST[[#This Row],[Current Value]]-T_WATCHLIST[[#This Row],[% Total Gain/Loss9]],"")</f>
        <v/>
      </c>
      <c r="Q34" s="87" t="str">
        <f>IFERROR(T_WATCHLIST[[#This Row],[Total Gain/Loss]]/T_WATCHLIST[[#This Row],[% Total Gain/Loss9]],"")</f>
        <v/>
      </c>
      <c r="R34" s="88" t="str" cm="1">
        <f t="array" ref="R34">IFERROR(_xlfn.FIELDVALUE(T_WATCHLIST[[#This Row],[Stock]],"52 week low"),"")</f>
        <v/>
      </c>
      <c r="S3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4" s="73" t="str" cm="1">
        <f t="array" ref="T34">IFERROR(_xlfn.FIELDVALUE(T_WATCHLIST[[#This Row],[Stock]],"52 week high"),"")</f>
        <v/>
      </c>
      <c r="U34" s="64" t="str" cm="1">
        <f t="array" ref="U34">IF(T_WATCHLIST[[#This Row],[Stock]]="","",SUMPRODUCT(T_TXN[UNITS],--(T_TXN[TYPE]="Buy"),--(T_TXN[TICKER]=T_WATCHLIST[[#This Row],[Stock]])))</f>
        <v/>
      </c>
      <c r="V34" s="67" t="str" cm="1">
        <f t="array" ref="V34">IF(T_WATCHLIST[[#This Row],[Stock]]="","",SUMPRODUCT(--(T_TXN[TYPE]="Buy"),T_TXN[UNITS],T_TXN[PRICE],--(T_TXN[TICKER]=T_WATCHLIST[[#This Row],[Stock]])))</f>
        <v/>
      </c>
      <c r="W34" s="64" t="str" cm="1">
        <f t="array" ref="W34">IF(T_WATCHLIST[[#This Row],[Stock]]="","",SUMPRODUCT(T_TXN[UNITS],--(T_TXN[TYPE]="Sell"),--(T_TXN[TICKER]=T_WATCHLIST[[#This Row],[Stock]])))</f>
        <v/>
      </c>
      <c r="X34" s="67" t="str" cm="1">
        <f t="array" ref="X34">IF(T_WATCHLIST[[#This Row],[Stock]]="","",SUMPRODUCT(--(T_TXN[TYPE]="Sell"),T_TXN[UNITS],T_TXN[PRICE],--(T_TXN[TICKER]=T_WATCHLIST[[#This Row],[Stock]])))</f>
        <v/>
      </c>
      <c r="Y34" s="67" t="str" cm="1">
        <f t="array" ref="Y34">IF(T_WATCHLIST[[#This Row],[Stock]]="","",SUMPRODUCT(T_TXN[UNITS],T_TXN[PRICE],--(T_TXN[TYPE]="Buy"),--(T_TXN[TICKER]=T_WATCHLIST[[#This Row],[Stock]])) -SUMPRODUCT(T_TXN[UNITS],T_TXN[PRICE],--(T_TXN[TYPE]="Sell"),--(T_TXN[TICKER]=T_WATCHLIST[[#This Row],[Stock]])))</f>
        <v/>
      </c>
      <c r="Z34" s="64" t="str" cm="1">
        <f t="array" ref="Z34">IFERROR(IF(ROW(T_WATCHLIST[[#This Row],[Stock]])-ROW(T_WATCHLIST[[#Headers],[Stock]])&gt;=C_CNT_STOCKS,"",_FV(T_WATCHLIST[[#This Row],[Stock]],"Industry",TRUE)),"Not Available")</f>
        <v/>
      </c>
      <c r="AA34" s="64" t="str" cm="1">
        <f t="array" ref="AA34">IFERROR(IF(ROW(T_WATCHLIST[[#This Row],[Stock]])-ROW(T_WATCHLIST[[#Headers],[Stock]])&gt;=C_CNT_STOCKS,"",_FV(T_WATCHLIST[[#This Row],[Stock]],"Instrument type",TRUE)),"Not Available")</f>
        <v/>
      </c>
    </row>
    <row r="35" spans="1:27" ht="22" customHeight="1">
      <c r="A35" s="42" t="s">
        <v>111</v>
      </c>
      <c r="B35" s="42">
        <f>SUM(H3:H22)</f>
        <v>1</v>
      </c>
      <c r="C35" s="94" t="s">
        <v>112</v>
      </c>
      <c r="D35" s="42">
        <v>1</v>
      </c>
      <c r="E35" s="89"/>
      <c r="F35" s="75" t="str" cm="1">
        <f t="array" ref="F35">IFERROR(IF(ROW(T_WATCHLIST[[#This Row],[Stock]])-ROW(T_WATCHLIST[[#Headers],[Stock]])&gt;C_CNT_STOCKS,"",INDEX(_xlfn.ANCHORARRAY(HELP!$G$2),ROW(T_WATCHLIST[[#This Row],[Stock]])-ROW(T_WATCHLIST[[#Headers],[Stock]]))),"")</f>
        <v/>
      </c>
      <c r="G35" s="80" t="str" cm="1">
        <f t="array" ref="G35">IFERROR(_xlfn.FIELDVALUE(T_WATCHLIST[[#This Row],[Stock]],"Ticker Symbol"),"")</f>
        <v/>
      </c>
      <c r="H35" s="117"/>
      <c r="I35" s="81" t="str">
        <f>IF(T_WATCHLIST[[#This Row],[Stock]]="","",SUMIFS(T_TXN[UNITS],T_TXN[TYPE],"Buy",T_TXN[TICKER],T_WATCHLIST[[#This Row],[Stock]])-SUMIFS(T_TXN[UNITS],T_TXN[TYPE],"Sell",T_TXN[TICKER],T_WATCHLIST[[#This Row],[Stock]])+SUMIFS(T_TXN[UNITS],T_TXN[TYPE],"Dividend Reinvestment",T_TXN[TICKER],T_WATCHLIST[[#This Row],[Stock]]))</f>
        <v/>
      </c>
      <c r="J35" s="75" t="str" cm="1">
        <f t="array" ref="J35">IFERROR(_xlfn.FIELDVALUE(T_WATCHLIST[[#This Row],[Stock]],"Price"),"")</f>
        <v/>
      </c>
      <c r="K35" s="82" t="str" cm="1">
        <f t="array" ref="K35">IFERROR(_xlfn.FIELDVALUE(T_WATCHLIST[[#This Row],[Stock]],"Change"),"")</f>
        <v/>
      </c>
      <c r="L35" s="83" t="str" cm="1">
        <f t="array" ref="L35">IFERROR(_xlfn.FIELDVALUE(T_WATCHLIST[[#This Row],[Stock]],"Change (%)"),"")</f>
        <v/>
      </c>
      <c r="M35" s="84" t="str">
        <f>IF(T_WATCHLIST[[#This Row],[Stock]]="","",T_WATCHLIST[[#This Row],[Quantity]]*T_WATCHLIST[[#This Row],[Last Price]])</f>
        <v/>
      </c>
      <c r="N35" s="85" t="str" cm="1">
        <f t="array" ref="N35">IF(T_WATCHLIST[[#This Row],[Stock]]="","",T_WATCHLIST[[#This Row],[Current Value]]-_xlfn.FIELDVALUE(T_WATCHLIST[[#This Row],[Stock]],"Previous Close")*T_WATCHLIST[[#This Row],[Quantity]])</f>
        <v/>
      </c>
      <c r="O35" s="86" t="str">
        <f>IFERROR(T_WATCHLIST[[#This Row],[Today''s Gain/Loss]]/(T_WATCHLIST[[#This Row],[Current Value]]-T_WATCHLIST[[#This Row],[Today''s Gain/Loss]]),"")</f>
        <v/>
      </c>
      <c r="P35" s="84" t="str">
        <f>IFERROR(T_WATCHLIST[[#This Row],[Current Value]]-T_WATCHLIST[[#This Row],[% Total Gain/Loss9]],"")</f>
        <v/>
      </c>
      <c r="Q35" s="87" t="str">
        <f>IFERROR(T_WATCHLIST[[#This Row],[Total Gain/Loss]]/T_WATCHLIST[[#This Row],[% Total Gain/Loss9]],"")</f>
        <v/>
      </c>
      <c r="R35" s="88" t="str" cm="1">
        <f t="array" ref="R35">IFERROR(_xlfn.FIELDVALUE(T_WATCHLIST[[#This Row],[Stock]],"52 week low"),"")</f>
        <v/>
      </c>
      <c r="S3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5" s="73" t="str" cm="1">
        <f t="array" ref="T35">IFERROR(_xlfn.FIELDVALUE(T_WATCHLIST[[#This Row],[Stock]],"52 week high"),"")</f>
        <v/>
      </c>
      <c r="U35" s="64" t="str" cm="1">
        <f t="array" ref="U35">IF(T_WATCHLIST[[#This Row],[Stock]]="","",SUMPRODUCT(T_TXN[UNITS],--(T_TXN[TYPE]="Buy"),--(T_TXN[TICKER]=T_WATCHLIST[[#This Row],[Stock]])))</f>
        <v/>
      </c>
      <c r="V35" s="67" t="str" cm="1">
        <f t="array" ref="V35">IF(T_WATCHLIST[[#This Row],[Stock]]="","",SUMPRODUCT(--(T_TXN[TYPE]="Buy"),T_TXN[UNITS],T_TXN[PRICE],--(T_TXN[TICKER]=T_WATCHLIST[[#This Row],[Stock]])))</f>
        <v/>
      </c>
      <c r="W35" s="64" t="str" cm="1">
        <f t="array" ref="W35">IF(T_WATCHLIST[[#This Row],[Stock]]="","",SUMPRODUCT(T_TXN[UNITS],--(T_TXN[TYPE]="Sell"),--(T_TXN[TICKER]=T_WATCHLIST[[#This Row],[Stock]])))</f>
        <v/>
      </c>
      <c r="X35" s="67" t="str" cm="1">
        <f t="array" ref="X35">IF(T_WATCHLIST[[#This Row],[Stock]]="","",SUMPRODUCT(--(T_TXN[TYPE]="Sell"),T_TXN[UNITS],T_TXN[PRICE],--(T_TXN[TICKER]=T_WATCHLIST[[#This Row],[Stock]])))</f>
        <v/>
      </c>
      <c r="Y35" s="67" t="str" cm="1">
        <f t="array" ref="Y35">IF(T_WATCHLIST[[#This Row],[Stock]]="","",SUMPRODUCT(T_TXN[UNITS],T_TXN[PRICE],--(T_TXN[TYPE]="Buy"),--(T_TXN[TICKER]=T_WATCHLIST[[#This Row],[Stock]])) -SUMPRODUCT(T_TXN[UNITS],T_TXN[PRICE],--(T_TXN[TYPE]="Sell"),--(T_TXN[TICKER]=T_WATCHLIST[[#This Row],[Stock]])))</f>
        <v/>
      </c>
      <c r="Z35" s="64" t="str" cm="1">
        <f t="array" ref="Z35">IFERROR(IF(ROW(T_WATCHLIST[[#This Row],[Stock]])-ROW(T_WATCHLIST[[#Headers],[Stock]])&gt;=C_CNT_STOCKS,"",_FV(T_WATCHLIST[[#This Row],[Stock]],"Industry",TRUE)),"Not Available")</f>
        <v/>
      </c>
      <c r="AA35" s="64" t="str" cm="1">
        <f t="array" ref="AA35">IFERROR(IF(ROW(T_WATCHLIST[[#This Row],[Stock]])-ROW(T_WATCHLIST[[#Headers],[Stock]])&gt;=C_CNT_STOCKS,"",_FV(T_WATCHLIST[[#This Row],[Stock]],"Instrument type",TRUE)),"Not Available")</f>
        <v/>
      </c>
    </row>
    <row r="36" spans="1:27" ht="22" customHeight="1">
      <c r="E36" s="89"/>
      <c r="F36" s="75" t="str" cm="1">
        <f t="array" ref="F36">IFERROR(IF(ROW(T_WATCHLIST[[#This Row],[Stock]])-ROW(T_WATCHLIST[[#Headers],[Stock]])&gt;C_CNT_STOCKS,"",INDEX(_xlfn.ANCHORARRAY(HELP!$G$2),ROW(T_WATCHLIST[[#This Row],[Stock]])-ROW(T_WATCHLIST[[#Headers],[Stock]]))),"")</f>
        <v/>
      </c>
      <c r="G36" s="80" t="str" cm="1">
        <f t="array" ref="G36">IFERROR(_xlfn.FIELDVALUE(T_WATCHLIST[[#This Row],[Stock]],"Ticker Symbol"),"")</f>
        <v/>
      </c>
      <c r="H36" s="117"/>
      <c r="I36" s="81" t="str">
        <f>IF(T_WATCHLIST[[#This Row],[Stock]]="","",SUMIFS(T_TXN[UNITS],T_TXN[TYPE],"Buy",T_TXN[TICKER],T_WATCHLIST[[#This Row],[Stock]])-SUMIFS(T_TXN[UNITS],T_TXN[TYPE],"Sell",T_TXN[TICKER],T_WATCHLIST[[#This Row],[Stock]])+SUMIFS(T_TXN[UNITS],T_TXN[TYPE],"Dividend Reinvestment",T_TXN[TICKER],T_WATCHLIST[[#This Row],[Stock]]))</f>
        <v/>
      </c>
      <c r="J36" s="75" t="str" cm="1">
        <f t="array" ref="J36">IFERROR(_xlfn.FIELDVALUE(T_WATCHLIST[[#This Row],[Stock]],"Price"),"")</f>
        <v/>
      </c>
      <c r="K36" s="82" t="str" cm="1">
        <f t="array" ref="K36">IFERROR(_xlfn.FIELDVALUE(T_WATCHLIST[[#This Row],[Stock]],"Change"),"")</f>
        <v/>
      </c>
      <c r="L36" s="83" t="str" cm="1">
        <f t="array" ref="L36">IFERROR(_xlfn.FIELDVALUE(T_WATCHLIST[[#This Row],[Stock]],"Change (%)"),"")</f>
        <v/>
      </c>
      <c r="M36" s="84" t="str">
        <f>IF(T_WATCHLIST[[#This Row],[Stock]]="","",T_WATCHLIST[[#This Row],[Quantity]]*T_WATCHLIST[[#This Row],[Last Price]])</f>
        <v/>
      </c>
      <c r="N36" s="85" t="str" cm="1">
        <f t="array" ref="N36">IF(T_WATCHLIST[[#This Row],[Stock]]="","",T_WATCHLIST[[#This Row],[Current Value]]-_xlfn.FIELDVALUE(T_WATCHLIST[[#This Row],[Stock]],"Previous Close")*T_WATCHLIST[[#This Row],[Quantity]])</f>
        <v/>
      </c>
      <c r="O36" s="86" t="str">
        <f>IFERROR(T_WATCHLIST[[#This Row],[Today''s Gain/Loss]]/(T_WATCHLIST[[#This Row],[Current Value]]-T_WATCHLIST[[#This Row],[Today''s Gain/Loss]]),"")</f>
        <v/>
      </c>
      <c r="P36" s="84" t="str">
        <f>IFERROR(T_WATCHLIST[[#This Row],[Current Value]]-T_WATCHLIST[[#This Row],[% Total Gain/Loss9]],"")</f>
        <v/>
      </c>
      <c r="Q36" s="87" t="str">
        <f>IFERROR(T_WATCHLIST[[#This Row],[Total Gain/Loss]]/T_WATCHLIST[[#This Row],[% Total Gain/Loss9]],"")</f>
        <v/>
      </c>
      <c r="R36" s="88" t="str" cm="1">
        <f t="array" ref="R36">IFERROR(_xlfn.FIELDVALUE(T_WATCHLIST[[#This Row],[Stock]],"52 week low"),"")</f>
        <v/>
      </c>
      <c r="S3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6" s="73" t="str" cm="1">
        <f t="array" ref="T36">IFERROR(_xlfn.FIELDVALUE(T_WATCHLIST[[#This Row],[Stock]],"52 week high"),"")</f>
        <v/>
      </c>
      <c r="U36" s="64" t="str" cm="1">
        <f t="array" ref="U36">IF(T_WATCHLIST[[#This Row],[Stock]]="","",SUMPRODUCT(T_TXN[UNITS],--(T_TXN[TYPE]="Buy"),--(T_TXN[TICKER]=T_WATCHLIST[[#This Row],[Stock]])))</f>
        <v/>
      </c>
      <c r="V36" s="67" t="str" cm="1">
        <f t="array" ref="V36">IF(T_WATCHLIST[[#This Row],[Stock]]="","",SUMPRODUCT(--(T_TXN[TYPE]="Buy"),T_TXN[UNITS],T_TXN[PRICE],--(T_TXN[TICKER]=T_WATCHLIST[[#This Row],[Stock]])))</f>
        <v/>
      </c>
      <c r="W36" s="64" t="str" cm="1">
        <f t="array" ref="W36">IF(T_WATCHLIST[[#This Row],[Stock]]="","",SUMPRODUCT(T_TXN[UNITS],--(T_TXN[TYPE]="Sell"),--(T_TXN[TICKER]=T_WATCHLIST[[#This Row],[Stock]])))</f>
        <v/>
      </c>
      <c r="X36" s="67" t="str" cm="1">
        <f t="array" ref="X36">IF(T_WATCHLIST[[#This Row],[Stock]]="","",SUMPRODUCT(--(T_TXN[TYPE]="Sell"),T_TXN[UNITS],T_TXN[PRICE],--(T_TXN[TICKER]=T_WATCHLIST[[#This Row],[Stock]])))</f>
        <v/>
      </c>
      <c r="Y36" s="67" t="str" cm="1">
        <f t="array" ref="Y36">IF(T_WATCHLIST[[#This Row],[Stock]]="","",SUMPRODUCT(T_TXN[UNITS],T_TXN[PRICE],--(T_TXN[TYPE]="Buy"),--(T_TXN[TICKER]=T_WATCHLIST[[#This Row],[Stock]])) -SUMPRODUCT(T_TXN[UNITS],T_TXN[PRICE],--(T_TXN[TYPE]="Sell"),--(T_TXN[TICKER]=T_WATCHLIST[[#This Row],[Stock]])))</f>
        <v/>
      </c>
      <c r="Z36" s="64" t="str" cm="1">
        <f t="array" ref="Z36">IFERROR(IF(ROW(T_WATCHLIST[[#This Row],[Stock]])-ROW(T_WATCHLIST[[#Headers],[Stock]])&gt;=C_CNT_STOCKS,"",_FV(T_WATCHLIST[[#This Row],[Stock]],"Industry",TRUE)),"Not Available")</f>
        <v/>
      </c>
      <c r="AA36" s="64" t="str" cm="1">
        <f t="array" ref="AA36">IFERROR(IF(ROW(T_WATCHLIST[[#This Row],[Stock]])-ROW(T_WATCHLIST[[#Headers],[Stock]])&gt;=C_CNT_STOCKS,"",_FV(T_WATCHLIST[[#This Row],[Stock]],"Instrument type",TRUE)),"Not Available")</f>
        <v/>
      </c>
    </row>
    <row r="37" spans="1:27" ht="22" customHeight="1">
      <c r="E37" s="89"/>
      <c r="F37" s="75" t="str" cm="1">
        <f t="array" ref="F37">IFERROR(IF(ROW(T_WATCHLIST[[#This Row],[Stock]])-ROW(T_WATCHLIST[[#Headers],[Stock]])&gt;C_CNT_STOCKS,"",INDEX(_xlfn.ANCHORARRAY(HELP!$G$2),ROW(T_WATCHLIST[[#This Row],[Stock]])-ROW(T_WATCHLIST[[#Headers],[Stock]]))),"")</f>
        <v/>
      </c>
      <c r="G37" s="80" t="str" cm="1">
        <f t="array" ref="G37">IFERROR(_xlfn.FIELDVALUE(T_WATCHLIST[[#This Row],[Stock]],"Ticker Symbol"),"")</f>
        <v/>
      </c>
      <c r="H37" s="117"/>
      <c r="I37" s="81" t="str">
        <f>IF(T_WATCHLIST[[#This Row],[Stock]]="","",SUMIFS(T_TXN[UNITS],T_TXN[TYPE],"Buy",T_TXN[TICKER],T_WATCHLIST[[#This Row],[Stock]])-SUMIFS(T_TXN[UNITS],T_TXN[TYPE],"Sell",T_TXN[TICKER],T_WATCHLIST[[#This Row],[Stock]])+SUMIFS(T_TXN[UNITS],T_TXN[TYPE],"Dividend Reinvestment",T_TXN[TICKER],T_WATCHLIST[[#This Row],[Stock]]))</f>
        <v/>
      </c>
      <c r="J37" s="75" t="str" cm="1">
        <f t="array" ref="J37">IFERROR(_xlfn.FIELDVALUE(T_WATCHLIST[[#This Row],[Stock]],"Price"),"")</f>
        <v/>
      </c>
      <c r="K37" s="82" t="str" cm="1">
        <f t="array" ref="K37">IFERROR(_xlfn.FIELDVALUE(T_WATCHLIST[[#This Row],[Stock]],"Change"),"")</f>
        <v/>
      </c>
      <c r="L37" s="83" t="str" cm="1">
        <f t="array" ref="L37">IFERROR(_xlfn.FIELDVALUE(T_WATCHLIST[[#This Row],[Stock]],"Change (%)"),"")</f>
        <v/>
      </c>
      <c r="M37" s="84" t="str">
        <f>IF(T_WATCHLIST[[#This Row],[Stock]]="","",T_WATCHLIST[[#This Row],[Quantity]]*T_WATCHLIST[[#This Row],[Last Price]])</f>
        <v/>
      </c>
      <c r="N37" s="85" t="str" cm="1">
        <f t="array" ref="N37">IF(T_WATCHLIST[[#This Row],[Stock]]="","",T_WATCHLIST[[#This Row],[Current Value]]-_xlfn.FIELDVALUE(T_WATCHLIST[[#This Row],[Stock]],"Previous Close")*T_WATCHLIST[[#This Row],[Quantity]])</f>
        <v/>
      </c>
      <c r="O37" s="86" t="str">
        <f>IFERROR(T_WATCHLIST[[#This Row],[Today''s Gain/Loss]]/(T_WATCHLIST[[#This Row],[Current Value]]-T_WATCHLIST[[#This Row],[Today''s Gain/Loss]]),"")</f>
        <v/>
      </c>
      <c r="P37" s="84" t="str">
        <f>IFERROR(T_WATCHLIST[[#This Row],[Current Value]]-T_WATCHLIST[[#This Row],[% Total Gain/Loss9]],"")</f>
        <v/>
      </c>
      <c r="Q37" s="87" t="str">
        <f>IFERROR(T_WATCHLIST[[#This Row],[Total Gain/Loss]]/T_WATCHLIST[[#This Row],[% Total Gain/Loss9]],"")</f>
        <v/>
      </c>
      <c r="R37" s="88" t="str" cm="1">
        <f t="array" ref="R37">IFERROR(_xlfn.FIELDVALUE(T_WATCHLIST[[#This Row],[Stock]],"52 week low"),"")</f>
        <v/>
      </c>
      <c r="S3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7" s="73" t="str" cm="1">
        <f t="array" ref="T37">IFERROR(_xlfn.FIELDVALUE(T_WATCHLIST[[#This Row],[Stock]],"52 week high"),"")</f>
        <v/>
      </c>
      <c r="U37" s="64" t="str" cm="1">
        <f t="array" ref="U37">IF(T_WATCHLIST[[#This Row],[Stock]]="","",SUMPRODUCT(T_TXN[UNITS],--(T_TXN[TYPE]="Buy"),--(T_TXN[TICKER]=T_WATCHLIST[[#This Row],[Stock]])))</f>
        <v/>
      </c>
      <c r="V37" s="67" t="str" cm="1">
        <f t="array" ref="V37">IF(T_WATCHLIST[[#This Row],[Stock]]="","",SUMPRODUCT(--(T_TXN[TYPE]="Buy"),T_TXN[UNITS],T_TXN[PRICE],--(T_TXN[TICKER]=T_WATCHLIST[[#This Row],[Stock]])))</f>
        <v/>
      </c>
      <c r="W37" s="64" t="str" cm="1">
        <f t="array" ref="W37">IF(T_WATCHLIST[[#This Row],[Stock]]="","",SUMPRODUCT(T_TXN[UNITS],--(T_TXN[TYPE]="Sell"),--(T_TXN[TICKER]=T_WATCHLIST[[#This Row],[Stock]])))</f>
        <v/>
      </c>
      <c r="X37" s="67" t="str" cm="1">
        <f t="array" ref="X37">IF(T_WATCHLIST[[#This Row],[Stock]]="","",SUMPRODUCT(--(T_TXN[TYPE]="Sell"),T_TXN[UNITS],T_TXN[PRICE],--(T_TXN[TICKER]=T_WATCHLIST[[#This Row],[Stock]])))</f>
        <v/>
      </c>
      <c r="Y37" s="67" t="str" cm="1">
        <f t="array" ref="Y37">IF(T_WATCHLIST[[#This Row],[Stock]]="","",SUMPRODUCT(T_TXN[UNITS],T_TXN[PRICE],--(T_TXN[TYPE]="Buy"),--(T_TXN[TICKER]=T_WATCHLIST[[#This Row],[Stock]])) -SUMPRODUCT(T_TXN[UNITS],T_TXN[PRICE],--(T_TXN[TYPE]="Sell"),--(T_TXN[TICKER]=T_WATCHLIST[[#This Row],[Stock]])))</f>
        <v/>
      </c>
      <c r="Z37" s="64" t="str" cm="1">
        <f t="array" ref="Z37">IFERROR(IF(ROW(T_WATCHLIST[[#This Row],[Stock]])-ROW(T_WATCHLIST[[#Headers],[Stock]])&gt;=C_CNT_STOCKS,"",_FV(T_WATCHLIST[[#This Row],[Stock]],"Industry",TRUE)),"Not Available")</f>
        <v/>
      </c>
      <c r="AA37" s="64" t="str" cm="1">
        <f t="array" ref="AA37">IFERROR(IF(ROW(T_WATCHLIST[[#This Row],[Stock]])-ROW(T_WATCHLIST[[#Headers],[Stock]])&gt;=C_CNT_STOCKS,"",_FV(T_WATCHLIST[[#This Row],[Stock]],"Instrument type",TRUE)),"Not Available")</f>
        <v/>
      </c>
    </row>
    <row r="38" spans="1:27" ht="22" customHeight="1">
      <c r="E38" s="89"/>
      <c r="F38" s="75" t="str" cm="1">
        <f t="array" ref="F38">IFERROR(IF(ROW(T_WATCHLIST[[#This Row],[Stock]])-ROW(T_WATCHLIST[[#Headers],[Stock]])&gt;C_CNT_STOCKS,"",INDEX(_xlfn.ANCHORARRAY(HELP!$G$2),ROW(T_WATCHLIST[[#This Row],[Stock]])-ROW(T_WATCHLIST[[#Headers],[Stock]]))),"")</f>
        <v/>
      </c>
      <c r="G38" s="80" t="str" cm="1">
        <f t="array" ref="G38">IFERROR(_xlfn.FIELDVALUE(T_WATCHLIST[[#This Row],[Stock]],"Ticker Symbol"),"")</f>
        <v/>
      </c>
      <c r="H38" s="117"/>
      <c r="I38" s="81" t="str">
        <f>IF(T_WATCHLIST[[#This Row],[Stock]]="","",SUMIFS(T_TXN[UNITS],T_TXN[TYPE],"Buy",T_TXN[TICKER],T_WATCHLIST[[#This Row],[Stock]])-SUMIFS(T_TXN[UNITS],T_TXN[TYPE],"Sell",T_TXN[TICKER],T_WATCHLIST[[#This Row],[Stock]])+SUMIFS(T_TXN[UNITS],T_TXN[TYPE],"Dividend Reinvestment",T_TXN[TICKER],T_WATCHLIST[[#This Row],[Stock]]))</f>
        <v/>
      </c>
      <c r="J38" s="75" t="str" cm="1">
        <f t="array" ref="J38">IFERROR(_xlfn.FIELDVALUE(T_WATCHLIST[[#This Row],[Stock]],"Price"),"")</f>
        <v/>
      </c>
      <c r="K38" s="82" t="str" cm="1">
        <f t="array" ref="K38">IFERROR(_xlfn.FIELDVALUE(T_WATCHLIST[[#This Row],[Stock]],"Change"),"")</f>
        <v/>
      </c>
      <c r="L38" s="83" t="str" cm="1">
        <f t="array" ref="L38">IFERROR(_xlfn.FIELDVALUE(T_WATCHLIST[[#This Row],[Stock]],"Change (%)"),"")</f>
        <v/>
      </c>
      <c r="M38" s="84" t="str">
        <f>IF(T_WATCHLIST[[#This Row],[Stock]]="","",T_WATCHLIST[[#This Row],[Quantity]]*T_WATCHLIST[[#This Row],[Last Price]])</f>
        <v/>
      </c>
      <c r="N38" s="85" t="str" cm="1">
        <f t="array" ref="N38">IF(T_WATCHLIST[[#This Row],[Stock]]="","",T_WATCHLIST[[#This Row],[Current Value]]-_xlfn.FIELDVALUE(T_WATCHLIST[[#This Row],[Stock]],"Previous Close")*T_WATCHLIST[[#This Row],[Quantity]])</f>
        <v/>
      </c>
      <c r="O38" s="86" t="str">
        <f>IFERROR(T_WATCHLIST[[#This Row],[Today''s Gain/Loss]]/(T_WATCHLIST[[#This Row],[Current Value]]-T_WATCHLIST[[#This Row],[Today''s Gain/Loss]]),"")</f>
        <v/>
      </c>
      <c r="P38" s="84" t="str">
        <f>IFERROR(T_WATCHLIST[[#This Row],[Current Value]]-T_WATCHLIST[[#This Row],[% Total Gain/Loss9]],"")</f>
        <v/>
      </c>
      <c r="Q38" s="87" t="str">
        <f>IFERROR(T_WATCHLIST[[#This Row],[Total Gain/Loss]]/T_WATCHLIST[[#This Row],[% Total Gain/Loss9]],"")</f>
        <v/>
      </c>
      <c r="R38" s="88" t="str" cm="1">
        <f t="array" ref="R38">IFERROR(_xlfn.FIELDVALUE(T_WATCHLIST[[#This Row],[Stock]],"52 week low"),"")</f>
        <v/>
      </c>
      <c r="S3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8" s="73" t="str" cm="1">
        <f t="array" ref="T38">IFERROR(_xlfn.FIELDVALUE(T_WATCHLIST[[#This Row],[Stock]],"52 week high"),"")</f>
        <v/>
      </c>
      <c r="U38" s="64" t="str" cm="1">
        <f t="array" ref="U38">IF(T_WATCHLIST[[#This Row],[Stock]]="","",SUMPRODUCT(T_TXN[UNITS],--(T_TXN[TYPE]="Buy"),--(T_TXN[TICKER]=T_WATCHLIST[[#This Row],[Stock]])))</f>
        <v/>
      </c>
      <c r="V38" s="67" t="str" cm="1">
        <f t="array" ref="V38">IF(T_WATCHLIST[[#This Row],[Stock]]="","",SUMPRODUCT(--(T_TXN[TYPE]="Buy"),T_TXN[UNITS],T_TXN[PRICE],--(T_TXN[TICKER]=T_WATCHLIST[[#This Row],[Stock]])))</f>
        <v/>
      </c>
      <c r="W38" s="64" t="str" cm="1">
        <f t="array" ref="W38">IF(T_WATCHLIST[[#This Row],[Stock]]="","",SUMPRODUCT(T_TXN[UNITS],--(T_TXN[TYPE]="Sell"),--(T_TXN[TICKER]=T_WATCHLIST[[#This Row],[Stock]])))</f>
        <v/>
      </c>
      <c r="X38" s="67" t="str" cm="1">
        <f t="array" ref="X38">IF(T_WATCHLIST[[#This Row],[Stock]]="","",SUMPRODUCT(--(T_TXN[TYPE]="Sell"),T_TXN[UNITS],T_TXN[PRICE],--(T_TXN[TICKER]=T_WATCHLIST[[#This Row],[Stock]])))</f>
        <v/>
      </c>
      <c r="Y38" s="67" t="str" cm="1">
        <f t="array" ref="Y38">IF(T_WATCHLIST[[#This Row],[Stock]]="","",SUMPRODUCT(T_TXN[UNITS],T_TXN[PRICE],--(T_TXN[TYPE]="Buy"),--(T_TXN[TICKER]=T_WATCHLIST[[#This Row],[Stock]])) -SUMPRODUCT(T_TXN[UNITS],T_TXN[PRICE],--(T_TXN[TYPE]="Sell"),--(T_TXN[TICKER]=T_WATCHLIST[[#This Row],[Stock]])))</f>
        <v/>
      </c>
      <c r="Z38" s="64" t="str" cm="1">
        <f t="array" ref="Z38">IFERROR(IF(ROW(T_WATCHLIST[[#This Row],[Stock]])-ROW(T_WATCHLIST[[#Headers],[Stock]])&gt;=C_CNT_STOCKS,"",_FV(T_WATCHLIST[[#This Row],[Stock]],"Industry",TRUE)),"Not Available")</f>
        <v/>
      </c>
      <c r="AA38" s="64" t="str" cm="1">
        <f t="array" ref="AA38">IFERROR(IF(ROW(T_WATCHLIST[[#This Row],[Stock]])-ROW(T_WATCHLIST[[#Headers],[Stock]])&gt;=C_CNT_STOCKS,"",_FV(T_WATCHLIST[[#This Row],[Stock]],"Instrument type",TRUE)),"Not Available")</f>
        <v/>
      </c>
    </row>
    <row r="39" spans="1:27" ht="22" customHeight="1">
      <c r="E39" s="89"/>
      <c r="F39" s="75" t="str" cm="1">
        <f t="array" ref="F39">IFERROR(IF(ROW(T_WATCHLIST[[#This Row],[Stock]])-ROW(T_WATCHLIST[[#Headers],[Stock]])&gt;C_CNT_STOCKS,"",INDEX(_xlfn.ANCHORARRAY(HELP!$G$2),ROW(T_WATCHLIST[[#This Row],[Stock]])-ROW(T_WATCHLIST[[#Headers],[Stock]]))),"")</f>
        <v/>
      </c>
      <c r="G39" s="80" t="str" cm="1">
        <f t="array" ref="G39">IFERROR(_xlfn.FIELDVALUE(T_WATCHLIST[[#This Row],[Stock]],"Ticker Symbol"),"")</f>
        <v/>
      </c>
      <c r="H39" s="117"/>
      <c r="I39" s="81" t="str">
        <f>IF(T_WATCHLIST[[#This Row],[Stock]]="","",SUMIFS(T_TXN[UNITS],T_TXN[TYPE],"Buy",T_TXN[TICKER],T_WATCHLIST[[#This Row],[Stock]])-SUMIFS(T_TXN[UNITS],T_TXN[TYPE],"Sell",T_TXN[TICKER],T_WATCHLIST[[#This Row],[Stock]])+SUMIFS(T_TXN[UNITS],T_TXN[TYPE],"Dividend Reinvestment",T_TXN[TICKER],T_WATCHLIST[[#This Row],[Stock]]))</f>
        <v/>
      </c>
      <c r="J39" s="75" t="str" cm="1">
        <f t="array" ref="J39">IFERROR(_xlfn.FIELDVALUE(T_WATCHLIST[[#This Row],[Stock]],"Price"),"")</f>
        <v/>
      </c>
      <c r="K39" s="82" t="str" cm="1">
        <f t="array" ref="K39">IFERROR(_xlfn.FIELDVALUE(T_WATCHLIST[[#This Row],[Stock]],"Change"),"")</f>
        <v/>
      </c>
      <c r="L39" s="83" t="str" cm="1">
        <f t="array" ref="L39">IFERROR(_xlfn.FIELDVALUE(T_WATCHLIST[[#This Row],[Stock]],"Change (%)"),"")</f>
        <v/>
      </c>
      <c r="M39" s="84" t="str">
        <f>IF(T_WATCHLIST[[#This Row],[Stock]]="","",T_WATCHLIST[[#This Row],[Quantity]]*T_WATCHLIST[[#This Row],[Last Price]])</f>
        <v/>
      </c>
      <c r="N39" s="85" t="str" cm="1">
        <f t="array" ref="N39">IF(T_WATCHLIST[[#This Row],[Stock]]="","",T_WATCHLIST[[#This Row],[Current Value]]-_xlfn.FIELDVALUE(T_WATCHLIST[[#This Row],[Stock]],"Previous Close")*T_WATCHLIST[[#This Row],[Quantity]])</f>
        <v/>
      </c>
      <c r="O39" s="86" t="str">
        <f>IFERROR(T_WATCHLIST[[#This Row],[Today''s Gain/Loss]]/(T_WATCHLIST[[#This Row],[Current Value]]-T_WATCHLIST[[#This Row],[Today''s Gain/Loss]]),"")</f>
        <v/>
      </c>
      <c r="P39" s="84" t="str">
        <f>IFERROR(T_WATCHLIST[[#This Row],[Current Value]]-T_WATCHLIST[[#This Row],[% Total Gain/Loss9]],"")</f>
        <v/>
      </c>
      <c r="Q39" s="87" t="str">
        <f>IFERROR(T_WATCHLIST[[#This Row],[Total Gain/Loss]]/T_WATCHLIST[[#This Row],[% Total Gain/Loss9]],"")</f>
        <v/>
      </c>
      <c r="R39" s="88" t="str" cm="1">
        <f t="array" ref="R39">IFERROR(_xlfn.FIELDVALUE(T_WATCHLIST[[#This Row],[Stock]],"52 week low"),"")</f>
        <v/>
      </c>
      <c r="S3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39" s="73" t="str" cm="1">
        <f t="array" ref="T39">IFERROR(_xlfn.FIELDVALUE(T_WATCHLIST[[#This Row],[Stock]],"52 week high"),"")</f>
        <v/>
      </c>
      <c r="U39" s="64" t="str" cm="1">
        <f t="array" ref="U39">IF(T_WATCHLIST[[#This Row],[Stock]]="","",SUMPRODUCT(T_TXN[UNITS],--(T_TXN[TYPE]="Buy"),--(T_TXN[TICKER]=T_WATCHLIST[[#This Row],[Stock]])))</f>
        <v/>
      </c>
      <c r="V39" s="67" t="str" cm="1">
        <f t="array" ref="V39">IF(T_WATCHLIST[[#This Row],[Stock]]="","",SUMPRODUCT(--(T_TXN[TYPE]="Buy"),T_TXN[UNITS],T_TXN[PRICE],--(T_TXN[TICKER]=T_WATCHLIST[[#This Row],[Stock]])))</f>
        <v/>
      </c>
      <c r="W39" s="64" t="str" cm="1">
        <f t="array" ref="W39">IF(T_WATCHLIST[[#This Row],[Stock]]="","",SUMPRODUCT(T_TXN[UNITS],--(T_TXN[TYPE]="Sell"),--(T_TXN[TICKER]=T_WATCHLIST[[#This Row],[Stock]])))</f>
        <v/>
      </c>
      <c r="X39" s="67" t="str" cm="1">
        <f t="array" ref="X39">IF(T_WATCHLIST[[#This Row],[Stock]]="","",SUMPRODUCT(--(T_TXN[TYPE]="Sell"),T_TXN[UNITS],T_TXN[PRICE],--(T_TXN[TICKER]=T_WATCHLIST[[#This Row],[Stock]])))</f>
        <v/>
      </c>
      <c r="Y39" s="67" t="str" cm="1">
        <f t="array" ref="Y39">IF(T_WATCHLIST[[#This Row],[Stock]]="","",SUMPRODUCT(T_TXN[UNITS],T_TXN[PRICE],--(T_TXN[TYPE]="Buy"),--(T_TXN[TICKER]=T_WATCHLIST[[#This Row],[Stock]])) -SUMPRODUCT(T_TXN[UNITS],T_TXN[PRICE],--(T_TXN[TYPE]="Sell"),--(T_TXN[TICKER]=T_WATCHLIST[[#This Row],[Stock]])))</f>
        <v/>
      </c>
      <c r="Z39" s="64" t="str" cm="1">
        <f t="array" ref="Z39">IFERROR(IF(ROW(T_WATCHLIST[[#This Row],[Stock]])-ROW(T_WATCHLIST[[#Headers],[Stock]])&gt;=C_CNT_STOCKS,"",_FV(T_WATCHLIST[[#This Row],[Stock]],"Industry",TRUE)),"Not Available")</f>
        <v/>
      </c>
      <c r="AA39" s="64" t="str" cm="1">
        <f t="array" ref="AA39">IFERROR(IF(ROW(T_WATCHLIST[[#This Row],[Stock]])-ROW(T_WATCHLIST[[#Headers],[Stock]])&gt;=C_CNT_STOCKS,"",_FV(T_WATCHLIST[[#This Row],[Stock]],"Instrument type",TRUE)),"Not Available")</f>
        <v/>
      </c>
    </row>
    <row r="40" spans="1:27" ht="22" customHeight="1">
      <c r="E40" s="89"/>
      <c r="F40" s="75" t="str" cm="1">
        <f t="array" ref="F40">IFERROR(IF(ROW(T_WATCHLIST[[#This Row],[Stock]])-ROW(T_WATCHLIST[[#Headers],[Stock]])&gt;C_CNT_STOCKS,"",INDEX(_xlfn.ANCHORARRAY(HELP!$G$2),ROW(T_WATCHLIST[[#This Row],[Stock]])-ROW(T_WATCHLIST[[#Headers],[Stock]]))),"")</f>
        <v/>
      </c>
      <c r="G40" s="80" t="str" cm="1">
        <f t="array" ref="G40">IFERROR(_xlfn.FIELDVALUE(T_WATCHLIST[[#This Row],[Stock]],"Ticker Symbol"),"")</f>
        <v/>
      </c>
      <c r="H40" s="117"/>
      <c r="I40" s="81" t="str">
        <f>IF(T_WATCHLIST[[#This Row],[Stock]]="","",SUMIFS(T_TXN[UNITS],T_TXN[TYPE],"Buy",T_TXN[TICKER],T_WATCHLIST[[#This Row],[Stock]])-SUMIFS(T_TXN[UNITS],T_TXN[TYPE],"Sell",T_TXN[TICKER],T_WATCHLIST[[#This Row],[Stock]])+SUMIFS(T_TXN[UNITS],T_TXN[TYPE],"Dividend Reinvestment",T_TXN[TICKER],T_WATCHLIST[[#This Row],[Stock]]))</f>
        <v/>
      </c>
      <c r="J40" s="75" t="str" cm="1">
        <f t="array" ref="J40">IFERROR(_xlfn.FIELDVALUE(T_WATCHLIST[[#This Row],[Stock]],"Price"),"")</f>
        <v/>
      </c>
      <c r="K40" s="82" t="str" cm="1">
        <f t="array" ref="K40">IFERROR(_xlfn.FIELDVALUE(T_WATCHLIST[[#This Row],[Stock]],"Change"),"")</f>
        <v/>
      </c>
      <c r="L40" s="83" t="str" cm="1">
        <f t="array" ref="L40">IFERROR(_xlfn.FIELDVALUE(T_WATCHLIST[[#This Row],[Stock]],"Change (%)"),"")</f>
        <v/>
      </c>
      <c r="M40" s="84" t="str">
        <f>IF(T_WATCHLIST[[#This Row],[Stock]]="","",T_WATCHLIST[[#This Row],[Quantity]]*T_WATCHLIST[[#This Row],[Last Price]])</f>
        <v/>
      </c>
      <c r="N40" s="85" t="str" cm="1">
        <f t="array" ref="N40">IF(T_WATCHLIST[[#This Row],[Stock]]="","",T_WATCHLIST[[#This Row],[Current Value]]-_xlfn.FIELDVALUE(T_WATCHLIST[[#This Row],[Stock]],"Previous Close")*T_WATCHLIST[[#This Row],[Quantity]])</f>
        <v/>
      </c>
      <c r="O40" s="86" t="str">
        <f>IFERROR(T_WATCHLIST[[#This Row],[Today''s Gain/Loss]]/(T_WATCHLIST[[#This Row],[Current Value]]-T_WATCHLIST[[#This Row],[Today''s Gain/Loss]]),"")</f>
        <v/>
      </c>
      <c r="P40" s="84" t="str">
        <f>IFERROR(T_WATCHLIST[[#This Row],[Current Value]]-T_WATCHLIST[[#This Row],[% Total Gain/Loss9]],"")</f>
        <v/>
      </c>
      <c r="Q40" s="87" t="str">
        <f>IFERROR(T_WATCHLIST[[#This Row],[Total Gain/Loss]]/T_WATCHLIST[[#This Row],[% Total Gain/Loss9]],"")</f>
        <v/>
      </c>
      <c r="R40" s="88" t="str" cm="1">
        <f t="array" ref="R40">IFERROR(_xlfn.FIELDVALUE(T_WATCHLIST[[#This Row],[Stock]],"52 week low"),"")</f>
        <v/>
      </c>
      <c r="S4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0" s="73" t="str" cm="1">
        <f t="array" ref="T40">IFERROR(_xlfn.FIELDVALUE(T_WATCHLIST[[#This Row],[Stock]],"52 week high"),"")</f>
        <v/>
      </c>
      <c r="U40" s="64" t="str" cm="1">
        <f t="array" ref="U40">IF(T_WATCHLIST[[#This Row],[Stock]]="","",SUMPRODUCT(T_TXN[UNITS],--(T_TXN[TYPE]="Buy"),--(T_TXN[TICKER]=T_WATCHLIST[[#This Row],[Stock]])))</f>
        <v/>
      </c>
      <c r="V40" s="67" t="str" cm="1">
        <f t="array" ref="V40">IF(T_WATCHLIST[[#This Row],[Stock]]="","",SUMPRODUCT(--(T_TXN[TYPE]="Buy"),T_TXN[UNITS],T_TXN[PRICE],--(T_TXN[TICKER]=T_WATCHLIST[[#This Row],[Stock]])))</f>
        <v/>
      </c>
      <c r="W40" s="64" t="str" cm="1">
        <f t="array" ref="W40">IF(T_WATCHLIST[[#This Row],[Stock]]="","",SUMPRODUCT(T_TXN[UNITS],--(T_TXN[TYPE]="Sell"),--(T_TXN[TICKER]=T_WATCHLIST[[#This Row],[Stock]])))</f>
        <v/>
      </c>
      <c r="X40" s="67" t="str" cm="1">
        <f t="array" ref="X40">IF(T_WATCHLIST[[#This Row],[Stock]]="","",SUMPRODUCT(--(T_TXN[TYPE]="Sell"),T_TXN[UNITS],T_TXN[PRICE],--(T_TXN[TICKER]=T_WATCHLIST[[#This Row],[Stock]])))</f>
        <v/>
      </c>
      <c r="Y40" s="67" t="str" cm="1">
        <f t="array" ref="Y40">IF(T_WATCHLIST[[#This Row],[Stock]]="","",SUMPRODUCT(T_TXN[UNITS],T_TXN[PRICE],--(T_TXN[TYPE]="Buy"),--(T_TXN[TICKER]=T_WATCHLIST[[#This Row],[Stock]])) -SUMPRODUCT(T_TXN[UNITS],T_TXN[PRICE],--(T_TXN[TYPE]="Sell"),--(T_TXN[TICKER]=T_WATCHLIST[[#This Row],[Stock]])))</f>
        <v/>
      </c>
      <c r="Z40" s="64" t="str" cm="1">
        <f t="array" ref="Z40">IFERROR(IF(ROW(T_WATCHLIST[[#This Row],[Stock]])-ROW(T_WATCHLIST[[#Headers],[Stock]])&gt;=C_CNT_STOCKS,"",_FV(T_WATCHLIST[[#This Row],[Stock]],"Industry",TRUE)),"Not Available")</f>
        <v/>
      </c>
      <c r="AA40" s="64" t="str" cm="1">
        <f t="array" ref="AA40">IFERROR(IF(ROW(T_WATCHLIST[[#This Row],[Stock]])-ROW(T_WATCHLIST[[#Headers],[Stock]])&gt;=C_CNT_STOCKS,"",_FV(T_WATCHLIST[[#This Row],[Stock]],"Instrument type",TRUE)),"Not Available")</f>
        <v/>
      </c>
    </row>
    <row r="41" spans="1:27" ht="22" customHeight="1">
      <c r="E41" s="89"/>
      <c r="F41" s="75" t="str" cm="1">
        <f t="array" ref="F41">IFERROR(IF(ROW(T_WATCHLIST[[#This Row],[Stock]])-ROW(T_WATCHLIST[[#Headers],[Stock]])&gt;C_CNT_STOCKS,"",INDEX(_xlfn.ANCHORARRAY(HELP!$G$2),ROW(T_WATCHLIST[[#This Row],[Stock]])-ROW(T_WATCHLIST[[#Headers],[Stock]]))),"")</f>
        <v/>
      </c>
      <c r="G41" s="80" t="str" cm="1">
        <f t="array" ref="G41">IFERROR(_xlfn.FIELDVALUE(T_WATCHLIST[[#This Row],[Stock]],"Ticker Symbol"),"")</f>
        <v/>
      </c>
      <c r="H41" s="117"/>
      <c r="I41" s="81" t="str">
        <f>IF(T_WATCHLIST[[#This Row],[Stock]]="","",SUMIFS(T_TXN[UNITS],T_TXN[TYPE],"Buy",T_TXN[TICKER],T_WATCHLIST[[#This Row],[Stock]])-SUMIFS(T_TXN[UNITS],T_TXN[TYPE],"Sell",T_TXN[TICKER],T_WATCHLIST[[#This Row],[Stock]])+SUMIFS(T_TXN[UNITS],T_TXN[TYPE],"Dividend Reinvestment",T_TXN[TICKER],T_WATCHLIST[[#This Row],[Stock]]))</f>
        <v/>
      </c>
      <c r="J41" s="75" t="str" cm="1">
        <f t="array" ref="J41">IFERROR(_xlfn.FIELDVALUE(T_WATCHLIST[[#This Row],[Stock]],"Price"),"")</f>
        <v/>
      </c>
      <c r="K41" s="82" t="str" cm="1">
        <f t="array" ref="K41">IFERROR(_xlfn.FIELDVALUE(T_WATCHLIST[[#This Row],[Stock]],"Change"),"")</f>
        <v/>
      </c>
      <c r="L41" s="83" t="str" cm="1">
        <f t="array" ref="L41">IFERROR(_xlfn.FIELDVALUE(T_WATCHLIST[[#This Row],[Stock]],"Change (%)"),"")</f>
        <v/>
      </c>
      <c r="M41" s="84" t="str">
        <f>IF(T_WATCHLIST[[#This Row],[Stock]]="","",T_WATCHLIST[[#This Row],[Quantity]]*T_WATCHLIST[[#This Row],[Last Price]])</f>
        <v/>
      </c>
      <c r="N41" s="85" t="str" cm="1">
        <f t="array" ref="N41">IF(T_WATCHLIST[[#This Row],[Stock]]="","",T_WATCHLIST[[#This Row],[Current Value]]-_xlfn.FIELDVALUE(T_WATCHLIST[[#This Row],[Stock]],"Previous Close")*T_WATCHLIST[[#This Row],[Quantity]])</f>
        <v/>
      </c>
      <c r="O41" s="86" t="str">
        <f>IFERROR(T_WATCHLIST[[#This Row],[Today''s Gain/Loss]]/(T_WATCHLIST[[#This Row],[Current Value]]-T_WATCHLIST[[#This Row],[Today''s Gain/Loss]]),"")</f>
        <v/>
      </c>
      <c r="P41" s="84" t="str">
        <f>IFERROR(T_WATCHLIST[[#This Row],[Current Value]]-T_WATCHLIST[[#This Row],[% Total Gain/Loss9]],"")</f>
        <v/>
      </c>
      <c r="Q41" s="87" t="str">
        <f>IFERROR(T_WATCHLIST[[#This Row],[Total Gain/Loss]]/T_WATCHLIST[[#This Row],[% Total Gain/Loss9]],"")</f>
        <v/>
      </c>
      <c r="R41" s="88" t="str" cm="1">
        <f t="array" ref="R41">IFERROR(_xlfn.FIELDVALUE(T_WATCHLIST[[#This Row],[Stock]],"52 week low"),"")</f>
        <v/>
      </c>
      <c r="S4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1" s="73" t="str" cm="1">
        <f t="array" ref="T41">IFERROR(_xlfn.FIELDVALUE(T_WATCHLIST[[#This Row],[Stock]],"52 week high"),"")</f>
        <v/>
      </c>
      <c r="U41" s="64" t="str" cm="1">
        <f t="array" ref="U41">IF(T_WATCHLIST[[#This Row],[Stock]]="","",SUMPRODUCT(T_TXN[UNITS],--(T_TXN[TYPE]="Buy"),--(T_TXN[TICKER]=T_WATCHLIST[[#This Row],[Stock]])))</f>
        <v/>
      </c>
      <c r="V41" s="67" t="str" cm="1">
        <f t="array" ref="V41">IF(T_WATCHLIST[[#This Row],[Stock]]="","",SUMPRODUCT(--(T_TXN[TYPE]="Buy"),T_TXN[UNITS],T_TXN[PRICE],--(T_TXN[TICKER]=T_WATCHLIST[[#This Row],[Stock]])))</f>
        <v/>
      </c>
      <c r="W41" s="64" t="str" cm="1">
        <f t="array" ref="W41">IF(T_WATCHLIST[[#This Row],[Stock]]="","",SUMPRODUCT(T_TXN[UNITS],--(T_TXN[TYPE]="Sell"),--(T_TXN[TICKER]=T_WATCHLIST[[#This Row],[Stock]])))</f>
        <v/>
      </c>
      <c r="X41" s="67" t="str" cm="1">
        <f t="array" ref="X41">IF(T_WATCHLIST[[#This Row],[Stock]]="","",SUMPRODUCT(--(T_TXN[TYPE]="Sell"),T_TXN[UNITS],T_TXN[PRICE],--(T_TXN[TICKER]=T_WATCHLIST[[#This Row],[Stock]])))</f>
        <v/>
      </c>
      <c r="Y41" s="67" t="str" cm="1">
        <f t="array" ref="Y41">IF(T_WATCHLIST[[#This Row],[Stock]]="","",SUMPRODUCT(T_TXN[UNITS],T_TXN[PRICE],--(T_TXN[TYPE]="Buy"),--(T_TXN[TICKER]=T_WATCHLIST[[#This Row],[Stock]])) -SUMPRODUCT(T_TXN[UNITS],T_TXN[PRICE],--(T_TXN[TYPE]="Sell"),--(T_TXN[TICKER]=T_WATCHLIST[[#This Row],[Stock]])))</f>
        <v/>
      </c>
      <c r="Z41" s="64" t="str" cm="1">
        <f t="array" ref="Z41">IFERROR(IF(ROW(T_WATCHLIST[[#This Row],[Stock]])-ROW(T_WATCHLIST[[#Headers],[Stock]])&gt;=C_CNT_STOCKS,"",_FV(T_WATCHLIST[[#This Row],[Stock]],"Industry",TRUE)),"Not Available")</f>
        <v/>
      </c>
      <c r="AA41" s="64" t="str" cm="1">
        <f t="array" ref="AA41">IFERROR(IF(ROW(T_WATCHLIST[[#This Row],[Stock]])-ROW(T_WATCHLIST[[#Headers],[Stock]])&gt;=C_CNT_STOCKS,"",_FV(T_WATCHLIST[[#This Row],[Stock]],"Instrument type",TRUE)),"Not Available")</f>
        <v/>
      </c>
    </row>
    <row r="42" spans="1:27" ht="22" customHeight="1">
      <c r="E42" s="89"/>
      <c r="F42" s="75" t="str" cm="1">
        <f t="array" ref="F42">IFERROR(IF(ROW(T_WATCHLIST[[#This Row],[Stock]])-ROW(T_WATCHLIST[[#Headers],[Stock]])&gt;C_CNT_STOCKS,"",INDEX(_xlfn.ANCHORARRAY(HELP!$G$2),ROW(T_WATCHLIST[[#This Row],[Stock]])-ROW(T_WATCHLIST[[#Headers],[Stock]]))),"")</f>
        <v/>
      </c>
      <c r="G42" s="80" t="str" cm="1">
        <f t="array" ref="G42">IFERROR(_xlfn.FIELDVALUE(T_WATCHLIST[[#This Row],[Stock]],"Ticker Symbol"),"")</f>
        <v/>
      </c>
      <c r="H42" s="117"/>
      <c r="I42" s="81" t="str">
        <f>IF(T_WATCHLIST[[#This Row],[Stock]]="","",SUMIFS(T_TXN[UNITS],T_TXN[TYPE],"Buy",T_TXN[TICKER],T_WATCHLIST[[#This Row],[Stock]])-SUMIFS(T_TXN[UNITS],T_TXN[TYPE],"Sell",T_TXN[TICKER],T_WATCHLIST[[#This Row],[Stock]])+SUMIFS(T_TXN[UNITS],T_TXN[TYPE],"Dividend Reinvestment",T_TXN[TICKER],T_WATCHLIST[[#This Row],[Stock]]))</f>
        <v/>
      </c>
      <c r="J42" s="75" t="str" cm="1">
        <f t="array" ref="J42">IFERROR(_xlfn.FIELDVALUE(T_WATCHLIST[[#This Row],[Stock]],"Price"),"")</f>
        <v/>
      </c>
      <c r="K42" s="82" t="str" cm="1">
        <f t="array" ref="K42">IFERROR(_xlfn.FIELDVALUE(T_WATCHLIST[[#This Row],[Stock]],"Change"),"")</f>
        <v/>
      </c>
      <c r="L42" s="83" t="str" cm="1">
        <f t="array" ref="L42">IFERROR(_xlfn.FIELDVALUE(T_WATCHLIST[[#This Row],[Stock]],"Change (%)"),"")</f>
        <v/>
      </c>
      <c r="M42" s="84" t="str">
        <f>IF(T_WATCHLIST[[#This Row],[Stock]]="","",T_WATCHLIST[[#This Row],[Quantity]]*T_WATCHLIST[[#This Row],[Last Price]])</f>
        <v/>
      </c>
      <c r="N42" s="85" t="str" cm="1">
        <f t="array" ref="N42">IF(T_WATCHLIST[[#This Row],[Stock]]="","",T_WATCHLIST[[#This Row],[Current Value]]-_xlfn.FIELDVALUE(T_WATCHLIST[[#This Row],[Stock]],"Previous Close")*T_WATCHLIST[[#This Row],[Quantity]])</f>
        <v/>
      </c>
      <c r="O42" s="86" t="str">
        <f>IFERROR(T_WATCHLIST[[#This Row],[Today''s Gain/Loss]]/(T_WATCHLIST[[#This Row],[Current Value]]-T_WATCHLIST[[#This Row],[Today''s Gain/Loss]]),"")</f>
        <v/>
      </c>
      <c r="P42" s="84" t="str">
        <f>IFERROR(T_WATCHLIST[[#This Row],[Current Value]]-T_WATCHLIST[[#This Row],[% Total Gain/Loss9]],"")</f>
        <v/>
      </c>
      <c r="Q42" s="87" t="str">
        <f>IFERROR(T_WATCHLIST[[#This Row],[Total Gain/Loss]]/T_WATCHLIST[[#This Row],[% Total Gain/Loss9]],"")</f>
        <v/>
      </c>
      <c r="R42" s="88" t="str" cm="1">
        <f t="array" ref="R42">IFERROR(_xlfn.FIELDVALUE(T_WATCHLIST[[#This Row],[Stock]],"52 week low"),"")</f>
        <v/>
      </c>
      <c r="S4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2" s="73" t="str" cm="1">
        <f t="array" ref="T42">IFERROR(_xlfn.FIELDVALUE(T_WATCHLIST[[#This Row],[Stock]],"52 week high"),"")</f>
        <v/>
      </c>
      <c r="U42" s="64" t="str" cm="1">
        <f t="array" ref="U42">IF(T_WATCHLIST[[#This Row],[Stock]]="","",SUMPRODUCT(T_TXN[UNITS],--(T_TXN[TYPE]="Buy"),--(T_TXN[TICKER]=T_WATCHLIST[[#This Row],[Stock]])))</f>
        <v/>
      </c>
      <c r="V42" s="67" t="str" cm="1">
        <f t="array" ref="V42">IF(T_WATCHLIST[[#This Row],[Stock]]="","",SUMPRODUCT(--(T_TXN[TYPE]="Buy"),T_TXN[UNITS],T_TXN[PRICE],--(T_TXN[TICKER]=T_WATCHLIST[[#This Row],[Stock]])))</f>
        <v/>
      </c>
      <c r="W42" s="64" t="str" cm="1">
        <f t="array" ref="W42">IF(T_WATCHLIST[[#This Row],[Stock]]="","",SUMPRODUCT(T_TXN[UNITS],--(T_TXN[TYPE]="Sell"),--(T_TXN[TICKER]=T_WATCHLIST[[#This Row],[Stock]])))</f>
        <v/>
      </c>
      <c r="X42" s="67" t="str" cm="1">
        <f t="array" ref="X42">IF(T_WATCHLIST[[#This Row],[Stock]]="","",SUMPRODUCT(--(T_TXN[TYPE]="Sell"),T_TXN[UNITS],T_TXN[PRICE],--(T_TXN[TICKER]=T_WATCHLIST[[#This Row],[Stock]])))</f>
        <v/>
      </c>
      <c r="Y42" s="67" t="str" cm="1">
        <f t="array" ref="Y42">IF(T_WATCHLIST[[#This Row],[Stock]]="","",SUMPRODUCT(T_TXN[UNITS],T_TXN[PRICE],--(T_TXN[TYPE]="Buy"),--(T_TXN[TICKER]=T_WATCHLIST[[#This Row],[Stock]])) -SUMPRODUCT(T_TXN[UNITS],T_TXN[PRICE],--(T_TXN[TYPE]="Sell"),--(T_TXN[TICKER]=T_WATCHLIST[[#This Row],[Stock]])))</f>
        <v/>
      </c>
      <c r="Z42" s="64" t="str" cm="1">
        <f t="array" ref="Z42">IFERROR(IF(ROW(T_WATCHLIST[[#This Row],[Stock]])-ROW(T_WATCHLIST[[#Headers],[Stock]])&gt;=C_CNT_STOCKS,"",_FV(T_WATCHLIST[[#This Row],[Stock]],"Industry",TRUE)),"Not Available")</f>
        <v/>
      </c>
      <c r="AA42" s="64" t="str" cm="1">
        <f t="array" ref="AA42">IFERROR(IF(ROW(T_WATCHLIST[[#This Row],[Stock]])-ROW(T_WATCHLIST[[#Headers],[Stock]])&gt;=C_CNT_STOCKS,"",_FV(T_WATCHLIST[[#This Row],[Stock]],"Instrument type",TRUE)),"Not Available")</f>
        <v/>
      </c>
    </row>
    <row r="43" spans="1:27" ht="22" customHeight="1">
      <c r="E43" s="89"/>
      <c r="F43" s="75" t="str" cm="1">
        <f t="array" ref="F43">IFERROR(IF(ROW(T_WATCHLIST[[#This Row],[Stock]])-ROW(T_WATCHLIST[[#Headers],[Stock]])&gt;C_CNT_STOCKS,"",INDEX(_xlfn.ANCHORARRAY(HELP!$G$2),ROW(T_WATCHLIST[[#This Row],[Stock]])-ROW(T_WATCHLIST[[#Headers],[Stock]]))),"")</f>
        <v/>
      </c>
      <c r="G43" s="80" t="str" cm="1">
        <f t="array" ref="G43">IFERROR(_xlfn.FIELDVALUE(T_WATCHLIST[[#This Row],[Stock]],"Ticker Symbol"),"")</f>
        <v/>
      </c>
      <c r="H43" s="117"/>
      <c r="I43" s="81" t="str">
        <f>IF(T_WATCHLIST[[#This Row],[Stock]]="","",SUMIFS(T_TXN[UNITS],T_TXN[TYPE],"Buy",T_TXN[TICKER],T_WATCHLIST[[#This Row],[Stock]])-SUMIFS(T_TXN[UNITS],T_TXN[TYPE],"Sell",T_TXN[TICKER],T_WATCHLIST[[#This Row],[Stock]])+SUMIFS(T_TXN[UNITS],T_TXN[TYPE],"Dividend Reinvestment",T_TXN[TICKER],T_WATCHLIST[[#This Row],[Stock]]))</f>
        <v/>
      </c>
      <c r="J43" s="75" t="str" cm="1">
        <f t="array" ref="J43">IFERROR(_xlfn.FIELDVALUE(T_WATCHLIST[[#This Row],[Stock]],"Price"),"")</f>
        <v/>
      </c>
      <c r="K43" s="82" t="str" cm="1">
        <f t="array" ref="K43">IFERROR(_xlfn.FIELDVALUE(T_WATCHLIST[[#This Row],[Stock]],"Change"),"")</f>
        <v/>
      </c>
      <c r="L43" s="83" t="str" cm="1">
        <f t="array" ref="L43">IFERROR(_xlfn.FIELDVALUE(T_WATCHLIST[[#This Row],[Stock]],"Change (%)"),"")</f>
        <v/>
      </c>
      <c r="M43" s="84" t="str">
        <f>IF(T_WATCHLIST[[#This Row],[Stock]]="","",T_WATCHLIST[[#This Row],[Quantity]]*T_WATCHLIST[[#This Row],[Last Price]])</f>
        <v/>
      </c>
      <c r="N43" s="85" t="str" cm="1">
        <f t="array" ref="N43">IF(T_WATCHLIST[[#This Row],[Stock]]="","",T_WATCHLIST[[#This Row],[Current Value]]-_xlfn.FIELDVALUE(T_WATCHLIST[[#This Row],[Stock]],"Previous Close")*T_WATCHLIST[[#This Row],[Quantity]])</f>
        <v/>
      </c>
      <c r="O43" s="86" t="str">
        <f>IFERROR(T_WATCHLIST[[#This Row],[Today''s Gain/Loss]]/(T_WATCHLIST[[#This Row],[Current Value]]-T_WATCHLIST[[#This Row],[Today''s Gain/Loss]]),"")</f>
        <v/>
      </c>
      <c r="P43" s="84" t="str">
        <f>IFERROR(T_WATCHLIST[[#This Row],[Current Value]]-T_WATCHLIST[[#This Row],[% Total Gain/Loss9]],"")</f>
        <v/>
      </c>
      <c r="Q43" s="87" t="str">
        <f>IFERROR(T_WATCHLIST[[#This Row],[Total Gain/Loss]]/T_WATCHLIST[[#This Row],[% Total Gain/Loss9]],"")</f>
        <v/>
      </c>
      <c r="R43" s="88" t="str" cm="1">
        <f t="array" ref="R43">IFERROR(_xlfn.FIELDVALUE(T_WATCHLIST[[#This Row],[Stock]],"52 week low"),"")</f>
        <v/>
      </c>
      <c r="S4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3" s="73" t="str" cm="1">
        <f t="array" ref="T43">IFERROR(_xlfn.FIELDVALUE(T_WATCHLIST[[#This Row],[Stock]],"52 week high"),"")</f>
        <v/>
      </c>
      <c r="U43" s="64" t="str" cm="1">
        <f t="array" ref="U43">IF(T_WATCHLIST[[#This Row],[Stock]]="","",SUMPRODUCT(T_TXN[UNITS],--(T_TXN[TYPE]="Buy"),--(T_TXN[TICKER]=T_WATCHLIST[[#This Row],[Stock]])))</f>
        <v/>
      </c>
      <c r="V43" s="67" t="str" cm="1">
        <f t="array" ref="V43">IF(T_WATCHLIST[[#This Row],[Stock]]="","",SUMPRODUCT(--(T_TXN[TYPE]="Buy"),T_TXN[UNITS],T_TXN[PRICE],--(T_TXN[TICKER]=T_WATCHLIST[[#This Row],[Stock]])))</f>
        <v/>
      </c>
      <c r="W43" s="64" t="str" cm="1">
        <f t="array" ref="W43">IF(T_WATCHLIST[[#This Row],[Stock]]="","",SUMPRODUCT(T_TXN[UNITS],--(T_TXN[TYPE]="Sell"),--(T_TXN[TICKER]=T_WATCHLIST[[#This Row],[Stock]])))</f>
        <v/>
      </c>
      <c r="X43" s="67" t="str" cm="1">
        <f t="array" ref="X43">IF(T_WATCHLIST[[#This Row],[Stock]]="","",SUMPRODUCT(--(T_TXN[TYPE]="Sell"),T_TXN[UNITS],T_TXN[PRICE],--(T_TXN[TICKER]=T_WATCHLIST[[#This Row],[Stock]])))</f>
        <v/>
      </c>
      <c r="Y43" s="67" t="str" cm="1">
        <f t="array" ref="Y43">IF(T_WATCHLIST[[#This Row],[Stock]]="","",SUMPRODUCT(T_TXN[UNITS],T_TXN[PRICE],--(T_TXN[TYPE]="Buy"),--(T_TXN[TICKER]=T_WATCHLIST[[#This Row],[Stock]])) -SUMPRODUCT(T_TXN[UNITS],T_TXN[PRICE],--(T_TXN[TYPE]="Sell"),--(T_TXN[TICKER]=T_WATCHLIST[[#This Row],[Stock]])))</f>
        <v/>
      </c>
      <c r="Z43" s="64" t="str" cm="1">
        <f t="array" ref="Z43">IFERROR(IF(ROW(T_WATCHLIST[[#This Row],[Stock]])-ROW(T_WATCHLIST[[#Headers],[Stock]])&gt;=C_CNT_STOCKS,"",_FV(T_WATCHLIST[[#This Row],[Stock]],"Industry",TRUE)),"Not Available")</f>
        <v/>
      </c>
      <c r="AA43" s="64" t="str" cm="1">
        <f t="array" ref="AA43">IFERROR(IF(ROW(T_WATCHLIST[[#This Row],[Stock]])-ROW(T_WATCHLIST[[#Headers],[Stock]])&gt;=C_CNT_STOCKS,"",_FV(T_WATCHLIST[[#This Row],[Stock]],"Instrument type",TRUE)),"Not Available")</f>
        <v/>
      </c>
    </row>
    <row r="44" spans="1:27" ht="22" customHeight="1">
      <c r="E44" s="89"/>
      <c r="F44" s="75" t="str" cm="1">
        <f t="array" ref="F44">IFERROR(IF(ROW(T_WATCHLIST[[#This Row],[Stock]])-ROW(T_WATCHLIST[[#Headers],[Stock]])&gt;C_CNT_STOCKS,"",INDEX(_xlfn.ANCHORARRAY(HELP!$G$2),ROW(T_WATCHLIST[[#This Row],[Stock]])-ROW(T_WATCHLIST[[#Headers],[Stock]]))),"")</f>
        <v/>
      </c>
      <c r="G44" s="80" t="str" cm="1">
        <f t="array" ref="G44">IFERROR(_xlfn.FIELDVALUE(T_WATCHLIST[[#This Row],[Stock]],"Ticker Symbol"),"")</f>
        <v/>
      </c>
      <c r="H44" s="117"/>
      <c r="I44" s="81" t="str">
        <f>IF(T_WATCHLIST[[#This Row],[Stock]]="","",SUMIFS(T_TXN[UNITS],T_TXN[TYPE],"Buy",T_TXN[TICKER],T_WATCHLIST[[#This Row],[Stock]])-SUMIFS(T_TXN[UNITS],T_TXN[TYPE],"Sell",T_TXN[TICKER],T_WATCHLIST[[#This Row],[Stock]])+SUMIFS(T_TXN[UNITS],T_TXN[TYPE],"Dividend Reinvestment",T_TXN[TICKER],T_WATCHLIST[[#This Row],[Stock]]))</f>
        <v/>
      </c>
      <c r="J44" s="75" t="str" cm="1">
        <f t="array" ref="J44">IFERROR(_xlfn.FIELDVALUE(T_WATCHLIST[[#This Row],[Stock]],"Price"),"")</f>
        <v/>
      </c>
      <c r="K44" s="82" t="str" cm="1">
        <f t="array" ref="K44">IFERROR(_xlfn.FIELDVALUE(T_WATCHLIST[[#This Row],[Stock]],"Change"),"")</f>
        <v/>
      </c>
      <c r="L44" s="83" t="str" cm="1">
        <f t="array" ref="L44">IFERROR(_xlfn.FIELDVALUE(T_WATCHLIST[[#This Row],[Stock]],"Change (%)"),"")</f>
        <v/>
      </c>
      <c r="M44" s="84" t="str">
        <f>IF(T_WATCHLIST[[#This Row],[Stock]]="","",T_WATCHLIST[[#This Row],[Quantity]]*T_WATCHLIST[[#This Row],[Last Price]])</f>
        <v/>
      </c>
      <c r="N44" s="85" t="str" cm="1">
        <f t="array" ref="N44">IF(T_WATCHLIST[[#This Row],[Stock]]="","",T_WATCHLIST[[#This Row],[Current Value]]-_xlfn.FIELDVALUE(T_WATCHLIST[[#This Row],[Stock]],"Previous Close")*T_WATCHLIST[[#This Row],[Quantity]])</f>
        <v/>
      </c>
      <c r="O44" s="86" t="str">
        <f>IFERROR(T_WATCHLIST[[#This Row],[Today''s Gain/Loss]]/(T_WATCHLIST[[#This Row],[Current Value]]-T_WATCHLIST[[#This Row],[Today''s Gain/Loss]]),"")</f>
        <v/>
      </c>
      <c r="P44" s="84" t="str">
        <f>IFERROR(T_WATCHLIST[[#This Row],[Current Value]]-T_WATCHLIST[[#This Row],[% Total Gain/Loss9]],"")</f>
        <v/>
      </c>
      <c r="Q44" s="87" t="str">
        <f>IFERROR(T_WATCHLIST[[#This Row],[Total Gain/Loss]]/T_WATCHLIST[[#This Row],[% Total Gain/Loss9]],"")</f>
        <v/>
      </c>
      <c r="R44" s="88" t="str" cm="1">
        <f t="array" ref="R44">IFERROR(_xlfn.FIELDVALUE(T_WATCHLIST[[#This Row],[Stock]],"52 week low"),"")</f>
        <v/>
      </c>
      <c r="S4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4" s="73" t="str" cm="1">
        <f t="array" ref="T44">IFERROR(_xlfn.FIELDVALUE(T_WATCHLIST[[#This Row],[Stock]],"52 week high"),"")</f>
        <v/>
      </c>
      <c r="U44" s="64" t="str" cm="1">
        <f t="array" ref="U44">IF(T_WATCHLIST[[#This Row],[Stock]]="","",SUMPRODUCT(T_TXN[UNITS],--(T_TXN[TYPE]="Buy"),--(T_TXN[TICKER]=T_WATCHLIST[[#This Row],[Stock]])))</f>
        <v/>
      </c>
      <c r="V44" s="67" t="str" cm="1">
        <f t="array" ref="V44">IF(T_WATCHLIST[[#This Row],[Stock]]="","",SUMPRODUCT(--(T_TXN[TYPE]="Buy"),T_TXN[UNITS],T_TXN[PRICE],--(T_TXN[TICKER]=T_WATCHLIST[[#This Row],[Stock]])))</f>
        <v/>
      </c>
      <c r="W44" s="64" t="str" cm="1">
        <f t="array" ref="W44">IF(T_WATCHLIST[[#This Row],[Stock]]="","",SUMPRODUCT(T_TXN[UNITS],--(T_TXN[TYPE]="Sell"),--(T_TXN[TICKER]=T_WATCHLIST[[#This Row],[Stock]])))</f>
        <v/>
      </c>
      <c r="X44" s="67" t="str" cm="1">
        <f t="array" ref="X44">IF(T_WATCHLIST[[#This Row],[Stock]]="","",SUMPRODUCT(--(T_TXN[TYPE]="Sell"),T_TXN[UNITS],T_TXN[PRICE],--(T_TXN[TICKER]=T_WATCHLIST[[#This Row],[Stock]])))</f>
        <v/>
      </c>
      <c r="Y44" s="67" t="str" cm="1">
        <f t="array" ref="Y44">IF(T_WATCHLIST[[#This Row],[Stock]]="","",SUMPRODUCT(T_TXN[UNITS],T_TXN[PRICE],--(T_TXN[TYPE]="Buy"),--(T_TXN[TICKER]=T_WATCHLIST[[#This Row],[Stock]])) -SUMPRODUCT(T_TXN[UNITS],T_TXN[PRICE],--(T_TXN[TYPE]="Sell"),--(T_TXN[TICKER]=T_WATCHLIST[[#This Row],[Stock]])))</f>
        <v/>
      </c>
      <c r="Z44" s="64" t="str" cm="1">
        <f t="array" ref="Z44">IFERROR(IF(ROW(T_WATCHLIST[[#This Row],[Stock]])-ROW(T_WATCHLIST[[#Headers],[Stock]])&gt;=C_CNT_STOCKS,"",_FV(T_WATCHLIST[[#This Row],[Stock]],"Industry",TRUE)),"Not Available")</f>
        <v/>
      </c>
      <c r="AA44" s="64" t="str" cm="1">
        <f t="array" ref="AA44">IFERROR(IF(ROW(T_WATCHLIST[[#This Row],[Stock]])-ROW(T_WATCHLIST[[#Headers],[Stock]])&gt;=C_CNT_STOCKS,"",_FV(T_WATCHLIST[[#This Row],[Stock]],"Instrument type",TRUE)),"Not Available")</f>
        <v/>
      </c>
    </row>
    <row r="45" spans="1:27" ht="22" customHeight="1">
      <c r="E45" s="89"/>
      <c r="F45" s="75" t="str" cm="1">
        <f t="array" ref="F45">IFERROR(IF(ROW(T_WATCHLIST[[#This Row],[Stock]])-ROW(T_WATCHLIST[[#Headers],[Stock]])&gt;C_CNT_STOCKS,"",INDEX(_xlfn.ANCHORARRAY(HELP!$G$2),ROW(T_WATCHLIST[[#This Row],[Stock]])-ROW(T_WATCHLIST[[#Headers],[Stock]]))),"")</f>
        <v/>
      </c>
      <c r="G45" s="80" t="str" cm="1">
        <f t="array" ref="G45">IFERROR(_xlfn.FIELDVALUE(T_WATCHLIST[[#This Row],[Stock]],"Ticker Symbol"),"")</f>
        <v/>
      </c>
      <c r="H45" s="117"/>
      <c r="I45" s="81" t="str">
        <f>IF(T_WATCHLIST[[#This Row],[Stock]]="","",SUMIFS(T_TXN[UNITS],T_TXN[TYPE],"Buy",T_TXN[TICKER],T_WATCHLIST[[#This Row],[Stock]])-SUMIFS(T_TXN[UNITS],T_TXN[TYPE],"Sell",T_TXN[TICKER],T_WATCHLIST[[#This Row],[Stock]])+SUMIFS(T_TXN[UNITS],T_TXN[TYPE],"Dividend Reinvestment",T_TXN[TICKER],T_WATCHLIST[[#This Row],[Stock]]))</f>
        <v/>
      </c>
      <c r="J45" s="75" t="str" cm="1">
        <f t="array" ref="J45">IFERROR(_xlfn.FIELDVALUE(T_WATCHLIST[[#This Row],[Stock]],"Price"),"")</f>
        <v/>
      </c>
      <c r="K45" s="82" t="str" cm="1">
        <f t="array" ref="K45">IFERROR(_xlfn.FIELDVALUE(T_WATCHLIST[[#This Row],[Stock]],"Change"),"")</f>
        <v/>
      </c>
      <c r="L45" s="83" t="str" cm="1">
        <f t="array" ref="L45">IFERROR(_xlfn.FIELDVALUE(T_WATCHLIST[[#This Row],[Stock]],"Change (%)"),"")</f>
        <v/>
      </c>
      <c r="M45" s="84" t="str">
        <f>IF(T_WATCHLIST[[#This Row],[Stock]]="","",T_WATCHLIST[[#This Row],[Quantity]]*T_WATCHLIST[[#This Row],[Last Price]])</f>
        <v/>
      </c>
      <c r="N45" s="85" t="str" cm="1">
        <f t="array" ref="N45">IF(T_WATCHLIST[[#This Row],[Stock]]="","",T_WATCHLIST[[#This Row],[Current Value]]-_xlfn.FIELDVALUE(T_WATCHLIST[[#This Row],[Stock]],"Previous Close")*T_WATCHLIST[[#This Row],[Quantity]])</f>
        <v/>
      </c>
      <c r="O45" s="86" t="str">
        <f>IFERROR(T_WATCHLIST[[#This Row],[Today''s Gain/Loss]]/(T_WATCHLIST[[#This Row],[Current Value]]-T_WATCHLIST[[#This Row],[Today''s Gain/Loss]]),"")</f>
        <v/>
      </c>
      <c r="P45" s="84" t="str">
        <f>IFERROR(T_WATCHLIST[[#This Row],[Current Value]]-T_WATCHLIST[[#This Row],[% Total Gain/Loss9]],"")</f>
        <v/>
      </c>
      <c r="Q45" s="87" t="str">
        <f>IFERROR(T_WATCHLIST[[#This Row],[Total Gain/Loss]]/T_WATCHLIST[[#This Row],[% Total Gain/Loss9]],"")</f>
        <v/>
      </c>
      <c r="R45" s="88" t="str" cm="1">
        <f t="array" ref="R45">IFERROR(_xlfn.FIELDVALUE(T_WATCHLIST[[#This Row],[Stock]],"52 week low"),"")</f>
        <v/>
      </c>
      <c r="S4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5" s="73" t="str" cm="1">
        <f t="array" ref="T45">IFERROR(_xlfn.FIELDVALUE(T_WATCHLIST[[#This Row],[Stock]],"52 week high"),"")</f>
        <v/>
      </c>
      <c r="U45" s="64" t="str" cm="1">
        <f t="array" ref="U45">IF(T_WATCHLIST[[#This Row],[Stock]]="","",SUMPRODUCT(T_TXN[UNITS],--(T_TXN[TYPE]="Buy"),--(T_TXN[TICKER]=T_WATCHLIST[[#This Row],[Stock]])))</f>
        <v/>
      </c>
      <c r="V45" s="67" t="str" cm="1">
        <f t="array" ref="V45">IF(T_WATCHLIST[[#This Row],[Stock]]="","",SUMPRODUCT(--(T_TXN[TYPE]="Buy"),T_TXN[UNITS],T_TXN[PRICE],--(T_TXN[TICKER]=T_WATCHLIST[[#This Row],[Stock]])))</f>
        <v/>
      </c>
      <c r="W45" s="64" t="str" cm="1">
        <f t="array" ref="W45">IF(T_WATCHLIST[[#This Row],[Stock]]="","",SUMPRODUCT(T_TXN[UNITS],--(T_TXN[TYPE]="Sell"),--(T_TXN[TICKER]=T_WATCHLIST[[#This Row],[Stock]])))</f>
        <v/>
      </c>
      <c r="X45" s="67" t="str" cm="1">
        <f t="array" ref="X45">IF(T_WATCHLIST[[#This Row],[Stock]]="","",SUMPRODUCT(--(T_TXN[TYPE]="Sell"),T_TXN[UNITS],T_TXN[PRICE],--(T_TXN[TICKER]=T_WATCHLIST[[#This Row],[Stock]])))</f>
        <v/>
      </c>
      <c r="Y45" s="67" t="str" cm="1">
        <f t="array" ref="Y45">IF(T_WATCHLIST[[#This Row],[Stock]]="","",SUMPRODUCT(T_TXN[UNITS],T_TXN[PRICE],--(T_TXN[TYPE]="Buy"),--(T_TXN[TICKER]=T_WATCHLIST[[#This Row],[Stock]])) -SUMPRODUCT(T_TXN[UNITS],T_TXN[PRICE],--(T_TXN[TYPE]="Sell"),--(T_TXN[TICKER]=T_WATCHLIST[[#This Row],[Stock]])))</f>
        <v/>
      </c>
      <c r="Z45" s="64" t="str" cm="1">
        <f t="array" ref="Z45">IFERROR(IF(ROW(T_WATCHLIST[[#This Row],[Stock]])-ROW(T_WATCHLIST[[#Headers],[Stock]])&gt;=C_CNT_STOCKS,"",_FV(T_WATCHLIST[[#This Row],[Stock]],"Industry",TRUE)),"Not Available")</f>
        <v/>
      </c>
      <c r="AA45" s="64" t="str" cm="1">
        <f t="array" ref="AA45">IFERROR(IF(ROW(T_WATCHLIST[[#This Row],[Stock]])-ROW(T_WATCHLIST[[#Headers],[Stock]])&gt;=C_CNT_STOCKS,"",_FV(T_WATCHLIST[[#This Row],[Stock]],"Instrument type",TRUE)),"Not Available")</f>
        <v/>
      </c>
    </row>
    <row r="46" spans="1:27" ht="22" customHeight="1">
      <c r="E46" s="89"/>
      <c r="F46" s="75" t="str" cm="1">
        <f t="array" ref="F46">IFERROR(IF(ROW(T_WATCHLIST[[#This Row],[Stock]])-ROW(T_WATCHLIST[[#Headers],[Stock]])&gt;C_CNT_STOCKS,"",INDEX(_xlfn.ANCHORARRAY(HELP!$G$2),ROW(T_WATCHLIST[[#This Row],[Stock]])-ROW(T_WATCHLIST[[#Headers],[Stock]]))),"")</f>
        <v/>
      </c>
      <c r="G46" s="80" t="str" cm="1">
        <f t="array" ref="G46">IFERROR(_xlfn.FIELDVALUE(T_WATCHLIST[[#This Row],[Stock]],"Ticker Symbol"),"")</f>
        <v/>
      </c>
      <c r="H46" s="117"/>
      <c r="I46" s="81" t="str">
        <f>IF(T_WATCHLIST[[#This Row],[Stock]]="","",SUMIFS(T_TXN[UNITS],T_TXN[TYPE],"Buy",T_TXN[TICKER],T_WATCHLIST[[#This Row],[Stock]])-SUMIFS(T_TXN[UNITS],T_TXN[TYPE],"Sell",T_TXN[TICKER],T_WATCHLIST[[#This Row],[Stock]])+SUMIFS(T_TXN[UNITS],T_TXN[TYPE],"Dividend Reinvestment",T_TXN[TICKER],T_WATCHLIST[[#This Row],[Stock]]))</f>
        <v/>
      </c>
      <c r="J46" s="75" t="str" cm="1">
        <f t="array" ref="J46">IFERROR(_xlfn.FIELDVALUE(T_WATCHLIST[[#This Row],[Stock]],"Price"),"")</f>
        <v/>
      </c>
      <c r="K46" s="82" t="str" cm="1">
        <f t="array" ref="K46">IFERROR(_xlfn.FIELDVALUE(T_WATCHLIST[[#This Row],[Stock]],"Change"),"")</f>
        <v/>
      </c>
      <c r="L46" s="83" t="str" cm="1">
        <f t="array" ref="L46">IFERROR(_xlfn.FIELDVALUE(T_WATCHLIST[[#This Row],[Stock]],"Change (%)"),"")</f>
        <v/>
      </c>
      <c r="M46" s="84" t="str">
        <f>IF(T_WATCHLIST[[#This Row],[Stock]]="","",T_WATCHLIST[[#This Row],[Quantity]]*T_WATCHLIST[[#This Row],[Last Price]])</f>
        <v/>
      </c>
      <c r="N46" s="85" t="str" cm="1">
        <f t="array" ref="N46">IF(T_WATCHLIST[[#This Row],[Stock]]="","",T_WATCHLIST[[#This Row],[Current Value]]-_xlfn.FIELDVALUE(T_WATCHLIST[[#This Row],[Stock]],"Previous Close")*T_WATCHLIST[[#This Row],[Quantity]])</f>
        <v/>
      </c>
      <c r="O46" s="86" t="str">
        <f>IFERROR(T_WATCHLIST[[#This Row],[Today''s Gain/Loss]]/(T_WATCHLIST[[#This Row],[Current Value]]-T_WATCHLIST[[#This Row],[Today''s Gain/Loss]]),"")</f>
        <v/>
      </c>
      <c r="P46" s="84" t="str">
        <f>IFERROR(T_WATCHLIST[[#This Row],[Current Value]]-T_WATCHLIST[[#This Row],[% Total Gain/Loss9]],"")</f>
        <v/>
      </c>
      <c r="Q46" s="87" t="str">
        <f>IFERROR(T_WATCHLIST[[#This Row],[Total Gain/Loss]]/T_WATCHLIST[[#This Row],[% Total Gain/Loss9]],"")</f>
        <v/>
      </c>
      <c r="R46" s="88" t="str" cm="1">
        <f t="array" ref="R46">IFERROR(_xlfn.FIELDVALUE(T_WATCHLIST[[#This Row],[Stock]],"52 week low"),"")</f>
        <v/>
      </c>
      <c r="S4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6" s="73" t="str" cm="1">
        <f t="array" ref="T46">IFERROR(_xlfn.FIELDVALUE(T_WATCHLIST[[#This Row],[Stock]],"52 week high"),"")</f>
        <v/>
      </c>
      <c r="U46" s="64" t="str" cm="1">
        <f t="array" ref="U46">IF(T_WATCHLIST[[#This Row],[Stock]]="","",SUMPRODUCT(T_TXN[UNITS],--(T_TXN[TYPE]="Buy"),--(T_TXN[TICKER]=T_WATCHLIST[[#This Row],[Stock]])))</f>
        <v/>
      </c>
      <c r="V46" s="67" t="str" cm="1">
        <f t="array" ref="V46">IF(T_WATCHLIST[[#This Row],[Stock]]="","",SUMPRODUCT(--(T_TXN[TYPE]="Buy"),T_TXN[UNITS],T_TXN[PRICE],--(T_TXN[TICKER]=T_WATCHLIST[[#This Row],[Stock]])))</f>
        <v/>
      </c>
      <c r="W46" s="64" t="str" cm="1">
        <f t="array" ref="W46">IF(T_WATCHLIST[[#This Row],[Stock]]="","",SUMPRODUCT(T_TXN[UNITS],--(T_TXN[TYPE]="Sell"),--(T_TXN[TICKER]=T_WATCHLIST[[#This Row],[Stock]])))</f>
        <v/>
      </c>
      <c r="X46" s="67" t="str" cm="1">
        <f t="array" ref="X46">IF(T_WATCHLIST[[#This Row],[Stock]]="","",SUMPRODUCT(--(T_TXN[TYPE]="Sell"),T_TXN[UNITS],T_TXN[PRICE],--(T_TXN[TICKER]=T_WATCHLIST[[#This Row],[Stock]])))</f>
        <v/>
      </c>
      <c r="Y46" s="67" t="str" cm="1">
        <f t="array" ref="Y46">IF(T_WATCHLIST[[#This Row],[Stock]]="","",SUMPRODUCT(T_TXN[UNITS],T_TXN[PRICE],--(T_TXN[TYPE]="Buy"),--(T_TXN[TICKER]=T_WATCHLIST[[#This Row],[Stock]])) -SUMPRODUCT(T_TXN[UNITS],T_TXN[PRICE],--(T_TXN[TYPE]="Sell"),--(T_TXN[TICKER]=T_WATCHLIST[[#This Row],[Stock]])))</f>
        <v/>
      </c>
      <c r="Z46" s="64" t="str" cm="1">
        <f t="array" ref="Z46">IFERROR(IF(ROW(T_WATCHLIST[[#This Row],[Stock]])-ROW(T_WATCHLIST[[#Headers],[Stock]])&gt;=C_CNT_STOCKS,"",_FV(T_WATCHLIST[[#This Row],[Stock]],"Industry",TRUE)),"Not Available")</f>
        <v/>
      </c>
      <c r="AA46" s="64" t="str" cm="1">
        <f t="array" ref="AA46">IFERROR(IF(ROW(T_WATCHLIST[[#This Row],[Stock]])-ROW(T_WATCHLIST[[#Headers],[Stock]])&gt;=C_CNT_STOCKS,"",_FV(T_WATCHLIST[[#This Row],[Stock]],"Instrument type",TRUE)),"Not Available")</f>
        <v/>
      </c>
    </row>
    <row r="47" spans="1:27" ht="22" customHeight="1">
      <c r="E47" s="89"/>
      <c r="F47" s="75" t="str" cm="1">
        <f t="array" ref="F47">IFERROR(IF(ROW(T_WATCHLIST[[#This Row],[Stock]])-ROW(T_WATCHLIST[[#Headers],[Stock]])&gt;C_CNT_STOCKS,"",INDEX(_xlfn.ANCHORARRAY(HELP!$G$2),ROW(T_WATCHLIST[[#This Row],[Stock]])-ROW(T_WATCHLIST[[#Headers],[Stock]]))),"")</f>
        <v/>
      </c>
      <c r="G47" s="80" t="str" cm="1">
        <f t="array" ref="G47">IFERROR(_xlfn.FIELDVALUE(T_WATCHLIST[[#This Row],[Stock]],"Ticker Symbol"),"")</f>
        <v/>
      </c>
      <c r="H47" s="117"/>
      <c r="I47" s="81" t="str">
        <f>IF(T_WATCHLIST[[#This Row],[Stock]]="","",SUMIFS(T_TXN[UNITS],T_TXN[TYPE],"Buy",T_TXN[TICKER],T_WATCHLIST[[#This Row],[Stock]])-SUMIFS(T_TXN[UNITS],T_TXN[TYPE],"Sell",T_TXN[TICKER],T_WATCHLIST[[#This Row],[Stock]])+SUMIFS(T_TXN[UNITS],T_TXN[TYPE],"Dividend Reinvestment",T_TXN[TICKER],T_WATCHLIST[[#This Row],[Stock]]))</f>
        <v/>
      </c>
      <c r="J47" s="75" t="str" cm="1">
        <f t="array" ref="J47">IFERROR(_xlfn.FIELDVALUE(T_WATCHLIST[[#This Row],[Stock]],"Price"),"")</f>
        <v/>
      </c>
      <c r="K47" s="82" t="str" cm="1">
        <f t="array" ref="K47">IFERROR(_xlfn.FIELDVALUE(T_WATCHLIST[[#This Row],[Stock]],"Change"),"")</f>
        <v/>
      </c>
      <c r="L47" s="83" t="str" cm="1">
        <f t="array" ref="L47">IFERROR(_xlfn.FIELDVALUE(T_WATCHLIST[[#This Row],[Stock]],"Change (%)"),"")</f>
        <v/>
      </c>
      <c r="M47" s="84" t="str">
        <f>IF(T_WATCHLIST[[#This Row],[Stock]]="","",T_WATCHLIST[[#This Row],[Quantity]]*T_WATCHLIST[[#This Row],[Last Price]])</f>
        <v/>
      </c>
      <c r="N47" s="85" t="str" cm="1">
        <f t="array" ref="N47">IF(T_WATCHLIST[[#This Row],[Stock]]="","",T_WATCHLIST[[#This Row],[Current Value]]-_xlfn.FIELDVALUE(T_WATCHLIST[[#This Row],[Stock]],"Previous Close")*T_WATCHLIST[[#This Row],[Quantity]])</f>
        <v/>
      </c>
      <c r="O47" s="86" t="str">
        <f>IFERROR(T_WATCHLIST[[#This Row],[Today''s Gain/Loss]]/(T_WATCHLIST[[#This Row],[Current Value]]-T_WATCHLIST[[#This Row],[Today''s Gain/Loss]]),"")</f>
        <v/>
      </c>
      <c r="P47" s="84" t="str">
        <f>IFERROR(T_WATCHLIST[[#This Row],[Current Value]]-T_WATCHLIST[[#This Row],[% Total Gain/Loss9]],"")</f>
        <v/>
      </c>
      <c r="Q47" s="87" t="str">
        <f>IFERROR(T_WATCHLIST[[#This Row],[Total Gain/Loss]]/T_WATCHLIST[[#This Row],[% Total Gain/Loss9]],"")</f>
        <v/>
      </c>
      <c r="R47" s="88" t="str" cm="1">
        <f t="array" ref="R47">IFERROR(_xlfn.FIELDVALUE(T_WATCHLIST[[#This Row],[Stock]],"52 week low"),"")</f>
        <v/>
      </c>
      <c r="S4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7" s="73" t="str" cm="1">
        <f t="array" ref="T47">IFERROR(_xlfn.FIELDVALUE(T_WATCHLIST[[#This Row],[Stock]],"52 week high"),"")</f>
        <v/>
      </c>
      <c r="U47" s="64" t="str" cm="1">
        <f t="array" ref="U47">IF(T_WATCHLIST[[#This Row],[Stock]]="","",SUMPRODUCT(T_TXN[UNITS],--(T_TXN[TYPE]="Buy"),--(T_TXN[TICKER]=T_WATCHLIST[[#This Row],[Stock]])))</f>
        <v/>
      </c>
      <c r="V47" s="67" t="str" cm="1">
        <f t="array" ref="V47">IF(T_WATCHLIST[[#This Row],[Stock]]="","",SUMPRODUCT(--(T_TXN[TYPE]="Buy"),T_TXN[UNITS],T_TXN[PRICE],--(T_TXN[TICKER]=T_WATCHLIST[[#This Row],[Stock]])))</f>
        <v/>
      </c>
      <c r="W47" s="64" t="str" cm="1">
        <f t="array" ref="W47">IF(T_WATCHLIST[[#This Row],[Stock]]="","",SUMPRODUCT(T_TXN[UNITS],--(T_TXN[TYPE]="Sell"),--(T_TXN[TICKER]=T_WATCHLIST[[#This Row],[Stock]])))</f>
        <v/>
      </c>
      <c r="X47" s="67" t="str" cm="1">
        <f t="array" ref="X47">IF(T_WATCHLIST[[#This Row],[Stock]]="","",SUMPRODUCT(--(T_TXN[TYPE]="Sell"),T_TXN[UNITS],T_TXN[PRICE],--(T_TXN[TICKER]=T_WATCHLIST[[#This Row],[Stock]])))</f>
        <v/>
      </c>
      <c r="Y47" s="67" t="str" cm="1">
        <f t="array" ref="Y47">IF(T_WATCHLIST[[#This Row],[Stock]]="","",SUMPRODUCT(T_TXN[UNITS],T_TXN[PRICE],--(T_TXN[TYPE]="Buy"),--(T_TXN[TICKER]=T_WATCHLIST[[#This Row],[Stock]])) -SUMPRODUCT(T_TXN[UNITS],T_TXN[PRICE],--(T_TXN[TYPE]="Sell"),--(T_TXN[TICKER]=T_WATCHLIST[[#This Row],[Stock]])))</f>
        <v/>
      </c>
      <c r="Z47" s="64" t="str" cm="1">
        <f t="array" ref="Z47">IFERROR(IF(ROW(T_WATCHLIST[[#This Row],[Stock]])-ROW(T_WATCHLIST[[#Headers],[Stock]])&gt;=C_CNT_STOCKS,"",_FV(T_WATCHLIST[[#This Row],[Stock]],"Industry",TRUE)),"Not Available")</f>
        <v/>
      </c>
      <c r="AA47" s="64" t="str" cm="1">
        <f t="array" ref="AA47">IFERROR(IF(ROW(T_WATCHLIST[[#This Row],[Stock]])-ROW(T_WATCHLIST[[#Headers],[Stock]])&gt;=C_CNT_STOCKS,"",_FV(T_WATCHLIST[[#This Row],[Stock]],"Instrument type",TRUE)),"Not Available")</f>
        <v/>
      </c>
    </row>
    <row r="48" spans="1:27" ht="22" customHeight="1">
      <c r="E48" s="89"/>
      <c r="F48" s="75" t="str" cm="1">
        <f t="array" ref="F48">IFERROR(IF(ROW(T_WATCHLIST[[#This Row],[Stock]])-ROW(T_WATCHLIST[[#Headers],[Stock]])&gt;C_CNT_STOCKS,"",INDEX(_xlfn.ANCHORARRAY(HELP!$G$2),ROW(T_WATCHLIST[[#This Row],[Stock]])-ROW(T_WATCHLIST[[#Headers],[Stock]]))),"")</f>
        <v/>
      </c>
      <c r="G48" s="80" t="str" cm="1">
        <f t="array" ref="G48">IFERROR(_xlfn.FIELDVALUE(T_WATCHLIST[[#This Row],[Stock]],"Ticker Symbol"),"")</f>
        <v/>
      </c>
      <c r="H48" s="117"/>
      <c r="I48" s="81" t="str">
        <f>IF(T_WATCHLIST[[#This Row],[Stock]]="","",SUMIFS(T_TXN[UNITS],T_TXN[TYPE],"Buy",T_TXN[TICKER],T_WATCHLIST[[#This Row],[Stock]])-SUMIFS(T_TXN[UNITS],T_TXN[TYPE],"Sell",T_TXN[TICKER],T_WATCHLIST[[#This Row],[Stock]])+SUMIFS(T_TXN[UNITS],T_TXN[TYPE],"Dividend Reinvestment",T_TXN[TICKER],T_WATCHLIST[[#This Row],[Stock]]))</f>
        <v/>
      </c>
      <c r="J48" s="75" t="str" cm="1">
        <f t="array" ref="J48">IFERROR(_xlfn.FIELDVALUE(T_WATCHLIST[[#This Row],[Stock]],"Price"),"")</f>
        <v/>
      </c>
      <c r="K48" s="82" t="str" cm="1">
        <f t="array" ref="K48">IFERROR(_xlfn.FIELDVALUE(T_WATCHLIST[[#This Row],[Stock]],"Change"),"")</f>
        <v/>
      </c>
      <c r="L48" s="83" t="str" cm="1">
        <f t="array" ref="L48">IFERROR(_xlfn.FIELDVALUE(T_WATCHLIST[[#This Row],[Stock]],"Change (%)"),"")</f>
        <v/>
      </c>
      <c r="M48" s="84" t="str">
        <f>IF(T_WATCHLIST[[#This Row],[Stock]]="","",T_WATCHLIST[[#This Row],[Quantity]]*T_WATCHLIST[[#This Row],[Last Price]])</f>
        <v/>
      </c>
      <c r="N48" s="85" t="str" cm="1">
        <f t="array" ref="N48">IF(T_WATCHLIST[[#This Row],[Stock]]="","",T_WATCHLIST[[#This Row],[Current Value]]-_xlfn.FIELDVALUE(T_WATCHLIST[[#This Row],[Stock]],"Previous Close")*T_WATCHLIST[[#This Row],[Quantity]])</f>
        <v/>
      </c>
      <c r="O48" s="86" t="str">
        <f>IFERROR(T_WATCHLIST[[#This Row],[Today''s Gain/Loss]]/(T_WATCHLIST[[#This Row],[Current Value]]-T_WATCHLIST[[#This Row],[Today''s Gain/Loss]]),"")</f>
        <v/>
      </c>
      <c r="P48" s="84" t="str">
        <f>IFERROR(T_WATCHLIST[[#This Row],[Current Value]]-T_WATCHLIST[[#This Row],[% Total Gain/Loss9]],"")</f>
        <v/>
      </c>
      <c r="Q48" s="87" t="str">
        <f>IFERROR(T_WATCHLIST[[#This Row],[Total Gain/Loss]]/T_WATCHLIST[[#This Row],[% Total Gain/Loss9]],"")</f>
        <v/>
      </c>
      <c r="R48" s="88" t="str" cm="1">
        <f t="array" ref="R48">IFERROR(_xlfn.FIELDVALUE(T_WATCHLIST[[#This Row],[Stock]],"52 week low"),"")</f>
        <v/>
      </c>
      <c r="S4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8" s="73" t="str" cm="1">
        <f t="array" ref="T48">IFERROR(_xlfn.FIELDVALUE(T_WATCHLIST[[#This Row],[Stock]],"52 week high"),"")</f>
        <v/>
      </c>
      <c r="U48" s="64" t="str" cm="1">
        <f t="array" ref="U48">IF(T_WATCHLIST[[#This Row],[Stock]]="","",SUMPRODUCT(T_TXN[UNITS],--(T_TXN[TYPE]="Buy"),--(T_TXN[TICKER]=T_WATCHLIST[[#This Row],[Stock]])))</f>
        <v/>
      </c>
      <c r="V48" s="67" t="str" cm="1">
        <f t="array" ref="V48">IF(T_WATCHLIST[[#This Row],[Stock]]="","",SUMPRODUCT(--(T_TXN[TYPE]="Buy"),T_TXN[UNITS],T_TXN[PRICE],--(T_TXN[TICKER]=T_WATCHLIST[[#This Row],[Stock]])))</f>
        <v/>
      </c>
      <c r="W48" s="64" t="str" cm="1">
        <f t="array" ref="W48">IF(T_WATCHLIST[[#This Row],[Stock]]="","",SUMPRODUCT(T_TXN[UNITS],--(T_TXN[TYPE]="Sell"),--(T_TXN[TICKER]=T_WATCHLIST[[#This Row],[Stock]])))</f>
        <v/>
      </c>
      <c r="X48" s="67" t="str" cm="1">
        <f t="array" ref="X48">IF(T_WATCHLIST[[#This Row],[Stock]]="","",SUMPRODUCT(--(T_TXN[TYPE]="Sell"),T_TXN[UNITS],T_TXN[PRICE],--(T_TXN[TICKER]=T_WATCHLIST[[#This Row],[Stock]])))</f>
        <v/>
      </c>
      <c r="Y48" s="67" t="str" cm="1">
        <f t="array" ref="Y48">IF(T_WATCHLIST[[#This Row],[Stock]]="","",SUMPRODUCT(T_TXN[UNITS],T_TXN[PRICE],--(T_TXN[TYPE]="Buy"),--(T_TXN[TICKER]=T_WATCHLIST[[#This Row],[Stock]])) -SUMPRODUCT(T_TXN[UNITS],T_TXN[PRICE],--(T_TXN[TYPE]="Sell"),--(T_TXN[TICKER]=T_WATCHLIST[[#This Row],[Stock]])))</f>
        <v/>
      </c>
      <c r="Z48" s="64" t="str" cm="1">
        <f t="array" ref="Z48">IFERROR(IF(ROW(T_WATCHLIST[[#This Row],[Stock]])-ROW(T_WATCHLIST[[#Headers],[Stock]])&gt;=C_CNT_STOCKS,"",_FV(T_WATCHLIST[[#This Row],[Stock]],"Industry",TRUE)),"Not Available")</f>
        <v/>
      </c>
      <c r="AA48" s="64" t="str" cm="1">
        <f t="array" ref="AA48">IFERROR(IF(ROW(T_WATCHLIST[[#This Row],[Stock]])-ROW(T_WATCHLIST[[#Headers],[Stock]])&gt;=C_CNT_STOCKS,"",_FV(T_WATCHLIST[[#This Row],[Stock]],"Instrument type",TRUE)),"Not Available")</f>
        <v/>
      </c>
    </row>
    <row r="49" spans="5:27" ht="22" customHeight="1">
      <c r="E49" s="89"/>
      <c r="F49" s="75" t="str" cm="1">
        <f t="array" ref="F49">IFERROR(IF(ROW(T_WATCHLIST[[#This Row],[Stock]])-ROW(T_WATCHLIST[[#Headers],[Stock]])&gt;C_CNT_STOCKS,"",INDEX(_xlfn.ANCHORARRAY(HELP!$G$2),ROW(T_WATCHLIST[[#This Row],[Stock]])-ROW(T_WATCHLIST[[#Headers],[Stock]]))),"")</f>
        <v/>
      </c>
      <c r="G49" s="80" t="str" cm="1">
        <f t="array" ref="G49">IFERROR(_xlfn.FIELDVALUE(T_WATCHLIST[[#This Row],[Stock]],"Ticker Symbol"),"")</f>
        <v/>
      </c>
      <c r="H49" s="117"/>
      <c r="I49" s="81" t="str">
        <f>IF(T_WATCHLIST[[#This Row],[Stock]]="","",SUMIFS(T_TXN[UNITS],T_TXN[TYPE],"Buy",T_TXN[TICKER],T_WATCHLIST[[#This Row],[Stock]])-SUMIFS(T_TXN[UNITS],T_TXN[TYPE],"Sell",T_TXN[TICKER],T_WATCHLIST[[#This Row],[Stock]])+SUMIFS(T_TXN[UNITS],T_TXN[TYPE],"Dividend Reinvestment",T_TXN[TICKER],T_WATCHLIST[[#This Row],[Stock]]))</f>
        <v/>
      </c>
      <c r="J49" s="75" t="str" cm="1">
        <f t="array" ref="J49">IFERROR(_xlfn.FIELDVALUE(T_WATCHLIST[[#This Row],[Stock]],"Price"),"")</f>
        <v/>
      </c>
      <c r="K49" s="82" t="str" cm="1">
        <f t="array" ref="K49">IFERROR(_xlfn.FIELDVALUE(T_WATCHLIST[[#This Row],[Stock]],"Change"),"")</f>
        <v/>
      </c>
      <c r="L49" s="83" t="str" cm="1">
        <f t="array" ref="L49">IFERROR(_xlfn.FIELDVALUE(T_WATCHLIST[[#This Row],[Stock]],"Change (%)"),"")</f>
        <v/>
      </c>
      <c r="M49" s="84" t="str">
        <f>IF(T_WATCHLIST[[#This Row],[Stock]]="","",T_WATCHLIST[[#This Row],[Quantity]]*T_WATCHLIST[[#This Row],[Last Price]])</f>
        <v/>
      </c>
      <c r="N49" s="85" t="str" cm="1">
        <f t="array" ref="N49">IF(T_WATCHLIST[[#This Row],[Stock]]="","",T_WATCHLIST[[#This Row],[Current Value]]-_xlfn.FIELDVALUE(T_WATCHLIST[[#This Row],[Stock]],"Previous Close")*T_WATCHLIST[[#This Row],[Quantity]])</f>
        <v/>
      </c>
      <c r="O49" s="86" t="str">
        <f>IFERROR(T_WATCHLIST[[#This Row],[Today''s Gain/Loss]]/(T_WATCHLIST[[#This Row],[Current Value]]-T_WATCHLIST[[#This Row],[Today''s Gain/Loss]]),"")</f>
        <v/>
      </c>
      <c r="P49" s="84" t="str">
        <f>IFERROR(T_WATCHLIST[[#This Row],[Current Value]]-T_WATCHLIST[[#This Row],[% Total Gain/Loss9]],"")</f>
        <v/>
      </c>
      <c r="Q49" s="87" t="str">
        <f>IFERROR(T_WATCHLIST[[#This Row],[Total Gain/Loss]]/T_WATCHLIST[[#This Row],[% Total Gain/Loss9]],"")</f>
        <v/>
      </c>
      <c r="R49" s="88" t="str" cm="1">
        <f t="array" ref="R49">IFERROR(_xlfn.FIELDVALUE(T_WATCHLIST[[#This Row],[Stock]],"52 week low"),"")</f>
        <v/>
      </c>
      <c r="S4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49" s="73" t="str" cm="1">
        <f t="array" ref="T49">IFERROR(_xlfn.FIELDVALUE(T_WATCHLIST[[#This Row],[Stock]],"52 week high"),"")</f>
        <v/>
      </c>
      <c r="U49" s="64" t="str" cm="1">
        <f t="array" ref="U49">IF(T_WATCHLIST[[#This Row],[Stock]]="","",SUMPRODUCT(T_TXN[UNITS],--(T_TXN[TYPE]="Buy"),--(T_TXN[TICKER]=T_WATCHLIST[[#This Row],[Stock]])))</f>
        <v/>
      </c>
      <c r="V49" s="67" t="str" cm="1">
        <f t="array" ref="V49">IF(T_WATCHLIST[[#This Row],[Stock]]="","",SUMPRODUCT(--(T_TXN[TYPE]="Buy"),T_TXN[UNITS],T_TXN[PRICE],--(T_TXN[TICKER]=T_WATCHLIST[[#This Row],[Stock]])))</f>
        <v/>
      </c>
      <c r="W49" s="64" t="str" cm="1">
        <f t="array" ref="W49">IF(T_WATCHLIST[[#This Row],[Stock]]="","",SUMPRODUCT(T_TXN[UNITS],--(T_TXN[TYPE]="Sell"),--(T_TXN[TICKER]=T_WATCHLIST[[#This Row],[Stock]])))</f>
        <v/>
      </c>
      <c r="X49" s="67" t="str" cm="1">
        <f t="array" ref="X49">IF(T_WATCHLIST[[#This Row],[Stock]]="","",SUMPRODUCT(--(T_TXN[TYPE]="Sell"),T_TXN[UNITS],T_TXN[PRICE],--(T_TXN[TICKER]=T_WATCHLIST[[#This Row],[Stock]])))</f>
        <v/>
      </c>
      <c r="Y49" s="67" t="str" cm="1">
        <f t="array" ref="Y49">IF(T_WATCHLIST[[#This Row],[Stock]]="","",SUMPRODUCT(T_TXN[UNITS],T_TXN[PRICE],--(T_TXN[TYPE]="Buy"),--(T_TXN[TICKER]=T_WATCHLIST[[#This Row],[Stock]])) -SUMPRODUCT(T_TXN[UNITS],T_TXN[PRICE],--(T_TXN[TYPE]="Sell"),--(T_TXN[TICKER]=T_WATCHLIST[[#This Row],[Stock]])))</f>
        <v/>
      </c>
      <c r="Z49" s="64" t="str" cm="1">
        <f t="array" ref="Z49">IFERROR(IF(ROW(T_WATCHLIST[[#This Row],[Stock]])-ROW(T_WATCHLIST[[#Headers],[Stock]])&gt;=C_CNT_STOCKS,"",_FV(T_WATCHLIST[[#This Row],[Stock]],"Industry",TRUE)),"Not Available")</f>
        <v/>
      </c>
      <c r="AA49" s="64" t="str" cm="1">
        <f t="array" ref="AA49">IFERROR(IF(ROW(T_WATCHLIST[[#This Row],[Stock]])-ROW(T_WATCHLIST[[#Headers],[Stock]])&gt;=C_CNT_STOCKS,"",_FV(T_WATCHLIST[[#This Row],[Stock]],"Instrument type",TRUE)),"Not Available")</f>
        <v/>
      </c>
    </row>
    <row r="50" spans="5:27" ht="22" customHeight="1">
      <c r="E50" s="89"/>
      <c r="F50" s="75" t="str" cm="1">
        <f t="array" ref="F50">IFERROR(IF(ROW(T_WATCHLIST[[#This Row],[Stock]])-ROW(T_WATCHLIST[[#Headers],[Stock]])&gt;C_CNT_STOCKS,"",INDEX(_xlfn.ANCHORARRAY(HELP!$G$2),ROW(T_WATCHLIST[[#This Row],[Stock]])-ROW(T_WATCHLIST[[#Headers],[Stock]]))),"")</f>
        <v/>
      </c>
      <c r="G50" s="80" t="str" cm="1">
        <f t="array" ref="G50">IFERROR(_xlfn.FIELDVALUE(T_WATCHLIST[[#This Row],[Stock]],"Ticker Symbol"),"")</f>
        <v/>
      </c>
      <c r="H50" s="117"/>
      <c r="I50" s="81" t="str">
        <f>IF(T_WATCHLIST[[#This Row],[Stock]]="","",SUMIFS(T_TXN[UNITS],T_TXN[TYPE],"Buy",T_TXN[TICKER],T_WATCHLIST[[#This Row],[Stock]])-SUMIFS(T_TXN[UNITS],T_TXN[TYPE],"Sell",T_TXN[TICKER],T_WATCHLIST[[#This Row],[Stock]])+SUMIFS(T_TXN[UNITS],T_TXN[TYPE],"Dividend Reinvestment",T_TXN[TICKER],T_WATCHLIST[[#This Row],[Stock]]))</f>
        <v/>
      </c>
      <c r="J50" s="75" t="str" cm="1">
        <f t="array" ref="J50">IFERROR(_xlfn.FIELDVALUE(T_WATCHLIST[[#This Row],[Stock]],"Price"),"")</f>
        <v/>
      </c>
      <c r="K50" s="82" t="str" cm="1">
        <f t="array" ref="K50">IFERROR(_xlfn.FIELDVALUE(T_WATCHLIST[[#This Row],[Stock]],"Change"),"")</f>
        <v/>
      </c>
      <c r="L50" s="83" t="str" cm="1">
        <f t="array" ref="L50">IFERROR(_xlfn.FIELDVALUE(T_WATCHLIST[[#This Row],[Stock]],"Change (%)"),"")</f>
        <v/>
      </c>
      <c r="M50" s="84" t="str">
        <f>IF(T_WATCHLIST[[#This Row],[Stock]]="","",T_WATCHLIST[[#This Row],[Quantity]]*T_WATCHLIST[[#This Row],[Last Price]])</f>
        <v/>
      </c>
      <c r="N50" s="85" t="str" cm="1">
        <f t="array" ref="N50">IF(T_WATCHLIST[[#This Row],[Stock]]="","",T_WATCHLIST[[#This Row],[Current Value]]-_xlfn.FIELDVALUE(T_WATCHLIST[[#This Row],[Stock]],"Previous Close")*T_WATCHLIST[[#This Row],[Quantity]])</f>
        <v/>
      </c>
      <c r="O50" s="86" t="str">
        <f>IFERROR(T_WATCHLIST[[#This Row],[Today''s Gain/Loss]]/(T_WATCHLIST[[#This Row],[Current Value]]-T_WATCHLIST[[#This Row],[Today''s Gain/Loss]]),"")</f>
        <v/>
      </c>
      <c r="P50" s="84" t="str">
        <f>IFERROR(T_WATCHLIST[[#This Row],[Current Value]]-T_WATCHLIST[[#This Row],[% Total Gain/Loss9]],"")</f>
        <v/>
      </c>
      <c r="Q50" s="87" t="str">
        <f>IFERROR(T_WATCHLIST[[#This Row],[Total Gain/Loss]]/T_WATCHLIST[[#This Row],[% Total Gain/Loss9]],"")</f>
        <v/>
      </c>
      <c r="R50" s="88" t="str" cm="1">
        <f t="array" ref="R50">IFERROR(_xlfn.FIELDVALUE(T_WATCHLIST[[#This Row],[Stock]],"52 week low"),"")</f>
        <v/>
      </c>
      <c r="S5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0" s="73" t="str" cm="1">
        <f t="array" ref="T50">IFERROR(_xlfn.FIELDVALUE(T_WATCHLIST[[#This Row],[Stock]],"52 week high"),"")</f>
        <v/>
      </c>
      <c r="U50" s="64" t="str" cm="1">
        <f t="array" ref="U50">IF(T_WATCHLIST[[#This Row],[Stock]]="","",SUMPRODUCT(T_TXN[UNITS],--(T_TXN[TYPE]="Buy"),--(T_TXN[TICKER]=T_WATCHLIST[[#This Row],[Stock]])))</f>
        <v/>
      </c>
      <c r="V50" s="67" t="str" cm="1">
        <f t="array" ref="V50">IF(T_WATCHLIST[[#This Row],[Stock]]="","",SUMPRODUCT(--(T_TXN[TYPE]="Buy"),T_TXN[UNITS],T_TXN[PRICE],--(T_TXN[TICKER]=T_WATCHLIST[[#This Row],[Stock]])))</f>
        <v/>
      </c>
      <c r="W50" s="64" t="str" cm="1">
        <f t="array" ref="W50">IF(T_WATCHLIST[[#This Row],[Stock]]="","",SUMPRODUCT(T_TXN[UNITS],--(T_TXN[TYPE]="Sell"),--(T_TXN[TICKER]=T_WATCHLIST[[#This Row],[Stock]])))</f>
        <v/>
      </c>
      <c r="X50" s="67" t="str" cm="1">
        <f t="array" ref="X50">IF(T_WATCHLIST[[#This Row],[Stock]]="","",SUMPRODUCT(--(T_TXN[TYPE]="Sell"),T_TXN[UNITS],T_TXN[PRICE],--(T_TXN[TICKER]=T_WATCHLIST[[#This Row],[Stock]])))</f>
        <v/>
      </c>
      <c r="Y50" s="67" t="str" cm="1">
        <f t="array" ref="Y50">IF(T_WATCHLIST[[#This Row],[Stock]]="","",SUMPRODUCT(T_TXN[UNITS],T_TXN[PRICE],--(T_TXN[TYPE]="Buy"),--(T_TXN[TICKER]=T_WATCHLIST[[#This Row],[Stock]])) -SUMPRODUCT(T_TXN[UNITS],T_TXN[PRICE],--(T_TXN[TYPE]="Sell"),--(T_TXN[TICKER]=T_WATCHLIST[[#This Row],[Stock]])))</f>
        <v/>
      </c>
      <c r="Z50" s="64" t="str" cm="1">
        <f t="array" ref="Z50">IFERROR(IF(ROW(T_WATCHLIST[[#This Row],[Stock]])-ROW(T_WATCHLIST[[#Headers],[Stock]])&gt;=C_CNT_STOCKS,"",_FV(T_WATCHLIST[[#This Row],[Stock]],"Industry",TRUE)),"Not Available")</f>
        <v/>
      </c>
      <c r="AA50" s="64" t="str" cm="1">
        <f t="array" ref="AA50">IFERROR(IF(ROW(T_WATCHLIST[[#This Row],[Stock]])-ROW(T_WATCHLIST[[#Headers],[Stock]])&gt;=C_CNT_STOCKS,"",_FV(T_WATCHLIST[[#This Row],[Stock]],"Instrument type",TRUE)),"Not Available")</f>
        <v/>
      </c>
    </row>
    <row r="51" spans="5:27" ht="22" customHeight="1">
      <c r="E51" s="89"/>
      <c r="F51" s="75" t="str" cm="1">
        <f t="array" ref="F51">IFERROR(IF(ROW(T_WATCHLIST[[#This Row],[Stock]])-ROW(T_WATCHLIST[[#Headers],[Stock]])&gt;C_CNT_STOCKS,"",INDEX(_xlfn.ANCHORARRAY(HELP!$G$2),ROW(T_WATCHLIST[[#This Row],[Stock]])-ROW(T_WATCHLIST[[#Headers],[Stock]]))),"")</f>
        <v/>
      </c>
      <c r="G51" s="80" t="str" cm="1">
        <f t="array" ref="G51">IFERROR(_xlfn.FIELDVALUE(T_WATCHLIST[[#This Row],[Stock]],"Ticker Symbol"),"")</f>
        <v/>
      </c>
      <c r="H51" s="117"/>
      <c r="I51" s="81" t="str">
        <f>IF(T_WATCHLIST[[#This Row],[Stock]]="","",SUMIFS(T_TXN[UNITS],T_TXN[TYPE],"Buy",T_TXN[TICKER],T_WATCHLIST[[#This Row],[Stock]])-SUMIFS(T_TXN[UNITS],T_TXN[TYPE],"Sell",T_TXN[TICKER],T_WATCHLIST[[#This Row],[Stock]])+SUMIFS(T_TXN[UNITS],T_TXN[TYPE],"Dividend Reinvestment",T_TXN[TICKER],T_WATCHLIST[[#This Row],[Stock]]))</f>
        <v/>
      </c>
      <c r="J51" s="75" t="str" cm="1">
        <f t="array" ref="J51">IFERROR(_xlfn.FIELDVALUE(T_WATCHLIST[[#This Row],[Stock]],"Price"),"")</f>
        <v/>
      </c>
      <c r="K51" s="82" t="str" cm="1">
        <f t="array" ref="K51">IFERROR(_xlfn.FIELDVALUE(T_WATCHLIST[[#This Row],[Stock]],"Change"),"")</f>
        <v/>
      </c>
      <c r="L51" s="83" t="str" cm="1">
        <f t="array" ref="L51">IFERROR(_xlfn.FIELDVALUE(T_WATCHLIST[[#This Row],[Stock]],"Change (%)"),"")</f>
        <v/>
      </c>
      <c r="M51" s="84" t="str">
        <f>IF(T_WATCHLIST[[#This Row],[Stock]]="","",T_WATCHLIST[[#This Row],[Quantity]]*T_WATCHLIST[[#This Row],[Last Price]])</f>
        <v/>
      </c>
      <c r="N51" s="85" t="str" cm="1">
        <f t="array" ref="N51">IF(T_WATCHLIST[[#This Row],[Stock]]="","",T_WATCHLIST[[#This Row],[Current Value]]-_xlfn.FIELDVALUE(T_WATCHLIST[[#This Row],[Stock]],"Previous Close")*T_WATCHLIST[[#This Row],[Quantity]])</f>
        <v/>
      </c>
      <c r="O51" s="86" t="str">
        <f>IFERROR(T_WATCHLIST[[#This Row],[Today''s Gain/Loss]]/(T_WATCHLIST[[#This Row],[Current Value]]-T_WATCHLIST[[#This Row],[Today''s Gain/Loss]]),"")</f>
        <v/>
      </c>
      <c r="P51" s="84" t="str">
        <f>IFERROR(T_WATCHLIST[[#This Row],[Current Value]]-T_WATCHLIST[[#This Row],[% Total Gain/Loss9]],"")</f>
        <v/>
      </c>
      <c r="Q51" s="87" t="str">
        <f>IFERROR(T_WATCHLIST[[#This Row],[Total Gain/Loss]]/T_WATCHLIST[[#This Row],[% Total Gain/Loss9]],"")</f>
        <v/>
      </c>
      <c r="R51" s="88" t="str" cm="1">
        <f t="array" ref="R51">IFERROR(_xlfn.FIELDVALUE(T_WATCHLIST[[#This Row],[Stock]],"52 week low"),"")</f>
        <v/>
      </c>
      <c r="S5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1" s="73" t="str" cm="1">
        <f t="array" ref="T51">IFERROR(_xlfn.FIELDVALUE(T_WATCHLIST[[#This Row],[Stock]],"52 week high"),"")</f>
        <v/>
      </c>
      <c r="U51" s="64" t="str" cm="1">
        <f t="array" ref="U51">IF(T_WATCHLIST[[#This Row],[Stock]]="","",SUMPRODUCT(T_TXN[UNITS],--(T_TXN[TYPE]="Buy"),--(T_TXN[TICKER]=T_WATCHLIST[[#This Row],[Stock]])))</f>
        <v/>
      </c>
      <c r="V51" s="67" t="str" cm="1">
        <f t="array" ref="V51">IF(T_WATCHLIST[[#This Row],[Stock]]="","",SUMPRODUCT(--(T_TXN[TYPE]="Buy"),T_TXN[UNITS],T_TXN[PRICE],--(T_TXN[TICKER]=T_WATCHLIST[[#This Row],[Stock]])))</f>
        <v/>
      </c>
      <c r="W51" s="64" t="str" cm="1">
        <f t="array" ref="W51">IF(T_WATCHLIST[[#This Row],[Stock]]="","",SUMPRODUCT(T_TXN[UNITS],--(T_TXN[TYPE]="Sell"),--(T_TXN[TICKER]=T_WATCHLIST[[#This Row],[Stock]])))</f>
        <v/>
      </c>
      <c r="X51" s="67" t="str" cm="1">
        <f t="array" ref="X51">IF(T_WATCHLIST[[#This Row],[Stock]]="","",SUMPRODUCT(--(T_TXN[TYPE]="Sell"),T_TXN[UNITS],T_TXN[PRICE],--(T_TXN[TICKER]=T_WATCHLIST[[#This Row],[Stock]])))</f>
        <v/>
      </c>
      <c r="Y51" s="67" t="str" cm="1">
        <f t="array" ref="Y51">IF(T_WATCHLIST[[#This Row],[Stock]]="","",SUMPRODUCT(T_TXN[UNITS],T_TXN[PRICE],--(T_TXN[TYPE]="Buy"),--(T_TXN[TICKER]=T_WATCHLIST[[#This Row],[Stock]])) -SUMPRODUCT(T_TXN[UNITS],T_TXN[PRICE],--(T_TXN[TYPE]="Sell"),--(T_TXN[TICKER]=T_WATCHLIST[[#This Row],[Stock]])))</f>
        <v/>
      </c>
      <c r="Z51" s="64" t="str" cm="1">
        <f t="array" ref="Z51">IFERROR(IF(ROW(T_WATCHLIST[[#This Row],[Stock]])-ROW(T_WATCHLIST[[#Headers],[Stock]])&gt;=C_CNT_STOCKS,"",_FV(T_WATCHLIST[[#This Row],[Stock]],"Industry",TRUE)),"Not Available")</f>
        <v/>
      </c>
      <c r="AA51" s="64" t="str" cm="1">
        <f t="array" ref="AA51">IFERROR(IF(ROW(T_WATCHLIST[[#This Row],[Stock]])-ROW(T_WATCHLIST[[#Headers],[Stock]])&gt;=C_CNT_STOCKS,"",_FV(T_WATCHLIST[[#This Row],[Stock]],"Instrument type",TRUE)),"Not Available")</f>
        <v/>
      </c>
    </row>
    <row r="52" spans="5:27" ht="22" customHeight="1">
      <c r="E52" s="89"/>
      <c r="F52" s="75" t="str" cm="1">
        <f t="array" ref="F52">IFERROR(IF(ROW(T_WATCHLIST[[#This Row],[Stock]])-ROW(T_WATCHLIST[[#Headers],[Stock]])&gt;C_CNT_STOCKS,"",INDEX(_xlfn.ANCHORARRAY(HELP!$G$2),ROW(T_WATCHLIST[[#This Row],[Stock]])-ROW(T_WATCHLIST[[#Headers],[Stock]]))),"")</f>
        <v/>
      </c>
      <c r="G52" s="80" t="str" cm="1">
        <f t="array" ref="G52">IFERROR(_xlfn.FIELDVALUE(T_WATCHLIST[[#This Row],[Stock]],"Ticker Symbol"),"")</f>
        <v/>
      </c>
      <c r="H52" s="117"/>
      <c r="I52" s="81" t="str">
        <f>IF(T_WATCHLIST[[#This Row],[Stock]]="","",SUMIFS(T_TXN[UNITS],T_TXN[TYPE],"Buy",T_TXN[TICKER],T_WATCHLIST[[#This Row],[Stock]])-SUMIFS(T_TXN[UNITS],T_TXN[TYPE],"Sell",T_TXN[TICKER],T_WATCHLIST[[#This Row],[Stock]])+SUMIFS(T_TXN[UNITS],T_TXN[TYPE],"Dividend Reinvestment",T_TXN[TICKER],T_WATCHLIST[[#This Row],[Stock]]))</f>
        <v/>
      </c>
      <c r="J52" s="75" t="str" cm="1">
        <f t="array" ref="J52">IFERROR(_xlfn.FIELDVALUE(T_WATCHLIST[[#This Row],[Stock]],"Price"),"")</f>
        <v/>
      </c>
      <c r="K52" s="82" t="str" cm="1">
        <f t="array" ref="K52">IFERROR(_xlfn.FIELDVALUE(T_WATCHLIST[[#This Row],[Stock]],"Change"),"")</f>
        <v/>
      </c>
      <c r="L52" s="83" t="str" cm="1">
        <f t="array" ref="L52">IFERROR(_xlfn.FIELDVALUE(T_WATCHLIST[[#This Row],[Stock]],"Change (%)"),"")</f>
        <v/>
      </c>
      <c r="M52" s="84" t="str">
        <f>IF(T_WATCHLIST[[#This Row],[Stock]]="","",T_WATCHLIST[[#This Row],[Quantity]]*T_WATCHLIST[[#This Row],[Last Price]])</f>
        <v/>
      </c>
      <c r="N52" s="85" t="str" cm="1">
        <f t="array" ref="N52">IF(T_WATCHLIST[[#This Row],[Stock]]="","",T_WATCHLIST[[#This Row],[Current Value]]-_xlfn.FIELDVALUE(T_WATCHLIST[[#This Row],[Stock]],"Previous Close")*T_WATCHLIST[[#This Row],[Quantity]])</f>
        <v/>
      </c>
      <c r="O52" s="86" t="str">
        <f>IFERROR(T_WATCHLIST[[#This Row],[Today''s Gain/Loss]]/(T_WATCHLIST[[#This Row],[Current Value]]-T_WATCHLIST[[#This Row],[Today''s Gain/Loss]]),"")</f>
        <v/>
      </c>
      <c r="P52" s="84" t="str">
        <f>IFERROR(T_WATCHLIST[[#This Row],[Current Value]]-T_WATCHLIST[[#This Row],[% Total Gain/Loss9]],"")</f>
        <v/>
      </c>
      <c r="Q52" s="87" t="str">
        <f>IFERROR(T_WATCHLIST[[#This Row],[Total Gain/Loss]]/T_WATCHLIST[[#This Row],[% Total Gain/Loss9]],"")</f>
        <v/>
      </c>
      <c r="R52" s="88" t="str" cm="1">
        <f t="array" ref="R52">IFERROR(_xlfn.FIELDVALUE(T_WATCHLIST[[#This Row],[Stock]],"52 week low"),"")</f>
        <v/>
      </c>
      <c r="S5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2" s="73" t="str" cm="1">
        <f t="array" ref="T52">IFERROR(_xlfn.FIELDVALUE(T_WATCHLIST[[#This Row],[Stock]],"52 week high"),"")</f>
        <v/>
      </c>
      <c r="U52" s="64" t="str" cm="1">
        <f t="array" ref="U52">IF(T_WATCHLIST[[#This Row],[Stock]]="","",SUMPRODUCT(T_TXN[UNITS],--(T_TXN[TYPE]="Buy"),--(T_TXN[TICKER]=T_WATCHLIST[[#This Row],[Stock]])))</f>
        <v/>
      </c>
      <c r="V52" s="67" t="str" cm="1">
        <f t="array" ref="V52">IF(T_WATCHLIST[[#This Row],[Stock]]="","",SUMPRODUCT(--(T_TXN[TYPE]="Buy"),T_TXN[UNITS],T_TXN[PRICE],--(T_TXN[TICKER]=T_WATCHLIST[[#This Row],[Stock]])))</f>
        <v/>
      </c>
      <c r="W52" s="64" t="str" cm="1">
        <f t="array" ref="W52">IF(T_WATCHLIST[[#This Row],[Stock]]="","",SUMPRODUCT(T_TXN[UNITS],--(T_TXN[TYPE]="Sell"),--(T_TXN[TICKER]=T_WATCHLIST[[#This Row],[Stock]])))</f>
        <v/>
      </c>
      <c r="X52" s="67" t="str" cm="1">
        <f t="array" ref="X52">IF(T_WATCHLIST[[#This Row],[Stock]]="","",SUMPRODUCT(--(T_TXN[TYPE]="Sell"),T_TXN[UNITS],T_TXN[PRICE],--(T_TXN[TICKER]=T_WATCHLIST[[#This Row],[Stock]])))</f>
        <v/>
      </c>
      <c r="Y52" s="67" t="str" cm="1">
        <f t="array" ref="Y52">IF(T_WATCHLIST[[#This Row],[Stock]]="","",SUMPRODUCT(T_TXN[UNITS],T_TXN[PRICE],--(T_TXN[TYPE]="Buy"),--(T_TXN[TICKER]=T_WATCHLIST[[#This Row],[Stock]])) -SUMPRODUCT(T_TXN[UNITS],T_TXN[PRICE],--(T_TXN[TYPE]="Sell"),--(T_TXN[TICKER]=T_WATCHLIST[[#This Row],[Stock]])))</f>
        <v/>
      </c>
      <c r="Z52" s="64" t="str" cm="1">
        <f t="array" ref="Z52">IFERROR(IF(ROW(T_WATCHLIST[[#This Row],[Stock]])-ROW(T_WATCHLIST[[#Headers],[Stock]])&gt;=C_CNT_STOCKS,"",_FV(T_WATCHLIST[[#This Row],[Stock]],"Industry",TRUE)),"Not Available")</f>
        <v/>
      </c>
      <c r="AA52" s="64" t="str" cm="1">
        <f t="array" ref="AA52">IFERROR(IF(ROW(T_WATCHLIST[[#This Row],[Stock]])-ROW(T_WATCHLIST[[#Headers],[Stock]])&gt;=C_CNT_STOCKS,"",_FV(T_WATCHLIST[[#This Row],[Stock]],"Instrument type",TRUE)),"Not Available")</f>
        <v/>
      </c>
    </row>
    <row r="53" spans="5:27" ht="22" customHeight="1">
      <c r="E53" s="89"/>
      <c r="F53" s="75" t="str" cm="1">
        <f t="array" ref="F53">IFERROR(IF(ROW(T_WATCHLIST[[#This Row],[Stock]])-ROW(T_WATCHLIST[[#Headers],[Stock]])&gt;C_CNT_STOCKS,"",INDEX(_xlfn.ANCHORARRAY(HELP!$G$2),ROW(T_WATCHLIST[[#This Row],[Stock]])-ROW(T_WATCHLIST[[#Headers],[Stock]]))),"")</f>
        <v/>
      </c>
      <c r="G53" s="80" t="str" cm="1">
        <f t="array" ref="G53">IFERROR(_xlfn.FIELDVALUE(T_WATCHLIST[[#This Row],[Stock]],"Ticker Symbol"),"")</f>
        <v/>
      </c>
      <c r="H53" s="117"/>
      <c r="I53" s="81" t="str">
        <f>IF(T_WATCHLIST[[#This Row],[Stock]]="","",SUMIFS(T_TXN[UNITS],T_TXN[TYPE],"Buy",T_TXN[TICKER],T_WATCHLIST[[#This Row],[Stock]])-SUMIFS(T_TXN[UNITS],T_TXN[TYPE],"Sell",T_TXN[TICKER],T_WATCHLIST[[#This Row],[Stock]])+SUMIFS(T_TXN[UNITS],T_TXN[TYPE],"Dividend Reinvestment",T_TXN[TICKER],T_WATCHLIST[[#This Row],[Stock]]))</f>
        <v/>
      </c>
      <c r="J53" s="75" t="str" cm="1">
        <f t="array" ref="J53">IFERROR(_xlfn.FIELDVALUE(T_WATCHLIST[[#This Row],[Stock]],"Price"),"")</f>
        <v/>
      </c>
      <c r="K53" s="82" t="str" cm="1">
        <f t="array" ref="K53">IFERROR(_xlfn.FIELDVALUE(T_WATCHLIST[[#This Row],[Stock]],"Change"),"")</f>
        <v/>
      </c>
      <c r="L53" s="83" t="str" cm="1">
        <f t="array" ref="L53">IFERROR(_xlfn.FIELDVALUE(T_WATCHLIST[[#This Row],[Stock]],"Change (%)"),"")</f>
        <v/>
      </c>
      <c r="M53" s="84" t="str">
        <f>IF(T_WATCHLIST[[#This Row],[Stock]]="","",T_WATCHLIST[[#This Row],[Quantity]]*T_WATCHLIST[[#This Row],[Last Price]])</f>
        <v/>
      </c>
      <c r="N53" s="85" t="str" cm="1">
        <f t="array" ref="N53">IF(T_WATCHLIST[[#This Row],[Stock]]="","",T_WATCHLIST[[#This Row],[Current Value]]-_xlfn.FIELDVALUE(T_WATCHLIST[[#This Row],[Stock]],"Previous Close")*T_WATCHLIST[[#This Row],[Quantity]])</f>
        <v/>
      </c>
      <c r="O53" s="86" t="str">
        <f>IFERROR(T_WATCHLIST[[#This Row],[Today''s Gain/Loss]]/(T_WATCHLIST[[#This Row],[Current Value]]-T_WATCHLIST[[#This Row],[Today''s Gain/Loss]]),"")</f>
        <v/>
      </c>
      <c r="P53" s="84" t="str">
        <f>IFERROR(T_WATCHLIST[[#This Row],[Current Value]]-T_WATCHLIST[[#This Row],[% Total Gain/Loss9]],"")</f>
        <v/>
      </c>
      <c r="Q53" s="87" t="str">
        <f>IFERROR(T_WATCHLIST[[#This Row],[Total Gain/Loss]]/T_WATCHLIST[[#This Row],[% Total Gain/Loss9]],"")</f>
        <v/>
      </c>
      <c r="R53" s="88" t="str" cm="1">
        <f t="array" ref="R53">IFERROR(_xlfn.FIELDVALUE(T_WATCHLIST[[#This Row],[Stock]],"52 week low"),"")</f>
        <v/>
      </c>
      <c r="S5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3" s="73" t="str" cm="1">
        <f t="array" ref="T53">IFERROR(_xlfn.FIELDVALUE(T_WATCHLIST[[#This Row],[Stock]],"52 week high"),"")</f>
        <v/>
      </c>
      <c r="U53" s="64" t="str" cm="1">
        <f t="array" ref="U53">IF(T_WATCHLIST[[#This Row],[Stock]]="","",SUMPRODUCT(T_TXN[UNITS],--(T_TXN[TYPE]="Buy"),--(T_TXN[TICKER]=T_WATCHLIST[[#This Row],[Stock]])))</f>
        <v/>
      </c>
      <c r="V53" s="67" t="str" cm="1">
        <f t="array" ref="V53">IF(T_WATCHLIST[[#This Row],[Stock]]="","",SUMPRODUCT(--(T_TXN[TYPE]="Buy"),T_TXN[UNITS],T_TXN[PRICE],--(T_TXN[TICKER]=T_WATCHLIST[[#This Row],[Stock]])))</f>
        <v/>
      </c>
      <c r="W53" s="64" t="str" cm="1">
        <f t="array" ref="W53">IF(T_WATCHLIST[[#This Row],[Stock]]="","",SUMPRODUCT(T_TXN[UNITS],--(T_TXN[TYPE]="Sell"),--(T_TXN[TICKER]=T_WATCHLIST[[#This Row],[Stock]])))</f>
        <v/>
      </c>
      <c r="X53" s="67" t="str" cm="1">
        <f t="array" ref="X53">IF(T_WATCHLIST[[#This Row],[Stock]]="","",SUMPRODUCT(--(T_TXN[TYPE]="Sell"),T_TXN[UNITS],T_TXN[PRICE],--(T_TXN[TICKER]=T_WATCHLIST[[#This Row],[Stock]])))</f>
        <v/>
      </c>
      <c r="Y53" s="67" t="str" cm="1">
        <f t="array" ref="Y53">IF(T_WATCHLIST[[#This Row],[Stock]]="","",SUMPRODUCT(T_TXN[UNITS],T_TXN[PRICE],--(T_TXN[TYPE]="Buy"),--(T_TXN[TICKER]=T_WATCHLIST[[#This Row],[Stock]])) -SUMPRODUCT(T_TXN[UNITS],T_TXN[PRICE],--(T_TXN[TYPE]="Sell"),--(T_TXN[TICKER]=T_WATCHLIST[[#This Row],[Stock]])))</f>
        <v/>
      </c>
      <c r="Z53" s="64" t="str" cm="1">
        <f t="array" ref="Z53">IFERROR(IF(ROW(T_WATCHLIST[[#This Row],[Stock]])-ROW(T_WATCHLIST[[#Headers],[Stock]])&gt;=C_CNT_STOCKS,"",_FV(T_WATCHLIST[[#This Row],[Stock]],"Industry",TRUE)),"Not Available")</f>
        <v/>
      </c>
      <c r="AA53" s="64" t="str" cm="1">
        <f t="array" ref="AA53">IFERROR(IF(ROW(T_WATCHLIST[[#This Row],[Stock]])-ROW(T_WATCHLIST[[#Headers],[Stock]])&gt;=C_CNT_STOCKS,"",_FV(T_WATCHLIST[[#This Row],[Stock]],"Instrument type",TRUE)),"Not Available")</f>
        <v/>
      </c>
    </row>
    <row r="54" spans="5:27" ht="22" customHeight="1">
      <c r="E54" s="89"/>
      <c r="F54" s="75" t="str" cm="1">
        <f t="array" ref="F54">IFERROR(IF(ROW(T_WATCHLIST[[#This Row],[Stock]])-ROW(T_WATCHLIST[[#Headers],[Stock]])&gt;C_CNT_STOCKS,"",INDEX(_xlfn.ANCHORARRAY(HELP!$G$2),ROW(T_WATCHLIST[[#This Row],[Stock]])-ROW(T_WATCHLIST[[#Headers],[Stock]]))),"")</f>
        <v/>
      </c>
      <c r="G54" s="80" t="str" cm="1">
        <f t="array" ref="G54">IFERROR(_xlfn.FIELDVALUE(T_WATCHLIST[[#This Row],[Stock]],"Ticker Symbol"),"")</f>
        <v/>
      </c>
      <c r="H54" s="117"/>
      <c r="I54" s="81" t="str">
        <f>IF(T_WATCHLIST[[#This Row],[Stock]]="","",SUMIFS(T_TXN[UNITS],T_TXN[TYPE],"Buy",T_TXN[TICKER],T_WATCHLIST[[#This Row],[Stock]])-SUMIFS(T_TXN[UNITS],T_TXN[TYPE],"Sell",T_TXN[TICKER],T_WATCHLIST[[#This Row],[Stock]])+SUMIFS(T_TXN[UNITS],T_TXN[TYPE],"Dividend Reinvestment",T_TXN[TICKER],T_WATCHLIST[[#This Row],[Stock]]))</f>
        <v/>
      </c>
      <c r="J54" s="75" t="str" cm="1">
        <f t="array" ref="J54">IFERROR(_xlfn.FIELDVALUE(T_WATCHLIST[[#This Row],[Stock]],"Price"),"")</f>
        <v/>
      </c>
      <c r="K54" s="82" t="str" cm="1">
        <f t="array" ref="K54">IFERROR(_xlfn.FIELDVALUE(T_WATCHLIST[[#This Row],[Stock]],"Change"),"")</f>
        <v/>
      </c>
      <c r="L54" s="83" t="str" cm="1">
        <f t="array" ref="L54">IFERROR(_xlfn.FIELDVALUE(T_WATCHLIST[[#This Row],[Stock]],"Change (%)"),"")</f>
        <v/>
      </c>
      <c r="M54" s="84" t="str">
        <f>IF(T_WATCHLIST[[#This Row],[Stock]]="","",T_WATCHLIST[[#This Row],[Quantity]]*T_WATCHLIST[[#This Row],[Last Price]])</f>
        <v/>
      </c>
      <c r="N54" s="85" t="str" cm="1">
        <f t="array" ref="N54">IF(T_WATCHLIST[[#This Row],[Stock]]="","",T_WATCHLIST[[#This Row],[Current Value]]-_xlfn.FIELDVALUE(T_WATCHLIST[[#This Row],[Stock]],"Previous Close")*T_WATCHLIST[[#This Row],[Quantity]])</f>
        <v/>
      </c>
      <c r="O54" s="86" t="str">
        <f>IFERROR(T_WATCHLIST[[#This Row],[Today''s Gain/Loss]]/(T_WATCHLIST[[#This Row],[Current Value]]-T_WATCHLIST[[#This Row],[Today''s Gain/Loss]]),"")</f>
        <v/>
      </c>
      <c r="P54" s="84" t="str">
        <f>IFERROR(T_WATCHLIST[[#This Row],[Current Value]]-T_WATCHLIST[[#This Row],[% Total Gain/Loss9]],"")</f>
        <v/>
      </c>
      <c r="Q54" s="87" t="str">
        <f>IFERROR(T_WATCHLIST[[#This Row],[Total Gain/Loss]]/T_WATCHLIST[[#This Row],[% Total Gain/Loss9]],"")</f>
        <v/>
      </c>
      <c r="R54" s="88" t="str" cm="1">
        <f t="array" ref="R54">IFERROR(_xlfn.FIELDVALUE(T_WATCHLIST[[#This Row],[Stock]],"52 week low"),"")</f>
        <v/>
      </c>
      <c r="S5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4" s="73" t="str" cm="1">
        <f t="array" ref="T54">IFERROR(_xlfn.FIELDVALUE(T_WATCHLIST[[#This Row],[Stock]],"52 week high"),"")</f>
        <v/>
      </c>
      <c r="U54" s="64" t="str" cm="1">
        <f t="array" ref="U54">IF(T_WATCHLIST[[#This Row],[Stock]]="","",SUMPRODUCT(T_TXN[UNITS],--(T_TXN[TYPE]="Buy"),--(T_TXN[TICKER]=T_WATCHLIST[[#This Row],[Stock]])))</f>
        <v/>
      </c>
      <c r="V54" s="67" t="str" cm="1">
        <f t="array" ref="V54">IF(T_WATCHLIST[[#This Row],[Stock]]="","",SUMPRODUCT(--(T_TXN[TYPE]="Buy"),T_TXN[UNITS],T_TXN[PRICE],--(T_TXN[TICKER]=T_WATCHLIST[[#This Row],[Stock]])))</f>
        <v/>
      </c>
      <c r="W54" s="64" t="str" cm="1">
        <f t="array" ref="W54">IF(T_WATCHLIST[[#This Row],[Stock]]="","",SUMPRODUCT(T_TXN[UNITS],--(T_TXN[TYPE]="Sell"),--(T_TXN[TICKER]=T_WATCHLIST[[#This Row],[Stock]])))</f>
        <v/>
      </c>
      <c r="X54" s="67" t="str" cm="1">
        <f t="array" ref="X54">IF(T_WATCHLIST[[#This Row],[Stock]]="","",SUMPRODUCT(--(T_TXN[TYPE]="Sell"),T_TXN[UNITS],T_TXN[PRICE],--(T_TXN[TICKER]=T_WATCHLIST[[#This Row],[Stock]])))</f>
        <v/>
      </c>
      <c r="Y54" s="67" t="str" cm="1">
        <f t="array" ref="Y54">IF(T_WATCHLIST[[#This Row],[Stock]]="","",SUMPRODUCT(T_TXN[UNITS],T_TXN[PRICE],--(T_TXN[TYPE]="Buy"),--(T_TXN[TICKER]=T_WATCHLIST[[#This Row],[Stock]])) -SUMPRODUCT(T_TXN[UNITS],T_TXN[PRICE],--(T_TXN[TYPE]="Sell"),--(T_TXN[TICKER]=T_WATCHLIST[[#This Row],[Stock]])))</f>
        <v/>
      </c>
      <c r="Z54" s="64" t="str" cm="1">
        <f t="array" ref="Z54">IFERROR(IF(ROW(T_WATCHLIST[[#This Row],[Stock]])-ROW(T_WATCHLIST[[#Headers],[Stock]])&gt;=C_CNT_STOCKS,"",_FV(T_WATCHLIST[[#This Row],[Stock]],"Industry",TRUE)),"Not Available")</f>
        <v/>
      </c>
      <c r="AA54" s="64" t="str" cm="1">
        <f t="array" ref="AA54">IFERROR(IF(ROW(T_WATCHLIST[[#This Row],[Stock]])-ROW(T_WATCHLIST[[#Headers],[Stock]])&gt;=C_CNT_STOCKS,"",_FV(T_WATCHLIST[[#This Row],[Stock]],"Instrument type",TRUE)),"Not Available")</f>
        <v/>
      </c>
    </row>
    <row r="55" spans="5:27" ht="22" customHeight="1">
      <c r="E55" s="89"/>
      <c r="F55" s="75" t="str" cm="1">
        <f t="array" ref="F55">IFERROR(IF(ROW(T_WATCHLIST[[#This Row],[Stock]])-ROW(T_WATCHLIST[[#Headers],[Stock]])&gt;C_CNT_STOCKS,"",INDEX(_xlfn.ANCHORARRAY(HELP!$G$2),ROW(T_WATCHLIST[[#This Row],[Stock]])-ROW(T_WATCHLIST[[#Headers],[Stock]]))),"")</f>
        <v/>
      </c>
      <c r="G55" s="80" t="str" cm="1">
        <f t="array" ref="G55">IFERROR(_xlfn.FIELDVALUE(T_WATCHLIST[[#This Row],[Stock]],"Ticker Symbol"),"")</f>
        <v/>
      </c>
      <c r="H55" s="117"/>
      <c r="I55" s="81" t="str">
        <f>IF(T_WATCHLIST[[#This Row],[Stock]]="","",SUMIFS(T_TXN[UNITS],T_TXN[TYPE],"Buy",T_TXN[TICKER],T_WATCHLIST[[#This Row],[Stock]])-SUMIFS(T_TXN[UNITS],T_TXN[TYPE],"Sell",T_TXN[TICKER],T_WATCHLIST[[#This Row],[Stock]])+SUMIFS(T_TXN[UNITS],T_TXN[TYPE],"Dividend Reinvestment",T_TXN[TICKER],T_WATCHLIST[[#This Row],[Stock]]))</f>
        <v/>
      </c>
      <c r="J55" s="75" t="str" cm="1">
        <f t="array" ref="J55">IFERROR(_xlfn.FIELDVALUE(T_WATCHLIST[[#This Row],[Stock]],"Price"),"")</f>
        <v/>
      </c>
      <c r="K55" s="82" t="str" cm="1">
        <f t="array" ref="K55">IFERROR(_xlfn.FIELDVALUE(T_WATCHLIST[[#This Row],[Stock]],"Change"),"")</f>
        <v/>
      </c>
      <c r="L55" s="83" t="str" cm="1">
        <f t="array" ref="L55">IFERROR(_xlfn.FIELDVALUE(T_WATCHLIST[[#This Row],[Stock]],"Change (%)"),"")</f>
        <v/>
      </c>
      <c r="M55" s="84" t="str">
        <f>IF(T_WATCHLIST[[#This Row],[Stock]]="","",T_WATCHLIST[[#This Row],[Quantity]]*T_WATCHLIST[[#This Row],[Last Price]])</f>
        <v/>
      </c>
      <c r="N55" s="85" t="str" cm="1">
        <f t="array" ref="N55">IF(T_WATCHLIST[[#This Row],[Stock]]="","",T_WATCHLIST[[#This Row],[Current Value]]-_xlfn.FIELDVALUE(T_WATCHLIST[[#This Row],[Stock]],"Previous Close")*T_WATCHLIST[[#This Row],[Quantity]])</f>
        <v/>
      </c>
      <c r="O55" s="86" t="str">
        <f>IFERROR(T_WATCHLIST[[#This Row],[Today''s Gain/Loss]]/(T_WATCHLIST[[#This Row],[Current Value]]-T_WATCHLIST[[#This Row],[Today''s Gain/Loss]]),"")</f>
        <v/>
      </c>
      <c r="P55" s="84" t="str">
        <f>IFERROR(T_WATCHLIST[[#This Row],[Current Value]]-T_WATCHLIST[[#This Row],[% Total Gain/Loss9]],"")</f>
        <v/>
      </c>
      <c r="Q55" s="87" t="str">
        <f>IFERROR(T_WATCHLIST[[#This Row],[Total Gain/Loss]]/T_WATCHLIST[[#This Row],[% Total Gain/Loss9]],"")</f>
        <v/>
      </c>
      <c r="R55" s="88" t="str" cm="1">
        <f t="array" ref="R55">IFERROR(_xlfn.FIELDVALUE(T_WATCHLIST[[#This Row],[Stock]],"52 week low"),"")</f>
        <v/>
      </c>
      <c r="S5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5" s="73" t="str" cm="1">
        <f t="array" ref="T55">IFERROR(_xlfn.FIELDVALUE(T_WATCHLIST[[#This Row],[Stock]],"52 week high"),"")</f>
        <v/>
      </c>
      <c r="U55" s="64" t="str" cm="1">
        <f t="array" ref="U55">IF(T_WATCHLIST[[#This Row],[Stock]]="","",SUMPRODUCT(T_TXN[UNITS],--(T_TXN[TYPE]="Buy"),--(T_TXN[TICKER]=T_WATCHLIST[[#This Row],[Stock]])))</f>
        <v/>
      </c>
      <c r="V55" s="67" t="str" cm="1">
        <f t="array" ref="V55">IF(T_WATCHLIST[[#This Row],[Stock]]="","",SUMPRODUCT(--(T_TXN[TYPE]="Buy"),T_TXN[UNITS],T_TXN[PRICE],--(T_TXN[TICKER]=T_WATCHLIST[[#This Row],[Stock]])))</f>
        <v/>
      </c>
      <c r="W55" s="64" t="str" cm="1">
        <f t="array" ref="W55">IF(T_WATCHLIST[[#This Row],[Stock]]="","",SUMPRODUCT(T_TXN[UNITS],--(T_TXN[TYPE]="Sell"),--(T_TXN[TICKER]=T_WATCHLIST[[#This Row],[Stock]])))</f>
        <v/>
      </c>
      <c r="X55" s="67" t="str" cm="1">
        <f t="array" ref="X55">IF(T_WATCHLIST[[#This Row],[Stock]]="","",SUMPRODUCT(--(T_TXN[TYPE]="Sell"),T_TXN[UNITS],T_TXN[PRICE],--(T_TXN[TICKER]=T_WATCHLIST[[#This Row],[Stock]])))</f>
        <v/>
      </c>
      <c r="Y55" s="67" t="str" cm="1">
        <f t="array" ref="Y55">IF(T_WATCHLIST[[#This Row],[Stock]]="","",SUMPRODUCT(T_TXN[UNITS],T_TXN[PRICE],--(T_TXN[TYPE]="Buy"),--(T_TXN[TICKER]=T_WATCHLIST[[#This Row],[Stock]])) -SUMPRODUCT(T_TXN[UNITS],T_TXN[PRICE],--(T_TXN[TYPE]="Sell"),--(T_TXN[TICKER]=T_WATCHLIST[[#This Row],[Stock]])))</f>
        <v/>
      </c>
      <c r="Z55" s="64" t="str" cm="1">
        <f t="array" ref="Z55">IFERROR(IF(ROW(T_WATCHLIST[[#This Row],[Stock]])-ROW(T_WATCHLIST[[#Headers],[Stock]])&gt;=C_CNT_STOCKS,"",_FV(T_WATCHLIST[[#This Row],[Stock]],"Industry",TRUE)),"Not Available")</f>
        <v/>
      </c>
      <c r="AA55" s="64" t="str" cm="1">
        <f t="array" ref="AA55">IFERROR(IF(ROW(T_WATCHLIST[[#This Row],[Stock]])-ROW(T_WATCHLIST[[#Headers],[Stock]])&gt;=C_CNT_STOCKS,"",_FV(T_WATCHLIST[[#This Row],[Stock]],"Instrument type",TRUE)),"Not Available")</f>
        <v/>
      </c>
    </row>
    <row r="56" spans="5:27" ht="22" customHeight="1">
      <c r="E56" s="89"/>
      <c r="F56" s="75" t="str" cm="1">
        <f t="array" ref="F56">IFERROR(IF(ROW(T_WATCHLIST[[#This Row],[Stock]])-ROW(T_WATCHLIST[[#Headers],[Stock]])&gt;C_CNT_STOCKS,"",INDEX(_xlfn.ANCHORARRAY(HELP!$G$2),ROW(T_WATCHLIST[[#This Row],[Stock]])-ROW(T_WATCHLIST[[#Headers],[Stock]]))),"")</f>
        <v/>
      </c>
      <c r="G56" s="80" t="str" cm="1">
        <f t="array" ref="G56">IFERROR(_xlfn.FIELDVALUE(T_WATCHLIST[[#This Row],[Stock]],"Ticker Symbol"),"")</f>
        <v/>
      </c>
      <c r="H56" s="117"/>
      <c r="I56" s="81" t="str">
        <f>IF(T_WATCHLIST[[#This Row],[Stock]]="","",SUMIFS(T_TXN[UNITS],T_TXN[TYPE],"Buy",T_TXN[TICKER],T_WATCHLIST[[#This Row],[Stock]])-SUMIFS(T_TXN[UNITS],T_TXN[TYPE],"Sell",T_TXN[TICKER],T_WATCHLIST[[#This Row],[Stock]])+SUMIFS(T_TXN[UNITS],T_TXN[TYPE],"Dividend Reinvestment",T_TXN[TICKER],T_WATCHLIST[[#This Row],[Stock]]))</f>
        <v/>
      </c>
      <c r="J56" s="75" t="str" cm="1">
        <f t="array" ref="J56">IFERROR(_xlfn.FIELDVALUE(T_WATCHLIST[[#This Row],[Stock]],"Price"),"")</f>
        <v/>
      </c>
      <c r="K56" s="82" t="str" cm="1">
        <f t="array" ref="K56">IFERROR(_xlfn.FIELDVALUE(T_WATCHLIST[[#This Row],[Stock]],"Change"),"")</f>
        <v/>
      </c>
      <c r="L56" s="83" t="str" cm="1">
        <f t="array" ref="L56">IFERROR(_xlfn.FIELDVALUE(T_WATCHLIST[[#This Row],[Stock]],"Change (%)"),"")</f>
        <v/>
      </c>
      <c r="M56" s="84" t="str">
        <f>IF(T_WATCHLIST[[#This Row],[Stock]]="","",T_WATCHLIST[[#This Row],[Quantity]]*T_WATCHLIST[[#This Row],[Last Price]])</f>
        <v/>
      </c>
      <c r="N56" s="85" t="str" cm="1">
        <f t="array" ref="N56">IF(T_WATCHLIST[[#This Row],[Stock]]="","",T_WATCHLIST[[#This Row],[Current Value]]-_xlfn.FIELDVALUE(T_WATCHLIST[[#This Row],[Stock]],"Previous Close")*T_WATCHLIST[[#This Row],[Quantity]])</f>
        <v/>
      </c>
      <c r="O56" s="86" t="str">
        <f>IFERROR(T_WATCHLIST[[#This Row],[Today''s Gain/Loss]]/(T_WATCHLIST[[#This Row],[Current Value]]-T_WATCHLIST[[#This Row],[Today''s Gain/Loss]]),"")</f>
        <v/>
      </c>
      <c r="P56" s="84" t="str">
        <f>IFERROR(T_WATCHLIST[[#This Row],[Current Value]]-T_WATCHLIST[[#This Row],[% Total Gain/Loss9]],"")</f>
        <v/>
      </c>
      <c r="Q56" s="87" t="str">
        <f>IFERROR(T_WATCHLIST[[#This Row],[Total Gain/Loss]]/T_WATCHLIST[[#This Row],[% Total Gain/Loss9]],"")</f>
        <v/>
      </c>
      <c r="R56" s="88" t="str" cm="1">
        <f t="array" ref="R56">IFERROR(_xlfn.FIELDVALUE(T_WATCHLIST[[#This Row],[Stock]],"52 week low"),"")</f>
        <v/>
      </c>
      <c r="S5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6" s="73" t="str" cm="1">
        <f t="array" ref="T56">IFERROR(_xlfn.FIELDVALUE(T_WATCHLIST[[#This Row],[Stock]],"52 week high"),"")</f>
        <v/>
      </c>
      <c r="U56" s="64" t="str" cm="1">
        <f t="array" ref="U56">IF(T_WATCHLIST[[#This Row],[Stock]]="","",SUMPRODUCT(T_TXN[UNITS],--(T_TXN[TYPE]="Buy"),--(T_TXN[TICKER]=T_WATCHLIST[[#This Row],[Stock]])))</f>
        <v/>
      </c>
      <c r="V56" s="67" t="str" cm="1">
        <f t="array" ref="V56">IF(T_WATCHLIST[[#This Row],[Stock]]="","",SUMPRODUCT(--(T_TXN[TYPE]="Buy"),T_TXN[UNITS],T_TXN[PRICE],--(T_TXN[TICKER]=T_WATCHLIST[[#This Row],[Stock]])))</f>
        <v/>
      </c>
      <c r="W56" s="64" t="str" cm="1">
        <f t="array" ref="W56">IF(T_WATCHLIST[[#This Row],[Stock]]="","",SUMPRODUCT(T_TXN[UNITS],--(T_TXN[TYPE]="Sell"),--(T_TXN[TICKER]=T_WATCHLIST[[#This Row],[Stock]])))</f>
        <v/>
      </c>
      <c r="X56" s="67" t="str" cm="1">
        <f t="array" ref="X56">IF(T_WATCHLIST[[#This Row],[Stock]]="","",SUMPRODUCT(--(T_TXN[TYPE]="Sell"),T_TXN[UNITS],T_TXN[PRICE],--(T_TXN[TICKER]=T_WATCHLIST[[#This Row],[Stock]])))</f>
        <v/>
      </c>
      <c r="Y56" s="67" t="str" cm="1">
        <f t="array" ref="Y56">IF(T_WATCHLIST[[#This Row],[Stock]]="","",SUMPRODUCT(T_TXN[UNITS],T_TXN[PRICE],--(T_TXN[TYPE]="Buy"),--(T_TXN[TICKER]=T_WATCHLIST[[#This Row],[Stock]])) -SUMPRODUCT(T_TXN[UNITS],T_TXN[PRICE],--(T_TXN[TYPE]="Sell"),--(T_TXN[TICKER]=T_WATCHLIST[[#This Row],[Stock]])))</f>
        <v/>
      </c>
      <c r="Z56" s="64" t="str" cm="1">
        <f t="array" ref="Z56">IFERROR(IF(ROW(T_WATCHLIST[[#This Row],[Stock]])-ROW(T_WATCHLIST[[#Headers],[Stock]])&gt;=C_CNT_STOCKS,"",_FV(T_WATCHLIST[[#This Row],[Stock]],"Industry",TRUE)),"Not Available")</f>
        <v/>
      </c>
      <c r="AA56" s="64" t="str" cm="1">
        <f t="array" ref="AA56">IFERROR(IF(ROW(T_WATCHLIST[[#This Row],[Stock]])-ROW(T_WATCHLIST[[#Headers],[Stock]])&gt;=C_CNT_STOCKS,"",_FV(T_WATCHLIST[[#This Row],[Stock]],"Instrument type",TRUE)),"Not Available")</f>
        <v/>
      </c>
    </row>
    <row r="57" spans="5:27" ht="22" customHeight="1">
      <c r="E57" s="89"/>
      <c r="F57" s="75" t="str" cm="1">
        <f t="array" ref="F57">IFERROR(IF(ROW(T_WATCHLIST[[#This Row],[Stock]])-ROW(T_WATCHLIST[[#Headers],[Stock]])&gt;C_CNT_STOCKS,"",INDEX(_xlfn.ANCHORARRAY(HELP!$G$2),ROW(T_WATCHLIST[[#This Row],[Stock]])-ROW(T_WATCHLIST[[#Headers],[Stock]]))),"")</f>
        <v/>
      </c>
      <c r="G57" s="80" t="str" cm="1">
        <f t="array" ref="G57">IFERROR(_xlfn.FIELDVALUE(T_WATCHLIST[[#This Row],[Stock]],"Ticker Symbol"),"")</f>
        <v/>
      </c>
      <c r="H57" s="117"/>
      <c r="I57" s="81" t="str">
        <f>IF(T_WATCHLIST[[#This Row],[Stock]]="","",SUMIFS(T_TXN[UNITS],T_TXN[TYPE],"Buy",T_TXN[TICKER],T_WATCHLIST[[#This Row],[Stock]])-SUMIFS(T_TXN[UNITS],T_TXN[TYPE],"Sell",T_TXN[TICKER],T_WATCHLIST[[#This Row],[Stock]])+SUMIFS(T_TXN[UNITS],T_TXN[TYPE],"Dividend Reinvestment",T_TXN[TICKER],T_WATCHLIST[[#This Row],[Stock]]))</f>
        <v/>
      </c>
      <c r="J57" s="75" t="str" cm="1">
        <f t="array" ref="J57">IFERROR(_xlfn.FIELDVALUE(T_WATCHLIST[[#This Row],[Stock]],"Price"),"")</f>
        <v/>
      </c>
      <c r="K57" s="82" t="str" cm="1">
        <f t="array" ref="K57">IFERROR(_xlfn.FIELDVALUE(T_WATCHLIST[[#This Row],[Stock]],"Change"),"")</f>
        <v/>
      </c>
      <c r="L57" s="83" t="str" cm="1">
        <f t="array" ref="L57">IFERROR(_xlfn.FIELDVALUE(T_WATCHLIST[[#This Row],[Stock]],"Change (%)"),"")</f>
        <v/>
      </c>
      <c r="M57" s="84" t="str">
        <f>IF(T_WATCHLIST[[#This Row],[Stock]]="","",T_WATCHLIST[[#This Row],[Quantity]]*T_WATCHLIST[[#This Row],[Last Price]])</f>
        <v/>
      </c>
      <c r="N57" s="85" t="str" cm="1">
        <f t="array" ref="N57">IF(T_WATCHLIST[[#This Row],[Stock]]="","",T_WATCHLIST[[#This Row],[Current Value]]-_xlfn.FIELDVALUE(T_WATCHLIST[[#This Row],[Stock]],"Previous Close")*T_WATCHLIST[[#This Row],[Quantity]])</f>
        <v/>
      </c>
      <c r="O57" s="86" t="str">
        <f>IFERROR(T_WATCHLIST[[#This Row],[Today''s Gain/Loss]]/(T_WATCHLIST[[#This Row],[Current Value]]-T_WATCHLIST[[#This Row],[Today''s Gain/Loss]]),"")</f>
        <v/>
      </c>
      <c r="P57" s="84" t="str">
        <f>IFERROR(T_WATCHLIST[[#This Row],[Current Value]]-T_WATCHLIST[[#This Row],[% Total Gain/Loss9]],"")</f>
        <v/>
      </c>
      <c r="Q57" s="87" t="str">
        <f>IFERROR(T_WATCHLIST[[#This Row],[Total Gain/Loss]]/T_WATCHLIST[[#This Row],[% Total Gain/Loss9]],"")</f>
        <v/>
      </c>
      <c r="R57" s="88" t="str" cm="1">
        <f t="array" ref="R57">IFERROR(_xlfn.FIELDVALUE(T_WATCHLIST[[#This Row],[Stock]],"52 week low"),"")</f>
        <v/>
      </c>
      <c r="S5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7" s="73" t="str" cm="1">
        <f t="array" ref="T57">IFERROR(_xlfn.FIELDVALUE(T_WATCHLIST[[#This Row],[Stock]],"52 week high"),"")</f>
        <v/>
      </c>
      <c r="U57" s="64" t="str" cm="1">
        <f t="array" ref="U57">IF(T_WATCHLIST[[#This Row],[Stock]]="","",SUMPRODUCT(T_TXN[UNITS],--(T_TXN[TYPE]="Buy"),--(T_TXN[TICKER]=T_WATCHLIST[[#This Row],[Stock]])))</f>
        <v/>
      </c>
      <c r="V57" s="67" t="str" cm="1">
        <f t="array" ref="V57">IF(T_WATCHLIST[[#This Row],[Stock]]="","",SUMPRODUCT(--(T_TXN[TYPE]="Buy"),T_TXN[UNITS],T_TXN[PRICE],--(T_TXN[TICKER]=T_WATCHLIST[[#This Row],[Stock]])))</f>
        <v/>
      </c>
      <c r="W57" s="64" t="str" cm="1">
        <f t="array" ref="W57">IF(T_WATCHLIST[[#This Row],[Stock]]="","",SUMPRODUCT(T_TXN[UNITS],--(T_TXN[TYPE]="Sell"),--(T_TXN[TICKER]=T_WATCHLIST[[#This Row],[Stock]])))</f>
        <v/>
      </c>
      <c r="X57" s="67" t="str" cm="1">
        <f t="array" ref="X57">IF(T_WATCHLIST[[#This Row],[Stock]]="","",SUMPRODUCT(--(T_TXN[TYPE]="Sell"),T_TXN[UNITS],T_TXN[PRICE],--(T_TXN[TICKER]=T_WATCHLIST[[#This Row],[Stock]])))</f>
        <v/>
      </c>
      <c r="Y57" s="67" t="str" cm="1">
        <f t="array" ref="Y57">IF(T_WATCHLIST[[#This Row],[Stock]]="","",SUMPRODUCT(T_TXN[UNITS],T_TXN[PRICE],--(T_TXN[TYPE]="Buy"),--(T_TXN[TICKER]=T_WATCHLIST[[#This Row],[Stock]])) -SUMPRODUCT(T_TXN[UNITS],T_TXN[PRICE],--(T_TXN[TYPE]="Sell"),--(T_TXN[TICKER]=T_WATCHLIST[[#This Row],[Stock]])))</f>
        <v/>
      </c>
      <c r="Z57" s="64" t="str" cm="1">
        <f t="array" ref="Z57">IFERROR(IF(ROW(T_WATCHLIST[[#This Row],[Stock]])-ROW(T_WATCHLIST[[#Headers],[Stock]])&gt;=C_CNT_STOCKS,"",_FV(T_WATCHLIST[[#This Row],[Stock]],"Industry",TRUE)),"Not Available")</f>
        <v/>
      </c>
      <c r="AA57" s="64" t="str" cm="1">
        <f t="array" ref="AA57">IFERROR(IF(ROW(T_WATCHLIST[[#This Row],[Stock]])-ROW(T_WATCHLIST[[#Headers],[Stock]])&gt;=C_CNT_STOCKS,"",_FV(T_WATCHLIST[[#This Row],[Stock]],"Instrument type",TRUE)),"Not Available")</f>
        <v/>
      </c>
    </row>
    <row r="58" spans="5:27" ht="22" customHeight="1">
      <c r="E58" s="89"/>
      <c r="F58" s="75" t="str" cm="1">
        <f t="array" ref="F58">IFERROR(IF(ROW(T_WATCHLIST[[#This Row],[Stock]])-ROW(T_WATCHLIST[[#Headers],[Stock]])&gt;C_CNT_STOCKS,"",INDEX(_xlfn.ANCHORARRAY(HELP!$G$2),ROW(T_WATCHLIST[[#This Row],[Stock]])-ROW(T_WATCHLIST[[#Headers],[Stock]]))),"")</f>
        <v/>
      </c>
      <c r="G58" s="80" t="str" cm="1">
        <f t="array" ref="G58">IFERROR(_xlfn.FIELDVALUE(T_WATCHLIST[[#This Row],[Stock]],"Ticker Symbol"),"")</f>
        <v/>
      </c>
      <c r="H58" s="117"/>
      <c r="I58" s="81" t="str">
        <f>IF(T_WATCHLIST[[#This Row],[Stock]]="","",SUMIFS(T_TXN[UNITS],T_TXN[TYPE],"Buy",T_TXN[TICKER],T_WATCHLIST[[#This Row],[Stock]])-SUMIFS(T_TXN[UNITS],T_TXN[TYPE],"Sell",T_TXN[TICKER],T_WATCHLIST[[#This Row],[Stock]])+SUMIFS(T_TXN[UNITS],T_TXN[TYPE],"Dividend Reinvestment",T_TXN[TICKER],T_WATCHLIST[[#This Row],[Stock]]))</f>
        <v/>
      </c>
      <c r="J58" s="75" t="str" cm="1">
        <f t="array" ref="J58">IFERROR(_xlfn.FIELDVALUE(T_WATCHLIST[[#This Row],[Stock]],"Price"),"")</f>
        <v/>
      </c>
      <c r="K58" s="82" t="str" cm="1">
        <f t="array" ref="K58">IFERROR(_xlfn.FIELDVALUE(T_WATCHLIST[[#This Row],[Stock]],"Change"),"")</f>
        <v/>
      </c>
      <c r="L58" s="83" t="str" cm="1">
        <f t="array" ref="L58">IFERROR(_xlfn.FIELDVALUE(T_WATCHLIST[[#This Row],[Stock]],"Change (%)"),"")</f>
        <v/>
      </c>
      <c r="M58" s="84" t="str">
        <f>IF(T_WATCHLIST[[#This Row],[Stock]]="","",T_WATCHLIST[[#This Row],[Quantity]]*T_WATCHLIST[[#This Row],[Last Price]])</f>
        <v/>
      </c>
      <c r="N58" s="85" t="str" cm="1">
        <f t="array" ref="N58">IF(T_WATCHLIST[[#This Row],[Stock]]="","",T_WATCHLIST[[#This Row],[Current Value]]-_xlfn.FIELDVALUE(T_WATCHLIST[[#This Row],[Stock]],"Previous Close")*T_WATCHLIST[[#This Row],[Quantity]])</f>
        <v/>
      </c>
      <c r="O58" s="86" t="str">
        <f>IFERROR(T_WATCHLIST[[#This Row],[Today''s Gain/Loss]]/(T_WATCHLIST[[#This Row],[Current Value]]-T_WATCHLIST[[#This Row],[Today''s Gain/Loss]]),"")</f>
        <v/>
      </c>
      <c r="P58" s="84" t="str">
        <f>IFERROR(T_WATCHLIST[[#This Row],[Current Value]]-T_WATCHLIST[[#This Row],[% Total Gain/Loss9]],"")</f>
        <v/>
      </c>
      <c r="Q58" s="87" t="str">
        <f>IFERROR(T_WATCHLIST[[#This Row],[Total Gain/Loss]]/T_WATCHLIST[[#This Row],[% Total Gain/Loss9]],"")</f>
        <v/>
      </c>
      <c r="R58" s="88" t="str" cm="1">
        <f t="array" ref="R58">IFERROR(_xlfn.FIELDVALUE(T_WATCHLIST[[#This Row],[Stock]],"52 week low"),"")</f>
        <v/>
      </c>
      <c r="S5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8" s="73" t="str" cm="1">
        <f t="array" ref="T58">IFERROR(_xlfn.FIELDVALUE(T_WATCHLIST[[#This Row],[Stock]],"52 week high"),"")</f>
        <v/>
      </c>
      <c r="U58" s="64" t="str" cm="1">
        <f t="array" ref="U58">IF(T_WATCHLIST[[#This Row],[Stock]]="","",SUMPRODUCT(T_TXN[UNITS],--(T_TXN[TYPE]="Buy"),--(T_TXN[TICKER]=T_WATCHLIST[[#This Row],[Stock]])))</f>
        <v/>
      </c>
      <c r="V58" s="67" t="str" cm="1">
        <f t="array" ref="V58">IF(T_WATCHLIST[[#This Row],[Stock]]="","",SUMPRODUCT(--(T_TXN[TYPE]="Buy"),T_TXN[UNITS],T_TXN[PRICE],--(T_TXN[TICKER]=T_WATCHLIST[[#This Row],[Stock]])))</f>
        <v/>
      </c>
      <c r="W58" s="64" t="str" cm="1">
        <f t="array" ref="W58">IF(T_WATCHLIST[[#This Row],[Stock]]="","",SUMPRODUCT(T_TXN[UNITS],--(T_TXN[TYPE]="Sell"),--(T_TXN[TICKER]=T_WATCHLIST[[#This Row],[Stock]])))</f>
        <v/>
      </c>
      <c r="X58" s="67" t="str" cm="1">
        <f t="array" ref="X58">IF(T_WATCHLIST[[#This Row],[Stock]]="","",SUMPRODUCT(--(T_TXN[TYPE]="Sell"),T_TXN[UNITS],T_TXN[PRICE],--(T_TXN[TICKER]=T_WATCHLIST[[#This Row],[Stock]])))</f>
        <v/>
      </c>
      <c r="Y58" s="67" t="str" cm="1">
        <f t="array" ref="Y58">IF(T_WATCHLIST[[#This Row],[Stock]]="","",SUMPRODUCT(T_TXN[UNITS],T_TXN[PRICE],--(T_TXN[TYPE]="Buy"),--(T_TXN[TICKER]=T_WATCHLIST[[#This Row],[Stock]])) -SUMPRODUCT(T_TXN[UNITS],T_TXN[PRICE],--(T_TXN[TYPE]="Sell"),--(T_TXN[TICKER]=T_WATCHLIST[[#This Row],[Stock]])))</f>
        <v/>
      </c>
      <c r="Z58" s="64" t="str" cm="1">
        <f t="array" ref="Z58">IFERROR(IF(ROW(T_WATCHLIST[[#This Row],[Stock]])-ROW(T_WATCHLIST[[#Headers],[Stock]])&gt;=C_CNT_STOCKS,"",_FV(T_WATCHLIST[[#This Row],[Stock]],"Industry",TRUE)),"Not Available")</f>
        <v/>
      </c>
      <c r="AA58" s="64" t="str" cm="1">
        <f t="array" ref="AA58">IFERROR(IF(ROW(T_WATCHLIST[[#This Row],[Stock]])-ROW(T_WATCHLIST[[#Headers],[Stock]])&gt;=C_CNT_STOCKS,"",_FV(T_WATCHLIST[[#This Row],[Stock]],"Instrument type",TRUE)),"Not Available")</f>
        <v/>
      </c>
    </row>
    <row r="59" spans="5:27" ht="22" customHeight="1">
      <c r="E59" s="89"/>
      <c r="F59" s="75" t="str" cm="1">
        <f t="array" ref="F59">IFERROR(IF(ROW(T_WATCHLIST[[#This Row],[Stock]])-ROW(T_WATCHLIST[[#Headers],[Stock]])&gt;C_CNT_STOCKS,"",INDEX(_xlfn.ANCHORARRAY(HELP!$G$2),ROW(T_WATCHLIST[[#This Row],[Stock]])-ROW(T_WATCHLIST[[#Headers],[Stock]]))),"")</f>
        <v/>
      </c>
      <c r="G59" s="80" t="str" cm="1">
        <f t="array" ref="G59">IFERROR(_xlfn.FIELDVALUE(T_WATCHLIST[[#This Row],[Stock]],"Ticker Symbol"),"")</f>
        <v/>
      </c>
      <c r="H59" s="117"/>
      <c r="I59" s="81" t="str">
        <f>IF(T_WATCHLIST[[#This Row],[Stock]]="","",SUMIFS(T_TXN[UNITS],T_TXN[TYPE],"Buy",T_TXN[TICKER],T_WATCHLIST[[#This Row],[Stock]])-SUMIFS(T_TXN[UNITS],T_TXN[TYPE],"Sell",T_TXN[TICKER],T_WATCHLIST[[#This Row],[Stock]])+SUMIFS(T_TXN[UNITS],T_TXN[TYPE],"Dividend Reinvestment",T_TXN[TICKER],T_WATCHLIST[[#This Row],[Stock]]))</f>
        <v/>
      </c>
      <c r="J59" s="75" t="str" cm="1">
        <f t="array" ref="J59">IFERROR(_xlfn.FIELDVALUE(T_WATCHLIST[[#This Row],[Stock]],"Price"),"")</f>
        <v/>
      </c>
      <c r="K59" s="82" t="str" cm="1">
        <f t="array" ref="K59">IFERROR(_xlfn.FIELDVALUE(T_WATCHLIST[[#This Row],[Stock]],"Change"),"")</f>
        <v/>
      </c>
      <c r="L59" s="83" t="str" cm="1">
        <f t="array" ref="L59">IFERROR(_xlfn.FIELDVALUE(T_WATCHLIST[[#This Row],[Stock]],"Change (%)"),"")</f>
        <v/>
      </c>
      <c r="M59" s="84" t="str">
        <f>IF(T_WATCHLIST[[#This Row],[Stock]]="","",T_WATCHLIST[[#This Row],[Quantity]]*T_WATCHLIST[[#This Row],[Last Price]])</f>
        <v/>
      </c>
      <c r="N59" s="85" t="str" cm="1">
        <f t="array" ref="N59">IF(T_WATCHLIST[[#This Row],[Stock]]="","",T_WATCHLIST[[#This Row],[Current Value]]-_xlfn.FIELDVALUE(T_WATCHLIST[[#This Row],[Stock]],"Previous Close")*T_WATCHLIST[[#This Row],[Quantity]])</f>
        <v/>
      </c>
      <c r="O59" s="86" t="str">
        <f>IFERROR(T_WATCHLIST[[#This Row],[Today''s Gain/Loss]]/(T_WATCHLIST[[#This Row],[Current Value]]-T_WATCHLIST[[#This Row],[Today''s Gain/Loss]]),"")</f>
        <v/>
      </c>
      <c r="P59" s="84" t="str">
        <f>IFERROR(T_WATCHLIST[[#This Row],[Current Value]]-T_WATCHLIST[[#This Row],[% Total Gain/Loss9]],"")</f>
        <v/>
      </c>
      <c r="Q59" s="87" t="str">
        <f>IFERROR(T_WATCHLIST[[#This Row],[Total Gain/Loss]]/T_WATCHLIST[[#This Row],[% Total Gain/Loss9]],"")</f>
        <v/>
      </c>
      <c r="R59" s="88" t="str" cm="1">
        <f t="array" ref="R59">IFERROR(_xlfn.FIELDVALUE(T_WATCHLIST[[#This Row],[Stock]],"52 week low"),"")</f>
        <v/>
      </c>
      <c r="S5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59" s="73" t="str" cm="1">
        <f t="array" ref="T59">IFERROR(_xlfn.FIELDVALUE(T_WATCHLIST[[#This Row],[Stock]],"52 week high"),"")</f>
        <v/>
      </c>
      <c r="U59" s="64" t="str" cm="1">
        <f t="array" ref="U59">IF(T_WATCHLIST[[#This Row],[Stock]]="","",SUMPRODUCT(T_TXN[UNITS],--(T_TXN[TYPE]="Buy"),--(T_TXN[TICKER]=T_WATCHLIST[[#This Row],[Stock]])))</f>
        <v/>
      </c>
      <c r="V59" s="67" t="str" cm="1">
        <f t="array" ref="V59">IF(T_WATCHLIST[[#This Row],[Stock]]="","",SUMPRODUCT(--(T_TXN[TYPE]="Buy"),T_TXN[UNITS],T_TXN[PRICE],--(T_TXN[TICKER]=T_WATCHLIST[[#This Row],[Stock]])))</f>
        <v/>
      </c>
      <c r="W59" s="64" t="str" cm="1">
        <f t="array" ref="W59">IF(T_WATCHLIST[[#This Row],[Stock]]="","",SUMPRODUCT(T_TXN[UNITS],--(T_TXN[TYPE]="Sell"),--(T_TXN[TICKER]=T_WATCHLIST[[#This Row],[Stock]])))</f>
        <v/>
      </c>
      <c r="X59" s="67" t="str" cm="1">
        <f t="array" ref="X59">IF(T_WATCHLIST[[#This Row],[Stock]]="","",SUMPRODUCT(--(T_TXN[TYPE]="Sell"),T_TXN[UNITS],T_TXN[PRICE],--(T_TXN[TICKER]=T_WATCHLIST[[#This Row],[Stock]])))</f>
        <v/>
      </c>
      <c r="Y59" s="67" t="str" cm="1">
        <f t="array" ref="Y59">IF(T_WATCHLIST[[#This Row],[Stock]]="","",SUMPRODUCT(T_TXN[UNITS],T_TXN[PRICE],--(T_TXN[TYPE]="Buy"),--(T_TXN[TICKER]=T_WATCHLIST[[#This Row],[Stock]])) -SUMPRODUCT(T_TXN[UNITS],T_TXN[PRICE],--(T_TXN[TYPE]="Sell"),--(T_TXN[TICKER]=T_WATCHLIST[[#This Row],[Stock]])))</f>
        <v/>
      </c>
      <c r="Z59" s="64" t="str" cm="1">
        <f t="array" ref="Z59">IFERROR(IF(ROW(T_WATCHLIST[[#This Row],[Stock]])-ROW(T_WATCHLIST[[#Headers],[Stock]])&gt;=C_CNT_STOCKS,"",_FV(T_WATCHLIST[[#This Row],[Stock]],"Industry",TRUE)),"Not Available")</f>
        <v/>
      </c>
      <c r="AA59" s="64" t="str" cm="1">
        <f t="array" ref="AA59">IFERROR(IF(ROW(T_WATCHLIST[[#This Row],[Stock]])-ROW(T_WATCHLIST[[#Headers],[Stock]])&gt;=C_CNT_STOCKS,"",_FV(T_WATCHLIST[[#This Row],[Stock]],"Instrument type",TRUE)),"Not Available")</f>
        <v/>
      </c>
    </row>
    <row r="60" spans="5:27" ht="22" customHeight="1">
      <c r="E60" s="89"/>
      <c r="F60" s="75" t="str" cm="1">
        <f t="array" ref="F60">IFERROR(IF(ROW(T_WATCHLIST[[#This Row],[Stock]])-ROW(T_WATCHLIST[[#Headers],[Stock]])&gt;C_CNT_STOCKS,"",INDEX(_xlfn.ANCHORARRAY(HELP!$G$2),ROW(T_WATCHLIST[[#This Row],[Stock]])-ROW(T_WATCHLIST[[#Headers],[Stock]]))),"")</f>
        <v/>
      </c>
      <c r="G60" s="80" t="str" cm="1">
        <f t="array" ref="G60">IFERROR(_xlfn.FIELDVALUE(T_WATCHLIST[[#This Row],[Stock]],"Ticker Symbol"),"")</f>
        <v/>
      </c>
      <c r="H60" s="117"/>
      <c r="I60" s="81" t="str">
        <f>IF(T_WATCHLIST[[#This Row],[Stock]]="","",SUMIFS(T_TXN[UNITS],T_TXN[TYPE],"Buy",T_TXN[TICKER],T_WATCHLIST[[#This Row],[Stock]])-SUMIFS(T_TXN[UNITS],T_TXN[TYPE],"Sell",T_TXN[TICKER],T_WATCHLIST[[#This Row],[Stock]])+SUMIFS(T_TXN[UNITS],T_TXN[TYPE],"Dividend Reinvestment",T_TXN[TICKER],T_WATCHLIST[[#This Row],[Stock]]))</f>
        <v/>
      </c>
      <c r="J60" s="75" t="str" cm="1">
        <f t="array" ref="J60">IFERROR(_xlfn.FIELDVALUE(T_WATCHLIST[[#This Row],[Stock]],"Price"),"")</f>
        <v/>
      </c>
      <c r="K60" s="82" t="str" cm="1">
        <f t="array" ref="K60">IFERROR(_xlfn.FIELDVALUE(T_WATCHLIST[[#This Row],[Stock]],"Change"),"")</f>
        <v/>
      </c>
      <c r="L60" s="83" t="str" cm="1">
        <f t="array" ref="L60">IFERROR(_xlfn.FIELDVALUE(T_WATCHLIST[[#This Row],[Stock]],"Change (%)"),"")</f>
        <v/>
      </c>
      <c r="M60" s="84" t="str">
        <f>IF(T_WATCHLIST[[#This Row],[Stock]]="","",T_WATCHLIST[[#This Row],[Quantity]]*T_WATCHLIST[[#This Row],[Last Price]])</f>
        <v/>
      </c>
      <c r="N60" s="85" t="str" cm="1">
        <f t="array" ref="N60">IF(T_WATCHLIST[[#This Row],[Stock]]="","",T_WATCHLIST[[#This Row],[Current Value]]-_xlfn.FIELDVALUE(T_WATCHLIST[[#This Row],[Stock]],"Previous Close")*T_WATCHLIST[[#This Row],[Quantity]])</f>
        <v/>
      </c>
      <c r="O60" s="86" t="str">
        <f>IFERROR(T_WATCHLIST[[#This Row],[Today''s Gain/Loss]]/(T_WATCHLIST[[#This Row],[Current Value]]-T_WATCHLIST[[#This Row],[Today''s Gain/Loss]]),"")</f>
        <v/>
      </c>
      <c r="P60" s="84" t="str">
        <f>IFERROR(T_WATCHLIST[[#This Row],[Current Value]]-T_WATCHLIST[[#This Row],[% Total Gain/Loss9]],"")</f>
        <v/>
      </c>
      <c r="Q60" s="87" t="str">
        <f>IFERROR(T_WATCHLIST[[#This Row],[Total Gain/Loss]]/T_WATCHLIST[[#This Row],[% Total Gain/Loss9]],"")</f>
        <v/>
      </c>
      <c r="R60" s="88" t="str" cm="1">
        <f t="array" ref="R60">IFERROR(_xlfn.FIELDVALUE(T_WATCHLIST[[#This Row],[Stock]],"52 week low"),"")</f>
        <v/>
      </c>
      <c r="S6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0" s="73" t="str" cm="1">
        <f t="array" ref="T60">IFERROR(_xlfn.FIELDVALUE(T_WATCHLIST[[#This Row],[Stock]],"52 week high"),"")</f>
        <v/>
      </c>
      <c r="U60" s="64" t="str" cm="1">
        <f t="array" ref="U60">IF(T_WATCHLIST[[#This Row],[Stock]]="","",SUMPRODUCT(T_TXN[UNITS],--(T_TXN[TYPE]="Buy"),--(T_TXN[TICKER]=T_WATCHLIST[[#This Row],[Stock]])))</f>
        <v/>
      </c>
      <c r="V60" s="67" t="str" cm="1">
        <f t="array" ref="V60">IF(T_WATCHLIST[[#This Row],[Stock]]="","",SUMPRODUCT(--(T_TXN[TYPE]="Buy"),T_TXN[UNITS],T_TXN[PRICE],--(T_TXN[TICKER]=T_WATCHLIST[[#This Row],[Stock]])))</f>
        <v/>
      </c>
      <c r="W60" s="64" t="str" cm="1">
        <f t="array" ref="W60">IF(T_WATCHLIST[[#This Row],[Stock]]="","",SUMPRODUCT(T_TXN[UNITS],--(T_TXN[TYPE]="Sell"),--(T_TXN[TICKER]=T_WATCHLIST[[#This Row],[Stock]])))</f>
        <v/>
      </c>
      <c r="X60" s="67" t="str" cm="1">
        <f t="array" ref="X60">IF(T_WATCHLIST[[#This Row],[Stock]]="","",SUMPRODUCT(--(T_TXN[TYPE]="Sell"),T_TXN[UNITS],T_TXN[PRICE],--(T_TXN[TICKER]=T_WATCHLIST[[#This Row],[Stock]])))</f>
        <v/>
      </c>
      <c r="Y60" s="67" t="str" cm="1">
        <f t="array" ref="Y60">IF(T_WATCHLIST[[#This Row],[Stock]]="","",SUMPRODUCT(T_TXN[UNITS],T_TXN[PRICE],--(T_TXN[TYPE]="Buy"),--(T_TXN[TICKER]=T_WATCHLIST[[#This Row],[Stock]])) -SUMPRODUCT(T_TXN[UNITS],T_TXN[PRICE],--(T_TXN[TYPE]="Sell"),--(T_TXN[TICKER]=T_WATCHLIST[[#This Row],[Stock]])))</f>
        <v/>
      </c>
      <c r="Z60" s="64" t="str" cm="1">
        <f t="array" ref="Z60">IFERROR(IF(ROW(T_WATCHLIST[[#This Row],[Stock]])-ROW(T_WATCHLIST[[#Headers],[Stock]])&gt;=C_CNT_STOCKS,"",_FV(T_WATCHLIST[[#This Row],[Stock]],"Industry",TRUE)),"Not Available")</f>
        <v/>
      </c>
      <c r="AA60" s="64" t="str" cm="1">
        <f t="array" ref="AA60">IFERROR(IF(ROW(T_WATCHLIST[[#This Row],[Stock]])-ROW(T_WATCHLIST[[#Headers],[Stock]])&gt;=C_CNT_STOCKS,"",_FV(T_WATCHLIST[[#This Row],[Stock]],"Instrument type",TRUE)),"Not Available")</f>
        <v/>
      </c>
    </row>
    <row r="61" spans="5:27" ht="22" customHeight="1">
      <c r="E61" s="89"/>
      <c r="F61" s="75" t="str" cm="1">
        <f t="array" ref="F61">IFERROR(IF(ROW(T_WATCHLIST[[#This Row],[Stock]])-ROW(T_WATCHLIST[[#Headers],[Stock]])&gt;C_CNT_STOCKS,"",INDEX(_xlfn.ANCHORARRAY(HELP!$G$2),ROW(T_WATCHLIST[[#This Row],[Stock]])-ROW(T_WATCHLIST[[#Headers],[Stock]]))),"")</f>
        <v/>
      </c>
      <c r="G61" s="80" t="str" cm="1">
        <f t="array" ref="G61">IFERROR(_xlfn.FIELDVALUE(T_WATCHLIST[[#This Row],[Stock]],"Ticker Symbol"),"")</f>
        <v/>
      </c>
      <c r="H61" s="117"/>
      <c r="I61" s="81" t="str">
        <f>IF(T_WATCHLIST[[#This Row],[Stock]]="","",SUMIFS(T_TXN[UNITS],T_TXN[TYPE],"Buy",T_TXN[TICKER],T_WATCHLIST[[#This Row],[Stock]])-SUMIFS(T_TXN[UNITS],T_TXN[TYPE],"Sell",T_TXN[TICKER],T_WATCHLIST[[#This Row],[Stock]])+SUMIFS(T_TXN[UNITS],T_TXN[TYPE],"Dividend Reinvestment",T_TXN[TICKER],T_WATCHLIST[[#This Row],[Stock]]))</f>
        <v/>
      </c>
      <c r="J61" s="75" t="str" cm="1">
        <f t="array" ref="J61">IFERROR(_xlfn.FIELDVALUE(T_WATCHLIST[[#This Row],[Stock]],"Price"),"")</f>
        <v/>
      </c>
      <c r="K61" s="82" t="str" cm="1">
        <f t="array" ref="K61">IFERROR(_xlfn.FIELDVALUE(T_WATCHLIST[[#This Row],[Stock]],"Change"),"")</f>
        <v/>
      </c>
      <c r="L61" s="83" t="str" cm="1">
        <f t="array" ref="L61">IFERROR(_xlfn.FIELDVALUE(T_WATCHLIST[[#This Row],[Stock]],"Change (%)"),"")</f>
        <v/>
      </c>
      <c r="M61" s="84" t="str">
        <f>IF(T_WATCHLIST[[#This Row],[Stock]]="","",T_WATCHLIST[[#This Row],[Quantity]]*T_WATCHLIST[[#This Row],[Last Price]])</f>
        <v/>
      </c>
      <c r="N61" s="85" t="str" cm="1">
        <f t="array" ref="N61">IF(T_WATCHLIST[[#This Row],[Stock]]="","",T_WATCHLIST[[#This Row],[Current Value]]-_xlfn.FIELDVALUE(T_WATCHLIST[[#This Row],[Stock]],"Previous Close")*T_WATCHLIST[[#This Row],[Quantity]])</f>
        <v/>
      </c>
      <c r="O61" s="86" t="str">
        <f>IFERROR(T_WATCHLIST[[#This Row],[Today''s Gain/Loss]]/(T_WATCHLIST[[#This Row],[Current Value]]-T_WATCHLIST[[#This Row],[Today''s Gain/Loss]]),"")</f>
        <v/>
      </c>
      <c r="P61" s="84" t="str">
        <f>IFERROR(T_WATCHLIST[[#This Row],[Current Value]]-T_WATCHLIST[[#This Row],[% Total Gain/Loss9]],"")</f>
        <v/>
      </c>
      <c r="Q61" s="87" t="str">
        <f>IFERROR(T_WATCHLIST[[#This Row],[Total Gain/Loss]]/T_WATCHLIST[[#This Row],[% Total Gain/Loss9]],"")</f>
        <v/>
      </c>
      <c r="R61" s="88" t="str" cm="1">
        <f t="array" ref="R61">IFERROR(_xlfn.FIELDVALUE(T_WATCHLIST[[#This Row],[Stock]],"52 week low"),"")</f>
        <v/>
      </c>
      <c r="S6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1" s="73" t="str" cm="1">
        <f t="array" ref="T61">IFERROR(_xlfn.FIELDVALUE(T_WATCHLIST[[#This Row],[Stock]],"52 week high"),"")</f>
        <v/>
      </c>
      <c r="U61" s="64" t="str" cm="1">
        <f t="array" ref="U61">IF(T_WATCHLIST[[#This Row],[Stock]]="","",SUMPRODUCT(T_TXN[UNITS],--(T_TXN[TYPE]="Buy"),--(T_TXN[TICKER]=T_WATCHLIST[[#This Row],[Stock]])))</f>
        <v/>
      </c>
      <c r="V61" s="67" t="str" cm="1">
        <f t="array" ref="V61">IF(T_WATCHLIST[[#This Row],[Stock]]="","",SUMPRODUCT(--(T_TXN[TYPE]="Buy"),T_TXN[UNITS],T_TXN[PRICE],--(T_TXN[TICKER]=T_WATCHLIST[[#This Row],[Stock]])))</f>
        <v/>
      </c>
      <c r="W61" s="64" t="str" cm="1">
        <f t="array" ref="W61">IF(T_WATCHLIST[[#This Row],[Stock]]="","",SUMPRODUCT(T_TXN[UNITS],--(T_TXN[TYPE]="Sell"),--(T_TXN[TICKER]=T_WATCHLIST[[#This Row],[Stock]])))</f>
        <v/>
      </c>
      <c r="X61" s="67" t="str" cm="1">
        <f t="array" ref="X61">IF(T_WATCHLIST[[#This Row],[Stock]]="","",SUMPRODUCT(--(T_TXN[TYPE]="Sell"),T_TXN[UNITS],T_TXN[PRICE],--(T_TXN[TICKER]=T_WATCHLIST[[#This Row],[Stock]])))</f>
        <v/>
      </c>
      <c r="Y61" s="67" t="str" cm="1">
        <f t="array" ref="Y61">IF(T_WATCHLIST[[#This Row],[Stock]]="","",SUMPRODUCT(T_TXN[UNITS],T_TXN[PRICE],--(T_TXN[TYPE]="Buy"),--(T_TXN[TICKER]=T_WATCHLIST[[#This Row],[Stock]])) -SUMPRODUCT(T_TXN[UNITS],T_TXN[PRICE],--(T_TXN[TYPE]="Sell"),--(T_TXN[TICKER]=T_WATCHLIST[[#This Row],[Stock]])))</f>
        <v/>
      </c>
      <c r="Z61" s="64" t="str" cm="1">
        <f t="array" ref="Z61">IFERROR(IF(ROW(T_WATCHLIST[[#This Row],[Stock]])-ROW(T_WATCHLIST[[#Headers],[Stock]])&gt;=C_CNT_STOCKS,"",_FV(T_WATCHLIST[[#This Row],[Stock]],"Industry",TRUE)),"Not Available")</f>
        <v/>
      </c>
      <c r="AA61" s="64" t="str" cm="1">
        <f t="array" ref="AA61">IFERROR(IF(ROW(T_WATCHLIST[[#This Row],[Stock]])-ROW(T_WATCHLIST[[#Headers],[Stock]])&gt;=C_CNT_STOCKS,"",_FV(T_WATCHLIST[[#This Row],[Stock]],"Instrument type",TRUE)),"Not Available")</f>
        <v/>
      </c>
    </row>
    <row r="62" spans="5:27" ht="22" customHeight="1">
      <c r="E62" s="89"/>
      <c r="F62" s="75" t="str" cm="1">
        <f t="array" ref="F62">IFERROR(IF(ROW(T_WATCHLIST[[#This Row],[Stock]])-ROW(T_WATCHLIST[[#Headers],[Stock]])&gt;C_CNT_STOCKS,"",INDEX(_xlfn.ANCHORARRAY(HELP!$G$2),ROW(T_WATCHLIST[[#This Row],[Stock]])-ROW(T_WATCHLIST[[#Headers],[Stock]]))),"")</f>
        <v/>
      </c>
      <c r="G62" s="80" t="str" cm="1">
        <f t="array" ref="G62">IFERROR(_xlfn.FIELDVALUE(T_WATCHLIST[[#This Row],[Stock]],"Ticker Symbol"),"")</f>
        <v/>
      </c>
      <c r="H62" s="117"/>
      <c r="I62" s="81" t="str">
        <f>IF(T_WATCHLIST[[#This Row],[Stock]]="","",SUMIFS(T_TXN[UNITS],T_TXN[TYPE],"Buy",T_TXN[TICKER],T_WATCHLIST[[#This Row],[Stock]])-SUMIFS(T_TXN[UNITS],T_TXN[TYPE],"Sell",T_TXN[TICKER],T_WATCHLIST[[#This Row],[Stock]])+SUMIFS(T_TXN[UNITS],T_TXN[TYPE],"Dividend Reinvestment",T_TXN[TICKER],T_WATCHLIST[[#This Row],[Stock]]))</f>
        <v/>
      </c>
      <c r="J62" s="75" t="str" cm="1">
        <f t="array" ref="J62">IFERROR(_xlfn.FIELDVALUE(T_WATCHLIST[[#This Row],[Stock]],"Price"),"")</f>
        <v/>
      </c>
      <c r="K62" s="82" t="str" cm="1">
        <f t="array" ref="K62">IFERROR(_xlfn.FIELDVALUE(T_WATCHLIST[[#This Row],[Stock]],"Change"),"")</f>
        <v/>
      </c>
      <c r="L62" s="83" t="str" cm="1">
        <f t="array" ref="L62">IFERROR(_xlfn.FIELDVALUE(T_WATCHLIST[[#This Row],[Stock]],"Change (%)"),"")</f>
        <v/>
      </c>
      <c r="M62" s="84" t="str">
        <f>IF(T_WATCHLIST[[#This Row],[Stock]]="","",T_WATCHLIST[[#This Row],[Quantity]]*T_WATCHLIST[[#This Row],[Last Price]])</f>
        <v/>
      </c>
      <c r="N62" s="85" t="str" cm="1">
        <f t="array" ref="N62">IF(T_WATCHLIST[[#This Row],[Stock]]="","",T_WATCHLIST[[#This Row],[Current Value]]-_xlfn.FIELDVALUE(T_WATCHLIST[[#This Row],[Stock]],"Previous Close")*T_WATCHLIST[[#This Row],[Quantity]])</f>
        <v/>
      </c>
      <c r="O62" s="86" t="str">
        <f>IFERROR(T_WATCHLIST[[#This Row],[Today''s Gain/Loss]]/(T_WATCHLIST[[#This Row],[Current Value]]-T_WATCHLIST[[#This Row],[Today''s Gain/Loss]]),"")</f>
        <v/>
      </c>
      <c r="P62" s="84" t="str">
        <f>IFERROR(T_WATCHLIST[[#This Row],[Current Value]]-T_WATCHLIST[[#This Row],[% Total Gain/Loss9]],"")</f>
        <v/>
      </c>
      <c r="Q62" s="87" t="str">
        <f>IFERROR(T_WATCHLIST[[#This Row],[Total Gain/Loss]]/T_WATCHLIST[[#This Row],[% Total Gain/Loss9]],"")</f>
        <v/>
      </c>
      <c r="R62" s="88" t="str" cm="1">
        <f t="array" ref="R62">IFERROR(_xlfn.FIELDVALUE(T_WATCHLIST[[#This Row],[Stock]],"52 week low"),"")</f>
        <v/>
      </c>
      <c r="S6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2" s="73" t="str" cm="1">
        <f t="array" ref="T62">IFERROR(_xlfn.FIELDVALUE(T_WATCHLIST[[#This Row],[Stock]],"52 week high"),"")</f>
        <v/>
      </c>
      <c r="U62" s="64" t="str" cm="1">
        <f t="array" ref="U62">IF(T_WATCHLIST[[#This Row],[Stock]]="","",SUMPRODUCT(T_TXN[UNITS],--(T_TXN[TYPE]="Buy"),--(T_TXN[TICKER]=T_WATCHLIST[[#This Row],[Stock]])))</f>
        <v/>
      </c>
      <c r="V62" s="67" t="str" cm="1">
        <f t="array" ref="V62">IF(T_WATCHLIST[[#This Row],[Stock]]="","",SUMPRODUCT(--(T_TXN[TYPE]="Buy"),T_TXN[UNITS],T_TXN[PRICE],--(T_TXN[TICKER]=T_WATCHLIST[[#This Row],[Stock]])))</f>
        <v/>
      </c>
      <c r="W62" s="64" t="str" cm="1">
        <f t="array" ref="W62">IF(T_WATCHLIST[[#This Row],[Stock]]="","",SUMPRODUCT(T_TXN[UNITS],--(T_TXN[TYPE]="Sell"),--(T_TXN[TICKER]=T_WATCHLIST[[#This Row],[Stock]])))</f>
        <v/>
      </c>
      <c r="X62" s="67" t="str" cm="1">
        <f t="array" ref="X62">IF(T_WATCHLIST[[#This Row],[Stock]]="","",SUMPRODUCT(--(T_TXN[TYPE]="Sell"),T_TXN[UNITS],T_TXN[PRICE],--(T_TXN[TICKER]=T_WATCHLIST[[#This Row],[Stock]])))</f>
        <v/>
      </c>
      <c r="Y62" s="67" t="str" cm="1">
        <f t="array" ref="Y62">IF(T_WATCHLIST[[#This Row],[Stock]]="","",SUMPRODUCT(T_TXN[UNITS],T_TXN[PRICE],--(T_TXN[TYPE]="Buy"),--(T_TXN[TICKER]=T_WATCHLIST[[#This Row],[Stock]])) -SUMPRODUCT(T_TXN[UNITS],T_TXN[PRICE],--(T_TXN[TYPE]="Sell"),--(T_TXN[TICKER]=T_WATCHLIST[[#This Row],[Stock]])))</f>
        <v/>
      </c>
      <c r="Z62" s="64" t="str" cm="1">
        <f t="array" ref="Z62">IFERROR(IF(ROW(T_WATCHLIST[[#This Row],[Stock]])-ROW(T_WATCHLIST[[#Headers],[Stock]])&gt;=C_CNT_STOCKS,"",_FV(T_WATCHLIST[[#This Row],[Stock]],"Industry",TRUE)),"Not Available")</f>
        <v/>
      </c>
      <c r="AA62" s="64" t="str" cm="1">
        <f t="array" ref="AA62">IFERROR(IF(ROW(T_WATCHLIST[[#This Row],[Stock]])-ROW(T_WATCHLIST[[#Headers],[Stock]])&gt;=C_CNT_STOCKS,"",_FV(T_WATCHLIST[[#This Row],[Stock]],"Instrument type",TRUE)),"Not Available")</f>
        <v/>
      </c>
    </row>
    <row r="63" spans="5:27" ht="22" customHeight="1">
      <c r="E63" s="89"/>
      <c r="F63" s="75" t="str" cm="1">
        <f t="array" ref="F63">IFERROR(IF(ROW(T_WATCHLIST[[#This Row],[Stock]])-ROW(T_WATCHLIST[[#Headers],[Stock]])&gt;C_CNT_STOCKS,"",INDEX(_xlfn.ANCHORARRAY(HELP!$G$2),ROW(T_WATCHLIST[[#This Row],[Stock]])-ROW(T_WATCHLIST[[#Headers],[Stock]]))),"")</f>
        <v/>
      </c>
      <c r="G63" s="80" t="str" cm="1">
        <f t="array" ref="G63">IFERROR(_xlfn.FIELDVALUE(T_WATCHLIST[[#This Row],[Stock]],"Ticker Symbol"),"")</f>
        <v/>
      </c>
      <c r="H63" s="117"/>
      <c r="I63" s="81" t="str">
        <f>IF(T_WATCHLIST[[#This Row],[Stock]]="","",SUMIFS(T_TXN[UNITS],T_TXN[TYPE],"Buy",T_TXN[TICKER],T_WATCHLIST[[#This Row],[Stock]])-SUMIFS(T_TXN[UNITS],T_TXN[TYPE],"Sell",T_TXN[TICKER],T_WATCHLIST[[#This Row],[Stock]])+SUMIFS(T_TXN[UNITS],T_TXN[TYPE],"Dividend Reinvestment",T_TXN[TICKER],T_WATCHLIST[[#This Row],[Stock]]))</f>
        <v/>
      </c>
      <c r="J63" s="75" t="str" cm="1">
        <f t="array" ref="J63">IFERROR(_xlfn.FIELDVALUE(T_WATCHLIST[[#This Row],[Stock]],"Price"),"")</f>
        <v/>
      </c>
      <c r="K63" s="82" t="str" cm="1">
        <f t="array" ref="K63">IFERROR(_xlfn.FIELDVALUE(T_WATCHLIST[[#This Row],[Stock]],"Change"),"")</f>
        <v/>
      </c>
      <c r="L63" s="83" t="str" cm="1">
        <f t="array" ref="L63">IFERROR(_xlfn.FIELDVALUE(T_WATCHLIST[[#This Row],[Stock]],"Change (%)"),"")</f>
        <v/>
      </c>
      <c r="M63" s="84" t="str">
        <f>IF(T_WATCHLIST[[#This Row],[Stock]]="","",T_WATCHLIST[[#This Row],[Quantity]]*T_WATCHLIST[[#This Row],[Last Price]])</f>
        <v/>
      </c>
      <c r="N63" s="85" t="str" cm="1">
        <f t="array" ref="N63">IF(T_WATCHLIST[[#This Row],[Stock]]="","",T_WATCHLIST[[#This Row],[Current Value]]-_xlfn.FIELDVALUE(T_WATCHLIST[[#This Row],[Stock]],"Previous Close")*T_WATCHLIST[[#This Row],[Quantity]])</f>
        <v/>
      </c>
      <c r="O63" s="86" t="str">
        <f>IFERROR(T_WATCHLIST[[#This Row],[Today''s Gain/Loss]]/(T_WATCHLIST[[#This Row],[Current Value]]-T_WATCHLIST[[#This Row],[Today''s Gain/Loss]]),"")</f>
        <v/>
      </c>
      <c r="P63" s="84" t="str">
        <f>IFERROR(T_WATCHLIST[[#This Row],[Current Value]]-T_WATCHLIST[[#This Row],[% Total Gain/Loss9]],"")</f>
        <v/>
      </c>
      <c r="Q63" s="87" t="str">
        <f>IFERROR(T_WATCHLIST[[#This Row],[Total Gain/Loss]]/T_WATCHLIST[[#This Row],[% Total Gain/Loss9]],"")</f>
        <v/>
      </c>
      <c r="R63" s="88" t="str" cm="1">
        <f t="array" ref="R63">IFERROR(_xlfn.FIELDVALUE(T_WATCHLIST[[#This Row],[Stock]],"52 week low"),"")</f>
        <v/>
      </c>
      <c r="S6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3" s="73" t="str" cm="1">
        <f t="array" ref="T63">IFERROR(_xlfn.FIELDVALUE(T_WATCHLIST[[#This Row],[Stock]],"52 week high"),"")</f>
        <v/>
      </c>
      <c r="U63" s="64" t="str" cm="1">
        <f t="array" ref="U63">IF(T_WATCHLIST[[#This Row],[Stock]]="","",SUMPRODUCT(T_TXN[UNITS],--(T_TXN[TYPE]="Buy"),--(T_TXN[TICKER]=T_WATCHLIST[[#This Row],[Stock]])))</f>
        <v/>
      </c>
      <c r="V63" s="67" t="str" cm="1">
        <f t="array" ref="V63">IF(T_WATCHLIST[[#This Row],[Stock]]="","",SUMPRODUCT(--(T_TXN[TYPE]="Buy"),T_TXN[UNITS],T_TXN[PRICE],--(T_TXN[TICKER]=T_WATCHLIST[[#This Row],[Stock]])))</f>
        <v/>
      </c>
      <c r="W63" s="64" t="str" cm="1">
        <f t="array" ref="W63">IF(T_WATCHLIST[[#This Row],[Stock]]="","",SUMPRODUCT(T_TXN[UNITS],--(T_TXN[TYPE]="Sell"),--(T_TXN[TICKER]=T_WATCHLIST[[#This Row],[Stock]])))</f>
        <v/>
      </c>
      <c r="X63" s="67" t="str" cm="1">
        <f t="array" ref="X63">IF(T_WATCHLIST[[#This Row],[Stock]]="","",SUMPRODUCT(--(T_TXN[TYPE]="Sell"),T_TXN[UNITS],T_TXN[PRICE],--(T_TXN[TICKER]=T_WATCHLIST[[#This Row],[Stock]])))</f>
        <v/>
      </c>
      <c r="Y63" s="67" t="str" cm="1">
        <f t="array" ref="Y63">IF(T_WATCHLIST[[#This Row],[Stock]]="","",SUMPRODUCT(T_TXN[UNITS],T_TXN[PRICE],--(T_TXN[TYPE]="Buy"),--(T_TXN[TICKER]=T_WATCHLIST[[#This Row],[Stock]])) -SUMPRODUCT(T_TXN[UNITS],T_TXN[PRICE],--(T_TXN[TYPE]="Sell"),--(T_TXN[TICKER]=T_WATCHLIST[[#This Row],[Stock]])))</f>
        <v/>
      </c>
      <c r="Z63" s="64" t="str" cm="1">
        <f t="array" ref="Z63">IFERROR(IF(ROW(T_WATCHLIST[[#This Row],[Stock]])-ROW(T_WATCHLIST[[#Headers],[Stock]])&gt;=C_CNT_STOCKS,"",_FV(T_WATCHLIST[[#This Row],[Stock]],"Industry",TRUE)),"Not Available")</f>
        <v/>
      </c>
      <c r="AA63" s="64" t="str" cm="1">
        <f t="array" ref="AA63">IFERROR(IF(ROW(T_WATCHLIST[[#This Row],[Stock]])-ROW(T_WATCHLIST[[#Headers],[Stock]])&gt;=C_CNT_STOCKS,"",_FV(T_WATCHLIST[[#This Row],[Stock]],"Instrument type",TRUE)),"Not Available")</f>
        <v/>
      </c>
    </row>
    <row r="64" spans="5:27" ht="22" customHeight="1">
      <c r="E64" s="89"/>
      <c r="F64" s="75" t="str" cm="1">
        <f t="array" ref="F64">IFERROR(IF(ROW(T_WATCHLIST[[#This Row],[Stock]])-ROW(T_WATCHLIST[[#Headers],[Stock]])&gt;C_CNT_STOCKS,"",INDEX(_xlfn.ANCHORARRAY(HELP!$G$2),ROW(T_WATCHLIST[[#This Row],[Stock]])-ROW(T_WATCHLIST[[#Headers],[Stock]]))),"")</f>
        <v/>
      </c>
      <c r="G64" s="80" t="str" cm="1">
        <f t="array" ref="G64">IFERROR(_xlfn.FIELDVALUE(T_WATCHLIST[[#This Row],[Stock]],"Ticker Symbol"),"")</f>
        <v/>
      </c>
      <c r="H64" s="117"/>
      <c r="I64" s="81" t="str">
        <f>IF(T_WATCHLIST[[#This Row],[Stock]]="","",SUMIFS(T_TXN[UNITS],T_TXN[TYPE],"Buy",T_TXN[TICKER],T_WATCHLIST[[#This Row],[Stock]])-SUMIFS(T_TXN[UNITS],T_TXN[TYPE],"Sell",T_TXN[TICKER],T_WATCHLIST[[#This Row],[Stock]])+SUMIFS(T_TXN[UNITS],T_TXN[TYPE],"Dividend Reinvestment",T_TXN[TICKER],T_WATCHLIST[[#This Row],[Stock]]))</f>
        <v/>
      </c>
      <c r="J64" s="75" t="str" cm="1">
        <f t="array" ref="J64">IFERROR(_xlfn.FIELDVALUE(T_WATCHLIST[[#This Row],[Stock]],"Price"),"")</f>
        <v/>
      </c>
      <c r="K64" s="82" t="str" cm="1">
        <f t="array" ref="K64">IFERROR(_xlfn.FIELDVALUE(T_WATCHLIST[[#This Row],[Stock]],"Change"),"")</f>
        <v/>
      </c>
      <c r="L64" s="83" t="str" cm="1">
        <f t="array" ref="L64">IFERROR(_xlfn.FIELDVALUE(T_WATCHLIST[[#This Row],[Stock]],"Change (%)"),"")</f>
        <v/>
      </c>
      <c r="M64" s="84" t="str">
        <f>IF(T_WATCHLIST[[#This Row],[Stock]]="","",T_WATCHLIST[[#This Row],[Quantity]]*T_WATCHLIST[[#This Row],[Last Price]])</f>
        <v/>
      </c>
      <c r="N64" s="85" t="str" cm="1">
        <f t="array" ref="N64">IF(T_WATCHLIST[[#This Row],[Stock]]="","",T_WATCHLIST[[#This Row],[Current Value]]-_xlfn.FIELDVALUE(T_WATCHLIST[[#This Row],[Stock]],"Previous Close")*T_WATCHLIST[[#This Row],[Quantity]])</f>
        <v/>
      </c>
      <c r="O64" s="86" t="str">
        <f>IFERROR(T_WATCHLIST[[#This Row],[Today''s Gain/Loss]]/(T_WATCHLIST[[#This Row],[Current Value]]-T_WATCHLIST[[#This Row],[Today''s Gain/Loss]]),"")</f>
        <v/>
      </c>
      <c r="P64" s="84" t="str">
        <f>IFERROR(T_WATCHLIST[[#This Row],[Current Value]]-T_WATCHLIST[[#This Row],[% Total Gain/Loss9]],"")</f>
        <v/>
      </c>
      <c r="Q64" s="87" t="str">
        <f>IFERROR(T_WATCHLIST[[#This Row],[Total Gain/Loss]]/T_WATCHLIST[[#This Row],[% Total Gain/Loss9]],"")</f>
        <v/>
      </c>
      <c r="R64" s="88" t="str" cm="1">
        <f t="array" ref="R64">IFERROR(_xlfn.FIELDVALUE(T_WATCHLIST[[#This Row],[Stock]],"52 week low"),"")</f>
        <v/>
      </c>
      <c r="S6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4" s="73" t="str" cm="1">
        <f t="array" ref="T64">IFERROR(_xlfn.FIELDVALUE(T_WATCHLIST[[#This Row],[Stock]],"52 week high"),"")</f>
        <v/>
      </c>
      <c r="U64" s="64" t="str" cm="1">
        <f t="array" ref="U64">IF(T_WATCHLIST[[#This Row],[Stock]]="","",SUMPRODUCT(T_TXN[UNITS],--(T_TXN[TYPE]="Buy"),--(T_TXN[TICKER]=T_WATCHLIST[[#This Row],[Stock]])))</f>
        <v/>
      </c>
      <c r="V64" s="67" t="str" cm="1">
        <f t="array" ref="V64">IF(T_WATCHLIST[[#This Row],[Stock]]="","",SUMPRODUCT(--(T_TXN[TYPE]="Buy"),T_TXN[UNITS],T_TXN[PRICE],--(T_TXN[TICKER]=T_WATCHLIST[[#This Row],[Stock]])))</f>
        <v/>
      </c>
      <c r="W64" s="64" t="str" cm="1">
        <f t="array" ref="W64">IF(T_WATCHLIST[[#This Row],[Stock]]="","",SUMPRODUCT(T_TXN[UNITS],--(T_TXN[TYPE]="Sell"),--(T_TXN[TICKER]=T_WATCHLIST[[#This Row],[Stock]])))</f>
        <v/>
      </c>
      <c r="X64" s="67" t="str" cm="1">
        <f t="array" ref="X64">IF(T_WATCHLIST[[#This Row],[Stock]]="","",SUMPRODUCT(--(T_TXN[TYPE]="Sell"),T_TXN[UNITS],T_TXN[PRICE],--(T_TXN[TICKER]=T_WATCHLIST[[#This Row],[Stock]])))</f>
        <v/>
      </c>
      <c r="Y64" s="67" t="str" cm="1">
        <f t="array" ref="Y64">IF(T_WATCHLIST[[#This Row],[Stock]]="","",SUMPRODUCT(T_TXN[UNITS],T_TXN[PRICE],--(T_TXN[TYPE]="Buy"),--(T_TXN[TICKER]=T_WATCHLIST[[#This Row],[Stock]])) -SUMPRODUCT(T_TXN[UNITS],T_TXN[PRICE],--(T_TXN[TYPE]="Sell"),--(T_TXN[TICKER]=T_WATCHLIST[[#This Row],[Stock]])))</f>
        <v/>
      </c>
      <c r="Z64" s="64" t="str" cm="1">
        <f t="array" ref="Z64">IFERROR(IF(ROW(T_WATCHLIST[[#This Row],[Stock]])-ROW(T_WATCHLIST[[#Headers],[Stock]])&gt;=C_CNT_STOCKS,"",_FV(T_WATCHLIST[[#This Row],[Stock]],"Industry",TRUE)),"Not Available")</f>
        <v/>
      </c>
      <c r="AA64" s="64" t="str" cm="1">
        <f t="array" ref="AA64">IFERROR(IF(ROW(T_WATCHLIST[[#This Row],[Stock]])-ROW(T_WATCHLIST[[#Headers],[Stock]])&gt;=C_CNT_STOCKS,"",_FV(T_WATCHLIST[[#This Row],[Stock]],"Instrument type",TRUE)),"Not Available")</f>
        <v/>
      </c>
    </row>
    <row r="65" spans="5:27" ht="22" customHeight="1">
      <c r="E65" s="89"/>
      <c r="F65" s="75" t="str" cm="1">
        <f t="array" ref="F65">IFERROR(IF(ROW(T_WATCHLIST[[#This Row],[Stock]])-ROW(T_WATCHLIST[[#Headers],[Stock]])&gt;C_CNT_STOCKS,"",INDEX(_xlfn.ANCHORARRAY(HELP!$G$2),ROW(T_WATCHLIST[[#This Row],[Stock]])-ROW(T_WATCHLIST[[#Headers],[Stock]]))),"")</f>
        <v/>
      </c>
      <c r="G65" s="80" t="str" cm="1">
        <f t="array" ref="G65">IFERROR(_xlfn.FIELDVALUE(T_WATCHLIST[[#This Row],[Stock]],"Ticker Symbol"),"")</f>
        <v/>
      </c>
      <c r="H65" s="117"/>
      <c r="I65" s="81" t="str">
        <f>IF(T_WATCHLIST[[#This Row],[Stock]]="","",SUMIFS(T_TXN[UNITS],T_TXN[TYPE],"Buy",T_TXN[TICKER],T_WATCHLIST[[#This Row],[Stock]])-SUMIFS(T_TXN[UNITS],T_TXN[TYPE],"Sell",T_TXN[TICKER],T_WATCHLIST[[#This Row],[Stock]])+SUMIFS(T_TXN[UNITS],T_TXN[TYPE],"Dividend Reinvestment",T_TXN[TICKER],T_WATCHLIST[[#This Row],[Stock]]))</f>
        <v/>
      </c>
      <c r="J65" s="75" t="str" cm="1">
        <f t="array" ref="J65">IFERROR(_xlfn.FIELDVALUE(T_WATCHLIST[[#This Row],[Stock]],"Price"),"")</f>
        <v/>
      </c>
      <c r="K65" s="82" t="str" cm="1">
        <f t="array" ref="K65">IFERROR(_xlfn.FIELDVALUE(T_WATCHLIST[[#This Row],[Stock]],"Change"),"")</f>
        <v/>
      </c>
      <c r="L65" s="83" t="str" cm="1">
        <f t="array" ref="L65">IFERROR(_xlfn.FIELDVALUE(T_WATCHLIST[[#This Row],[Stock]],"Change (%)"),"")</f>
        <v/>
      </c>
      <c r="M65" s="84" t="str">
        <f>IF(T_WATCHLIST[[#This Row],[Stock]]="","",T_WATCHLIST[[#This Row],[Quantity]]*T_WATCHLIST[[#This Row],[Last Price]])</f>
        <v/>
      </c>
      <c r="N65" s="85" t="str" cm="1">
        <f t="array" ref="N65">IF(T_WATCHLIST[[#This Row],[Stock]]="","",T_WATCHLIST[[#This Row],[Current Value]]-_xlfn.FIELDVALUE(T_WATCHLIST[[#This Row],[Stock]],"Previous Close")*T_WATCHLIST[[#This Row],[Quantity]])</f>
        <v/>
      </c>
      <c r="O65" s="86" t="str">
        <f>IFERROR(T_WATCHLIST[[#This Row],[Today''s Gain/Loss]]/(T_WATCHLIST[[#This Row],[Current Value]]-T_WATCHLIST[[#This Row],[Today''s Gain/Loss]]),"")</f>
        <v/>
      </c>
      <c r="P65" s="84" t="str">
        <f>IFERROR(T_WATCHLIST[[#This Row],[Current Value]]-T_WATCHLIST[[#This Row],[% Total Gain/Loss9]],"")</f>
        <v/>
      </c>
      <c r="Q65" s="87" t="str">
        <f>IFERROR(T_WATCHLIST[[#This Row],[Total Gain/Loss]]/T_WATCHLIST[[#This Row],[% Total Gain/Loss9]],"")</f>
        <v/>
      </c>
      <c r="R65" s="88" t="str" cm="1">
        <f t="array" ref="R65">IFERROR(_xlfn.FIELDVALUE(T_WATCHLIST[[#This Row],[Stock]],"52 week low"),"")</f>
        <v/>
      </c>
      <c r="S6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5" s="73" t="str" cm="1">
        <f t="array" ref="T65">IFERROR(_xlfn.FIELDVALUE(T_WATCHLIST[[#This Row],[Stock]],"52 week high"),"")</f>
        <v/>
      </c>
      <c r="U65" s="64" t="str" cm="1">
        <f t="array" ref="U65">IF(T_WATCHLIST[[#This Row],[Stock]]="","",SUMPRODUCT(T_TXN[UNITS],--(T_TXN[TYPE]="Buy"),--(T_TXN[TICKER]=T_WATCHLIST[[#This Row],[Stock]])))</f>
        <v/>
      </c>
      <c r="V65" s="67" t="str" cm="1">
        <f t="array" ref="V65">IF(T_WATCHLIST[[#This Row],[Stock]]="","",SUMPRODUCT(--(T_TXN[TYPE]="Buy"),T_TXN[UNITS],T_TXN[PRICE],--(T_TXN[TICKER]=T_WATCHLIST[[#This Row],[Stock]])))</f>
        <v/>
      </c>
      <c r="W65" s="64" t="str" cm="1">
        <f t="array" ref="W65">IF(T_WATCHLIST[[#This Row],[Stock]]="","",SUMPRODUCT(T_TXN[UNITS],--(T_TXN[TYPE]="Sell"),--(T_TXN[TICKER]=T_WATCHLIST[[#This Row],[Stock]])))</f>
        <v/>
      </c>
      <c r="X65" s="67" t="str" cm="1">
        <f t="array" ref="X65">IF(T_WATCHLIST[[#This Row],[Stock]]="","",SUMPRODUCT(--(T_TXN[TYPE]="Sell"),T_TXN[UNITS],T_TXN[PRICE],--(T_TXN[TICKER]=T_WATCHLIST[[#This Row],[Stock]])))</f>
        <v/>
      </c>
      <c r="Y65" s="67" t="str" cm="1">
        <f t="array" ref="Y65">IF(T_WATCHLIST[[#This Row],[Stock]]="","",SUMPRODUCT(T_TXN[UNITS],T_TXN[PRICE],--(T_TXN[TYPE]="Buy"),--(T_TXN[TICKER]=T_WATCHLIST[[#This Row],[Stock]])) -SUMPRODUCT(T_TXN[UNITS],T_TXN[PRICE],--(T_TXN[TYPE]="Sell"),--(T_TXN[TICKER]=T_WATCHLIST[[#This Row],[Stock]])))</f>
        <v/>
      </c>
      <c r="Z65" s="64" t="str" cm="1">
        <f t="array" ref="Z65">IFERROR(IF(ROW(T_WATCHLIST[[#This Row],[Stock]])-ROW(T_WATCHLIST[[#Headers],[Stock]])&gt;=C_CNT_STOCKS,"",_FV(T_WATCHLIST[[#This Row],[Stock]],"Industry",TRUE)),"Not Available")</f>
        <v/>
      </c>
      <c r="AA65" s="64" t="str" cm="1">
        <f t="array" ref="AA65">IFERROR(IF(ROW(T_WATCHLIST[[#This Row],[Stock]])-ROW(T_WATCHLIST[[#Headers],[Stock]])&gt;=C_CNT_STOCKS,"",_FV(T_WATCHLIST[[#This Row],[Stock]],"Instrument type",TRUE)),"Not Available")</f>
        <v/>
      </c>
    </row>
    <row r="66" spans="5:27" ht="22" customHeight="1">
      <c r="E66" s="89"/>
      <c r="F66" s="75" t="str" cm="1">
        <f t="array" ref="F66">IFERROR(IF(ROW(T_WATCHLIST[[#This Row],[Stock]])-ROW(T_WATCHLIST[[#Headers],[Stock]])&gt;C_CNT_STOCKS,"",INDEX(_xlfn.ANCHORARRAY(HELP!$G$2),ROW(T_WATCHLIST[[#This Row],[Stock]])-ROW(T_WATCHLIST[[#Headers],[Stock]]))),"")</f>
        <v/>
      </c>
      <c r="G66" s="80" t="str" cm="1">
        <f t="array" ref="G66">IFERROR(_xlfn.FIELDVALUE(T_WATCHLIST[[#This Row],[Stock]],"Ticker Symbol"),"")</f>
        <v/>
      </c>
      <c r="H66" s="117"/>
      <c r="I66" s="81" t="str">
        <f>IF(T_WATCHLIST[[#This Row],[Stock]]="","",SUMIFS(T_TXN[UNITS],T_TXN[TYPE],"Buy",T_TXN[TICKER],T_WATCHLIST[[#This Row],[Stock]])-SUMIFS(T_TXN[UNITS],T_TXN[TYPE],"Sell",T_TXN[TICKER],T_WATCHLIST[[#This Row],[Stock]])+SUMIFS(T_TXN[UNITS],T_TXN[TYPE],"Dividend Reinvestment",T_TXN[TICKER],T_WATCHLIST[[#This Row],[Stock]]))</f>
        <v/>
      </c>
      <c r="J66" s="75" t="str" cm="1">
        <f t="array" ref="J66">IFERROR(_xlfn.FIELDVALUE(T_WATCHLIST[[#This Row],[Stock]],"Price"),"")</f>
        <v/>
      </c>
      <c r="K66" s="82" t="str" cm="1">
        <f t="array" ref="K66">IFERROR(_xlfn.FIELDVALUE(T_WATCHLIST[[#This Row],[Stock]],"Change"),"")</f>
        <v/>
      </c>
      <c r="L66" s="83" t="str" cm="1">
        <f t="array" ref="L66">IFERROR(_xlfn.FIELDVALUE(T_WATCHLIST[[#This Row],[Stock]],"Change (%)"),"")</f>
        <v/>
      </c>
      <c r="M66" s="84" t="str">
        <f>IF(T_WATCHLIST[[#This Row],[Stock]]="","",T_WATCHLIST[[#This Row],[Quantity]]*T_WATCHLIST[[#This Row],[Last Price]])</f>
        <v/>
      </c>
      <c r="N66" s="85" t="str" cm="1">
        <f t="array" ref="N66">IF(T_WATCHLIST[[#This Row],[Stock]]="","",T_WATCHLIST[[#This Row],[Current Value]]-_xlfn.FIELDVALUE(T_WATCHLIST[[#This Row],[Stock]],"Previous Close")*T_WATCHLIST[[#This Row],[Quantity]])</f>
        <v/>
      </c>
      <c r="O66" s="86" t="str">
        <f>IFERROR(T_WATCHLIST[[#This Row],[Today''s Gain/Loss]]/(T_WATCHLIST[[#This Row],[Current Value]]-T_WATCHLIST[[#This Row],[Today''s Gain/Loss]]),"")</f>
        <v/>
      </c>
      <c r="P66" s="84" t="str">
        <f>IFERROR(T_WATCHLIST[[#This Row],[Current Value]]-T_WATCHLIST[[#This Row],[% Total Gain/Loss9]],"")</f>
        <v/>
      </c>
      <c r="Q66" s="87" t="str">
        <f>IFERROR(T_WATCHLIST[[#This Row],[Total Gain/Loss]]/T_WATCHLIST[[#This Row],[% Total Gain/Loss9]],"")</f>
        <v/>
      </c>
      <c r="R66" s="88" t="str" cm="1">
        <f t="array" ref="R66">IFERROR(_xlfn.FIELDVALUE(T_WATCHLIST[[#This Row],[Stock]],"52 week low"),"")</f>
        <v/>
      </c>
      <c r="S6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6" s="73" t="str" cm="1">
        <f t="array" ref="T66">IFERROR(_xlfn.FIELDVALUE(T_WATCHLIST[[#This Row],[Stock]],"52 week high"),"")</f>
        <v/>
      </c>
      <c r="U66" s="64" t="str" cm="1">
        <f t="array" ref="U66">IF(T_WATCHLIST[[#This Row],[Stock]]="","",SUMPRODUCT(T_TXN[UNITS],--(T_TXN[TYPE]="Buy"),--(T_TXN[TICKER]=T_WATCHLIST[[#This Row],[Stock]])))</f>
        <v/>
      </c>
      <c r="V66" s="67" t="str" cm="1">
        <f t="array" ref="V66">IF(T_WATCHLIST[[#This Row],[Stock]]="","",SUMPRODUCT(--(T_TXN[TYPE]="Buy"),T_TXN[UNITS],T_TXN[PRICE],--(T_TXN[TICKER]=T_WATCHLIST[[#This Row],[Stock]])))</f>
        <v/>
      </c>
      <c r="W66" s="64" t="str" cm="1">
        <f t="array" ref="W66">IF(T_WATCHLIST[[#This Row],[Stock]]="","",SUMPRODUCT(T_TXN[UNITS],--(T_TXN[TYPE]="Sell"),--(T_TXN[TICKER]=T_WATCHLIST[[#This Row],[Stock]])))</f>
        <v/>
      </c>
      <c r="X66" s="67" t="str" cm="1">
        <f t="array" ref="X66">IF(T_WATCHLIST[[#This Row],[Stock]]="","",SUMPRODUCT(--(T_TXN[TYPE]="Sell"),T_TXN[UNITS],T_TXN[PRICE],--(T_TXN[TICKER]=T_WATCHLIST[[#This Row],[Stock]])))</f>
        <v/>
      </c>
      <c r="Y66" s="67" t="str" cm="1">
        <f t="array" ref="Y66">IF(T_WATCHLIST[[#This Row],[Stock]]="","",SUMPRODUCT(T_TXN[UNITS],T_TXN[PRICE],--(T_TXN[TYPE]="Buy"),--(T_TXN[TICKER]=T_WATCHLIST[[#This Row],[Stock]])) -SUMPRODUCT(T_TXN[UNITS],T_TXN[PRICE],--(T_TXN[TYPE]="Sell"),--(T_TXN[TICKER]=T_WATCHLIST[[#This Row],[Stock]])))</f>
        <v/>
      </c>
      <c r="Z66" s="64" t="str" cm="1">
        <f t="array" ref="Z66">IFERROR(IF(ROW(T_WATCHLIST[[#This Row],[Stock]])-ROW(T_WATCHLIST[[#Headers],[Stock]])&gt;=C_CNT_STOCKS,"",_FV(T_WATCHLIST[[#This Row],[Stock]],"Industry",TRUE)),"Not Available")</f>
        <v/>
      </c>
      <c r="AA66" s="64" t="str" cm="1">
        <f t="array" ref="AA66">IFERROR(IF(ROW(T_WATCHLIST[[#This Row],[Stock]])-ROW(T_WATCHLIST[[#Headers],[Stock]])&gt;=C_CNT_STOCKS,"",_FV(T_WATCHLIST[[#This Row],[Stock]],"Instrument type",TRUE)),"Not Available")</f>
        <v/>
      </c>
    </row>
    <row r="67" spans="5:27" ht="22" customHeight="1">
      <c r="E67" s="89"/>
      <c r="F67" s="75" t="str" cm="1">
        <f t="array" ref="F67">IFERROR(IF(ROW(T_WATCHLIST[[#This Row],[Stock]])-ROW(T_WATCHLIST[[#Headers],[Stock]])&gt;C_CNT_STOCKS,"",INDEX(_xlfn.ANCHORARRAY(HELP!$G$2),ROW(T_WATCHLIST[[#This Row],[Stock]])-ROW(T_WATCHLIST[[#Headers],[Stock]]))),"")</f>
        <v/>
      </c>
      <c r="G67" s="80" t="str" cm="1">
        <f t="array" ref="G67">IFERROR(_xlfn.FIELDVALUE(T_WATCHLIST[[#This Row],[Stock]],"Ticker Symbol"),"")</f>
        <v/>
      </c>
      <c r="H67" s="117"/>
      <c r="I67" s="81" t="str">
        <f>IF(T_WATCHLIST[[#This Row],[Stock]]="","",SUMIFS(T_TXN[UNITS],T_TXN[TYPE],"Buy",T_TXN[TICKER],T_WATCHLIST[[#This Row],[Stock]])-SUMIFS(T_TXN[UNITS],T_TXN[TYPE],"Sell",T_TXN[TICKER],T_WATCHLIST[[#This Row],[Stock]])+SUMIFS(T_TXN[UNITS],T_TXN[TYPE],"Dividend Reinvestment",T_TXN[TICKER],T_WATCHLIST[[#This Row],[Stock]]))</f>
        <v/>
      </c>
      <c r="J67" s="75" t="str" cm="1">
        <f t="array" ref="J67">IFERROR(_xlfn.FIELDVALUE(T_WATCHLIST[[#This Row],[Stock]],"Price"),"")</f>
        <v/>
      </c>
      <c r="K67" s="82" t="str" cm="1">
        <f t="array" ref="K67">IFERROR(_xlfn.FIELDVALUE(T_WATCHLIST[[#This Row],[Stock]],"Change"),"")</f>
        <v/>
      </c>
      <c r="L67" s="83" t="str" cm="1">
        <f t="array" ref="L67">IFERROR(_xlfn.FIELDVALUE(T_WATCHLIST[[#This Row],[Stock]],"Change (%)"),"")</f>
        <v/>
      </c>
      <c r="M67" s="84" t="str">
        <f>IF(T_WATCHLIST[[#This Row],[Stock]]="","",T_WATCHLIST[[#This Row],[Quantity]]*T_WATCHLIST[[#This Row],[Last Price]])</f>
        <v/>
      </c>
      <c r="N67" s="85" t="str" cm="1">
        <f t="array" ref="N67">IF(T_WATCHLIST[[#This Row],[Stock]]="","",T_WATCHLIST[[#This Row],[Current Value]]-_xlfn.FIELDVALUE(T_WATCHLIST[[#This Row],[Stock]],"Previous Close")*T_WATCHLIST[[#This Row],[Quantity]])</f>
        <v/>
      </c>
      <c r="O67" s="86" t="str">
        <f>IFERROR(T_WATCHLIST[[#This Row],[Today''s Gain/Loss]]/(T_WATCHLIST[[#This Row],[Current Value]]-T_WATCHLIST[[#This Row],[Today''s Gain/Loss]]),"")</f>
        <v/>
      </c>
      <c r="P67" s="84" t="str">
        <f>IFERROR(T_WATCHLIST[[#This Row],[Current Value]]-T_WATCHLIST[[#This Row],[% Total Gain/Loss9]],"")</f>
        <v/>
      </c>
      <c r="Q67" s="87" t="str">
        <f>IFERROR(T_WATCHLIST[[#This Row],[Total Gain/Loss]]/T_WATCHLIST[[#This Row],[% Total Gain/Loss9]],"")</f>
        <v/>
      </c>
      <c r="R67" s="88" t="str" cm="1">
        <f t="array" ref="R67">IFERROR(_xlfn.FIELDVALUE(T_WATCHLIST[[#This Row],[Stock]],"52 week low"),"")</f>
        <v/>
      </c>
      <c r="S6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7" s="73" t="str" cm="1">
        <f t="array" ref="T67">IFERROR(_xlfn.FIELDVALUE(T_WATCHLIST[[#This Row],[Stock]],"52 week high"),"")</f>
        <v/>
      </c>
      <c r="U67" s="64" t="str" cm="1">
        <f t="array" ref="U67">IF(T_WATCHLIST[[#This Row],[Stock]]="","",SUMPRODUCT(T_TXN[UNITS],--(T_TXN[TYPE]="Buy"),--(T_TXN[TICKER]=T_WATCHLIST[[#This Row],[Stock]])))</f>
        <v/>
      </c>
      <c r="V67" s="67" t="str" cm="1">
        <f t="array" ref="V67">IF(T_WATCHLIST[[#This Row],[Stock]]="","",SUMPRODUCT(--(T_TXN[TYPE]="Buy"),T_TXN[UNITS],T_TXN[PRICE],--(T_TXN[TICKER]=T_WATCHLIST[[#This Row],[Stock]])))</f>
        <v/>
      </c>
      <c r="W67" s="64" t="str" cm="1">
        <f t="array" ref="W67">IF(T_WATCHLIST[[#This Row],[Stock]]="","",SUMPRODUCT(T_TXN[UNITS],--(T_TXN[TYPE]="Sell"),--(T_TXN[TICKER]=T_WATCHLIST[[#This Row],[Stock]])))</f>
        <v/>
      </c>
      <c r="X67" s="67" t="str" cm="1">
        <f t="array" ref="X67">IF(T_WATCHLIST[[#This Row],[Stock]]="","",SUMPRODUCT(--(T_TXN[TYPE]="Sell"),T_TXN[UNITS],T_TXN[PRICE],--(T_TXN[TICKER]=T_WATCHLIST[[#This Row],[Stock]])))</f>
        <v/>
      </c>
      <c r="Y67" s="67" t="str" cm="1">
        <f t="array" ref="Y67">IF(T_WATCHLIST[[#This Row],[Stock]]="","",SUMPRODUCT(T_TXN[UNITS],T_TXN[PRICE],--(T_TXN[TYPE]="Buy"),--(T_TXN[TICKER]=T_WATCHLIST[[#This Row],[Stock]])) -SUMPRODUCT(T_TXN[UNITS],T_TXN[PRICE],--(T_TXN[TYPE]="Sell"),--(T_TXN[TICKER]=T_WATCHLIST[[#This Row],[Stock]])))</f>
        <v/>
      </c>
      <c r="Z67" s="64" t="str" cm="1">
        <f t="array" ref="Z67">IFERROR(IF(ROW(T_WATCHLIST[[#This Row],[Stock]])-ROW(T_WATCHLIST[[#Headers],[Stock]])&gt;=C_CNT_STOCKS,"",_FV(T_WATCHLIST[[#This Row],[Stock]],"Industry",TRUE)),"Not Available")</f>
        <v/>
      </c>
      <c r="AA67" s="64" t="str" cm="1">
        <f t="array" ref="AA67">IFERROR(IF(ROW(T_WATCHLIST[[#This Row],[Stock]])-ROW(T_WATCHLIST[[#Headers],[Stock]])&gt;=C_CNT_STOCKS,"",_FV(T_WATCHLIST[[#This Row],[Stock]],"Instrument type",TRUE)),"Not Available")</f>
        <v/>
      </c>
    </row>
    <row r="68" spans="5:27" ht="22" customHeight="1">
      <c r="E68" s="89"/>
      <c r="F68" s="75" t="str" cm="1">
        <f t="array" ref="F68">IFERROR(IF(ROW(T_WATCHLIST[[#This Row],[Stock]])-ROW(T_WATCHLIST[[#Headers],[Stock]])&gt;C_CNT_STOCKS,"",INDEX(_xlfn.ANCHORARRAY(HELP!$G$2),ROW(T_WATCHLIST[[#This Row],[Stock]])-ROW(T_WATCHLIST[[#Headers],[Stock]]))),"")</f>
        <v/>
      </c>
      <c r="G68" s="80" t="str" cm="1">
        <f t="array" ref="G68">IFERROR(_xlfn.FIELDVALUE(T_WATCHLIST[[#This Row],[Stock]],"Ticker Symbol"),"")</f>
        <v/>
      </c>
      <c r="H68" s="117"/>
      <c r="I68" s="81" t="str">
        <f>IF(T_WATCHLIST[[#This Row],[Stock]]="","",SUMIFS(T_TXN[UNITS],T_TXN[TYPE],"Buy",T_TXN[TICKER],T_WATCHLIST[[#This Row],[Stock]])-SUMIFS(T_TXN[UNITS],T_TXN[TYPE],"Sell",T_TXN[TICKER],T_WATCHLIST[[#This Row],[Stock]])+SUMIFS(T_TXN[UNITS],T_TXN[TYPE],"Dividend Reinvestment",T_TXN[TICKER],T_WATCHLIST[[#This Row],[Stock]]))</f>
        <v/>
      </c>
      <c r="J68" s="75" t="str" cm="1">
        <f t="array" ref="J68">IFERROR(_xlfn.FIELDVALUE(T_WATCHLIST[[#This Row],[Stock]],"Price"),"")</f>
        <v/>
      </c>
      <c r="K68" s="82" t="str" cm="1">
        <f t="array" ref="K68">IFERROR(_xlfn.FIELDVALUE(T_WATCHLIST[[#This Row],[Stock]],"Change"),"")</f>
        <v/>
      </c>
      <c r="L68" s="83" t="str" cm="1">
        <f t="array" ref="L68">IFERROR(_xlfn.FIELDVALUE(T_WATCHLIST[[#This Row],[Stock]],"Change (%)"),"")</f>
        <v/>
      </c>
      <c r="M68" s="84" t="str">
        <f>IF(T_WATCHLIST[[#This Row],[Stock]]="","",T_WATCHLIST[[#This Row],[Quantity]]*T_WATCHLIST[[#This Row],[Last Price]])</f>
        <v/>
      </c>
      <c r="N68" s="85" t="str" cm="1">
        <f t="array" ref="N68">IF(T_WATCHLIST[[#This Row],[Stock]]="","",T_WATCHLIST[[#This Row],[Current Value]]-_xlfn.FIELDVALUE(T_WATCHLIST[[#This Row],[Stock]],"Previous Close")*T_WATCHLIST[[#This Row],[Quantity]])</f>
        <v/>
      </c>
      <c r="O68" s="86" t="str">
        <f>IFERROR(T_WATCHLIST[[#This Row],[Today''s Gain/Loss]]/(T_WATCHLIST[[#This Row],[Current Value]]-T_WATCHLIST[[#This Row],[Today''s Gain/Loss]]),"")</f>
        <v/>
      </c>
      <c r="P68" s="84" t="str">
        <f>IFERROR(T_WATCHLIST[[#This Row],[Current Value]]-T_WATCHLIST[[#This Row],[% Total Gain/Loss9]],"")</f>
        <v/>
      </c>
      <c r="Q68" s="87" t="str">
        <f>IFERROR(T_WATCHLIST[[#This Row],[Total Gain/Loss]]/T_WATCHLIST[[#This Row],[% Total Gain/Loss9]],"")</f>
        <v/>
      </c>
      <c r="R68" s="88" t="str" cm="1">
        <f t="array" ref="R68">IFERROR(_xlfn.FIELDVALUE(T_WATCHLIST[[#This Row],[Stock]],"52 week low"),"")</f>
        <v/>
      </c>
      <c r="S6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8" s="73" t="str" cm="1">
        <f t="array" ref="T68">IFERROR(_xlfn.FIELDVALUE(T_WATCHLIST[[#This Row],[Stock]],"52 week high"),"")</f>
        <v/>
      </c>
      <c r="U68" s="64" t="str" cm="1">
        <f t="array" ref="U68">IF(T_WATCHLIST[[#This Row],[Stock]]="","",SUMPRODUCT(T_TXN[UNITS],--(T_TXN[TYPE]="Buy"),--(T_TXN[TICKER]=T_WATCHLIST[[#This Row],[Stock]])))</f>
        <v/>
      </c>
      <c r="V68" s="67" t="str" cm="1">
        <f t="array" ref="V68">IF(T_WATCHLIST[[#This Row],[Stock]]="","",SUMPRODUCT(--(T_TXN[TYPE]="Buy"),T_TXN[UNITS],T_TXN[PRICE],--(T_TXN[TICKER]=T_WATCHLIST[[#This Row],[Stock]])))</f>
        <v/>
      </c>
      <c r="W68" s="64" t="str" cm="1">
        <f t="array" ref="W68">IF(T_WATCHLIST[[#This Row],[Stock]]="","",SUMPRODUCT(T_TXN[UNITS],--(T_TXN[TYPE]="Sell"),--(T_TXN[TICKER]=T_WATCHLIST[[#This Row],[Stock]])))</f>
        <v/>
      </c>
      <c r="X68" s="67" t="str" cm="1">
        <f t="array" ref="X68">IF(T_WATCHLIST[[#This Row],[Stock]]="","",SUMPRODUCT(--(T_TXN[TYPE]="Sell"),T_TXN[UNITS],T_TXN[PRICE],--(T_TXN[TICKER]=T_WATCHLIST[[#This Row],[Stock]])))</f>
        <v/>
      </c>
      <c r="Y68" s="67" t="str" cm="1">
        <f t="array" ref="Y68">IF(T_WATCHLIST[[#This Row],[Stock]]="","",SUMPRODUCT(T_TXN[UNITS],T_TXN[PRICE],--(T_TXN[TYPE]="Buy"),--(T_TXN[TICKER]=T_WATCHLIST[[#This Row],[Stock]])) -SUMPRODUCT(T_TXN[UNITS],T_TXN[PRICE],--(T_TXN[TYPE]="Sell"),--(T_TXN[TICKER]=T_WATCHLIST[[#This Row],[Stock]])))</f>
        <v/>
      </c>
      <c r="Z68" s="64" t="str" cm="1">
        <f t="array" ref="Z68">IFERROR(IF(ROW(T_WATCHLIST[[#This Row],[Stock]])-ROW(T_WATCHLIST[[#Headers],[Stock]])&gt;=C_CNT_STOCKS,"",_FV(T_WATCHLIST[[#This Row],[Stock]],"Industry",TRUE)),"Not Available")</f>
        <v/>
      </c>
      <c r="AA68" s="64" t="str" cm="1">
        <f t="array" ref="AA68">IFERROR(IF(ROW(T_WATCHLIST[[#This Row],[Stock]])-ROW(T_WATCHLIST[[#Headers],[Stock]])&gt;=C_CNT_STOCKS,"",_FV(T_WATCHLIST[[#This Row],[Stock]],"Instrument type",TRUE)),"Not Available")</f>
        <v/>
      </c>
    </row>
    <row r="69" spans="5:27" ht="22" customHeight="1">
      <c r="E69" s="89"/>
      <c r="F69" s="75" t="str" cm="1">
        <f t="array" ref="F69">IFERROR(IF(ROW(T_WATCHLIST[[#This Row],[Stock]])-ROW(T_WATCHLIST[[#Headers],[Stock]])&gt;C_CNT_STOCKS,"",INDEX(_xlfn.ANCHORARRAY(HELP!$G$2),ROW(T_WATCHLIST[[#This Row],[Stock]])-ROW(T_WATCHLIST[[#Headers],[Stock]]))),"")</f>
        <v/>
      </c>
      <c r="G69" s="80" t="str" cm="1">
        <f t="array" ref="G69">IFERROR(_xlfn.FIELDVALUE(T_WATCHLIST[[#This Row],[Stock]],"Ticker Symbol"),"")</f>
        <v/>
      </c>
      <c r="H69" s="117"/>
      <c r="I69" s="81" t="str">
        <f>IF(T_WATCHLIST[[#This Row],[Stock]]="","",SUMIFS(T_TXN[UNITS],T_TXN[TYPE],"Buy",T_TXN[TICKER],T_WATCHLIST[[#This Row],[Stock]])-SUMIFS(T_TXN[UNITS],T_TXN[TYPE],"Sell",T_TXN[TICKER],T_WATCHLIST[[#This Row],[Stock]])+SUMIFS(T_TXN[UNITS],T_TXN[TYPE],"Dividend Reinvestment",T_TXN[TICKER],T_WATCHLIST[[#This Row],[Stock]]))</f>
        <v/>
      </c>
      <c r="J69" s="75" t="str" cm="1">
        <f t="array" ref="J69">IFERROR(_xlfn.FIELDVALUE(T_WATCHLIST[[#This Row],[Stock]],"Price"),"")</f>
        <v/>
      </c>
      <c r="K69" s="82" t="str" cm="1">
        <f t="array" ref="K69">IFERROR(_xlfn.FIELDVALUE(T_WATCHLIST[[#This Row],[Stock]],"Change"),"")</f>
        <v/>
      </c>
      <c r="L69" s="83" t="str" cm="1">
        <f t="array" ref="L69">IFERROR(_xlfn.FIELDVALUE(T_WATCHLIST[[#This Row],[Stock]],"Change (%)"),"")</f>
        <v/>
      </c>
      <c r="M69" s="84" t="str">
        <f>IF(T_WATCHLIST[[#This Row],[Stock]]="","",T_WATCHLIST[[#This Row],[Quantity]]*T_WATCHLIST[[#This Row],[Last Price]])</f>
        <v/>
      </c>
      <c r="N69" s="85" t="str" cm="1">
        <f t="array" ref="N69">IF(T_WATCHLIST[[#This Row],[Stock]]="","",T_WATCHLIST[[#This Row],[Current Value]]-_xlfn.FIELDVALUE(T_WATCHLIST[[#This Row],[Stock]],"Previous Close")*T_WATCHLIST[[#This Row],[Quantity]])</f>
        <v/>
      </c>
      <c r="O69" s="86" t="str">
        <f>IFERROR(T_WATCHLIST[[#This Row],[Today''s Gain/Loss]]/(T_WATCHLIST[[#This Row],[Current Value]]-T_WATCHLIST[[#This Row],[Today''s Gain/Loss]]),"")</f>
        <v/>
      </c>
      <c r="P69" s="84" t="str">
        <f>IFERROR(T_WATCHLIST[[#This Row],[Current Value]]-T_WATCHLIST[[#This Row],[% Total Gain/Loss9]],"")</f>
        <v/>
      </c>
      <c r="Q69" s="87" t="str">
        <f>IFERROR(T_WATCHLIST[[#This Row],[Total Gain/Loss]]/T_WATCHLIST[[#This Row],[% Total Gain/Loss9]],"")</f>
        <v/>
      </c>
      <c r="R69" s="88" t="str" cm="1">
        <f t="array" ref="R69">IFERROR(_xlfn.FIELDVALUE(T_WATCHLIST[[#This Row],[Stock]],"52 week low"),"")</f>
        <v/>
      </c>
      <c r="S6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69" s="73" t="str" cm="1">
        <f t="array" ref="T69">IFERROR(_xlfn.FIELDVALUE(T_WATCHLIST[[#This Row],[Stock]],"52 week high"),"")</f>
        <v/>
      </c>
      <c r="U69" s="64" t="str" cm="1">
        <f t="array" ref="U69">IF(T_WATCHLIST[[#This Row],[Stock]]="","",SUMPRODUCT(T_TXN[UNITS],--(T_TXN[TYPE]="Buy"),--(T_TXN[TICKER]=T_WATCHLIST[[#This Row],[Stock]])))</f>
        <v/>
      </c>
      <c r="V69" s="67" t="str" cm="1">
        <f t="array" ref="V69">IF(T_WATCHLIST[[#This Row],[Stock]]="","",SUMPRODUCT(--(T_TXN[TYPE]="Buy"),T_TXN[UNITS],T_TXN[PRICE],--(T_TXN[TICKER]=T_WATCHLIST[[#This Row],[Stock]])))</f>
        <v/>
      </c>
      <c r="W69" s="64" t="str" cm="1">
        <f t="array" ref="W69">IF(T_WATCHLIST[[#This Row],[Stock]]="","",SUMPRODUCT(T_TXN[UNITS],--(T_TXN[TYPE]="Sell"),--(T_TXN[TICKER]=T_WATCHLIST[[#This Row],[Stock]])))</f>
        <v/>
      </c>
      <c r="X69" s="67" t="str" cm="1">
        <f t="array" ref="X69">IF(T_WATCHLIST[[#This Row],[Stock]]="","",SUMPRODUCT(--(T_TXN[TYPE]="Sell"),T_TXN[UNITS],T_TXN[PRICE],--(T_TXN[TICKER]=T_WATCHLIST[[#This Row],[Stock]])))</f>
        <v/>
      </c>
      <c r="Y69" s="67" t="str" cm="1">
        <f t="array" ref="Y69">IF(T_WATCHLIST[[#This Row],[Stock]]="","",SUMPRODUCT(T_TXN[UNITS],T_TXN[PRICE],--(T_TXN[TYPE]="Buy"),--(T_TXN[TICKER]=T_WATCHLIST[[#This Row],[Stock]])) -SUMPRODUCT(T_TXN[UNITS],T_TXN[PRICE],--(T_TXN[TYPE]="Sell"),--(T_TXN[TICKER]=T_WATCHLIST[[#This Row],[Stock]])))</f>
        <v/>
      </c>
      <c r="Z69" s="64" t="str" cm="1">
        <f t="array" ref="Z69">IFERROR(IF(ROW(T_WATCHLIST[[#This Row],[Stock]])-ROW(T_WATCHLIST[[#Headers],[Stock]])&gt;=C_CNT_STOCKS,"",_FV(T_WATCHLIST[[#This Row],[Stock]],"Industry",TRUE)),"Not Available")</f>
        <v/>
      </c>
      <c r="AA69" s="64" t="str" cm="1">
        <f t="array" ref="AA69">IFERROR(IF(ROW(T_WATCHLIST[[#This Row],[Stock]])-ROW(T_WATCHLIST[[#Headers],[Stock]])&gt;=C_CNT_STOCKS,"",_FV(T_WATCHLIST[[#This Row],[Stock]],"Instrument type",TRUE)),"Not Available")</f>
        <v/>
      </c>
    </row>
    <row r="70" spans="5:27" ht="22" customHeight="1">
      <c r="E70" s="89"/>
      <c r="F70" s="75" t="str" cm="1">
        <f t="array" ref="F70">IFERROR(IF(ROW(T_WATCHLIST[[#This Row],[Stock]])-ROW(T_WATCHLIST[[#Headers],[Stock]])&gt;C_CNT_STOCKS,"",INDEX(_xlfn.ANCHORARRAY(HELP!$G$2),ROW(T_WATCHLIST[[#This Row],[Stock]])-ROW(T_WATCHLIST[[#Headers],[Stock]]))),"")</f>
        <v/>
      </c>
      <c r="G70" s="80" t="str" cm="1">
        <f t="array" ref="G70">IFERROR(_xlfn.FIELDVALUE(T_WATCHLIST[[#This Row],[Stock]],"Ticker Symbol"),"")</f>
        <v/>
      </c>
      <c r="H70" s="117"/>
      <c r="I70" s="81" t="str">
        <f>IF(T_WATCHLIST[[#This Row],[Stock]]="","",SUMIFS(T_TXN[UNITS],T_TXN[TYPE],"Buy",T_TXN[TICKER],T_WATCHLIST[[#This Row],[Stock]])-SUMIFS(T_TXN[UNITS],T_TXN[TYPE],"Sell",T_TXN[TICKER],T_WATCHLIST[[#This Row],[Stock]])+SUMIFS(T_TXN[UNITS],T_TXN[TYPE],"Dividend Reinvestment",T_TXN[TICKER],T_WATCHLIST[[#This Row],[Stock]]))</f>
        <v/>
      </c>
      <c r="J70" s="75" t="str" cm="1">
        <f t="array" ref="J70">IFERROR(_xlfn.FIELDVALUE(T_WATCHLIST[[#This Row],[Stock]],"Price"),"")</f>
        <v/>
      </c>
      <c r="K70" s="82" t="str" cm="1">
        <f t="array" ref="K70">IFERROR(_xlfn.FIELDVALUE(T_WATCHLIST[[#This Row],[Stock]],"Change"),"")</f>
        <v/>
      </c>
      <c r="L70" s="83" t="str" cm="1">
        <f t="array" ref="L70">IFERROR(_xlfn.FIELDVALUE(T_WATCHLIST[[#This Row],[Stock]],"Change (%)"),"")</f>
        <v/>
      </c>
      <c r="M70" s="84" t="str">
        <f>IF(T_WATCHLIST[[#This Row],[Stock]]="","",T_WATCHLIST[[#This Row],[Quantity]]*T_WATCHLIST[[#This Row],[Last Price]])</f>
        <v/>
      </c>
      <c r="N70" s="85" t="str" cm="1">
        <f t="array" ref="N70">IF(T_WATCHLIST[[#This Row],[Stock]]="","",T_WATCHLIST[[#This Row],[Current Value]]-_xlfn.FIELDVALUE(T_WATCHLIST[[#This Row],[Stock]],"Previous Close")*T_WATCHLIST[[#This Row],[Quantity]])</f>
        <v/>
      </c>
      <c r="O70" s="86" t="str">
        <f>IFERROR(T_WATCHLIST[[#This Row],[Today''s Gain/Loss]]/(T_WATCHLIST[[#This Row],[Current Value]]-T_WATCHLIST[[#This Row],[Today''s Gain/Loss]]),"")</f>
        <v/>
      </c>
      <c r="P70" s="84" t="str">
        <f>IFERROR(T_WATCHLIST[[#This Row],[Current Value]]-T_WATCHLIST[[#This Row],[% Total Gain/Loss9]],"")</f>
        <v/>
      </c>
      <c r="Q70" s="87" t="str">
        <f>IFERROR(T_WATCHLIST[[#This Row],[Total Gain/Loss]]/T_WATCHLIST[[#This Row],[% Total Gain/Loss9]],"")</f>
        <v/>
      </c>
      <c r="R70" s="88" t="str" cm="1">
        <f t="array" ref="R70">IFERROR(_xlfn.FIELDVALUE(T_WATCHLIST[[#This Row],[Stock]],"52 week low"),"")</f>
        <v/>
      </c>
      <c r="S7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0" s="73" t="str" cm="1">
        <f t="array" ref="T70">IFERROR(_xlfn.FIELDVALUE(T_WATCHLIST[[#This Row],[Stock]],"52 week high"),"")</f>
        <v/>
      </c>
      <c r="U70" s="64" t="str" cm="1">
        <f t="array" ref="U70">IF(T_WATCHLIST[[#This Row],[Stock]]="","",SUMPRODUCT(T_TXN[UNITS],--(T_TXN[TYPE]="Buy"),--(T_TXN[TICKER]=T_WATCHLIST[[#This Row],[Stock]])))</f>
        <v/>
      </c>
      <c r="V70" s="67" t="str" cm="1">
        <f t="array" ref="V70">IF(T_WATCHLIST[[#This Row],[Stock]]="","",SUMPRODUCT(--(T_TXN[TYPE]="Buy"),T_TXN[UNITS],T_TXN[PRICE],--(T_TXN[TICKER]=T_WATCHLIST[[#This Row],[Stock]])))</f>
        <v/>
      </c>
      <c r="W70" s="64" t="str" cm="1">
        <f t="array" ref="W70">IF(T_WATCHLIST[[#This Row],[Stock]]="","",SUMPRODUCT(T_TXN[UNITS],--(T_TXN[TYPE]="Sell"),--(T_TXN[TICKER]=T_WATCHLIST[[#This Row],[Stock]])))</f>
        <v/>
      </c>
      <c r="X70" s="67" t="str" cm="1">
        <f t="array" ref="X70">IF(T_WATCHLIST[[#This Row],[Stock]]="","",SUMPRODUCT(--(T_TXN[TYPE]="Sell"),T_TXN[UNITS],T_TXN[PRICE],--(T_TXN[TICKER]=T_WATCHLIST[[#This Row],[Stock]])))</f>
        <v/>
      </c>
      <c r="Y70" s="67" t="str" cm="1">
        <f t="array" ref="Y70">IF(T_WATCHLIST[[#This Row],[Stock]]="","",SUMPRODUCT(T_TXN[UNITS],T_TXN[PRICE],--(T_TXN[TYPE]="Buy"),--(T_TXN[TICKER]=T_WATCHLIST[[#This Row],[Stock]])) -SUMPRODUCT(T_TXN[UNITS],T_TXN[PRICE],--(T_TXN[TYPE]="Sell"),--(T_TXN[TICKER]=T_WATCHLIST[[#This Row],[Stock]])))</f>
        <v/>
      </c>
      <c r="Z70" s="64" t="str" cm="1">
        <f t="array" ref="Z70">IFERROR(IF(ROW(T_WATCHLIST[[#This Row],[Stock]])-ROW(T_WATCHLIST[[#Headers],[Stock]])&gt;=C_CNT_STOCKS,"",_FV(T_WATCHLIST[[#This Row],[Stock]],"Industry",TRUE)),"Not Available")</f>
        <v/>
      </c>
      <c r="AA70" s="64" t="str" cm="1">
        <f t="array" ref="AA70">IFERROR(IF(ROW(T_WATCHLIST[[#This Row],[Stock]])-ROW(T_WATCHLIST[[#Headers],[Stock]])&gt;=C_CNT_STOCKS,"",_FV(T_WATCHLIST[[#This Row],[Stock]],"Instrument type",TRUE)),"Not Available")</f>
        <v/>
      </c>
    </row>
    <row r="71" spans="5:27" ht="22" customHeight="1">
      <c r="E71" s="89"/>
      <c r="F71" s="75" t="str" cm="1">
        <f t="array" ref="F71">IFERROR(IF(ROW(T_WATCHLIST[[#This Row],[Stock]])-ROW(T_WATCHLIST[[#Headers],[Stock]])&gt;C_CNT_STOCKS,"",INDEX(_xlfn.ANCHORARRAY(HELP!$G$2),ROW(T_WATCHLIST[[#This Row],[Stock]])-ROW(T_WATCHLIST[[#Headers],[Stock]]))),"")</f>
        <v/>
      </c>
      <c r="G71" s="80" t="str" cm="1">
        <f t="array" ref="G71">IFERROR(_xlfn.FIELDVALUE(T_WATCHLIST[[#This Row],[Stock]],"Ticker Symbol"),"")</f>
        <v/>
      </c>
      <c r="H71" s="117"/>
      <c r="I71" s="81" t="str">
        <f>IF(T_WATCHLIST[[#This Row],[Stock]]="","",SUMIFS(T_TXN[UNITS],T_TXN[TYPE],"Buy",T_TXN[TICKER],T_WATCHLIST[[#This Row],[Stock]])-SUMIFS(T_TXN[UNITS],T_TXN[TYPE],"Sell",T_TXN[TICKER],T_WATCHLIST[[#This Row],[Stock]])+SUMIFS(T_TXN[UNITS],T_TXN[TYPE],"Dividend Reinvestment",T_TXN[TICKER],T_WATCHLIST[[#This Row],[Stock]]))</f>
        <v/>
      </c>
      <c r="J71" s="75" t="str" cm="1">
        <f t="array" ref="J71">IFERROR(_xlfn.FIELDVALUE(T_WATCHLIST[[#This Row],[Stock]],"Price"),"")</f>
        <v/>
      </c>
      <c r="K71" s="82" t="str" cm="1">
        <f t="array" ref="K71">IFERROR(_xlfn.FIELDVALUE(T_WATCHLIST[[#This Row],[Stock]],"Change"),"")</f>
        <v/>
      </c>
      <c r="L71" s="83" t="str" cm="1">
        <f t="array" ref="L71">IFERROR(_xlfn.FIELDVALUE(T_WATCHLIST[[#This Row],[Stock]],"Change (%)"),"")</f>
        <v/>
      </c>
      <c r="M71" s="84" t="str">
        <f>IF(T_WATCHLIST[[#This Row],[Stock]]="","",T_WATCHLIST[[#This Row],[Quantity]]*T_WATCHLIST[[#This Row],[Last Price]])</f>
        <v/>
      </c>
      <c r="N71" s="85" t="str" cm="1">
        <f t="array" ref="N71">IF(T_WATCHLIST[[#This Row],[Stock]]="","",T_WATCHLIST[[#This Row],[Current Value]]-_xlfn.FIELDVALUE(T_WATCHLIST[[#This Row],[Stock]],"Previous Close")*T_WATCHLIST[[#This Row],[Quantity]])</f>
        <v/>
      </c>
      <c r="O71" s="86" t="str">
        <f>IFERROR(T_WATCHLIST[[#This Row],[Today''s Gain/Loss]]/(T_WATCHLIST[[#This Row],[Current Value]]-T_WATCHLIST[[#This Row],[Today''s Gain/Loss]]),"")</f>
        <v/>
      </c>
      <c r="P71" s="84" t="str">
        <f>IFERROR(T_WATCHLIST[[#This Row],[Current Value]]-T_WATCHLIST[[#This Row],[% Total Gain/Loss9]],"")</f>
        <v/>
      </c>
      <c r="Q71" s="87" t="str">
        <f>IFERROR(T_WATCHLIST[[#This Row],[Total Gain/Loss]]/T_WATCHLIST[[#This Row],[% Total Gain/Loss9]],"")</f>
        <v/>
      </c>
      <c r="R71" s="88" t="str" cm="1">
        <f t="array" ref="R71">IFERROR(_xlfn.FIELDVALUE(T_WATCHLIST[[#This Row],[Stock]],"52 week low"),"")</f>
        <v/>
      </c>
      <c r="S7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1" s="73" t="str" cm="1">
        <f t="array" ref="T71">IFERROR(_xlfn.FIELDVALUE(T_WATCHLIST[[#This Row],[Stock]],"52 week high"),"")</f>
        <v/>
      </c>
      <c r="U71" s="64" t="str" cm="1">
        <f t="array" ref="U71">IF(T_WATCHLIST[[#This Row],[Stock]]="","",SUMPRODUCT(T_TXN[UNITS],--(T_TXN[TYPE]="Buy"),--(T_TXN[TICKER]=T_WATCHLIST[[#This Row],[Stock]])))</f>
        <v/>
      </c>
      <c r="V71" s="67" t="str" cm="1">
        <f t="array" ref="V71">IF(T_WATCHLIST[[#This Row],[Stock]]="","",SUMPRODUCT(--(T_TXN[TYPE]="Buy"),T_TXN[UNITS],T_TXN[PRICE],--(T_TXN[TICKER]=T_WATCHLIST[[#This Row],[Stock]])))</f>
        <v/>
      </c>
      <c r="W71" s="64" t="str" cm="1">
        <f t="array" ref="W71">IF(T_WATCHLIST[[#This Row],[Stock]]="","",SUMPRODUCT(T_TXN[UNITS],--(T_TXN[TYPE]="Sell"),--(T_TXN[TICKER]=T_WATCHLIST[[#This Row],[Stock]])))</f>
        <v/>
      </c>
      <c r="X71" s="67" t="str" cm="1">
        <f t="array" ref="X71">IF(T_WATCHLIST[[#This Row],[Stock]]="","",SUMPRODUCT(--(T_TXN[TYPE]="Sell"),T_TXN[UNITS],T_TXN[PRICE],--(T_TXN[TICKER]=T_WATCHLIST[[#This Row],[Stock]])))</f>
        <v/>
      </c>
      <c r="Y71" s="67" t="str" cm="1">
        <f t="array" ref="Y71">IF(T_WATCHLIST[[#This Row],[Stock]]="","",SUMPRODUCT(T_TXN[UNITS],T_TXN[PRICE],--(T_TXN[TYPE]="Buy"),--(T_TXN[TICKER]=T_WATCHLIST[[#This Row],[Stock]])) -SUMPRODUCT(T_TXN[UNITS],T_TXN[PRICE],--(T_TXN[TYPE]="Sell"),--(T_TXN[TICKER]=T_WATCHLIST[[#This Row],[Stock]])))</f>
        <v/>
      </c>
      <c r="Z71" s="64" t="str" cm="1">
        <f t="array" ref="Z71">IFERROR(IF(ROW(T_WATCHLIST[[#This Row],[Stock]])-ROW(T_WATCHLIST[[#Headers],[Stock]])&gt;=C_CNT_STOCKS,"",_FV(T_WATCHLIST[[#This Row],[Stock]],"Industry",TRUE)),"Not Available")</f>
        <v/>
      </c>
      <c r="AA71" s="64" t="str" cm="1">
        <f t="array" ref="AA71">IFERROR(IF(ROW(T_WATCHLIST[[#This Row],[Stock]])-ROW(T_WATCHLIST[[#Headers],[Stock]])&gt;=C_CNT_STOCKS,"",_FV(T_WATCHLIST[[#This Row],[Stock]],"Instrument type",TRUE)),"Not Available")</f>
        <v/>
      </c>
    </row>
    <row r="72" spans="5:27" ht="22" customHeight="1">
      <c r="E72" s="89"/>
      <c r="F72" s="75" t="str" cm="1">
        <f t="array" ref="F72">IFERROR(IF(ROW(T_WATCHLIST[[#This Row],[Stock]])-ROW(T_WATCHLIST[[#Headers],[Stock]])&gt;C_CNT_STOCKS,"",INDEX(_xlfn.ANCHORARRAY(HELP!$G$2),ROW(T_WATCHLIST[[#This Row],[Stock]])-ROW(T_WATCHLIST[[#Headers],[Stock]]))),"")</f>
        <v/>
      </c>
      <c r="G72" s="80" t="str" cm="1">
        <f t="array" ref="G72">IFERROR(_xlfn.FIELDVALUE(T_WATCHLIST[[#This Row],[Stock]],"Ticker Symbol"),"")</f>
        <v/>
      </c>
      <c r="H72" s="117"/>
      <c r="I72" s="81" t="str">
        <f>IF(T_WATCHLIST[[#This Row],[Stock]]="","",SUMIFS(T_TXN[UNITS],T_TXN[TYPE],"Buy",T_TXN[TICKER],T_WATCHLIST[[#This Row],[Stock]])-SUMIFS(T_TXN[UNITS],T_TXN[TYPE],"Sell",T_TXN[TICKER],T_WATCHLIST[[#This Row],[Stock]])+SUMIFS(T_TXN[UNITS],T_TXN[TYPE],"Dividend Reinvestment",T_TXN[TICKER],T_WATCHLIST[[#This Row],[Stock]]))</f>
        <v/>
      </c>
      <c r="J72" s="75" t="str" cm="1">
        <f t="array" ref="J72">IFERROR(_xlfn.FIELDVALUE(T_WATCHLIST[[#This Row],[Stock]],"Price"),"")</f>
        <v/>
      </c>
      <c r="K72" s="82" t="str" cm="1">
        <f t="array" ref="K72">IFERROR(_xlfn.FIELDVALUE(T_WATCHLIST[[#This Row],[Stock]],"Change"),"")</f>
        <v/>
      </c>
      <c r="L72" s="83" t="str" cm="1">
        <f t="array" ref="L72">IFERROR(_xlfn.FIELDVALUE(T_WATCHLIST[[#This Row],[Stock]],"Change (%)"),"")</f>
        <v/>
      </c>
      <c r="M72" s="84" t="str">
        <f>IF(T_WATCHLIST[[#This Row],[Stock]]="","",T_WATCHLIST[[#This Row],[Quantity]]*T_WATCHLIST[[#This Row],[Last Price]])</f>
        <v/>
      </c>
      <c r="N72" s="85" t="str" cm="1">
        <f t="array" ref="N72">IF(T_WATCHLIST[[#This Row],[Stock]]="","",T_WATCHLIST[[#This Row],[Current Value]]-_xlfn.FIELDVALUE(T_WATCHLIST[[#This Row],[Stock]],"Previous Close")*T_WATCHLIST[[#This Row],[Quantity]])</f>
        <v/>
      </c>
      <c r="O72" s="86" t="str">
        <f>IFERROR(T_WATCHLIST[[#This Row],[Today''s Gain/Loss]]/(T_WATCHLIST[[#This Row],[Current Value]]-T_WATCHLIST[[#This Row],[Today''s Gain/Loss]]),"")</f>
        <v/>
      </c>
      <c r="P72" s="84" t="str">
        <f>IFERROR(T_WATCHLIST[[#This Row],[Current Value]]-T_WATCHLIST[[#This Row],[% Total Gain/Loss9]],"")</f>
        <v/>
      </c>
      <c r="Q72" s="87" t="str">
        <f>IFERROR(T_WATCHLIST[[#This Row],[Total Gain/Loss]]/T_WATCHLIST[[#This Row],[% Total Gain/Loss9]],"")</f>
        <v/>
      </c>
      <c r="R72" s="88" t="str" cm="1">
        <f t="array" ref="R72">IFERROR(_xlfn.FIELDVALUE(T_WATCHLIST[[#This Row],[Stock]],"52 week low"),"")</f>
        <v/>
      </c>
      <c r="S7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2" s="73" t="str" cm="1">
        <f t="array" ref="T72">IFERROR(_xlfn.FIELDVALUE(T_WATCHLIST[[#This Row],[Stock]],"52 week high"),"")</f>
        <v/>
      </c>
      <c r="U72" s="64" t="str" cm="1">
        <f t="array" ref="U72">IF(T_WATCHLIST[[#This Row],[Stock]]="","",SUMPRODUCT(T_TXN[UNITS],--(T_TXN[TYPE]="Buy"),--(T_TXN[TICKER]=T_WATCHLIST[[#This Row],[Stock]])))</f>
        <v/>
      </c>
      <c r="V72" s="67" t="str" cm="1">
        <f t="array" ref="V72">IF(T_WATCHLIST[[#This Row],[Stock]]="","",SUMPRODUCT(--(T_TXN[TYPE]="Buy"),T_TXN[UNITS],T_TXN[PRICE],--(T_TXN[TICKER]=T_WATCHLIST[[#This Row],[Stock]])))</f>
        <v/>
      </c>
      <c r="W72" s="64" t="str" cm="1">
        <f t="array" ref="W72">IF(T_WATCHLIST[[#This Row],[Stock]]="","",SUMPRODUCT(T_TXN[UNITS],--(T_TXN[TYPE]="Sell"),--(T_TXN[TICKER]=T_WATCHLIST[[#This Row],[Stock]])))</f>
        <v/>
      </c>
      <c r="X72" s="67" t="str" cm="1">
        <f t="array" ref="X72">IF(T_WATCHLIST[[#This Row],[Stock]]="","",SUMPRODUCT(--(T_TXN[TYPE]="Sell"),T_TXN[UNITS],T_TXN[PRICE],--(T_TXN[TICKER]=T_WATCHLIST[[#This Row],[Stock]])))</f>
        <v/>
      </c>
      <c r="Y72" s="67" t="str" cm="1">
        <f t="array" ref="Y72">IF(T_WATCHLIST[[#This Row],[Stock]]="","",SUMPRODUCT(T_TXN[UNITS],T_TXN[PRICE],--(T_TXN[TYPE]="Buy"),--(T_TXN[TICKER]=T_WATCHLIST[[#This Row],[Stock]])) -SUMPRODUCT(T_TXN[UNITS],T_TXN[PRICE],--(T_TXN[TYPE]="Sell"),--(T_TXN[TICKER]=T_WATCHLIST[[#This Row],[Stock]])))</f>
        <v/>
      </c>
      <c r="Z72" s="64" t="str" cm="1">
        <f t="array" ref="Z72">IFERROR(IF(ROW(T_WATCHLIST[[#This Row],[Stock]])-ROW(T_WATCHLIST[[#Headers],[Stock]])&gt;=C_CNT_STOCKS,"",_FV(T_WATCHLIST[[#This Row],[Stock]],"Industry",TRUE)),"Not Available")</f>
        <v/>
      </c>
      <c r="AA72" s="64" t="str" cm="1">
        <f t="array" ref="AA72">IFERROR(IF(ROW(T_WATCHLIST[[#This Row],[Stock]])-ROW(T_WATCHLIST[[#Headers],[Stock]])&gt;=C_CNT_STOCKS,"",_FV(T_WATCHLIST[[#This Row],[Stock]],"Instrument type",TRUE)),"Not Available")</f>
        <v/>
      </c>
    </row>
    <row r="73" spans="5:27" ht="22" customHeight="1">
      <c r="E73" s="89"/>
      <c r="F73" s="75" t="str" cm="1">
        <f t="array" ref="F73">IFERROR(IF(ROW(T_WATCHLIST[[#This Row],[Stock]])-ROW(T_WATCHLIST[[#Headers],[Stock]])&gt;C_CNT_STOCKS,"",INDEX(_xlfn.ANCHORARRAY(HELP!$G$2),ROW(T_WATCHLIST[[#This Row],[Stock]])-ROW(T_WATCHLIST[[#Headers],[Stock]]))),"")</f>
        <v/>
      </c>
      <c r="G73" s="80" t="str" cm="1">
        <f t="array" ref="G73">IFERROR(_xlfn.FIELDVALUE(T_WATCHLIST[[#This Row],[Stock]],"Ticker Symbol"),"")</f>
        <v/>
      </c>
      <c r="H73" s="117"/>
      <c r="I73" s="81" t="str">
        <f>IF(T_WATCHLIST[[#This Row],[Stock]]="","",SUMIFS(T_TXN[UNITS],T_TXN[TYPE],"Buy",T_TXN[TICKER],T_WATCHLIST[[#This Row],[Stock]])-SUMIFS(T_TXN[UNITS],T_TXN[TYPE],"Sell",T_TXN[TICKER],T_WATCHLIST[[#This Row],[Stock]])+SUMIFS(T_TXN[UNITS],T_TXN[TYPE],"Dividend Reinvestment",T_TXN[TICKER],T_WATCHLIST[[#This Row],[Stock]]))</f>
        <v/>
      </c>
      <c r="J73" s="75" t="str" cm="1">
        <f t="array" ref="J73">IFERROR(_xlfn.FIELDVALUE(T_WATCHLIST[[#This Row],[Stock]],"Price"),"")</f>
        <v/>
      </c>
      <c r="K73" s="82" t="str" cm="1">
        <f t="array" ref="K73">IFERROR(_xlfn.FIELDVALUE(T_WATCHLIST[[#This Row],[Stock]],"Change"),"")</f>
        <v/>
      </c>
      <c r="L73" s="83" t="str" cm="1">
        <f t="array" ref="L73">IFERROR(_xlfn.FIELDVALUE(T_WATCHLIST[[#This Row],[Stock]],"Change (%)"),"")</f>
        <v/>
      </c>
      <c r="M73" s="84" t="str">
        <f>IF(T_WATCHLIST[[#This Row],[Stock]]="","",T_WATCHLIST[[#This Row],[Quantity]]*T_WATCHLIST[[#This Row],[Last Price]])</f>
        <v/>
      </c>
      <c r="N73" s="85" t="str" cm="1">
        <f t="array" ref="N73">IF(T_WATCHLIST[[#This Row],[Stock]]="","",T_WATCHLIST[[#This Row],[Current Value]]-_xlfn.FIELDVALUE(T_WATCHLIST[[#This Row],[Stock]],"Previous Close")*T_WATCHLIST[[#This Row],[Quantity]])</f>
        <v/>
      </c>
      <c r="O73" s="86" t="str">
        <f>IFERROR(T_WATCHLIST[[#This Row],[Today''s Gain/Loss]]/(T_WATCHLIST[[#This Row],[Current Value]]-T_WATCHLIST[[#This Row],[Today''s Gain/Loss]]),"")</f>
        <v/>
      </c>
      <c r="P73" s="84" t="str">
        <f>IFERROR(T_WATCHLIST[[#This Row],[Current Value]]-T_WATCHLIST[[#This Row],[% Total Gain/Loss9]],"")</f>
        <v/>
      </c>
      <c r="Q73" s="87" t="str">
        <f>IFERROR(T_WATCHLIST[[#This Row],[Total Gain/Loss]]/T_WATCHLIST[[#This Row],[% Total Gain/Loss9]],"")</f>
        <v/>
      </c>
      <c r="R73" s="88" t="str" cm="1">
        <f t="array" ref="R73">IFERROR(_xlfn.FIELDVALUE(T_WATCHLIST[[#This Row],[Stock]],"52 week low"),"")</f>
        <v/>
      </c>
      <c r="S7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3" s="73" t="str" cm="1">
        <f t="array" ref="T73">IFERROR(_xlfn.FIELDVALUE(T_WATCHLIST[[#This Row],[Stock]],"52 week high"),"")</f>
        <v/>
      </c>
      <c r="U73" s="64" t="str" cm="1">
        <f t="array" ref="U73">IF(T_WATCHLIST[[#This Row],[Stock]]="","",SUMPRODUCT(T_TXN[UNITS],--(T_TXN[TYPE]="Buy"),--(T_TXN[TICKER]=T_WATCHLIST[[#This Row],[Stock]])))</f>
        <v/>
      </c>
      <c r="V73" s="67" t="str" cm="1">
        <f t="array" ref="V73">IF(T_WATCHLIST[[#This Row],[Stock]]="","",SUMPRODUCT(--(T_TXN[TYPE]="Buy"),T_TXN[UNITS],T_TXN[PRICE],--(T_TXN[TICKER]=T_WATCHLIST[[#This Row],[Stock]])))</f>
        <v/>
      </c>
      <c r="W73" s="64" t="str" cm="1">
        <f t="array" ref="W73">IF(T_WATCHLIST[[#This Row],[Stock]]="","",SUMPRODUCT(T_TXN[UNITS],--(T_TXN[TYPE]="Sell"),--(T_TXN[TICKER]=T_WATCHLIST[[#This Row],[Stock]])))</f>
        <v/>
      </c>
      <c r="X73" s="67" t="str" cm="1">
        <f t="array" ref="X73">IF(T_WATCHLIST[[#This Row],[Stock]]="","",SUMPRODUCT(--(T_TXN[TYPE]="Sell"),T_TXN[UNITS],T_TXN[PRICE],--(T_TXN[TICKER]=T_WATCHLIST[[#This Row],[Stock]])))</f>
        <v/>
      </c>
      <c r="Y73" s="67" t="str" cm="1">
        <f t="array" ref="Y73">IF(T_WATCHLIST[[#This Row],[Stock]]="","",SUMPRODUCT(T_TXN[UNITS],T_TXN[PRICE],--(T_TXN[TYPE]="Buy"),--(T_TXN[TICKER]=T_WATCHLIST[[#This Row],[Stock]])) -SUMPRODUCT(T_TXN[UNITS],T_TXN[PRICE],--(T_TXN[TYPE]="Sell"),--(T_TXN[TICKER]=T_WATCHLIST[[#This Row],[Stock]])))</f>
        <v/>
      </c>
      <c r="Z73" s="64" t="str" cm="1">
        <f t="array" ref="Z73">IFERROR(IF(ROW(T_WATCHLIST[[#This Row],[Stock]])-ROW(T_WATCHLIST[[#Headers],[Stock]])&gt;=C_CNT_STOCKS,"",_FV(T_WATCHLIST[[#This Row],[Stock]],"Industry",TRUE)),"Not Available")</f>
        <v/>
      </c>
      <c r="AA73" s="64" t="str" cm="1">
        <f t="array" ref="AA73">IFERROR(IF(ROW(T_WATCHLIST[[#This Row],[Stock]])-ROW(T_WATCHLIST[[#Headers],[Stock]])&gt;=C_CNT_STOCKS,"",_FV(T_WATCHLIST[[#This Row],[Stock]],"Instrument type",TRUE)),"Not Available")</f>
        <v/>
      </c>
    </row>
    <row r="74" spans="5:27" ht="22" customHeight="1">
      <c r="E74" s="89"/>
      <c r="F74" s="75" t="str" cm="1">
        <f t="array" ref="F74">IFERROR(IF(ROW(T_WATCHLIST[[#This Row],[Stock]])-ROW(T_WATCHLIST[[#Headers],[Stock]])&gt;C_CNT_STOCKS,"",INDEX(_xlfn.ANCHORARRAY(HELP!$G$2),ROW(T_WATCHLIST[[#This Row],[Stock]])-ROW(T_WATCHLIST[[#Headers],[Stock]]))),"")</f>
        <v/>
      </c>
      <c r="G74" s="80" t="str" cm="1">
        <f t="array" ref="G74">IFERROR(_xlfn.FIELDVALUE(T_WATCHLIST[[#This Row],[Stock]],"Ticker Symbol"),"")</f>
        <v/>
      </c>
      <c r="H74" s="117"/>
      <c r="I74" s="81" t="str">
        <f>IF(T_WATCHLIST[[#This Row],[Stock]]="","",SUMIFS(T_TXN[UNITS],T_TXN[TYPE],"Buy",T_TXN[TICKER],T_WATCHLIST[[#This Row],[Stock]])-SUMIFS(T_TXN[UNITS],T_TXN[TYPE],"Sell",T_TXN[TICKER],T_WATCHLIST[[#This Row],[Stock]])+SUMIFS(T_TXN[UNITS],T_TXN[TYPE],"Dividend Reinvestment",T_TXN[TICKER],T_WATCHLIST[[#This Row],[Stock]]))</f>
        <v/>
      </c>
      <c r="J74" s="75" t="str" cm="1">
        <f t="array" ref="J74">IFERROR(_xlfn.FIELDVALUE(T_WATCHLIST[[#This Row],[Stock]],"Price"),"")</f>
        <v/>
      </c>
      <c r="K74" s="82" t="str" cm="1">
        <f t="array" ref="K74">IFERROR(_xlfn.FIELDVALUE(T_WATCHLIST[[#This Row],[Stock]],"Change"),"")</f>
        <v/>
      </c>
      <c r="L74" s="83" t="str" cm="1">
        <f t="array" ref="L74">IFERROR(_xlfn.FIELDVALUE(T_WATCHLIST[[#This Row],[Stock]],"Change (%)"),"")</f>
        <v/>
      </c>
      <c r="M74" s="84" t="str">
        <f>IF(T_WATCHLIST[[#This Row],[Stock]]="","",T_WATCHLIST[[#This Row],[Quantity]]*T_WATCHLIST[[#This Row],[Last Price]])</f>
        <v/>
      </c>
      <c r="N74" s="85" t="str" cm="1">
        <f t="array" ref="N74">IF(T_WATCHLIST[[#This Row],[Stock]]="","",T_WATCHLIST[[#This Row],[Current Value]]-_xlfn.FIELDVALUE(T_WATCHLIST[[#This Row],[Stock]],"Previous Close")*T_WATCHLIST[[#This Row],[Quantity]])</f>
        <v/>
      </c>
      <c r="O74" s="86" t="str">
        <f>IFERROR(T_WATCHLIST[[#This Row],[Today''s Gain/Loss]]/(T_WATCHLIST[[#This Row],[Current Value]]-T_WATCHLIST[[#This Row],[Today''s Gain/Loss]]),"")</f>
        <v/>
      </c>
      <c r="P74" s="84" t="str">
        <f>IFERROR(T_WATCHLIST[[#This Row],[Current Value]]-T_WATCHLIST[[#This Row],[% Total Gain/Loss9]],"")</f>
        <v/>
      </c>
      <c r="Q74" s="87" t="str">
        <f>IFERROR(T_WATCHLIST[[#This Row],[Total Gain/Loss]]/T_WATCHLIST[[#This Row],[% Total Gain/Loss9]],"")</f>
        <v/>
      </c>
      <c r="R74" s="88" t="str" cm="1">
        <f t="array" ref="R74">IFERROR(_xlfn.FIELDVALUE(T_WATCHLIST[[#This Row],[Stock]],"52 week low"),"")</f>
        <v/>
      </c>
      <c r="S7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4" s="73" t="str" cm="1">
        <f t="array" ref="T74">IFERROR(_xlfn.FIELDVALUE(T_WATCHLIST[[#This Row],[Stock]],"52 week high"),"")</f>
        <v/>
      </c>
      <c r="U74" s="64" t="str" cm="1">
        <f t="array" ref="U74">IF(T_WATCHLIST[[#This Row],[Stock]]="","",SUMPRODUCT(T_TXN[UNITS],--(T_TXN[TYPE]="Buy"),--(T_TXN[TICKER]=T_WATCHLIST[[#This Row],[Stock]])))</f>
        <v/>
      </c>
      <c r="V74" s="67" t="str" cm="1">
        <f t="array" ref="V74">IF(T_WATCHLIST[[#This Row],[Stock]]="","",SUMPRODUCT(--(T_TXN[TYPE]="Buy"),T_TXN[UNITS],T_TXN[PRICE],--(T_TXN[TICKER]=T_WATCHLIST[[#This Row],[Stock]])))</f>
        <v/>
      </c>
      <c r="W74" s="64" t="str" cm="1">
        <f t="array" ref="W74">IF(T_WATCHLIST[[#This Row],[Stock]]="","",SUMPRODUCT(T_TXN[UNITS],--(T_TXN[TYPE]="Sell"),--(T_TXN[TICKER]=T_WATCHLIST[[#This Row],[Stock]])))</f>
        <v/>
      </c>
      <c r="X74" s="67" t="str" cm="1">
        <f t="array" ref="X74">IF(T_WATCHLIST[[#This Row],[Stock]]="","",SUMPRODUCT(--(T_TXN[TYPE]="Sell"),T_TXN[UNITS],T_TXN[PRICE],--(T_TXN[TICKER]=T_WATCHLIST[[#This Row],[Stock]])))</f>
        <v/>
      </c>
      <c r="Y74" s="67" t="str" cm="1">
        <f t="array" ref="Y74">IF(T_WATCHLIST[[#This Row],[Stock]]="","",SUMPRODUCT(T_TXN[UNITS],T_TXN[PRICE],--(T_TXN[TYPE]="Buy"),--(T_TXN[TICKER]=T_WATCHLIST[[#This Row],[Stock]])) -SUMPRODUCT(T_TXN[UNITS],T_TXN[PRICE],--(T_TXN[TYPE]="Sell"),--(T_TXN[TICKER]=T_WATCHLIST[[#This Row],[Stock]])))</f>
        <v/>
      </c>
      <c r="Z74" s="64" t="str" cm="1">
        <f t="array" ref="Z74">IFERROR(IF(ROW(T_WATCHLIST[[#This Row],[Stock]])-ROW(T_WATCHLIST[[#Headers],[Stock]])&gt;=C_CNT_STOCKS,"",_FV(T_WATCHLIST[[#This Row],[Stock]],"Industry",TRUE)),"Not Available")</f>
        <v/>
      </c>
      <c r="AA74" s="64" t="str" cm="1">
        <f t="array" ref="AA74">IFERROR(IF(ROW(T_WATCHLIST[[#This Row],[Stock]])-ROW(T_WATCHLIST[[#Headers],[Stock]])&gt;=C_CNT_STOCKS,"",_FV(T_WATCHLIST[[#This Row],[Stock]],"Instrument type",TRUE)),"Not Available")</f>
        <v/>
      </c>
    </row>
    <row r="75" spans="5:27" ht="22" customHeight="1">
      <c r="E75" s="89"/>
      <c r="F75" s="75" t="str" cm="1">
        <f t="array" ref="F75">IFERROR(IF(ROW(T_WATCHLIST[[#This Row],[Stock]])-ROW(T_WATCHLIST[[#Headers],[Stock]])&gt;C_CNT_STOCKS,"",INDEX(_xlfn.ANCHORARRAY(HELP!$G$2),ROW(T_WATCHLIST[[#This Row],[Stock]])-ROW(T_WATCHLIST[[#Headers],[Stock]]))),"")</f>
        <v/>
      </c>
      <c r="G75" s="80" t="str" cm="1">
        <f t="array" ref="G75">IFERROR(_xlfn.FIELDVALUE(T_WATCHLIST[[#This Row],[Stock]],"Ticker Symbol"),"")</f>
        <v/>
      </c>
      <c r="H75" s="117"/>
      <c r="I75" s="81" t="str">
        <f>IF(T_WATCHLIST[[#This Row],[Stock]]="","",SUMIFS(T_TXN[UNITS],T_TXN[TYPE],"Buy",T_TXN[TICKER],T_WATCHLIST[[#This Row],[Stock]])-SUMIFS(T_TXN[UNITS],T_TXN[TYPE],"Sell",T_TXN[TICKER],T_WATCHLIST[[#This Row],[Stock]])+SUMIFS(T_TXN[UNITS],T_TXN[TYPE],"Dividend Reinvestment",T_TXN[TICKER],T_WATCHLIST[[#This Row],[Stock]]))</f>
        <v/>
      </c>
      <c r="J75" s="75" t="str" cm="1">
        <f t="array" ref="J75">IFERROR(_xlfn.FIELDVALUE(T_WATCHLIST[[#This Row],[Stock]],"Price"),"")</f>
        <v/>
      </c>
      <c r="K75" s="82" t="str" cm="1">
        <f t="array" ref="K75">IFERROR(_xlfn.FIELDVALUE(T_WATCHLIST[[#This Row],[Stock]],"Change"),"")</f>
        <v/>
      </c>
      <c r="L75" s="83" t="str" cm="1">
        <f t="array" ref="L75">IFERROR(_xlfn.FIELDVALUE(T_WATCHLIST[[#This Row],[Stock]],"Change (%)"),"")</f>
        <v/>
      </c>
      <c r="M75" s="84" t="str">
        <f>IF(T_WATCHLIST[[#This Row],[Stock]]="","",T_WATCHLIST[[#This Row],[Quantity]]*T_WATCHLIST[[#This Row],[Last Price]])</f>
        <v/>
      </c>
      <c r="N75" s="85" t="str" cm="1">
        <f t="array" ref="N75">IF(T_WATCHLIST[[#This Row],[Stock]]="","",T_WATCHLIST[[#This Row],[Current Value]]-_xlfn.FIELDVALUE(T_WATCHLIST[[#This Row],[Stock]],"Previous Close")*T_WATCHLIST[[#This Row],[Quantity]])</f>
        <v/>
      </c>
      <c r="O75" s="86" t="str">
        <f>IFERROR(T_WATCHLIST[[#This Row],[Today''s Gain/Loss]]/(T_WATCHLIST[[#This Row],[Current Value]]-T_WATCHLIST[[#This Row],[Today''s Gain/Loss]]),"")</f>
        <v/>
      </c>
      <c r="P75" s="84" t="str">
        <f>IFERROR(T_WATCHLIST[[#This Row],[Current Value]]-T_WATCHLIST[[#This Row],[% Total Gain/Loss9]],"")</f>
        <v/>
      </c>
      <c r="Q75" s="87" t="str">
        <f>IFERROR(T_WATCHLIST[[#This Row],[Total Gain/Loss]]/T_WATCHLIST[[#This Row],[% Total Gain/Loss9]],"")</f>
        <v/>
      </c>
      <c r="R75" s="88" t="str" cm="1">
        <f t="array" ref="R75">IFERROR(_xlfn.FIELDVALUE(T_WATCHLIST[[#This Row],[Stock]],"52 week low"),"")</f>
        <v/>
      </c>
      <c r="S7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5" s="73" t="str" cm="1">
        <f t="array" ref="T75">IFERROR(_xlfn.FIELDVALUE(T_WATCHLIST[[#This Row],[Stock]],"52 week high"),"")</f>
        <v/>
      </c>
      <c r="U75" s="64" t="str" cm="1">
        <f t="array" ref="U75">IF(T_WATCHLIST[[#This Row],[Stock]]="","",SUMPRODUCT(T_TXN[UNITS],--(T_TXN[TYPE]="Buy"),--(T_TXN[TICKER]=T_WATCHLIST[[#This Row],[Stock]])))</f>
        <v/>
      </c>
      <c r="V75" s="67" t="str" cm="1">
        <f t="array" ref="V75">IF(T_WATCHLIST[[#This Row],[Stock]]="","",SUMPRODUCT(--(T_TXN[TYPE]="Buy"),T_TXN[UNITS],T_TXN[PRICE],--(T_TXN[TICKER]=T_WATCHLIST[[#This Row],[Stock]])))</f>
        <v/>
      </c>
      <c r="W75" s="64" t="str" cm="1">
        <f t="array" ref="W75">IF(T_WATCHLIST[[#This Row],[Stock]]="","",SUMPRODUCT(T_TXN[UNITS],--(T_TXN[TYPE]="Sell"),--(T_TXN[TICKER]=T_WATCHLIST[[#This Row],[Stock]])))</f>
        <v/>
      </c>
      <c r="X75" s="67" t="str" cm="1">
        <f t="array" ref="X75">IF(T_WATCHLIST[[#This Row],[Stock]]="","",SUMPRODUCT(--(T_TXN[TYPE]="Sell"),T_TXN[UNITS],T_TXN[PRICE],--(T_TXN[TICKER]=T_WATCHLIST[[#This Row],[Stock]])))</f>
        <v/>
      </c>
      <c r="Y75" s="67" t="str" cm="1">
        <f t="array" ref="Y75">IF(T_WATCHLIST[[#This Row],[Stock]]="","",SUMPRODUCT(T_TXN[UNITS],T_TXN[PRICE],--(T_TXN[TYPE]="Buy"),--(T_TXN[TICKER]=T_WATCHLIST[[#This Row],[Stock]])) -SUMPRODUCT(T_TXN[UNITS],T_TXN[PRICE],--(T_TXN[TYPE]="Sell"),--(T_TXN[TICKER]=T_WATCHLIST[[#This Row],[Stock]])))</f>
        <v/>
      </c>
      <c r="Z75" s="64" t="str" cm="1">
        <f t="array" ref="Z75">IFERROR(IF(ROW(T_WATCHLIST[[#This Row],[Stock]])-ROW(T_WATCHLIST[[#Headers],[Stock]])&gt;=C_CNT_STOCKS,"",_FV(T_WATCHLIST[[#This Row],[Stock]],"Industry",TRUE)),"Not Available")</f>
        <v/>
      </c>
      <c r="AA75" s="64" t="str" cm="1">
        <f t="array" ref="AA75">IFERROR(IF(ROW(T_WATCHLIST[[#This Row],[Stock]])-ROW(T_WATCHLIST[[#Headers],[Stock]])&gt;=C_CNT_STOCKS,"",_FV(T_WATCHLIST[[#This Row],[Stock]],"Instrument type",TRUE)),"Not Available")</f>
        <v/>
      </c>
    </row>
    <row r="76" spans="5:27" ht="22" customHeight="1">
      <c r="E76" s="89"/>
      <c r="F76" s="75" t="str" cm="1">
        <f t="array" ref="F76">IFERROR(IF(ROW(T_WATCHLIST[[#This Row],[Stock]])-ROW(T_WATCHLIST[[#Headers],[Stock]])&gt;C_CNT_STOCKS,"",INDEX(_xlfn.ANCHORARRAY(HELP!$G$2),ROW(T_WATCHLIST[[#This Row],[Stock]])-ROW(T_WATCHLIST[[#Headers],[Stock]]))),"")</f>
        <v/>
      </c>
      <c r="G76" s="80" t="str" cm="1">
        <f t="array" ref="G76">IFERROR(_xlfn.FIELDVALUE(T_WATCHLIST[[#This Row],[Stock]],"Ticker Symbol"),"")</f>
        <v/>
      </c>
      <c r="H76" s="117"/>
      <c r="I76" s="81" t="str">
        <f>IF(T_WATCHLIST[[#This Row],[Stock]]="","",SUMIFS(T_TXN[UNITS],T_TXN[TYPE],"Buy",T_TXN[TICKER],T_WATCHLIST[[#This Row],[Stock]])-SUMIFS(T_TXN[UNITS],T_TXN[TYPE],"Sell",T_TXN[TICKER],T_WATCHLIST[[#This Row],[Stock]])+SUMIFS(T_TXN[UNITS],T_TXN[TYPE],"Dividend Reinvestment",T_TXN[TICKER],T_WATCHLIST[[#This Row],[Stock]]))</f>
        <v/>
      </c>
      <c r="J76" s="75" t="str" cm="1">
        <f t="array" ref="J76">IFERROR(_xlfn.FIELDVALUE(T_WATCHLIST[[#This Row],[Stock]],"Price"),"")</f>
        <v/>
      </c>
      <c r="K76" s="82" t="str" cm="1">
        <f t="array" ref="K76">IFERROR(_xlfn.FIELDVALUE(T_WATCHLIST[[#This Row],[Stock]],"Change"),"")</f>
        <v/>
      </c>
      <c r="L76" s="83" t="str" cm="1">
        <f t="array" ref="L76">IFERROR(_xlfn.FIELDVALUE(T_WATCHLIST[[#This Row],[Stock]],"Change (%)"),"")</f>
        <v/>
      </c>
      <c r="M76" s="84" t="str">
        <f>IF(T_WATCHLIST[[#This Row],[Stock]]="","",T_WATCHLIST[[#This Row],[Quantity]]*T_WATCHLIST[[#This Row],[Last Price]])</f>
        <v/>
      </c>
      <c r="N76" s="85" t="str" cm="1">
        <f t="array" ref="N76">IF(T_WATCHLIST[[#This Row],[Stock]]="","",T_WATCHLIST[[#This Row],[Current Value]]-_xlfn.FIELDVALUE(T_WATCHLIST[[#This Row],[Stock]],"Previous Close")*T_WATCHLIST[[#This Row],[Quantity]])</f>
        <v/>
      </c>
      <c r="O76" s="86" t="str">
        <f>IFERROR(T_WATCHLIST[[#This Row],[Today''s Gain/Loss]]/(T_WATCHLIST[[#This Row],[Current Value]]-T_WATCHLIST[[#This Row],[Today''s Gain/Loss]]),"")</f>
        <v/>
      </c>
      <c r="P76" s="84" t="str">
        <f>IFERROR(T_WATCHLIST[[#This Row],[Current Value]]-T_WATCHLIST[[#This Row],[% Total Gain/Loss9]],"")</f>
        <v/>
      </c>
      <c r="Q76" s="87" t="str">
        <f>IFERROR(T_WATCHLIST[[#This Row],[Total Gain/Loss]]/T_WATCHLIST[[#This Row],[% Total Gain/Loss9]],"")</f>
        <v/>
      </c>
      <c r="R76" s="88" t="str" cm="1">
        <f t="array" ref="R76">IFERROR(_xlfn.FIELDVALUE(T_WATCHLIST[[#This Row],[Stock]],"52 week low"),"")</f>
        <v/>
      </c>
      <c r="S7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6" s="73" t="str" cm="1">
        <f t="array" ref="T76">IFERROR(_xlfn.FIELDVALUE(T_WATCHLIST[[#This Row],[Stock]],"52 week high"),"")</f>
        <v/>
      </c>
      <c r="U76" s="64" t="str" cm="1">
        <f t="array" ref="U76">IF(T_WATCHLIST[[#This Row],[Stock]]="","",SUMPRODUCT(T_TXN[UNITS],--(T_TXN[TYPE]="Buy"),--(T_TXN[TICKER]=T_WATCHLIST[[#This Row],[Stock]])))</f>
        <v/>
      </c>
      <c r="V76" s="67" t="str" cm="1">
        <f t="array" ref="V76">IF(T_WATCHLIST[[#This Row],[Stock]]="","",SUMPRODUCT(--(T_TXN[TYPE]="Buy"),T_TXN[UNITS],T_TXN[PRICE],--(T_TXN[TICKER]=T_WATCHLIST[[#This Row],[Stock]])))</f>
        <v/>
      </c>
      <c r="W76" s="64" t="str" cm="1">
        <f t="array" ref="W76">IF(T_WATCHLIST[[#This Row],[Stock]]="","",SUMPRODUCT(T_TXN[UNITS],--(T_TXN[TYPE]="Sell"),--(T_TXN[TICKER]=T_WATCHLIST[[#This Row],[Stock]])))</f>
        <v/>
      </c>
      <c r="X76" s="67" t="str" cm="1">
        <f t="array" ref="X76">IF(T_WATCHLIST[[#This Row],[Stock]]="","",SUMPRODUCT(--(T_TXN[TYPE]="Sell"),T_TXN[UNITS],T_TXN[PRICE],--(T_TXN[TICKER]=T_WATCHLIST[[#This Row],[Stock]])))</f>
        <v/>
      </c>
      <c r="Y76" s="67" t="str" cm="1">
        <f t="array" ref="Y76">IF(T_WATCHLIST[[#This Row],[Stock]]="","",SUMPRODUCT(T_TXN[UNITS],T_TXN[PRICE],--(T_TXN[TYPE]="Buy"),--(T_TXN[TICKER]=T_WATCHLIST[[#This Row],[Stock]])) -SUMPRODUCT(T_TXN[UNITS],T_TXN[PRICE],--(T_TXN[TYPE]="Sell"),--(T_TXN[TICKER]=T_WATCHLIST[[#This Row],[Stock]])))</f>
        <v/>
      </c>
      <c r="Z76" s="64" t="str" cm="1">
        <f t="array" ref="Z76">IFERROR(IF(ROW(T_WATCHLIST[[#This Row],[Stock]])-ROW(T_WATCHLIST[[#Headers],[Stock]])&gt;=C_CNT_STOCKS,"",_FV(T_WATCHLIST[[#This Row],[Stock]],"Industry",TRUE)),"Not Available")</f>
        <v/>
      </c>
      <c r="AA76" s="64" t="str" cm="1">
        <f t="array" ref="AA76">IFERROR(IF(ROW(T_WATCHLIST[[#This Row],[Stock]])-ROW(T_WATCHLIST[[#Headers],[Stock]])&gt;=C_CNT_STOCKS,"",_FV(T_WATCHLIST[[#This Row],[Stock]],"Instrument type",TRUE)),"Not Available")</f>
        <v/>
      </c>
    </row>
    <row r="77" spans="5:27" ht="22" customHeight="1">
      <c r="E77" s="89"/>
      <c r="F77" s="75" t="str" cm="1">
        <f t="array" ref="F77">IFERROR(IF(ROW(T_WATCHLIST[[#This Row],[Stock]])-ROW(T_WATCHLIST[[#Headers],[Stock]])&gt;C_CNT_STOCKS,"",INDEX(_xlfn.ANCHORARRAY(HELP!$G$2),ROW(T_WATCHLIST[[#This Row],[Stock]])-ROW(T_WATCHLIST[[#Headers],[Stock]]))),"")</f>
        <v/>
      </c>
      <c r="G77" s="80" t="str" cm="1">
        <f t="array" ref="G77">IFERROR(_xlfn.FIELDVALUE(T_WATCHLIST[[#This Row],[Stock]],"Ticker Symbol"),"")</f>
        <v/>
      </c>
      <c r="H77" s="117"/>
      <c r="I77" s="81" t="str">
        <f>IF(T_WATCHLIST[[#This Row],[Stock]]="","",SUMIFS(T_TXN[UNITS],T_TXN[TYPE],"Buy",T_TXN[TICKER],T_WATCHLIST[[#This Row],[Stock]])-SUMIFS(T_TXN[UNITS],T_TXN[TYPE],"Sell",T_TXN[TICKER],T_WATCHLIST[[#This Row],[Stock]])+SUMIFS(T_TXN[UNITS],T_TXN[TYPE],"Dividend Reinvestment",T_TXN[TICKER],T_WATCHLIST[[#This Row],[Stock]]))</f>
        <v/>
      </c>
      <c r="J77" s="75" t="str" cm="1">
        <f t="array" ref="J77">IFERROR(_xlfn.FIELDVALUE(T_WATCHLIST[[#This Row],[Stock]],"Price"),"")</f>
        <v/>
      </c>
      <c r="K77" s="82" t="str" cm="1">
        <f t="array" ref="K77">IFERROR(_xlfn.FIELDVALUE(T_WATCHLIST[[#This Row],[Stock]],"Change"),"")</f>
        <v/>
      </c>
      <c r="L77" s="83" t="str" cm="1">
        <f t="array" ref="L77">IFERROR(_xlfn.FIELDVALUE(T_WATCHLIST[[#This Row],[Stock]],"Change (%)"),"")</f>
        <v/>
      </c>
      <c r="M77" s="84" t="str">
        <f>IF(T_WATCHLIST[[#This Row],[Stock]]="","",T_WATCHLIST[[#This Row],[Quantity]]*T_WATCHLIST[[#This Row],[Last Price]])</f>
        <v/>
      </c>
      <c r="N77" s="85" t="str" cm="1">
        <f t="array" ref="N77">IF(T_WATCHLIST[[#This Row],[Stock]]="","",T_WATCHLIST[[#This Row],[Current Value]]-_xlfn.FIELDVALUE(T_WATCHLIST[[#This Row],[Stock]],"Previous Close")*T_WATCHLIST[[#This Row],[Quantity]])</f>
        <v/>
      </c>
      <c r="O77" s="86" t="str">
        <f>IFERROR(T_WATCHLIST[[#This Row],[Today''s Gain/Loss]]/(T_WATCHLIST[[#This Row],[Current Value]]-T_WATCHLIST[[#This Row],[Today''s Gain/Loss]]),"")</f>
        <v/>
      </c>
      <c r="P77" s="84" t="str">
        <f>IFERROR(T_WATCHLIST[[#This Row],[Current Value]]-T_WATCHLIST[[#This Row],[% Total Gain/Loss9]],"")</f>
        <v/>
      </c>
      <c r="Q77" s="87" t="str">
        <f>IFERROR(T_WATCHLIST[[#This Row],[Total Gain/Loss]]/T_WATCHLIST[[#This Row],[% Total Gain/Loss9]],"")</f>
        <v/>
      </c>
      <c r="R77" s="88" t="str" cm="1">
        <f t="array" ref="R77">IFERROR(_xlfn.FIELDVALUE(T_WATCHLIST[[#This Row],[Stock]],"52 week low"),"")</f>
        <v/>
      </c>
      <c r="S7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7" s="73" t="str" cm="1">
        <f t="array" ref="T77">IFERROR(_xlfn.FIELDVALUE(T_WATCHLIST[[#This Row],[Stock]],"52 week high"),"")</f>
        <v/>
      </c>
      <c r="U77" s="64" t="str" cm="1">
        <f t="array" ref="U77">IF(T_WATCHLIST[[#This Row],[Stock]]="","",SUMPRODUCT(T_TXN[UNITS],--(T_TXN[TYPE]="Buy"),--(T_TXN[TICKER]=T_WATCHLIST[[#This Row],[Stock]])))</f>
        <v/>
      </c>
      <c r="V77" s="67" t="str" cm="1">
        <f t="array" ref="V77">IF(T_WATCHLIST[[#This Row],[Stock]]="","",SUMPRODUCT(--(T_TXN[TYPE]="Buy"),T_TXN[UNITS],T_TXN[PRICE],--(T_TXN[TICKER]=T_WATCHLIST[[#This Row],[Stock]])))</f>
        <v/>
      </c>
      <c r="W77" s="64" t="str" cm="1">
        <f t="array" ref="W77">IF(T_WATCHLIST[[#This Row],[Stock]]="","",SUMPRODUCT(T_TXN[UNITS],--(T_TXN[TYPE]="Sell"),--(T_TXN[TICKER]=T_WATCHLIST[[#This Row],[Stock]])))</f>
        <v/>
      </c>
      <c r="X77" s="67" t="str" cm="1">
        <f t="array" ref="X77">IF(T_WATCHLIST[[#This Row],[Stock]]="","",SUMPRODUCT(--(T_TXN[TYPE]="Sell"),T_TXN[UNITS],T_TXN[PRICE],--(T_TXN[TICKER]=T_WATCHLIST[[#This Row],[Stock]])))</f>
        <v/>
      </c>
      <c r="Y77" s="67" t="str" cm="1">
        <f t="array" ref="Y77">IF(T_WATCHLIST[[#This Row],[Stock]]="","",SUMPRODUCT(T_TXN[UNITS],T_TXN[PRICE],--(T_TXN[TYPE]="Buy"),--(T_TXN[TICKER]=T_WATCHLIST[[#This Row],[Stock]])) -SUMPRODUCT(T_TXN[UNITS],T_TXN[PRICE],--(T_TXN[TYPE]="Sell"),--(T_TXN[TICKER]=T_WATCHLIST[[#This Row],[Stock]])))</f>
        <v/>
      </c>
      <c r="Z77" s="64" t="str" cm="1">
        <f t="array" ref="Z77">IFERROR(IF(ROW(T_WATCHLIST[[#This Row],[Stock]])-ROW(T_WATCHLIST[[#Headers],[Stock]])&gt;=C_CNT_STOCKS,"",_FV(T_WATCHLIST[[#This Row],[Stock]],"Industry",TRUE)),"Not Available")</f>
        <v/>
      </c>
      <c r="AA77" s="64" t="str" cm="1">
        <f t="array" ref="AA77">IFERROR(IF(ROW(T_WATCHLIST[[#This Row],[Stock]])-ROW(T_WATCHLIST[[#Headers],[Stock]])&gt;=C_CNT_STOCKS,"",_FV(T_WATCHLIST[[#This Row],[Stock]],"Instrument type",TRUE)),"Not Available")</f>
        <v/>
      </c>
    </row>
    <row r="78" spans="5:27" ht="22" customHeight="1">
      <c r="E78" s="89"/>
      <c r="F78" s="75" t="str" cm="1">
        <f t="array" ref="F78">IFERROR(IF(ROW(T_WATCHLIST[[#This Row],[Stock]])-ROW(T_WATCHLIST[[#Headers],[Stock]])&gt;C_CNT_STOCKS,"",INDEX(_xlfn.ANCHORARRAY(HELP!$G$2),ROW(T_WATCHLIST[[#This Row],[Stock]])-ROW(T_WATCHLIST[[#Headers],[Stock]]))),"")</f>
        <v/>
      </c>
      <c r="G78" s="80" t="str" cm="1">
        <f t="array" ref="G78">IFERROR(_xlfn.FIELDVALUE(T_WATCHLIST[[#This Row],[Stock]],"Ticker Symbol"),"")</f>
        <v/>
      </c>
      <c r="H78" s="117"/>
      <c r="I78" s="81" t="str">
        <f>IF(T_WATCHLIST[[#This Row],[Stock]]="","",SUMIFS(T_TXN[UNITS],T_TXN[TYPE],"Buy",T_TXN[TICKER],T_WATCHLIST[[#This Row],[Stock]])-SUMIFS(T_TXN[UNITS],T_TXN[TYPE],"Sell",T_TXN[TICKER],T_WATCHLIST[[#This Row],[Stock]])+SUMIFS(T_TXN[UNITS],T_TXN[TYPE],"Dividend Reinvestment",T_TXN[TICKER],T_WATCHLIST[[#This Row],[Stock]]))</f>
        <v/>
      </c>
      <c r="J78" s="75" t="str" cm="1">
        <f t="array" ref="J78">IFERROR(_xlfn.FIELDVALUE(T_WATCHLIST[[#This Row],[Stock]],"Price"),"")</f>
        <v/>
      </c>
      <c r="K78" s="82" t="str" cm="1">
        <f t="array" ref="K78">IFERROR(_xlfn.FIELDVALUE(T_WATCHLIST[[#This Row],[Stock]],"Change"),"")</f>
        <v/>
      </c>
      <c r="L78" s="83" t="str" cm="1">
        <f t="array" ref="L78">IFERROR(_xlfn.FIELDVALUE(T_WATCHLIST[[#This Row],[Stock]],"Change (%)"),"")</f>
        <v/>
      </c>
      <c r="M78" s="84" t="str">
        <f>IF(T_WATCHLIST[[#This Row],[Stock]]="","",T_WATCHLIST[[#This Row],[Quantity]]*T_WATCHLIST[[#This Row],[Last Price]])</f>
        <v/>
      </c>
      <c r="N78" s="85" t="str" cm="1">
        <f t="array" ref="N78">IF(T_WATCHLIST[[#This Row],[Stock]]="","",T_WATCHLIST[[#This Row],[Current Value]]-_xlfn.FIELDVALUE(T_WATCHLIST[[#This Row],[Stock]],"Previous Close")*T_WATCHLIST[[#This Row],[Quantity]])</f>
        <v/>
      </c>
      <c r="O78" s="86" t="str">
        <f>IFERROR(T_WATCHLIST[[#This Row],[Today''s Gain/Loss]]/(T_WATCHLIST[[#This Row],[Current Value]]-T_WATCHLIST[[#This Row],[Today''s Gain/Loss]]),"")</f>
        <v/>
      </c>
      <c r="P78" s="84" t="str">
        <f>IFERROR(T_WATCHLIST[[#This Row],[Current Value]]-T_WATCHLIST[[#This Row],[% Total Gain/Loss9]],"")</f>
        <v/>
      </c>
      <c r="Q78" s="87" t="str">
        <f>IFERROR(T_WATCHLIST[[#This Row],[Total Gain/Loss]]/T_WATCHLIST[[#This Row],[% Total Gain/Loss9]],"")</f>
        <v/>
      </c>
      <c r="R78" s="88" t="str" cm="1">
        <f t="array" ref="R78">IFERROR(_xlfn.FIELDVALUE(T_WATCHLIST[[#This Row],[Stock]],"52 week low"),"")</f>
        <v/>
      </c>
      <c r="S7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8" s="73" t="str" cm="1">
        <f t="array" ref="T78">IFERROR(_xlfn.FIELDVALUE(T_WATCHLIST[[#This Row],[Stock]],"52 week high"),"")</f>
        <v/>
      </c>
      <c r="U78" s="64" t="str" cm="1">
        <f t="array" ref="U78">IF(T_WATCHLIST[[#This Row],[Stock]]="","",SUMPRODUCT(T_TXN[UNITS],--(T_TXN[TYPE]="Buy"),--(T_TXN[TICKER]=T_WATCHLIST[[#This Row],[Stock]])))</f>
        <v/>
      </c>
      <c r="V78" s="67" t="str" cm="1">
        <f t="array" ref="V78">IF(T_WATCHLIST[[#This Row],[Stock]]="","",SUMPRODUCT(--(T_TXN[TYPE]="Buy"),T_TXN[UNITS],T_TXN[PRICE],--(T_TXN[TICKER]=T_WATCHLIST[[#This Row],[Stock]])))</f>
        <v/>
      </c>
      <c r="W78" s="64" t="str" cm="1">
        <f t="array" ref="W78">IF(T_WATCHLIST[[#This Row],[Stock]]="","",SUMPRODUCT(T_TXN[UNITS],--(T_TXN[TYPE]="Sell"),--(T_TXN[TICKER]=T_WATCHLIST[[#This Row],[Stock]])))</f>
        <v/>
      </c>
      <c r="X78" s="67" t="str" cm="1">
        <f t="array" ref="X78">IF(T_WATCHLIST[[#This Row],[Stock]]="","",SUMPRODUCT(--(T_TXN[TYPE]="Sell"),T_TXN[UNITS],T_TXN[PRICE],--(T_TXN[TICKER]=T_WATCHLIST[[#This Row],[Stock]])))</f>
        <v/>
      </c>
      <c r="Y78" s="67" t="str" cm="1">
        <f t="array" ref="Y78">IF(T_WATCHLIST[[#This Row],[Stock]]="","",SUMPRODUCT(T_TXN[UNITS],T_TXN[PRICE],--(T_TXN[TYPE]="Buy"),--(T_TXN[TICKER]=T_WATCHLIST[[#This Row],[Stock]])) -SUMPRODUCT(T_TXN[UNITS],T_TXN[PRICE],--(T_TXN[TYPE]="Sell"),--(T_TXN[TICKER]=T_WATCHLIST[[#This Row],[Stock]])))</f>
        <v/>
      </c>
      <c r="Z78" s="64" t="str" cm="1">
        <f t="array" ref="Z78">IFERROR(IF(ROW(T_WATCHLIST[[#This Row],[Stock]])-ROW(T_WATCHLIST[[#Headers],[Stock]])&gt;=C_CNT_STOCKS,"",_FV(T_WATCHLIST[[#This Row],[Stock]],"Industry",TRUE)),"Not Available")</f>
        <v/>
      </c>
      <c r="AA78" s="64" t="str" cm="1">
        <f t="array" ref="AA78">IFERROR(IF(ROW(T_WATCHLIST[[#This Row],[Stock]])-ROW(T_WATCHLIST[[#Headers],[Stock]])&gt;=C_CNT_STOCKS,"",_FV(T_WATCHLIST[[#This Row],[Stock]],"Instrument type",TRUE)),"Not Available")</f>
        <v/>
      </c>
    </row>
    <row r="79" spans="5:27" ht="22" customHeight="1">
      <c r="E79" s="89"/>
      <c r="F79" s="75" t="str" cm="1">
        <f t="array" ref="F79">IFERROR(IF(ROW(T_WATCHLIST[[#This Row],[Stock]])-ROW(T_WATCHLIST[[#Headers],[Stock]])&gt;C_CNT_STOCKS,"",INDEX(_xlfn.ANCHORARRAY(HELP!$G$2),ROW(T_WATCHLIST[[#This Row],[Stock]])-ROW(T_WATCHLIST[[#Headers],[Stock]]))),"")</f>
        <v/>
      </c>
      <c r="G79" s="80" t="str" cm="1">
        <f t="array" ref="G79">IFERROR(_xlfn.FIELDVALUE(T_WATCHLIST[[#This Row],[Stock]],"Ticker Symbol"),"")</f>
        <v/>
      </c>
      <c r="H79" s="117"/>
      <c r="I79" s="81" t="str">
        <f>IF(T_WATCHLIST[[#This Row],[Stock]]="","",SUMIFS(T_TXN[UNITS],T_TXN[TYPE],"Buy",T_TXN[TICKER],T_WATCHLIST[[#This Row],[Stock]])-SUMIFS(T_TXN[UNITS],T_TXN[TYPE],"Sell",T_TXN[TICKER],T_WATCHLIST[[#This Row],[Stock]])+SUMIFS(T_TXN[UNITS],T_TXN[TYPE],"Dividend Reinvestment",T_TXN[TICKER],T_WATCHLIST[[#This Row],[Stock]]))</f>
        <v/>
      </c>
      <c r="J79" s="75" t="str" cm="1">
        <f t="array" ref="J79">IFERROR(_xlfn.FIELDVALUE(T_WATCHLIST[[#This Row],[Stock]],"Price"),"")</f>
        <v/>
      </c>
      <c r="K79" s="82" t="str" cm="1">
        <f t="array" ref="K79">IFERROR(_xlfn.FIELDVALUE(T_WATCHLIST[[#This Row],[Stock]],"Change"),"")</f>
        <v/>
      </c>
      <c r="L79" s="83" t="str" cm="1">
        <f t="array" ref="L79">IFERROR(_xlfn.FIELDVALUE(T_WATCHLIST[[#This Row],[Stock]],"Change (%)"),"")</f>
        <v/>
      </c>
      <c r="M79" s="84" t="str">
        <f>IF(T_WATCHLIST[[#This Row],[Stock]]="","",T_WATCHLIST[[#This Row],[Quantity]]*T_WATCHLIST[[#This Row],[Last Price]])</f>
        <v/>
      </c>
      <c r="N79" s="85" t="str" cm="1">
        <f t="array" ref="N79">IF(T_WATCHLIST[[#This Row],[Stock]]="","",T_WATCHLIST[[#This Row],[Current Value]]-_xlfn.FIELDVALUE(T_WATCHLIST[[#This Row],[Stock]],"Previous Close")*T_WATCHLIST[[#This Row],[Quantity]])</f>
        <v/>
      </c>
      <c r="O79" s="86" t="str">
        <f>IFERROR(T_WATCHLIST[[#This Row],[Today''s Gain/Loss]]/(T_WATCHLIST[[#This Row],[Current Value]]-T_WATCHLIST[[#This Row],[Today''s Gain/Loss]]),"")</f>
        <v/>
      </c>
      <c r="P79" s="84" t="str">
        <f>IFERROR(T_WATCHLIST[[#This Row],[Current Value]]-T_WATCHLIST[[#This Row],[% Total Gain/Loss9]],"")</f>
        <v/>
      </c>
      <c r="Q79" s="87" t="str">
        <f>IFERROR(T_WATCHLIST[[#This Row],[Total Gain/Loss]]/T_WATCHLIST[[#This Row],[% Total Gain/Loss9]],"")</f>
        <v/>
      </c>
      <c r="R79" s="88" t="str" cm="1">
        <f t="array" ref="R79">IFERROR(_xlfn.FIELDVALUE(T_WATCHLIST[[#This Row],[Stock]],"52 week low"),"")</f>
        <v/>
      </c>
      <c r="S7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79" s="73" t="str" cm="1">
        <f t="array" ref="T79">IFERROR(_xlfn.FIELDVALUE(T_WATCHLIST[[#This Row],[Stock]],"52 week high"),"")</f>
        <v/>
      </c>
      <c r="U79" s="64" t="str" cm="1">
        <f t="array" ref="U79">IF(T_WATCHLIST[[#This Row],[Stock]]="","",SUMPRODUCT(T_TXN[UNITS],--(T_TXN[TYPE]="Buy"),--(T_TXN[TICKER]=T_WATCHLIST[[#This Row],[Stock]])))</f>
        <v/>
      </c>
      <c r="V79" s="67" t="str" cm="1">
        <f t="array" ref="V79">IF(T_WATCHLIST[[#This Row],[Stock]]="","",SUMPRODUCT(--(T_TXN[TYPE]="Buy"),T_TXN[UNITS],T_TXN[PRICE],--(T_TXN[TICKER]=T_WATCHLIST[[#This Row],[Stock]])))</f>
        <v/>
      </c>
      <c r="W79" s="64" t="str" cm="1">
        <f t="array" ref="W79">IF(T_WATCHLIST[[#This Row],[Stock]]="","",SUMPRODUCT(T_TXN[UNITS],--(T_TXN[TYPE]="Sell"),--(T_TXN[TICKER]=T_WATCHLIST[[#This Row],[Stock]])))</f>
        <v/>
      </c>
      <c r="X79" s="67" t="str" cm="1">
        <f t="array" ref="X79">IF(T_WATCHLIST[[#This Row],[Stock]]="","",SUMPRODUCT(--(T_TXN[TYPE]="Sell"),T_TXN[UNITS],T_TXN[PRICE],--(T_TXN[TICKER]=T_WATCHLIST[[#This Row],[Stock]])))</f>
        <v/>
      </c>
      <c r="Y79" s="67" t="str" cm="1">
        <f t="array" ref="Y79">IF(T_WATCHLIST[[#This Row],[Stock]]="","",SUMPRODUCT(T_TXN[UNITS],T_TXN[PRICE],--(T_TXN[TYPE]="Buy"),--(T_TXN[TICKER]=T_WATCHLIST[[#This Row],[Stock]])) -SUMPRODUCT(T_TXN[UNITS],T_TXN[PRICE],--(T_TXN[TYPE]="Sell"),--(T_TXN[TICKER]=T_WATCHLIST[[#This Row],[Stock]])))</f>
        <v/>
      </c>
      <c r="Z79" s="64" t="str" cm="1">
        <f t="array" ref="Z79">IFERROR(IF(ROW(T_WATCHLIST[[#This Row],[Stock]])-ROW(T_WATCHLIST[[#Headers],[Stock]])&gt;=C_CNT_STOCKS,"",_FV(T_WATCHLIST[[#This Row],[Stock]],"Industry",TRUE)),"Not Available")</f>
        <v/>
      </c>
      <c r="AA79" s="64" t="str" cm="1">
        <f t="array" ref="AA79">IFERROR(IF(ROW(T_WATCHLIST[[#This Row],[Stock]])-ROW(T_WATCHLIST[[#Headers],[Stock]])&gt;=C_CNT_STOCKS,"",_FV(T_WATCHLIST[[#This Row],[Stock]],"Instrument type",TRUE)),"Not Available")</f>
        <v/>
      </c>
    </row>
    <row r="80" spans="5:27" ht="22" customHeight="1">
      <c r="E80" s="89"/>
      <c r="F80" s="75" t="str" cm="1">
        <f t="array" ref="F80">IFERROR(IF(ROW(T_WATCHLIST[[#This Row],[Stock]])-ROW(T_WATCHLIST[[#Headers],[Stock]])&gt;C_CNT_STOCKS,"",INDEX(_xlfn.ANCHORARRAY(HELP!$G$2),ROW(T_WATCHLIST[[#This Row],[Stock]])-ROW(T_WATCHLIST[[#Headers],[Stock]]))),"")</f>
        <v/>
      </c>
      <c r="G80" s="80" t="str" cm="1">
        <f t="array" ref="G80">IFERROR(_xlfn.FIELDVALUE(T_WATCHLIST[[#This Row],[Stock]],"Ticker Symbol"),"")</f>
        <v/>
      </c>
      <c r="H80" s="117"/>
      <c r="I80" s="81" t="str">
        <f>IF(T_WATCHLIST[[#This Row],[Stock]]="","",SUMIFS(T_TXN[UNITS],T_TXN[TYPE],"Buy",T_TXN[TICKER],T_WATCHLIST[[#This Row],[Stock]])-SUMIFS(T_TXN[UNITS],T_TXN[TYPE],"Sell",T_TXN[TICKER],T_WATCHLIST[[#This Row],[Stock]])+SUMIFS(T_TXN[UNITS],T_TXN[TYPE],"Dividend Reinvestment",T_TXN[TICKER],T_WATCHLIST[[#This Row],[Stock]]))</f>
        <v/>
      </c>
      <c r="J80" s="75" t="str" cm="1">
        <f t="array" ref="J80">IFERROR(_xlfn.FIELDVALUE(T_WATCHLIST[[#This Row],[Stock]],"Price"),"")</f>
        <v/>
      </c>
      <c r="K80" s="82" t="str" cm="1">
        <f t="array" ref="K80">IFERROR(_xlfn.FIELDVALUE(T_WATCHLIST[[#This Row],[Stock]],"Change"),"")</f>
        <v/>
      </c>
      <c r="L80" s="83" t="str" cm="1">
        <f t="array" ref="L80">IFERROR(_xlfn.FIELDVALUE(T_WATCHLIST[[#This Row],[Stock]],"Change (%)"),"")</f>
        <v/>
      </c>
      <c r="M80" s="84" t="str">
        <f>IF(T_WATCHLIST[[#This Row],[Stock]]="","",T_WATCHLIST[[#This Row],[Quantity]]*T_WATCHLIST[[#This Row],[Last Price]])</f>
        <v/>
      </c>
      <c r="N80" s="85" t="str" cm="1">
        <f t="array" ref="N80">IF(T_WATCHLIST[[#This Row],[Stock]]="","",T_WATCHLIST[[#This Row],[Current Value]]-_xlfn.FIELDVALUE(T_WATCHLIST[[#This Row],[Stock]],"Previous Close")*T_WATCHLIST[[#This Row],[Quantity]])</f>
        <v/>
      </c>
      <c r="O80" s="86" t="str">
        <f>IFERROR(T_WATCHLIST[[#This Row],[Today''s Gain/Loss]]/(T_WATCHLIST[[#This Row],[Current Value]]-T_WATCHLIST[[#This Row],[Today''s Gain/Loss]]),"")</f>
        <v/>
      </c>
      <c r="P80" s="84" t="str">
        <f>IFERROR(T_WATCHLIST[[#This Row],[Current Value]]-T_WATCHLIST[[#This Row],[% Total Gain/Loss9]],"")</f>
        <v/>
      </c>
      <c r="Q80" s="87" t="str">
        <f>IFERROR(T_WATCHLIST[[#This Row],[Total Gain/Loss]]/T_WATCHLIST[[#This Row],[% Total Gain/Loss9]],"")</f>
        <v/>
      </c>
      <c r="R80" s="88" t="str" cm="1">
        <f t="array" ref="R80">IFERROR(_xlfn.FIELDVALUE(T_WATCHLIST[[#This Row],[Stock]],"52 week low"),"")</f>
        <v/>
      </c>
      <c r="S8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0" s="73" t="str" cm="1">
        <f t="array" ref="T80">IFERROR(_xlfn.FIELDVALUE(T_WATCHLIST[[#This Row],[Stock]],"52 week high"),"")</f>
        <v/>
      </c>
      <c r="U80" s="64" t="str" cm="1">
        <f t="array" ref="U80">IF(T_WATCHLIST[[#This Row],[Stock]]="","",SUMPRODUCT(T_TXN[UNITS],--(T_TXN[TYPE]="Buy"),--(T_TXN[TICKER]=T_WATCHLIST[[#This Row],[Stock]])))</f>
        <v/>
      </c>
      <c r="V80" s="67" t="str" cm="1">
        <f t="array" ref="V80">IF(T_WATCHLIST[[#This Row],[Stock]]="","",SUMPRODUCT(--(T_TXN[TYPE]="Buy"),T_TXN[UNITS],T_TXN[PRICE],--(T_TXN[TICKER]=T_WATCHLIST[[#This Row],[Stock]])))</f>
        <v/>
      </c>
      <c r="W80" s="64" t="str" cm="1">
        <f t="array" ref="W80">IF(T_WATCHLIST[[#This Row],[Stock]]="","",SUMPRODUCT(T_TXN[UNITS],--(T_TXN[TYPE]="Sell"),--(T_TXN[TICKER]=T_WATCHLIST[[#This Row],[Stock]])))</f>
        <v/>
      </c>
      <c r="X80" s="67" t="str" cm="1">
        <f t="array" ref="X80">IF(T_WATCHLIST[[#This Row],[Stock]]="","",SUMPRODUCT(--(T_TXN[TYPE]="Sell"),T_TXN[UNITS],T_TXN[PRICE],--(T_TXN[TICKER]=T_WATCHLIST[[#This Row],[Stock]])))</f>
        <v/>
      </c>
      <c r="Y80" s="67" t="str" cm="1">
        <f t="array" ref="Y80">IF(T_WATCHLIST[[#This Row],[Stock]]="","",SUMPRODUCT(T_TXN[UNITS],T_TXN[PRICE],--(T_TXN[TYPE]="Buy"),--(T_TXN[TICKER]=T_WATCHLIST[[#This Row],[Stock]])) -SUMPRODUCT(T_TXN[UNITS],T_TXN[PRICE],--(T_TXN[TYPE]="Sell"),--(T_TXN[TICKER]=T_WATCHLIST[[#This Row],[Stock]])))</f>
        <v/>
      </c>
      <c r="Z80" s="64" t="str" cm="1">
        <f t="array" ref="Z80">IFERROR(IF(ROW(T_WATCHLIST[[#This Row],[Stock]])-ROW(T_WATCHLIST[[#Headers],[Stock]])&gt;=C_CNT_STOCKS,"",_FV(T_WATCHLIST[[#This Row],[Stock]],"Industry",TRUE)),"Not Available")</f>
        <v/>
      </c>
      <c r="AA80" s="64" t="str" cm="1">
        <f t="array" ref="AA80">IFERROR(IF(ROW(T_WATCHLIST[[#This Row],[Stock]])-ROW(T_WATCHLIST[[#Headers],[Stock]])&gt;=C_CNT_STOCKS,"",_FV(T_WATCHLIST[[#This Row],[Stock]],"Instrument type",TRUE)),"Not Available")</f>
        <v/>
      </c>
    </row>
    <row r="81" spans="5:27" ht="22" customHeight="1">
      <c r="E81" s="89"/>
      <c r="F81" s="75" t="str" cm="1">
        <f t="array" ref="F81">IFERROR(IF(ROW(T_WATCHLIST[[#This Row],[Stock]])-ROW(T_WATCHLIST[[#Headers],[Stock]])&gt;C_CNT_STOCKS,"",INDEX(_xlfn.ANCHORARRAY(HELP!$G$2),ROW(T_WATCHLIST[[#This Row],[Stock]])-ROW(T_WATCHLIST[[#Headers],[Stock]]))),"")</f>
        <v/>
      </c>
      <c r="G81" s="80" t="str" cm="1">
        <f t="array" ref="G81">IFERROR(_xlfn.FIELDVALUE(T_WATCHLIST[[#This Row],[Stock]],"Ticker Symbol"),"")</f>
        <v/>
      </c>
      <c r="H81" s="117"/>
      <c r="I81" s="81" t="str">
        <f>IF(T_WATCHLIST[[#This Row],[Stock]]="","",SUMIFS(T_TXN[UNITS],T_TXN[TYPE],"Buy",T_TXN[TICKER],T_WATCHLIST[[#This Row],[Stock]])-SUMIFS(T_TXN[UNITS],T_TXN[TYPE],"Sell",T_TXN[TICKER],T_WATCHLIST[[#This Row],[Stock]])+SUMIFS(T_TXN[UNITS],T_TXN[TYPE],"Dividend Reinvestment",T_TXN[TICKER],T_WATCHLIST[[#This Row],[Stock]]))</f>
        <v/>
      </c>
      <c r="J81" s="75" t="str" cm="1">
        <f t="array" ref="J81">IFERROR(_xlfn.FIELDVALUE(T_WATCHLIST[[#This Row],[Stock]],"Price"),"")</f>
        <v/>
      </c>
      <c r="K81" s="82" t="str" cm="1">
        <f t="array" ref="K81">IFERROR(_xlfn.FIELDVALUE(T_WATCHLIST[[#This Row],[Stock]],"Change"),"")</f>
        <v/>
      </c>
      <c r="L81" s="83" t="str" cm="1">
        <f t="array" ref="L81">IFERROR(_xlfn.FIELDVALUE(T_WATCHLIST[[#This Row],[Stock]],"Change (%)"),"")</f>
        <v/>
      </c>
      <c r="M81" s="84" t="str">
        <f>IF(T_WATCHLIST[[#This Row],[Stock]]="","",T_WATCHLIST[[#This Row],[Quantity]]*T_WATCHLIST[[#This Row],[Last Price]])</f>
        <v/>
      </c>
      <c r="N81" s="85" t="str" cm="1">
        <f t="array" ref="N81">IF(T_WATCHLIST[[#This Row],[Stock]]="","",T_WATCHLIST[[#This Row],[Current Value]]-_xlfn.FIELDVALUE(T_WATCHLIST[[#This Row],[Stock]],"Previous Close")*T_WATCHLIST[[#This Row],[Quantity]])</f>
        <v/>
      </c>
      <c r="O81" s="86" t="str">
        <f>IFERROR(T_WATCHLIST[[#This Row],[Today''s Gain/Loss]]/(T_WATCHLIST[[#This Row],[Current Value]]-T_WATCHLIST[[#This Row],[Today''s Gain/Loss]]),"")</f>
        <v/>
      </c>
      <c r="P81" s="84" t="str">
        <f>IFERROR(T_WATCHLIST[[#This Row],[Current Value]]-T_WATCHLIST[[#This Row],[% Total Gain/Loss9]],"")</f>
        <v/>
      </c>
      <c r="Q81" s="87" t="str">
        <f>IFERROR(T_WATCHLIST[[#This Row],[Total Gain/Loss]]/T_WATCHLIST[[#This Row],[% Total Gain/Loss9]],"")</f>
        <v/>
      </c>
      <c r="R81" s="88" t="str" cm="1">
        <f t="array" ref="R81">IFERROR(_xlfn.FIELDVALUE(T_WATCHLIST[[#This Row],[Stock]],"52 week low"),"")</f>
        <v/>
      </c>
      <c r="S8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1" s="73" t="str" cm="1">
        <f t="array" ref="T81">IFERROR(_xlfn.FIELDVALUE(T_WATCHLIST[[#This Row],[Stock]],"52 week high"),"")</f>
        <v/>
      </c>
      <c r="U81" s="64" t="str" cm="1">
        <f t="array" ref="U81">IF(T_WATCHLIST[[#This Row],[Stock]]="","",SUMPRODUCT(T_TXN[UNITS],--(T_TXN[TYPE]="Buy"),--(T_TXN[TICKER]=T_WATCHLIST[[#This Row],[Stock]])))</f>
        <v/>
      </c>
      <c r="V81" s="67" t="str" cm="1">
        <f t="array" ref="V81">IF(T_WATCHLIST[[#This Row],[Stock]]="","",SUMPRODUCT(--(T_TXN[TYPE]="Buy"),T_TXN[UNITS],T_TXN[PRICE],--(T_TXN[TICKER]=T_WATCHLIST[[#This Row],[Stock]])))</f>
        <v/>
      </c>
      <c r="W81" s="64" t="str" cm="1">
        <f t="array" ref="W81">IF(T_WATCHLIST[[#This Row],[Stock]]="","",SUMPRODUCT(T_TXN[UNITS],--(T_TXN[TYPE]="Sell"),--(T_TXN[TICKER]=T_WATCHLIST[[#This Row],[Stock]])))</f>
        <v/>
      </c>
      <c r="X81" s="67" t="str" cm="1">
        <f t="array" ref="X81">IF(T_WATCHLIST[[#This Row],[Stock]]="","",SUMPRODUCT(--(T_TXN[TYPE]="Sell"),T_TXN[UNITS],T_TXN[PRICE],--(T_TXN[TICKER]=T_WATCHLIST[[#This Row],[Stock]])))</f>
        <v/>
      </c>
      <c r="Y81" s="67" t="str" cm="1">
        <f t="array" ref="Y81">IF(T_WATCHLIST[[#This Row],[Stock]]="","",SUMPRODUCT(T_TXN[UNITS],T_TXN[PRICE],--(T_TXN[TYPE]="Buy"),--(T_TXN[TICKER]=T_WATCHLIST[[#This Row],[Stock]])) -SUMPRODUCT(T_TXN[UNITS],T_TXN[PRICE],--(T_TXN[TYPE]="Sell"),--(T_TXN[TICKER]=T_WATCHLIST[[#This Row],[Stock]])))</f>
        <v/>
      </c>
      <c r="Z81" s="64" t="str" cm="1">
        <f t="array" ref="Z81">IFERROR(IF(ROW(T_WATCHLIST[[#This Row],[Stock]])-ROW(T_WATCHLIST[[#Headers],[Stock]])&gt;=C_CNT_STOCKS,"",_FV(T_WATCHLIST[[#This Row],[Stock]],"Industry",TRUE)),"Not Available")</f>
        <v/>
      </c>
      <c r="AA81" s="64" t="str" cm="1">
        <f t="array" ref="AA81">IFERROR(IF(ROW(T_WATCHLIST[[#This Row],[Stock]])-ROW(T_WATCHLIST[[#Headers],[Stock]])&gt;=C_CNT_STOCKS,"",_FV(T_WATCHLIST[[#This Row],[Stock]],"Instrument type",TRUE)),"Not Available")</f>
        <v/>
      </c>
    </row>
    <row r="82" spans="5:27" ht="22" customHeight="1">
      <c r="E82" s="89"/>
      <c r="F82" s="75" t="str" cm="1">
        <f t="array" ref="F82">IFERROR(IF(ROW(T_WATCHLIST[[#This Row],[Stock]])-ROW(T_WATCHLIST[[#Headers],[Stock]])&gt;C_CNT_STOCKS,"",INDEX(_xlfn.ANCHORARRAY(HELP!$G$2),ROW(T_WATCHLIST[[#This Row],[Stock]])-ROW(T_WATCHLIST[[#Headers],[Stock]]))),"")</f>
        <v/>
      </c>
      <c r="G82" s="80" t="str" cm="1">
        <f t="array" ref="G82">IFERROR(_xlfn.FIELDVALUE(T_WATCHLIST[[#This Row],[Stock]],"Ticker Symbol"),"")</f>
        <v/>
      </c>
      <c r="H82" s="117"/>
      <c r="I82" s="81" t="str">
        <f>IF(T_WATCHLIST[[#This Row],[Stock]]="","",SUMIFS(T_TXN[UNITS],T_TXN[TYPE],"Buy",T_TXN[TICKER],T_WATCHLIST[[#This Row],[Stock]])-SUMIFS(T_TXN[UNITS],T_TXN[TYPE],"Sell",T_TXN[TICKER],T_WATCHLIST[[#This Row],[Stock]])+SUMIFS(T_TXN[UNITS],T_TXN[TYPE],"Dividend Reinvestment",T_TXN[TICKER],T_WATCHLIST[[#This Row],[Stock]]))</f>
        <v/>
      </c>
      <c r="J82" s="75" t="str" cm="1">
        <f t="array" ref="J82">IFERROR(_xlfn.FIELDVALUE(T_WATCHLIST[[#This Row],[Stock]],"Price"),"")</f>
        <v/>
      </c>
      <c r="K82" s="82" t="str" cm="1">
        <f t="array" ref="K82">IFERROR(_xlfn.FIELDVALUE(T_WATCHLIST[[#This Row],[Stock]],"Change"),"")</f>
        <v/>
      </c>
      <c r="L82" s="83" t="str" cm="1">
        <f t="array" ref="L82">IFERROR(_xlfn.FIELDVALUE(T_WATCHLIST[[#This Row],[Stock]],"Change (%)"),"")</f>
        <v/>
      </c>
      <c r="M82" s="84" t="str">
        <f>IF(T_WATCHLIST[[#This Row],[Stock]]="","",T_WATCHLIST[[#This Row],[Quantity]]*T_WATCHLIST[[#This Row],[Last Price]])</f>
        <v/>
      </c>
      <c r="N82" s="85" t="str" cm="1">
        <f t="array" ref="N82">IF(T_WATCHLIST[[#This Row],[Stock]]="","",T_WATCHLIST[[#This Row],[Current Value]]-_xlfn.FIELDVALUE(T_WATCHLIST[[#This Row],[Stock]],"Previous Close")*T_WATCHLIST[[#This Row],[Quantity]])</f>
        <v/>
      </c>
      <c r="O82" s="86" t="str">
        <f>IFERROR(T_WATCHLIST[[#This Row],[Today''s Gain/Loss]]/(T_WATCHLIST[[#This Row],[Current Value]]-T_WATCHLIST[[#This Row],[Today''s Gain/Loss]]),"")</f>
        <v/>
      </c>
      <c r="P82" s="84" t="str">
        <f>IFERROR(T_WATCHLIST[[#This Row],[Current Value]]-T_WATCHLIST[[#This Row],[% Total Gain/Loss9]],"")</f>
        <v/>
      </c>
      <c r="Q82" s="87" t="str">
        <f>IFERROR(T_WATCHLIST[[#This Row],[Total Gain/Loss]]/T_WATCHLIST[[#This Row],[% Total Gain/Loss9]],"")</f>
        <v/>
      </c>
      <c r="R82" s="88" t="str" cm="1">
        <f t="array" ref="R82">IFERROR(_xlfn.FIELDVALUE(T_WATCHLIST[[#This Row],[Stock]],"52 week low"),"")</f>
        <v/>
      </c>
      <c r="S8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2" s="73" t="str" cm="1">
        <f t="array" ref="T82">IFERROR(_xlfn.FIELDVALUE(T_WATCHLIST[[#This Row],[Stock]],"52 week high"),"")</f>
        <v/>
      </c>
      <c r="U82" s="64" t="str" cm="1">
        <f t="array" ref="U82">IF(T_WATCHLIST[[#This Row],[Stock]]="","",SUMPRODUCT(T_TXN[UNITS],--(T_TXN[TYPE]="Buy"),--(T_TXN[TICKER]=T_WATCHLIST[[#This Row],[Stock]])))</f>
        <v/>
      </c>
      <c r="V82" s="67" t="str" cm="1">
        <f t="array" ref="V82">IF(T_WATCHLIST[[#This Row],[Stock]]="","",SUMPRODUCT(--(T_TXN[TYPE]="Buy"),T_TXN[UNITS],T_TXN[PRICE],--(T_TXN[TICKER]=T_WATCHLIST[[#This Row],[Stock]])))</f>
        <v/>
      </c>
      <c r="W82" s="64" t="str" cm="1">
        <f t="array" ref="W82">IF(T_WATCHLIST[[#This Row],[Stock]]="","",SUMPRODUCT(T_TXN[UNITS],--(T_TXN[TYPE]="Sell"),--(T_TXN[TICKER]=T_WATCHLIST[[#This Row],[Stock]])))</f>
        <v/>
      </c>
      <c r="X82" s="67" t="str" cm="1">
        <f t="array" ref="X82">IF(T_WATCHLIST[[#This Row],[Stock]]="","",SUMPRODUCT(--(T_TXN[TYPE]="Sell"),T_TXN[UNITS],T_TXN[PRICE],--(T_TXN[TICKER]=T_WATCHLIST[[#This Row],[Stock]])))</f>
        <v/>
      </c>
      <c r="Y82" s="67" t="str" cm="1">
        <f t="array" ref="Y82">IF(T_WATCHLIST[[#This Row],[Stock]]="","",SUMPRODUCT(T_TXN[UNITS],T_TXN[PRICE],--(T_TXN[TYPE]="Buy"),--(T_TXN[TICKER]=T_WATCHLIST[[#This Row],[Stock]])) -SUMPRODUCT(T_TXN[UNITS],T_TXN[PRICE],--(T_TXN[TYPE]="Sell"),--(T_TXN[TICKER]=T_WATCHLIST[[#This Row],[Stock]])))</f>
        <v/>
      </c>
      <c r="Z82" s="64" t="str" cm="1">
        <f t="array" ref="Z82">IFERROR(IF(ROW(T_WATCHLIST[[#This Row],[Stock]])-ROW(T_WATCHLIST[[#Headers],[Stock]])&gt;=C_CNT_STOCKS,"",_FV(T_WATCHLIST[[#This Row],[Stock]],"Industry",TRUE)),"Not Available")</f>
        <v/>
      </c>
      <c r="AA82" s="64" t="str" cm="1">
        <f t="array" ref="AA82">IFERROR(IF(ROW(T_WATCHLIST[[#This Row],[Stock]])-ROW(T_WATCHLIST[[#Headers],[Stock]])&gt;=C_CNT_STOCKS,"",_FV(T_WATCHLIST[[#This Row],[Stock]],"Instrument type",TRUE)),"Not Available")</f>
        <v/>
      </c>
    </row>
    <row r="83" spans="5:27" ht="22" customHeight="1">
      <c r="E83" s="89"/>
      <c r="F83" s="75" t="str" cm="1">
        <f t="array" ref="F83">IFERROR(IF(ROW(T_WATCHLIST[[#This Row],[Stock]])-ROW(T_WATCHLIST[[#Headers],[Stock]])&gt;C_CNT_STOCKS,"",INDEX(_xlfn.ANCHORARRAY(HELP!$G$2),ROW(T_WATCHLIST[[#This Row],[Stock]])-ROW(T_WATCHLIST[[#Headers],[Stock]]))),"")</f>
        <v/>
      </c>
      <c r="G83" s="80" t="str" cm="1">
        <f t="array" ref="G83">IFERROR(_xlfn.FIELDVALUE(T_WATCHLIST[[#This Row],[Stock]],"Ticker Symbol"),"")</f>
        <v/>
      </c>
      <c r="H83" s="117"/>
      <c r="I83" s="81" t="str">
        <f>IF(T_WATCHLIST[[#This Row],[Stock]]="","",SUMIFS(T_TXN[UNITS],T_TXN[TYPE],"Buy",T_TXN[TICKER],T_WATCHLIST[[#This Row],[Stock]])-SUMIFS(T_TXN[UNITS],T_TXN[TYPE],"Sell",T_TXN[TICKER],T_WATCHLIST[[#This Row],[Stock]])+SUMIFS(T_TXN[UNITS],T_TXN[TYPE],"Dividend Reinvestment",T_TXN[TICKER],T_WATCHLIST[[#This Row],[Stock]]))</f>
        <v/>
      </c>
      <c r="J83" s="75" t="str" cm="1">
        <f t="array" ref="J83">IFERROR(_xlfn.FIELDVALUE(T_WATCHLIST[[#This Row],[Stock]],"Price"),"")</f>
        <v/>
      </c>
      <c r="K83" s="82" t="str" cm="1">
        <f t="array" ref="K83">IFERROR(_xlfn.FIELDVALUE(T_WATCHLIST[[#This Row],[Stock]],"Change"),"")</f>
        <v/>
      </c>
      <c r="L83" s="83" t="str" cm="1">
        <f t="array" ref="L83">IFERROR(_xlfn.FIELDVALUE(T_WATCHLIST[[#This Row],[Stock]],"Change (%)"),"")</f>
        <v/>
      </c>
      <c r="M83" s="84" t="str">
        <f>IF(T_WATCHLIST[[#This Row],[Stock]]="","",T_WATCHLIST[[#This Row],[Quantity]]*T_WATCHLIST[[#This Row],[Last Price]])</f>
        <v/>
      </c>
      <c r="N83" s="85" t="str" cm="1">
        <f t="array" ref="N83">IF(T_WATCHLIST[[#This Row],[Stock]]="","",T_WATCHLIST[[#This Row],[Current Value]]-_xlfn.FIELDVALUE(T_WATCHLIST[[#This Row],[Stock]],"Previous Close")*T_WATCHLIST[[#This Row],[Quantity]])</f>
        <v/>
      </c>
      <c r="O83" s="86" t="str">
        <f>IFERROR(T_WATCHLIST[[#This Row],[Today''s Gain/Loss]]/(T_WATCHLIST[[#This Row],[Current Value]]-T_WATCHLIST[[#This Row],[Today''s Gain/Loss]]),"")</f>
        <v/>
      </c>
      <c r="P83" s="84" t="str">
        <f>IFERROR(T_WATCHLIST[[#This Row],[Current Value]]-T_WATCHLIST[[#This Row],[% Total Gain/Loss9]],"")</f>
        <v/>
      </c>
      <c r="Q83" s="87" t="str">
        <f>IFERROR(T_WATCHLIST[[#This Row],[Total Gain/Loss]]/T_WATCHLIST[[#This Row],[% Total Gain/Loss9]],"")</f>
        <v/>
      </c>
      <c r="R83" s="88" t="str" cm="1">
        <f t="array" ref="R83">IFERROR(_xlfn.FIELDVALUE(T_WATCHLIST[[#This Row],[Stock]],"52 week low"),"")</f>
        <v/>
      </c>
      <c r="S8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3" s="73" t="str" cm="1">
        <f t="array" ref="T83">IFERROR(_xlfn.FIELDVALUE(T_WATCHLIST[[#This Row],[Stock]],"52 week high"),"")</f>
        <v/>
      </c>
      <c r="U83" s="64" t="str" cm="1">
        <f t="array" ref="U83">IF(T_WATCHLIST[[#This Row],[Stock]]="","",SUMPRODUCT(T_TXN[UNITS],--(T_TXN[TYPE]="Buy"),--(T_TXN[TICKER]=T_WATCHLIST[[#This Row],[Stock]])))</f>
        <v/>
      </c>
      <c r="V83" s="67" t="str" cm="1">
        <f t="array" ref="V83">IF(T_WATCHLIST[[#This Row],[Stock]]="","",SUMPRODUCT(--(T_TXN[TYPE]="Buy"),T_TXN[UNITS],T_TXN[PRICE],--(T_TXN[TICKER]=T_WATCHLIST[[#This Row],[Stock]])))</f>
        <v/>
      </c>
      <c r="W83" s="64" t="str" cm="1">
        <f t="array" ref="W83">IF(T_WATCHLIST[[#This Row],[Stock]]="","",SUMPRODUCT(T_TXN[UNITS],--(T_TXN[TYPE]="Sell"),--(T_TXN[TICKER]=T_WATCHLIST[[#This Row],[Stock]])))</f>
        <v/>
      </c>
      <c r="X83" s="67" t="str" cm="1">
        <f t="array" ref="X83">IF(T_WATCHLIST[[#This Row],[Stock]]="","",SUMPRODUCT(--(T_TXN[TYPE]="Sell"),T_TXN[UNITS],T_TXN[PRICE],--(T_TXN[TICKER]=T_WATCHLIST[[#This Row],[Stock]])))</f>
        <v/>
      </c>
      <c r="Y83" s="67" t="str" cm="1">
        <f t="array" ref="Y83">IF(T_WATCHLIST[[#This Row],[Stock]]="","",SUMPRODUCT(T_TXN[UNITS],T_TXN[PRICE],--(T_TXN[TYPE]="Buy"),--(T_TXN[TICKER]=T_WATCHLIST[[#This Row],[Stock]])) -SUMPRODUCT(T_TXN[UNITS],T_TXN[PRICE],--(T_TXN[TYPE]="Sell"),--(T_TXN[TICKER]=T_WATCHLIST[[#This Row],[Stock]])))</f>
        <v/>
      </c>
      <c r="Z83" s="64" t="str" cm="1">
        <f t="array" ref="Z83">IFERROR(IF(ROW(T_WATCHLIST[[#This Row],[Stock]])-ROW(T_WATCHLIST[[#Headers],[Stock]])&gt;=C_CNT_STOCKS,"",_FV(T_WATCHLIST[[#This Row],[Stock]],"Industry",TRUE)),"Not Available")</f>
        <v/>
      </c>
      <c r="AA83" s="64" t="str" cm="1">
        <f t="array" ref="AA83">IFERROR(IF(ROW(T_WATCHLIST[[#This Row],[Stock]])-ROW(T_WATCHLIST[[#Headers],[Stock]])&gt;=C_CNT_STOCKS,"",_FV(T_WATCHLIST[[#This Row],[Stock]],"Instrument type",TRUE)),"Not Available")</f>
        <v/>
      </c>
    </row>
    <row r="84" spans="5:27" ht="22" customHeight="1">
      <c r="E84" s="89"/>
      <c r="F84" s="75" t="str" cm="1">
        <f t="array" ref="F84">IFERROR(IF(ROW(T_WATCHLIST[[#This Row],[Stock]])-ROW(T_WATCHLIST[[#Headers],[Stock]])&gt;C_CNT_STOCKS,"",INDEX(_xlfn.ANCHORARRAY(HELP!$G$2),ROW(T_WATCHLIST[[#This Row],[Stock]])-ROW(T_WATCHLIST[[#Headers],[Stock]]))),"")</f>
        <v/>
      </c>
      <c r="G84" s="80" t="str" cm="1">
        <f t="array" ref="G84">IFERROR(_xlfn.FIELDVALUE(T_WATCHLIST[[#This Row],[Stock]],"Ticker Symbol"),"")</f>
        <v/>
      </c>
      <c r="H84" s="117"/>
      <c r="I84" s="81" t="str">
        <f>IF(T_WATCHLIST[[#This Row],[Stock]]="","",SUMIFS(T_TXN[UNITS],T_TXN[TYPE],"Buy",T_TXN[TICKER],T_WATCHLIST[[#This Row],[Stock]])-SUMIFS(T_TXN[UNITS],T_TXN[TYPE],"Sell",T_TXN[TICKER],T_WATCHLIST[[#This Row],[Stock]])+SUMIFS(T_TXN[UNITS],T_TXN[TYPE],"Dividend Reinvestment",T_TXN[TICKER],T_WATCHLIST[[#This Row],[Stock]]))</f>
        <v/>
      </c>
      <c r="J84" s="75" t="str" cm="1">
        <f t="array" ref="J84">IFERROR(_xlfn.FIELDVALUE(T_WATCHLIST[[#This Row],[Stock]],"Price"),"")</f>
        <v/>
      </c>
      <c r="K84" s="82" t="str" cm="1">
        <f t="array" ref="K84">IFERROR(_xlfn.FIELDVALUE(T_WATCHLIST[[#This Row],[Stock]],"Change"),"")</f>
        <v/>
      </c>
      <c r="L84" s="83" t="str" cm="1">
        <f t="array" ref="L84">IFERROR(_xlfn.FIELDVALUE(T_WATCHLIST[[#This Row],[Stock]],"Change (%)"),"")</f>
        <v/>
      </c>
      <c r="M84" s="84" t="str">
        <f>IF(T_WATCHLIST[[#This Row],[Stock]]="","",T_WATCHLIST[[#This Row],[Quantity]]*T_WATCHLIST[[#This Row],[Last Price]])</f>
        <v/>
      </c>
      <c r="N84" s="85" t="str" cm="1">
        <f t="array" ref="N84">IF(T_WATCHLIST[[#This Row],[Stock]]="","",T_WATCHLIST[[#This Row],[Current Value]]-_xlfn.FIELDVALUE(T_WATCHLIST[[#This Row],[Stock]],"Previous Close")*T_WATCHLIST[[#This Row],[Quantity]])</f>
        <v/>
      </c>
      <c r="O84" s="86" t="str">
        <f>IFERROR(T_WATCHLIST[[#This Row],[Today''s Gain/Loss]]/(T_WATCHLIST[[#This Row],[Current Value]]-T_WATCHLIST[[#This Row],[Today''s Gain/Loss]]),"")</f>
        <v/>
      </c>
      <c r="P84" s="84" t="str">
        <f>IFERROR(T_WATCHLIST[[#This Row],[Current Value]]-T_WATCHLIST[[#This Row],[% Total Gain/Loss9]],"")</f>
        <v/>
      </c>
      <c r="Q84" s="87" t="str">
        <f>IFERROR(T_WATCHLIST[[#This Row],[Total Gain/Loss]]/T_WATCHLIST[[#This Row],[% Total Gain/Loss9]],"")</f>
        <v/>
      </c>
      <c r="R84" s="88" t="str" cm="1">
        <f t="array" ref="R84">IFERROR(_xlfn.FIELDVALUE(T_WATCHLIST[[#This Row],[Stock]],"52 week low"),"")</f>
        <v/>
      </c>
      <c r="S8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4" s="73" t="str" cm="1">
        <f t="array" ref="T84">IFERROR(_xlfn.FIELDVALUE(T_WATCHLIST[[#This Row],[Stock]],"52 week high"),"")</f>
        <v/>
      </c>
      <c r="U84" s="64" t="str" cm="1">
        <f t="array" ref="U84">IF(T_WATCHLIST[[#This Row],[Stock]]="","",SUMPRODUCT(T_TXN[UNITS],--(T_TXN[TYPE]="Buy"),--(T_TXN[TICKER]=T_WATCHLIST[[#This Row],[Stock]])))</f>
        <v/>
      </c>
      <c r="V84" s="67" t="str" cm="1">
        <f t="array" ref="V84">IF(T_WATCHLIST[[#This Row],[Stock]]="","",SUMPRODUCT(--(T_TXN[TYPE]="Buy"),T_TXN[UNITS],T_TXN[PRICE],--(T_TXN[TICKER]=T_WATCHLIST[[#This Row],[Stock]])))</f>
        <v/>
      </c>
      <c r="W84" s="64" t="str" cm="1">
        <f t="array" ref="W84">IF(T_WATCHLIST[[#This Row],[Stock]]="","",SUMPRODUCT(T_TXN[UNITS],--(T_TXN[TYPE]="Sell"),--(T_TXN[TICKER]=T_WATCHLIST[[#This Row],[Stock]])))</f>
        <v/>
      </c>
      <c r="X84" s="67" t="str" cm="1">
        <f t="array" ref="X84">IF(T_WATCHLIST[[#This Row],[Stock]]="","",SUMPRODUCT(--(T_TXN[TYPE]="Sell"),T_TXN[UNITS],T_TXN[PRICE],--(T_TXN[TICKER]=T_WATCHLIST[[#This Row],[Stock]])))</f>
        <v/>
      </c>
      <c r="Y84" s="67" t="str" cm="1">
        <f t="array" ref="Y84">IF(T_WATCHLIST[[#This Row],[Stock]]="","",SUMPRODUCT(T_TXN[UNITS],T_TXN[PRICE],--(T_TXN[TYPE]="Buy"),--(T_TXN[TICKER]=T_WATCHLIST[[#This Row],[Stock]])) -SUMPRODUCT(T_TXN[UNITS],T_TXN[PRICE],--(T_TXN[TYPE]="Sell"),--(T_TXN[TICKER]=T_WATCHLIST[[#This Row],[Stock]])))</f>
        <v/>
      </c>
      <c r="Z84" s="64" t="str" cm="1">
        <f t="array" ref="Z84">IFERROR(IF(ROW(T_WATCHLIST[[#This Row],[Stock]])-ROW(T_WATCHLIST[[#Headers],[Stock]])&gt;=C_CNT_STOCKS,"",_FV(T_WATCHLIST[[#This Row],[Stock]],"Industry",TRUE)),"Not Available")</f>
        <v/>
      </c>
      <c r="AA84" s="64" t="str" cm="1">
        <f t="array" ref="AA84">IFERROR(IF(ROW(T_WATCHLIST[[#This Row],[Stock]])-ROW(T_WATCHLIST[[#Headers],[Stock]])&gt;=C_CNT_STOCKS,"",_FV(T_WATCHLIST[[#This Row],[Stock]],"Instrument type",TRUE)),"Not Available")</f>
        <v/>
      </c>
    </row>
    <row r="85" spans="5:27" ht="22" customHeight="1">
      <c r="E85" s="89"/>
      <c r="F85" s="75" t="str" cm="1">
        <f t="array" ref="F85">IFERROR(IF(ROW(T_WATCHLIST[[#This Row],[Stock]])-ROW(T_WATCHLIST[[#Headers],[Stock]])&gt;C_CNT_STOCKS,"",INDEX(_xlfn.ANCHORARRAY(HELP!$G$2),ROW(T_WATCHLIST[[#This Row],[Stock]])-ROW(T_WATCHLIST[[#Headers],[Stock]]))),"")</f>
        <v/>
      </c>
      <c r="G85" s="80" t="str" cm="1">
        <f t="array" ref="G85">IFERROR(_xlfn.FIELDVALUE(T_WATCHLIST[[#This Row],[Stock]],"Ticker Symbol"),"")</f>
        <v/>
      </c>
      <c r="H85" s="117"/>
      <c r="I85" s="81" t="str">
        <f>IF(T_WATCHLIST[[#This Row],[Stock]]="","",SUMIFS(T_TXN[UNITS],T_TXN[TYPE],"Buy",T_TXN[TICKER],T_WATCHLIST[[#This Row],[Stock]])-SUMIFS(T_TXN[UNITS],T_TXN[TYPE],"Sell",T_TXN[TICKER],T_WATCHLIST[[#This Row],[Stock]])+SUMIFS(T_TXN[UNITS],T_TXN[TYPE],"Dividend Reinvestment",T_TXN[TICKER],T_WATCHLIST[[#This Row],[Stock]]))</f>
        <v/>
      </c>
      <c r="J85" s="75" t="str" cm="1">
        <f t="array" ref="J85">IFERROR(_xlfn.FIELDVALUE(T_WATCHLIST[[#This Row],[Stock]],"Price"),"")</f>
        <v/>
      </c>
      <c r="K85" s="82" t="str" cm="1">
        <f t="array" ref="K85">IFERROR(_xlfn.FIELDVALUE(T_WATCHLIST[[#This Row],[Stock]],"Change"),"")</f>
        <v/>
      </c>
      <c r="L85" s="83" t="str" cm="1">
        <f t="array" ref="L85">IFERROR(_xlfn.FIELDVALUE(T_WATCHLIST[[#This Row],[Stock]],"Change (%)"),"")</f>
        <v/>
      </c>
      <c r="M85" s="84" t="str">
        <f>IF(T_WATCHLIST[[#This Row],[Stock]]="","",T_WATCHLIST[[#This Row],[Quantity]]*T_WATCHLIST[[#This Row],[Last Price]])</f>
        <v/>
      </c>
      <c r="N85" s="85" t="str" cm="1">
        <f t="array" ref="N85">IF(T_WATCHLIST[[#This Row],[Stock]]="","",T_WATCHLIST[[#This Row],[Current Value]]-_xlfn.FIELDVALUE(T_WATCHLIST[[#This Row],[Stock]],"Previous Close")*T_WATCHLIST[[#This Row],[Quantity]])</f>
        <v/>
      </c>
      <c r="O85" s="86" t="str">
        <f>IFERROR(T_WATCHLIST[[#This Row],[Today''s Gain/Loss]]/(T_WATCHLIST[[#This Row],[Current Value]]-T_WATCHLIST[[#This Row],[Today''s Gain/Loss]]),"")</f>
        <v/>
      </c>
      <c r="P85" s="84" t="str">
        <f>IFERROR(T_WATCHLIST[[#This Row],[Current Value]]-T_WATCHLIST[[#This Row],[% Total Gain/Loss9]],"")</f>
        <v/>
      </c>
      <c r="Q85" s="87" t="str">
        <f>IFERROR(T_WATCHLIST[[#This Row],[Total Gain/Loss]]/T_WATCHLIST[[#This Row],[% Total Gain/Loss9]],"")</f>
        <v/>
      </c>
      <c r="R85" s="88" t="str" cm="1">
        <f t="array" ref="R85">IFERROR(_xlfn.FIELDVALUE(T_WATCHLIST[[#This Row],[Stock]],"52 week low"),"")</f>
        <v/>
      </c>
      <c r="S8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5" s="73" t="str" cm="1">
        <f t="array" ref="T85">IFERROR(_xlfn.FIELDVALUE(T_WATCHLIST[[#This Row],[Stock]],"52 week high"),"")</f>
        <v/>
      </c>
      <c r="U85" s="64" t="str" cm="1">
        <f t="array" ref="U85">IF(T_WATCHLIST[[#This Row],[Stock]]="","",SUMPRODUCT(T_TXN[UNITS],--(T_TXN[TYPE]="Buy"),--(T_TXN[TICKER]=T_WATCHLIST[[#This Row],[Stock]])))</f>
        <v/>
      </c>
      <c r="V85" s="67" t="str" cm="1">
        <f t="array" ref="V85">IF(T_WATCHLIST[[#This Row],[Stock]]="","",SUMPRODUCT(--(T_TXN[TYPE]="Buy"),T_TXN[UNITS],T_TXN[PRICE],--(T_TXN[TICKER]=T_WATCHLIST[[#This Row],[Stock]])))</f>
        <v/>
      </c>
      <c r="W85" s="64" t="str" cm="1">
        <f t="array" ref="W85">IF(T_WATCHLIST[[#This Row],[Stock]]="","",SUMPRODUCT(T_TXN[UNITS],--(T_TXN[TYPE]="Sell"),--(T_TXN[TICKER]=T_WATCHLIST[[#This Row],[Stock]])))</f>
        <v/>
      </c>
      <c r="X85" s="67" t="str" cm="1">
        <f t="array" ref="X85">IF(T_WATCHLIST[[#This Row],[Stock]]="","",SUMPRODUCT(--(T_TXN[TYPE]="Sell"),T_TXN[UNITS],T_TXN[PRICE],--(T_TXN[TICKER]=T_WATCHLIST[[#This Row],[Stock]])))</f>
        <v/>
      </c>
      <c r="Y85" s="67" t="str" cm="1">
        <f t="array" ref="Y85">IF(T_WATCHLIST[[#This Row],[Stock]]="","",SUMPRODUCT(T_TXN[UNITS],T_TXN[PRICE],--(T_TXN[TYPE]="Buy"),--(T_TXN[TICKER]=T_WATCHLIST[[#This Row],[Stock]])) -SUMPRODUCT(T_TXN[UNITS],T_TXN[PRICE],--(T_TXN[TYPE]="Sell"),--(T_TXN[TICKER]=T_WATCHLIST[[#This Row],[Stock]])))</f>
        <v/>
      </c>
      <c r="Z85" s="64" t="str" cm="1">
        <f t="array" ref="Z85">IFERROR(IF(ROW(T_WATCHLIST[[#This Row],[Stock]])-ROW(T_WATCHLIST[[#Headers],[Stock]])&gt;=C_CNT_STOCKS,"",_FV(T_WATCHLIST[[#This Row],[Stock]],"Industry",TRUE)),"Not Available")</f>
        <v/>
      </c>
      <c r="AA85" s="64" t="str" cm="1">
        <f t="array" ref="AA85">IFERROR(IF(ROW(T_WATCHLIST[[#This Row],[Stock]])-ROW(T_WATCHLIST[[#Headers],[Stock]])&gt;=C_CNT_STOCKS,"",_FV(T_WATCHLIST[[#This Row],[Stock]],"Instrument type",TRUE)),"Not Available")</f>
        <v/>
      </c>
    </row>
    <row r="86" spans="5:27" ht="22" customHeight="1">
      <c r="E86" s="89"/>
      <c r="F86" s="75" t="str" cm="1">
        <f t="array" ref="F86">IFERROR(IF(ROW(T_WATCHLIST[[#This Row],[Stock]])-ROW(T_WATCHLIST[[#Headers],[Stock]])&gt;C_CNT_STOCKS,"",INDEX(_xlfn.ANCHORARRAY(HELP!$G$2),ROW(T_WATCHLIST[[#This Row],[Stock]])-ROW(T_WATCHLIST[[#Headers],[Stock]]))),"")</f>
        <v/>
      </c>
      <c r="G86" s="80" t="str" cm="1">
        <f t="array" ref="G86">IFERROR(_xlfn.FIELDVALUE(T_WATCHLIST[[#This Row],[Stock]],"Ticker Symbol"),"")</f>
        <v/>
      </c>
      <c r="H86" s="117"/>
      <c r="I86" s="81" t="str">
        <f>IF(T_WATCHLIST[[#This Row],[Stock]]="","",SUMIFS(T_TXN[UNITS],T_TXN[TYPE],"Buy",T_TXN[TICKER],T_WATCHLIST[[#This Row],[Stock]])-SUMIFS(T_TXN[UNITS],T_TXN[TYPE],"Sell",T_TXN[TICKER],T_WATCHLIST[[#This Row],[Stock]])+SUMIFS(T_TXN[UNITS],T_TXN[TYPE],"Dividend Reinvestment",T_TXN[TICKER],T_WATCHLIST[[#This Row],[Stock]]))</f>
        <v/>
      </c>
      <c r="J86" s="75" t="str" cm="1">
        <f t="array" ref="J86">IFERROR(_xlfn.FIELDVALUE(T_WATCHLIST[[#This Row],[Stock]],"Price"),"")</f>
        <v/>
      </c>
      <c r="K86" s="82" t="str" cm="1">
        <f t="array" ref="K86">IFERROR(_xlfn.FIELDVALUE(T_WATCHLIST[[#This Row],[Stock]],"Change"),"")</f>
        <v/>
      </c>
      <c r="L86" s="83" t="str" cm="1">
        <f t="array" ref="L86">IFERROR(_xlfn.FIELDVALUE(T_WATCHLIST[[#This Row],[Stock]],"Change (%)"),"")</f>
        <v/>
      </c>
      <c r="M86" s="84" t="str">
        <f>IF(T_WATCHLIST[[#This Row],[Stock]]="","",T_WATCHLIST[[#This Row],[Quantity]]*T_WATCHLIST[[#This Row],[Last Price]])</f>
        <v/>
      </c>
      <c r="N86" s="85" t="str" cm="1">
        <f t="array" ref="N86">IF(T_WATCHLIST[[#This Row],[Stock]]="","",T_WATCHLIST[[#This Row],[Current Value]]-_xlfn.FIELDVALUE(T_WATCHLIST[[#This Row],[Stock]],"Previous Close")*T_WATCHLIST[[#This Row],[Quantity]])</f>
        <v/>
      </c>
      <c r="O86" s="86" t="str">
        <f>IFERROR(T_WATCHLIST[[#This Row],[Today''s Gain/Loss]]/(T_WATCHLIST[[#This Row],[Current Value]]-T_WATCHLIST[[#This Row],[Today''s Gain/Loss]]),"")</f>
        <v/>
      </c>
      <c r="P86" s="84" t="str">
        <f>IFERROR(T_WATCHLIST[[#This Row],[Current Value]]-T_WATCHLIST[[#This Row],[% Total Gain/Loss9]],"")</f>
        <v/>
      </c>
      <c r="Q86" s="87" t="str">
        <f>IFERROR(T_WATCHLIST[[#This Row],[Total Gain/Loss]]/T_WATCHLIST[[#This Row],[% Total Gain/Loss9]],"")</f>
        <v/>
      </c>
      <c r="R86" s="88" t="str" cm="1">
        <f t="array" ref="R86">IFERROR(_xlfn.FIELDVALUE(T_WATCHLIST[[#This Row],[Stock]],"52 week low"),"")</f>
        <v/>
      </c>
      <c r="S8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6" s="73" t="str" cm="1">
        <f t="array" ref="T86">IFERROR(_xlfn.FIELDVALUE(T_WATCHLIST[[#This Row],[Stock]],"52 week high"),"")</f>
        <v/>
      </c>
      <c r="U86" s="64" t="str" cm="1">
        <f t="array" ref="U86">IF(T_WATCHLIST[[#This Row],[Stock]]="","",SUMPRODUCT(T_TXN[UNITS],--(T_TXN[TYPE]="Buy"),--(T_TXN[TICKER]=T_WATCHLIST[[#This Row],[Stock]])))</f>
        <v/>
      </c>
      <c r="V86" s="67" t="str" cm="1">
        <f t="array" ref="V86">IF(T_WATCHLIST[[#This Row],[Stock]]="","",SUMPRODUCT(--(T_TXN[TYPE]="Buy"),T_TXN[UNITS],T_TXN[PRICE],--(T_TXN[TICKER]=T_WATCHLIST[[#This Row],[Stock]])))</f>
        <v/>
      </c>
      <c r="W86" s="64" t="str" cm="1">
        <f t="array" ref="W86">IF(T_WATCHLIST[[#This Row],[Stock]]="","",SUMPRODUCT(T_TXN[UNITS],--(T_TXN[TYPE]="Sell"),--(T_TXN[TICKER]=T_WATCHLIST[[#This Row],[Stock]])))</f>
        <v/>
      </c>
      <c r="X86" s="67" t="str" cm="1">
        <f t="array" ref="X86">IF(T_WATCHLIST[[#This Row],[Stock]]="","",SUMPRODUCT(--(T_TXN[TYPE]="Sell"),T_TXN[UNITS],T_TXN[PRICE],--(T_TXN[TICKER]=T_WATCHLIST[[#This Row],[Stock]])))</f>
        <v/>
      </c>
      <c r="Y86" s="67" t="str" cm="1">
        <f t="array" ref="Y86">IF(T_WATCHLIST[[#This Row],[Stock]]="","",SUMPRODUCT(T_TXN[UNITS],T_TXN[PRICE],--(T_TXN[TYPE]="Buy"),--(T_TXN[TICKER]=T_WATCHLIST[[#This Row],[Stock]])) -SUMPRODUCT(T_TXN[UNITS],T_TXN[PRICE],--(T_TXN[TYPE]="Sell"),--(T_TXN[TICKER]=T_WATCHLIST[[#This Row],[Stock]])))</f>
        <v/>
      </c>
      <c r="Z86" s="64" t="str" cm="1">
        <f t="array" ref="Z86">IFERROR(IF(ROW(T_WATCHLIST[[#This Row],[Stock]])-ROW(T_WATCHLIST[[#Headers],[Stock]])&gt;=C_CNT_STOCKS,"",_FV(T_WATCHLIST[[#This Row],[Stock]],"Industry",TRUE)),"Not Available")</f>
        <v/>
      </c>
      <c r="AA86" s="64" t="str" cm="1">
        <f t="array" ref="AA86">IFERROR(IF(ROW(T_WATCHLIST[[#This Row],[Stock]])-ROW(T_WATCHLIST[[#Headers],[Stock]])&gt;=C_CNT_STOCKS,"",_FV(T_WATCHLIST[[#This Row],[Stock]],"Instrument type",TRUE)),"Not Available")</f>
        <v/>
      </c>
    </row>
    <row r="87" spans="5:27" ht="22" customHeight="1">
      <c r="E87" s="89"/>
      <c r="F87" s="75" t="str" cm="1">
        <f t="array" ref="F87">IFERROR(IF(ROW(T_WATCHLIST[[#This Row],[Stock]])-ROW(T_WATCHLIST[[#Headers],[Stock]])&gt;C_CNT_STOCKS,"",INDEX(_xlfn.ANCHORARRAY(HELP!$G$2),ROW(T_WATCHLIST[[#This Row],[Stock]])-ROW(T_WATCHLIST[[#Headers],[Stock]]))),"")</f>
        <v/>
      </c>
      <c r="G87" s="80" t="str" cm="1">
        <f t="array" ref="G87">IFERROR(_xlfn.FIELDVALUE(T_WATCHLIST[[#This Row],[Stock]],"Ticker Symbol"),"")</f>
        <v/>
      </c>
      <c r="H87" s="117"/>
      <c r="I87" s="81" t="str">
        <f>IF(T_WATCHLIST[[#This Row],[Stock]]="","",SUMIFS(T_TXN[UNITS],T_TXN[TYPE],"Buy",T_TXN[TICKER],T_WATCHLIST[[#This Row],[Stock]])-SUMIFS(T_TXN[UNITS],T_TXN[TYPE],"Sell",T_TXN[TICKER],T_WATCHLIST[[#This Row],[Stock]])+SUMIFS(T_TXN[UNITS],T_TXN[TYPE],"Dividend Reinvestment",T_TXN[TICKER],T_WATCHLIST[[#This Row],[Stock]]))</f>
        <v/>
      </c>
      <c r="J87" s="75" t="str" cm="1">
        <f t="array" ref="J87">IFERROR(_xlfn.FIELDVALUE(T_WATCHLIST[[#This Row],[Stock]],"Price"),"")</f>
        <v/>
      </c>
      <c r="K87" s="82" t="str" cm="1">
        <f t="array" ref="K87">IFERROR(_xlfn.FIELDVALUE(T_WATCHLIST[[#This Row],[Stock]],"Change"),"")</f>
        <v/>
      </c>
      <c r="L87" s="83" t="str" cm="1">
        <f t="array" ref="L87">IFERROR(_xlfn.FIELDVALUE(T_WATCHLIST[[#This Row],[Stock]],"Change (%)"),"")</f>
        <v/>
      </c>
      <c r="M87" s="84" t="str">
        <f>IF(T_WATCHLIST[[#This Row],[Stock]]="","",T_WATCHLIST[[#This Row],[Quantity]]*T_WATCHLIST[[#This Row],[Last Price]])</f>
        <v/>
      </c>
      <c r="N87" s="85" t="str" cm="1">
        <f t="array" ref="N87">IF(T_WATCHLIST[[#This Row],[Stock]]="","",T_WATCHLIST[[#This Row],[Current Value]]-_xlfn.FIELDVALUE(T_WATCHLIST[[#This Row],[Stock]],"Previous Close")*T_WATCHLIST[[#This Row],[Quantity]])</f>
        <v/>
      </c>
      <c r="O87" s="86" t="str">
        <f>IFERROR(T_WATCHLIST[[#This Row],[Today''s Gain/Loss]]/(T_WATCHLIST[[#This Row],[Current Value]]-T_WATCHLIST[[#This Row],[Today''s Gain/Loss]]),"")</f>
        <v/>
      </c>
      <c r="P87" s="84" t="str">
        <f>IFERROR(T_WATCHLIST[[#This Row],[Current Value]]-T_WATCHLIST[[#This Row],[% Total Gain/Loss9]],"")</f>
        <v/>
      </c>
      <c r="Q87" s="87" t="str">
        <f>IFERROR(T_WATCHLIST[[#This Row],[Total Gain/Loss]]/T_WATCHLIST[[#This Row],[% Total Gain/Loss9]],"")</f>
        <v/>
      </c>
      <c r="R87" s="88" t="str" cm="1">
        <f t="array" ref="R87">IFERROR(_xlfn.FIELDVALUE(T_WATCHLIST[[#This Row],[Stock]],"52 week low"),"")</f>
        <v/>
      </c>
      <c r="S8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7" s="73" t="str" cm="1">
        <f t="array" ref="T87">IFERROR(_xlfn.FIELDVALUE(T_WATCHLIST[[#This Row],[Stock]],"52 week high"),"")</f>
        <v/>
      </c>
      <c r="U87" s="64" t="str" cm="1">
        <f t="array" ref="U87">IF(T_WATCHLIST[[#This Row],[Stock]]="","",SUMPRODUCT(T_TXN[UNITS],--(T_TXN[TYPE]="Buy"),--(T_TXN[TICKER]=T_WATCHLIST[[#This Row],[Stock]])))</f>
        <v/>
      </c>
      <c r="V87" s="67" t="str" cm="1">
        <f t="array" ref="V87">IF(T_WATCHLIST[[#This Row],[Stock]]="","",SUMPRODUCT(--(T_TXN[TYPE]="Buy"),T_TXN[UNITS],T_TXN[PRICE],--(T_TXN[TICKER]=T_WATCHLIST[[#This Row],[Stock]])))</f>
        <v/>
      </c>
      <c r="W87" s="64" t="str" cm="1">
        <f t="array" ref="W87">IF(T_WATCHLIST[[#This Row],[Stock]]="","",SUMPRODUCT(T_TXN[UNITS],--(T_TXN[TYPE]="Sell"),--(T_TXN[TICKER]=T_WATCHLIST[[#This Row],[Stock]])))</f>
        <v/>
      </c>
      <c r="X87" s="67" t="str" cm="1">
        <f t="array" ref="X87">IF(T_WATCHLIST[[#This Row],[Stock]]="","",SUMPRODUCT(--(T_TXN[TYPE]="Sell"),T_TXN[UNITS],T_TXN[PRICE],--(T_TXN[TICKER]=T_WATCHLIST[[#This Row],[Stock]])))</f>
        <v/>
      </c>
      <c r="Y87" s="67" t="str" cm="1">
        <f t="array" ref="Y87">IF(T_WATCHLIST[[#This Row],[Stock]]="","",SUMPRODUCT(T_TXN[UNITS],T_TXN[PRICE],--(T_TXN[TYPE]="Buy"),--(T_TXN[TICKER]=T_WATCHLIST[[#This Row],[Stock]])) -SUMPRODUCT(T_TXN[UNITS],T_TXN[PRICE],--(T_TXN[TYPE]="Sell"),--(T_TXN[TICKER]=T_WATCHLIST[[#This Row],[Stock]])))</f>
        <v/>
      </c>
      <c r="Z87" s="64" t="str" cm="1">
        <f t="array" ref="Z87">IFERROR(IF(ROW(T_WATCHLIST[[#This Row],[Stock]])-ROW(T_WATCHLIST[[#Headers],[Stock]])&gt;=C_CNT_STOCKS,"",_FV(T_WATCHLIST[[#This Row],[Stock]],"Industry",TRUE)),"Not Available")</f>
        <v/>
      </c>
      <c r="AA87" s="64" t="str" cm="1">
        <f t="array" ref="AA87">IFERROR(IF(ROW(T_WATCHLIST[[#This Row],[Stock]])-ROW(T_WATCHLIST[[#Headers],[Stock]])&gt;=C_CNT_STOCKS,"",_FV(T_WATCHLIST[[#This Row],[Stock]],"Instrument type",TRUE)),"Not Available")</f>
        <v/>
      </c>
    </row>
    <row r="88" spans="5:27" ht="22" customHeight="1">
      <c r="E88" s="89"/>
      <c r="F88" s="75" t="str" cm="1">
        <f t="array" ref="F88">IFERROR(IF(ROW(T_WATCHLIST[[#This Row],[Stock]])-ROW(T_WATCHLIST[[#Headers],[Stock]])&gt;C_CNT_STOCKS,"",INDEX(_xlfn.ANCHORARRAY(HELP!$G$2),ROW(T_WATCHLIST[[#This Row],[Stock]])-ROW(T_WATCHLIST[[#Headers],[Stock]]))),"")</f>
        <v/>
      </c>
      <c r="G88" s="80" t="str" cm="1">
        <f t="array" ref="G88">IFERROR(_xlfn.FIELDVALUE(T_WATCHLIST[[#This Row],[Stock]],"Ticker Symbol"),"")</f>
        <v/>
      </c>
      <c r="H88" s="117"/>
      <c r="I88" s="81" t="str">
        <f>IF(T_WATCHLIST[[#This Row],[Stock]]="","",SUMIFS(T_TXN[UNITS],T_TXN[TYPE],"Buy",T_TXN[TICKER],T_WATCHLIST[[#This Row],[Stock]])-SUMIFS(T_TXN[UNITS],T_TXN[TYPE],"Sell",T_TXN[TICKER],T_WATCHLIST[[#This Row],[Stock]])+SUMIFS(T_TXN[UNITS],T_TXN[TYPE],"Dividend Reinvestment",T_TXN[TICKER],T_WATCHLIST[[#This Row],[Stock]]))</f>
        <v/>
      </c>
      <c r="J88" s="75" t="str" cm="1">
        <f t="array" ref="J88">IFERROR(_xlfn.FIELDVALUE(T_WATCHLIST[[#This Row],[Stock]],"Price"),"")</f>
        <v/>
      </c>
      <c r="K88" s="82" t="str" cm="1">
        <f t="array" ref="K88">IFERROR(_xlfn.FIELDVALUE(T_WATCHLIST[[#This Row],[Stock]],"Change"),"")</f>
        <v/>
      </c>
      <c r="L88" s="83" t="str" cm="1">
        <f t="array" ref="L88">IFERROR(_xlfn.FIELDVALUE(T_WATCHLIST[[#This Row],[Stock]],"Change (%)"),"")</f>
        <v/>
      </c>
      <c r="M88" s="84" t="str">
        <f>IF(T_WATCHLIST[[#This Row],[Stock]]="","",T_WATCHLIST[[#This Row],[Quantity]]*T_WATCHLIST[[#This Row],[Last Price]])</f>
        <v/>
      </c>
      <c r="N88" s="85" t="str" cm="1">
        <f t="array" ref="N88">IF(T_WATCHLIST[[#This Row],[Stock]]="","",T_WATCHLIST[[#This Row],[Current Value]]-_xlfn.FIELDVALUE(T_WATCHLIST[[#This Row],[Stock]],"Previous Close")*T_WATCHLIST[[#This Row],[Quantity]])</f>
        <v/>
      </c>
      <c r="O88" s="86" t="str">
        <f>IFERROR(T_WATCHLIST[[#This Row],[Today''s Gain/Loss]]/(T_WATCHLIST[[#This Row],[Current Value]]-T_WATCHLIST[[#This Row],[Today''s Gain/Loss]]),"")</f>
        <v/>
      </c>
      <c r="P88" s="84" t="str">
        <f>IFERROR(T_WATCHLIST[[#This Row],[Current Value]]-T_WATCHLIST[[#This Row],[% Total Gain/Loss9]],"")</f>
        <v/>
      </c>
      <c r="Q88" s="87" t="str">
        <f>IFERROR(T_WATCHLIST[[#This Row],[Total Gain/Loss]]/T_WATCHLIST[[#This Row],[% Total Gain/Loss9]],"")</f>
        <v/>
      </c>
      <c r="R88" s="88" t="str" cm="1">
        <f t="array" ref="R88">IFERROR(_xlfn.FIELDVALUE(T_WATCHLIST[[#This Row],[Stock]],"52 week low"),"")</f>
        <v/>
      </c>
      <c r="S88"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8" s="73" t="str" cm="1">
        <f t="array" ref="T88">IFERROR(_xlfn.FIELDVALUE(T_WATCHLIST[[#This Row],[Stock]],"52 week high"),"")</f>
        <v/>
      </c>
      <c r="U88" s="64" t="str" cm="1">
        <f t="array" ref="U88">IF(T_WATCHLIST[[#This Row],[Stock]]="","",SUMPRODUCT(T_TXN[UNITS],--(T_TXN[TYPE]="Buy"),--(T_TXN[TICKER]=T_WATCHLIST[[#This Row],[Stock]])))</f>
        <v/>
      </c>
      <c r="V88" s="67" t="str" cm="1">
        <f t="array" ref="V88">IF(T_WATCHLIST[[#This Row],[Stock]]="","",SUMPRODUCT(--(T_TXN[TYPE]="Buy"),T_TXN[UNITS],T_TXN[PRICE],--(T_TXN[TICKER]=T_WATCHLIST[[#This Row],[Stock]])))</f>
        <v/>
      </c>
      <c r="W88" s="64" t="str" cm="1">
        <f t="array" ref="W88">IF(T_WATCHLIST[[#This Row],[Stock]]="","",SUMPRODUCT(T_TXN[UNITS],--(T_TXN[TYPE]="Sell"),--(T_TXN[TICKER]=T_WATCHLIST[[#This Row],[Stock]])))</f>
        <v/>
      </c>
      <c r="X88" s="67" t="str" cm="1">
        <f t="array" ref="X88">IF(T_WATCHLIST[[#This Row],[Stock]]="","",SUMPRODUCT(--(T_TXN[TYPE]="Sell"),T_TXN[UNITS],T_TXN[PRICE],--(T_TXN[TICKER]=T_WATCHLIST[[#This Row],[Stock]])))</f>
        <v/>
      </c>
      <c r="Y88" s="67" t="str" cm="1">
        <f t="array" ref="Y88">IF(T_WATCHLIST[[#This Row],[Stock]]="","",SUMPRODUCT(T_TXN[UNITS],T_TXN[PRICE],--(T_TXN[TYPE]="Buy"),--(T_TXN[TICKER]=T_WATCHLIST[[#This Row],[Stock]])) -SUMPRODUCT(T_TXN[UNITS],T_TXN[PRICE],--(T_TXN[TYPE]="Sell"),--(T_TXN[TICKER]=T_WATCHLIST[[#This Row],[Stock]])))</f>
        <v/>
      </c>
      <c r="Z88" s="64" t="str" cm="1">
        <f t="array" ref="Z88">IFERROR(IF(ROW(T_WATCHLIST[[#This Row],[Stock]])-ROW(T_WATCHLIST[[#Headers],[Stock]])&gt;=C_CNT_STOCKS,"",_FV(T_WATCHLIST[[#This Row],[Stock]],"Industry",TRUE)),"Not Available")</f>
        <v/>
      </c>
      <c r="AA88" s="64" t="str" cm="1">
        <f t="array" ref="AA88">IFERROR(IF(ROW(T_WATCHLIST[[#This Row],[Stock]])-ROW(T_WATCHLIST[[#Headers],[Stock]])&gt;=C_CNT_STOCKS,"",_FV(T_WATCHLIST[[#This Row],[Stock]],"Instrument type",TRUE)),"Not Available")</f>
        <v/>
      </c>
    </row>
    <row r="89" spans="5:27" ht="22" customHeight="1">
      <c r="E89" s="89"/>
      <c r="F89" s="75" t="str" cm="1">
        <f t="array" ref="F89">IFERROR(IF(ROW(T_WATCHLIST[[#This Row],[Stock]])-ROW(T_WATCHLIST[[#Headers],[Stock]])&gt;C_CNT_STOCKS,"",INDEX(_xlfn.ANCHORARRAY(HELP!$G$2),ROW(T_WATCHLIST[[#This Row],[Stock]])-ROW(T_WATCHLIST[[#Headers],[Stock]]))),"")</f>
        <v/>
      </c>
      <c r="G89" s="80" t="str" cm="1">
        <f t="array" ref="G89">IFERROR(_xlfn.FIELDVALUE(T_WATCHLIST[[#This Row],[Stock]],"Ticker Symbol"),"")</f>
        <v/>
      </c>
      <c r="H89" s="117"/>
      <c r="I89" s="81" t="str">
        <f>IF(T_WATCHLIST[[#This Row],[Stock]]="","",SUMIFS(T_TXN[UNITS],T_TXN[TYPE],"Buy",T_TXN[TICKER],T_WATCHLIST[[#This Row],[Stock]])-SUMIFS(T_TXN[UNITS],T_TXN[TYPE],"Sell",T_TXN[TICKER],T_WATCHLIST[[#This Row],[Stock]])+SUMIFS(T_TXN[UNITS],T_TXN[TYPE],"Dividend Reinvestment",T_TXN[TICKER],T_WATCHLIST[[#This Row],[Stock]]))</f>
        <v/>
      </c>
      <c r="J89" s="75" t="str" cm="1">
        <f t="array" ref="J89">IFERROR(_xlfn.FIELDVALUE(T_WATCHLIST[[#This Row],[Stock]],"Price"),"")</f>
        <v/>
      </c>
      <c r="K89" s="82" t="str" cm="1">
        <f t="array" ref="K89">IFERROR(_xlfn.FIELDVALUE(T_WATCHLIST[[#This Row],[Stock]],"Change"),"")</f>
        <v/>
      </c>
      <c r="L89" s="83" t="str" cm="1">
        <f t="array" ref="L89">IFERROR(_xlfn.FIELDVALUE(T_WATCHLIST[[#This Row],[Stock]],"Change (%)"),"")</f>
        <v/>
      </c>
      <c r="M89" s="84" t="str">
        <f>IF(T_WATCHLIST[[#This Row],[Stock]]="","",T_WATCHLIST[[#This Row],[Quantity]]*T_WATCHLIST[[#This Row],[Last Price]])</f>
        <v/>
      </c>
      <c r="N89" s="85" t="str" cm="1">
        <f t="array" ref="N89">IF(T_WATCHLIST[[#This Row],[Stock]]="","",T_WATCHLIST[[#This Row],[Current Value]]-_xlfn.FIELDVALUE(T_WATCHLIST[[#This Row],[Stock]],"Previous Close")*T_WATCHLIST[[#This Row],[Quantity]])</f>
        <v/>
      </c>
      <c r="O89" s="86" t="str">
        <f>IFERROR(T_WATCHLIST[[#This Row],[Today''s Gain/Loss]]/(T_WATCHLIST[[#This Row],[Current Value]]-T_WATCHLIST[[#This Row],[Today''s Gain/Loss]]),"")</f>
        <v/>
      </c>
      <c r="P89" s="84" t="str">
        <f>IFERROR(T_WATCHLIST[[#This Row],[Current Value]]-T_WATCHLIST[[#This Row],[% Total Gain/Loss9]],"")</f>
        <v/>
      </c>
      <c r="Q89" s="87" t="str">
        <f>IFERROR(T_WATCHLIST[[#This Row],[Total Gain/Loss]]/T_WATCHLIST[[#This Row],[% Total Gain/Loss9]],"")</f>
        <v/>
      </c>
      <c r="R89" s="88" t="str" cm="1">
        <f t="array" ref="R89">IFERROR(_xlfn.FIELDVALUE(T_WATCHLIST[[#This Row],[Stock]],"52 week low"),"")</f>
        <v/>
      </c>
      <c r="S89"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89" s="73" t="str" cm="1">
        <f t="array" ref="T89">IFERROR(_xlfn.FIELDVALUE(T_WATCHLIST[[#This Row],[Stock]],"52 week high"),"")</f>
        <v/>
      </c>
      <c r="U89" s="64" t="str" cm="1">
        <f t="array" ref="U89">IF(T_WATCHLIST[[#This Row],[Stock]]="","",SUMPRODUCT(T_TXN[UNITS],--(T_TXN[TYPE]="Buy"),--(T_TXN[TICKER]=T_WATCHLIST[[#This Row],[Stock]])))</f>
        <v/>
      </c>
      <c r="V89" s="67" t="str" cm="1">
        <f t="array" ref="V89">IF(T_WATCHLIST[[#This Row],[Stock]]="","",SUMPRODUCT(--(T_TXN[TYPE]="Buy"),T_TXN[UNITS],T_TXN[PRICE],--(T_TXN[TICKER]=T_WATCHLIST[[#This Row],[Stock]])))</f>
        <v/>
      </c>
      <c r="W89" s="64" t="str" cm="1">
        <f t="array" ref="W89">IF(T_WATCHLIST[[#This Row],[Stock]]="","",SUMPRODUCT(T_TXN[UNITS],--(T_TXN[TYPE]="Sell"),--(T_TXN[TICKER]=T_WATCHLIST[[#This Row],[Stock]])))</f>
        <v/>
      </c>
      <c r="X89" s="67" t="str" cm="1">
        <f t="array" ref="X89">IF(T_WATCHLIST[[#This Row],[Stock]]="","",SUMPRODUCT(--(T_TXN[TYPE]="Sell"),T_TXN[UNITS],T_TXN[PRICE],--(T_TXN[TICKER]=T_WATCHLIST[[#This Row],[Stock]])))</f>
        <v/>
      </c>
      <c r="Y89" s="67" t="str" cm="1">
        <f t="array" ref="Y89">IF(T_WATCHLIST[[#This Row],[Stock]]="","",SUMPRODUCT(T_TXN[UNITS],T_TXN[PRICE],--(T_TXN[TYPE]="Buy"),--(T_TXN[TICKER]=T_WATCHLIST[[#This Row],[Stock]])) -SUMPRODUCT(T_TXN[UNITS],T_TXN[PRICE],--(T_TXN[TYPE]="Sell"),--(T_TXN[TICKER]=T_WATCHLIST[[#This Row],[Stock]])))</f>
        <v/>
      </c>
      <c r="Z89" s="64" t="str" cm="1">
        <f t="array" ref="Z89">IFERROR(IF(ROW(T_WATCHLIST[[#This Row],[Stock]])-ROW(T_WATCHLIST[[#Headers],[Stock]])&gt;=C_CNT_STOCKS,"",_FV(T_WATCHLIST[[#This Row],[Stock]],"Industry",TRUE)),"Not Available")</f>
        <v/>
      </c>
      <c r="AA89" s="64" t="str" cm="1">
        <f t="array" ref="AA89">IFERROR(IF(ROW(T_WATCHLIST[[#This Row],[Stock]])-ROW(T_WATCHLIST[[#Headers],[Stock]])&gt;=C_CNT_STOCKS,"",_FV(T_WATCHLIST[[#This Row],[Stock]],"Instrument type",TRUE)),"Not Available")</f>
        <v/>
      </c>
    </row>
    <row r="90" spans="5:27" ht="22" customHeight="1">
      <c r="E90" s="89"/>
      <c r="F90" s="75" t="str" cm="1">
        <f t="array" ref="F90">IFERROR(IF(ROW(T_WATCHLIST[[#This Row],[Stock]])-ROW(T_WATCHLIST[[#Headers],[Stock]])&gt;C_CNT_STOCKS,"",INDEX(_xlfn.ANCHORARRAY(HELP!$G$2),ROW(T_WATCHLIST[[#This Row],[Stock]])-ROW(T_WATCHLIST[[#Headers],[Stock]]))),"")</f>
        <v/>
      </c>
      <c r="G90" s="80" t="str" cm="1">
        <f t="array" ref="G90">IFERROR(_xlfn.FIELDVALUE(T_WATCHLIST[[#This Row],[Stock]],"Ticker Symbol"),"")</f>
        <v/>
      </c>
      <c r="H90" s="117"/>
      <c r="I90" s="81" t="str">
        <f>IF(T_WATCHLIST[[#This Row],[Stock]]="","",SUMIFS(T_TXN[UNITS],T_TXN[TYPE],"Buy",T_TXN[TICKER],T_WATCHLIST[[#This Row],[Stock]])-SUMIFS(T_TXN[UNITS],T_TXN[TYPE],"Sell",T_TXN[TICKER],T_WATCHLIST[[#This Row],[Stock]])+SUMIFS(T_TXN[UNITS],T_TXN[TYPE],"Dividend Reinvestment",T_TXN[TICKER],T_WATCHLIST[[#This Row],[Stock]]))</f>
        <v/>
      </c>
      <c r="J90" s="75" t="str" cm="1">
        <f t="array" ref="J90">IFERROR(_xlfn.FIELDVALUE(T_WATCHLIST[[#This Row],[Stock]],"Price"),"")</f>
        <v/>
      </c>
      <c r="K90" s="82" t="str" cm="1">
        <f t="array" ref="K90">IFERROR(_xlfn.FIELDVALUE(T_WATCHLIST[[#This Row],[Stock]],"Change"),"")</f>
        <v/>
      </c>
      <c r="L90" s="83" t="str" cm="1">
        <f t="array" ref="L90">IFERROR(_xlfn.FIELDVALUE(T_WATCHLIST[[#This Row],[Stock]],"Change (%)"),"")</f>
        <v/>
      </c>
      <c r="M90" s="84" t="str">
        <f>IF(T_WATCHLIST[[#This Row],[Stock]]="","",T_WATCHLIST[[#This Row],[Quantity]]*T_WATCHLIST[[#This Row],[Last Price]])</f>
        <v/>
      </c>
      <c r="N90" s="85" t="str" cm="1">
        <f t="array" ref="N90">IF(T_WATCHLIST[[#This Row],[Stock]]="","",T_WATCHLIST[[#This Row],[Current Value]]-_xlfn.FIELDVALUE(T_WATCHLIST[[#This Row],[Stock]],"Previous Close")*T_WATCHLIST[[#This Row],[Quantity]])</f>
        <v/>
      </c>
      <c r="O90" s="86" t="str">
        <f>IFERROR(T_WATCHLIST[[#This Row],[Today''s Gain/Loss]]/(T_WATCHLIST[[#This Row],[Current Value]]-T_WATCHLIST[[#This Row],[Today''s Gain/Loss]]),"")</f>
        <v/>
      </c>
      <c r="P90" s="84" t="str">
        <f>IFERROR(T_WATCHLIST[[#This Row],[Current Value]]-T_WATCHLIST[[#This Row],[% Total Gain/Loss9]],"")</f>
        <v/>
      </c>
      <c r="Q90" s="87" t="str">
        <f>IFERROR(T_WATCHLIST[[#This Row],[Total Gain/Loss]]/T_WATCHLIST[[#This Row],[% Total Gain/Loss9]],"")</f>
        <v/>
      </c>
      <c r="R90" s="88" t="str" cm="1">
        <f t="array" ref="R90">IFERROR(_xlfn.FIELDVALUE(T_WATCHLIST[[#This Row],[Stock]],"52 week low"),"")</f>
        <v/>
      </c>
      <c r="S90"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0" s="73" t="str" cm="1">
        <f t="array" ref="T90">IFERROR(_xlfn.FIELDVALUE(T_WATCHLIST[[#This Row],[Stock]],"52 week high"),"")</f>
        <v/>
      </c>
      <c r="U90" s="64" t="str" cm="1">
        <f t="array" ref="U90">IF(T_WATCHLIST[[#This Row],[Stock]]="","",SUMPRODUCT(T_TXN[UNITS],--(T_TXN[TYPE]="Buy"),--(T_TXN[TICKER]=T_WATCHLIST[[#This Row],[Stock]])))</f>
        <v/>
      </c>
      <c r="V90" s="67" t="str" cm="1">
        <f t="array" ref="V90">IF(T_WATCHLIST[[#This Row],[Stock]]="","",SUMPRODUCT(--(T_TXN[TYPE]="Buy"),T_TXN[UNITS],T_TXN[PRICE],--(T_TXN[TICKER]=T_WATCHLIST[[#This Row],[Stock]])))</f>
        <v/>
      </c>
      <c r="W90" s="64" t="str" cm="1">
        <f t="array" ref="W90">IF(T_WATCHLIST[[#This Row],[Stock]]="","",SUMPRODUCT(T_TXN[UNITS],--(T_TXN[TYPE]="Sell"),--(T_TXN[TICKER]=T_WATCHLIST[[#This Row],[Stock]])))</f>
        <v/>
      </c>
      <c r="X90" s="67" t="str" cm="1">
        <f t="array" ref="X90">IF(T_WATCHLIST[[#This Row],[Stock]]="","",SUMPRODUCT(--(T_TXN[TYPE]="Sell"),T_TXN[UNITS],T_TXN[PRICE],--(T_TXN[TICKER]=T_WATCHLIST[[#This Row],[Stock]])))</f>
        <v/>
      </c>
      <c r="Y90" s="67" t="str" cm="1">
        <f t="array" ref="Y90">IF(T_WATCHLIST[[#This Row],[Stock]]="","",SUMPRODUCT(T_TXN[UNITS],T_TXN[PRICE],--(T_TXN[TYPE]="Buy"),--(T_TXN[TICKER]=T_WATCHLIST[[#This Row],[Stock]])) -SUMPRODUCT(T_TXN[UNITS],T_TXN[PRICE],--(T_TXN[TYPE]="Sell"),--(T_TXN[TICKER]=T_WATCHLIST[[#This Row],[Stock]])))</f>
        <v/>
      </c>
      <c r="Z90" s="64" t="str" cm="1">
        <f t="array" ref="Z90">IFERROR(IF(ROW(T_WATCHLIST[[#This Row],[Stock]])-ROW(T_WATCHLIST[[#Headers],[Stock]])&gt;=C_CNT_STOCKS,"",_FV(T_WATCHLIST[[#This Row],[Stock]],"Industry",TRUE)),"Not Available")</f>
        <v/>
      </c>
      <c r="AA90" s="64" t="str" cm="1">
        <f t="array" ref="AA90">IFERROR(IF(ROW(T_WATCHLIST[[#This Row],[Stock]])-ROW(T_WATCHLIST[[#Headers],[Stock]])&gt;=C_CNT_STOCKS,"",_FV(T_WATCHLIST[[#This Row],[Stock]],"Instrument type",TRUE)),"Not Available")</f>
        <v/>
      </c>
    </row>
    <row r="91" spans="5:27" ht="22" customHeight="1">
      <c r="E91" s="89"/>
      <c r="F91" s="75" t="str" cm="1">
        <f t="array" ref="F91">IFERROR(IF(ROW(T_WATCHLIST[[#This Row],[Stock]])-ROW(T_WATCHLIST[[#Headers],[Stock]])&gt;C_CNT_STOCKS,"",INDEX(_xlfn.ANCHORARRAY(HELP!$G$2),ROW(T_WATCHLIST[[#This Row],[Stock]])-ROW(T_WATCHLIST[[#Headers],[Stock]]))),"")</f>
        <v/>
      </c>
      <c r="G91" s="80" t="str" cm="1">
        <f t="array" ref="G91">IFERROR(_xlfn.FIELDVALUE(T_WATCHLIST[[#This Row],[Stock]],"Ticker Symbol"),"")</f>
        <v/>
      </c>
      <c r="H91" s="117"/>
      <c r="I91" s="81" t="str">
        <f>IF(T_WATCHLIST[[#This Row],[Stock]]="","",SUMIFS(T_TXN[UNITS],T_TXN[TYPE],"Buy",T_TXN[TICKER],T_WATCHLIST[[#This Row],[Stock]])-SUMIFS(T_TXN[UNITS],T_TXN[TYPE],"Sell",T_TXN[TICKER],T_WATCHLIST[[#This Row],[Stock]])+SUMIFS(T_TXN[UNITS],T_TXN[TYPE],"Dividend Reinvestment",T_TXN[TICKER],T_WATCHLIST[[#This Row],[Stock]]))</f>
        <v/>
      </c>
      <c r="J91" s="75" t="str" cm="1">
        <f t="array" ref="J91">IFERROR(_xlfn.FIELDVALUE(T_WATCHLIST[[#This Row],[Stock]],"Price"),"")</f>
        <v/>
      </c>
      <c r="K91" s="82" t="str" cm="1">
        <f t="array" ref="K91">IFERROR(_xlfn.FIELDVALUE(T_WATCHLIST[[#This Row],[Stock]],"Change"),"")</f>
        <v/>
      </c>
      <c r="L91" s="83" t="str" cm="1">
        <f t="array" ref="L91">IFERROR(_xlfn.FIELDVALUE(T_WATCHLIST[[#This Row],[Stock]],"Change (%)"),"")</f>
        <v/>
      </c>
      <c r="M91" s="84" t="str">
        <f>IF(T_WATCHLIST[[#This Row],[Stock]]="","",T_WATCHLIST[[#This Row],[Quantity]]*T_WATCHLIST[[#This Row],[Last Price]])</f>
        <v/>
      </c>
      <c r="N91" s="85" t="str" cm="1">
        <f t="array" ref="N91">IF(T_WATCHLIST[[#This Row],[Stock]]="","",T_WATCHLIST[[#This Row],[Current Value]]-_xlfn.FIELDVALUE(T_WATCHLIST[[#This Row],[Stock]],"Previous Close")*T_WATCHLIST[[#This Row],[Quantity]])</f>
        <v/>
      </c>
      <c r="O91" s="86" t="str">
        <f>IFERROR(T_WATCHLIST[[#This Row],[Today''s Gain/Loss]]/(T_WATCHLIST[[#This Row],[Current Value]]-T_WATCHLIST[[#This Row],[Today''s Gain/Loss]]),"")</f>
        <v/>
      </c>
      <c r="P91" s="84" t="str">
        <f>IFERROR(T_WATCHLIST[[#This Row],[Current Value]]-T_WATCHLIST[[#This Row],[% Total Gain/Loss9]],"")</f>
        <v/>
      </c>
      <c r="Q91" s="87" t="str">
        <f>IFERROR(T_WATCHLIST[[#This Row],[Total Gain/Loss]]/T_WATCHLIST[[#This Row],[% Total Gain/Loss9]],"")</f>
        <v/>
      </c>
      <c r="R91" s="88" t="str" cm="1">
        <f t="array" ref="R91">IFERROR(_xlfn.FIELDVALUE(T_WATCHLIST[[#This Row],[Stock]],"52 week low"),"")</f>
        <v/>
      </c>
      <c r="S91"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1" s="73" t="str" cm="1">
        <f t="array" ref="T91">IFERROR(_xlfn.FIELDVALUE(T_WATCHLIST[[#This Row],[Stock]],"52 week high"),"")</f>
        <v/>
      </c>
      <c r="U91" s="64" t="str" cm="1">
        <f t="array" ref="U91">IF(T_WATCHLIST[[#This Row],[Stock]]="","",SUMPRODUCT(T_TXN[UNITS],--(T_TXN[TYPE]="Buy"),--(T_TXN[TICKER]=T_WATCHLIST[[#This Row],[Stock]])))</f>
        <v/>
      </c>
      <c r="V91" s="67" t="str" cm="1">
        <f t="array" ref="V91">IF(T_WATCHLIST[[#This Row],[Stock]]="","",SUMPRODUCT(--(T_TXN[TYPE]="Buy"),T_TXN[UNITS],T_TXN[PRICE],--(T_TXN[TICKER]=T_WATCHLIST[[#This Row],[Stock]])))</f>
        <v/>
      </c>
      <c r="W91" s="64" t="str" cm="1">
        <f t="array" ref="W91">IF(T_WATCHLIST[[#This Row],[Stock]]="","",SUMPRODUCT(T_TXN[UNITS],--(T_TXN[TYPE]="Sell"),--(T_TXN[TICKER]=T_WATCHLIST[[#This Row],[Stock]])))</f>
        <v/>
      </c>
      <c r="X91" s="67" t="str" cm="1">
        <f t="array" ref="X91">IF(T_WATCHLIST[[#This Row],[Stock]]="","",SUMPRODUCT(--(T_TXN[TYPE]="Sell"),T_TXN[UNITS],T_TXN[PRICE],--(T_TXN[TICKER]=T_WATCHLIST[[#This Row],[Stock]])))</f>
        <v/>
      </c>
      <c r="Y91" s="67" t="str" cm="1">
        <f t="array" ref="Y91">IF(T_WATCHLIST[[#This Row],[Stock]]="","",SUMPRODUCT(T_TXN[UNITS],T_TXN[PRICE],--(T_TXN[TYPE]="Buy"),--(T_TXN[TICKER]=T_WATCHLIST[[#This Row],[Stock]])) -SUMPRODUCT(T_TXN[UNITS],T_TXN[PRICE],--(T_TXN[TYPE]="Sell"),--(T_TXN[TICKER]=T_WATCHLIST[[#This Row],[Stock]])))</f>
        <v/>
      </c>
      <c r="Z91" s="64" t="str" cm="1">
        <f t="array" ref="Z91">IFERROR(IF(ROW(T_WATCHLIST[[#This Row],[Stock]])-ROW(T_WATCHLIST[[#Headers],[Stock]])&gt;=C_CNT_STOCKS,"",_FV(T_WATCHLIST[[#This Row],[Stock]],"Industry",TRUE)),"Not Available")</f>
        <v/>
      </c>
      <c r="AA91" s="64" t="str" cm="1">
        <f t="array" ref="AA91">IFERROR(IF(ROW(T_WATCHLIST[[#This Row],[Stock]])-ROW(T_WATCHLIST[[#Headers],[Stock]])&gt;=C_CNT_STOCKS,"",_FV(T_WATCHLIST[[#This Row],[Stock]],"Instrument type",TRUE)),"Not Available")</f>
        <v/>
      </c>
    </row>
    <row r="92" spans="5:27" ht="22" customHeight="1">
      <c r="E92" s="89"/>
      <c r="F92" s="75" t="str" cm="1">
        <f t="array" ref="F92">IFERROR(IF(ROW(T_WATCHLIST[[#This Row],[Stock]])-ROW(T_WATCHLIST[[#Headers],[Stock]])&gt;C_CNT_STOCKS,"",INDEX(_xlfn.ANCHORARRAY(HELP!$G$2),ROW(T_WATCHLIST[[#This Row],[Stock]])-ROW(T_WATCHLIST[[#Headers],[Stock]]))),"")</f>
        <v/>
      </c>
      <c r="G92" s="80" t="str" cm="1">
        <f t="array" ref="G92">IFERROR(_xlfn.FIELDVALUE(T_WATCHLIST[[#This Row],[Stock]],"Ticker Symbol"),"")</f>
        <v/>
      </c>
      <c r="H92" s="117"/>
      <c r="I92" s="81" t="str">
        <f>IF(T_WATCHLIST[[#This Row],[Stock]]="","",SUMIFS(T_TXN[UNITS],T_TXN[TYPE],"Buy",T_TXN[TICKER],T_WATCHLIST[[#This Row],[Stock]])-SUMIFS(T_TXN[UNITS],T_TXN[TYPE],"Sell",T_TXN[TICKER],T_WATCHLIST[[#This Row],[Stock]])+SUMIFS(T_TXN[UNITS],T_TXN[TYPE],"Dividend Reinvestment",T_TXN[TICKER],T_WATCHLIST[[#This Row],[Stock]]))</f>
        <v/>
      </c>
      <c r="J92" s="75" t="str" cm="1">
        <f t="array" ref="J92">IFERROR(_xlfn.FIELDVALUE(T_WATCHLIST[[#This Row],[Stock]],"Price"),"")</f>
        <v/>
      </c>
      <c r="K92" s="82" t="str" cm="1">
        <f t="array" ref="K92">IFERROR(_xlfn.FIELDVALUE(T_WATCHLIST[[#This Row],[Stock]],"Change"),"")</f>
        <v/>
      </c>
      <c r="L92" s="83" t="str" cm="1">
        <f t="array" ref="L92">IFERROR(_xlfn.FIELDVALUE(T_WATCHLIST[[#This Row],[Stock]],"Change (%)"),"")</f>
        <v/>
      </c>
      <c r="M92" s="84" t="str">
        <f>IF(T_WATCHLIST[[#This Row],[Stock]]="","",T_WATCHLIST[[#This Row],[Quantity]]*T_WATCHLIST[[#This Row],[Last Price]])</f>
        <v/>
      </c>
      <c r="N92" s="85" t="str" cm="1">
        <f t="array" ref="N92">IF(T_WATCHLIST[[#This Row],[Stock]]="","",T_WATCHLIST[[#This Row],[Current Value]]-_xlfn.FIELDVALUE(T_WATCHLIST[[#This Row],[Stock]],"Previous Close")*T_WATCHLIST[[#This Row],[Quantity]])</f>
        <v/>
      </c>
      <c r="O92" s="86" t="str">
        <f>IFERROR(T_WATCHLIST[[#This Row],[Today''s Gain/Loss]]/(T_WATCHLIST[[#This Row],[Current Value]]-T_WATCHLIST[[#This Row],[Today''s Gain/Loss]]),"")</f>
        <v/>
      </c>
      <c r="P92" s="84" t="str">
        <f>IFERROR(T_WATCHLIST[[#This Row],[Current Value]]-T_WATCHLIST[[#This Row],[% Total Gain/Loss9]],"")</f>
        <v/>
      </c>
      <c r="Q92" s="87" t="str">
        <f>IFERROR(T_WATCHLIST[[#This Row],[Total Gain/Loss]]/T_WATCHLIST[[#This Row],[% Total Gain/Loss9]],"")</f>
        <v/>
      </c>
      <c r="R92" s="88" t="str" cm="1">
        <f t="array" ref="R92">IFERROR(_xlfn.FIELDVALUE(T_WATCHLIST[[#This Row],[Stock]],"52 week low"),"")</f>
        <v/>
      </c>
      <c r="S92"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2" s="73" t="str" cm="1">
        <f t="array" ref="T92">IFERROR(_xlfn.FIELDVALUE(T_WATCHLIST[[#This Row],[Stock]],"52 week high"),"")</f>
        <v/>
      </c>
      <c r="U92" s="64" t="str" cm="1">
        <f t="array" ref="U92">IF(T_WATCHLIST[[#This Row],[Stock]]="","",SUMPRODUCT(T_TXN[UNITS],--(T_TXN[TYPE]="Buy"),--(T_TXN[TICKER]=T_WATCHLIST[[#This Row],[Stock]])))</f>
        <v/>
      </c>
      <c r="V92" s="67" t="str" cm="1">
        <f t="array" ref="V92">IF(T_WATCHLIST[[#This Row],[Stock]]="","",SUMPRODUCT(--(T_TXN[TYPE]="Buy"),T_TXN[UNITS],T_TXN[PRICE],--(T_TXN[TICKER]=T_WATCHLIST[[#This Row],[Stock]])))</f>
        <v/>
      </c>
      <c r="W92" s="64" t="str" cm="1">
        <f t="array" ref="W92">IF(T_WATCHLIST[[#This Row],[Stock]]="","",SUMPRODUCT(T_TXN[UNITS],--(T_TXN[TYPE]="Sell"),--(T_TXN[TICKER]=T_WATCHLIST[[#This Row],[Stock]])))</f>
        <v/>
      </c>
      <c r="X92" s="67" t="str" cm="1">
        <f t="array" ref="X92">IF(T_WATCHLIST[[#This Row],[Stock]]="","",SUMPRODUCT(--(T_TXN[TYPE]="Sell"),T_TXN[UNITS],T_TXN[PRICE],--(T_TXN[TICKER]=T_WATCHLIST[[#This Row],[Stock]])))</f>
        <v/>
      </c>
      <c r="Y92" s="67" t="str" cm="1">
        <f t="array" ref="Y92">IF(T_WATCHLIST[[#This Row],[Stock]]="","",SUMPRODUCT(T_TXN[UNITS],T_TXN[PRICE],--(T_TXN[TYPE]="Buy"),--(T_TXN[TICKER]=T_WATCHLIST[[#This Row],[Stock]])) -SUMPRODUCT(T_TXN[UNITS],T_TXN[PRICE],--(T_TXN[TYPE]="Sell"),--(T_TXN[TICKER]=T_WATCHLIST[[#This Row],[Stock]])))</f>
        <v/>
      </c>
      <c r="Z92" s="64" t="str" cm="1">
        <f t="array" ref="Z92">IFERROR(IF(ROW(T_WATCHLIST[[#This Row],[Stock]])-ROW(T_WATCHLIST[[#Headers],[Stock]])&gt;=C_CNT_STOCKS,"",_FV(T_WATCHLIST[[#This Row],[Stock]],"Industry",TRUE)),"Not Available")</f>
        <v/>
      </c>
      <c r="AA92" s="64" t="str" cm="1">
        <f t="array" ref="AA92">IFERROR(IF(ROW(T_WATCHLIST[[#This Row],[Stock]])-ROW(T_WATCHLIST[[#Headers],[Stock]])&gt;=C_CNT_STOCKS,"",_FV(T_WATCHLIST[[#This Row],[Stock]],"Instrument type",TRUE)),"Not Available")</f>
        <v/>
      </c>
    </row>
    <row r="93" spans="5:27" ht="22" customHeight="1">
      <c r="E93" s="89"/>
      <c r="F93" s="75" t="str" cm="1">
        <f t="array" ref="F93">IFERROR(IF(ROW(T_WATCHLIST[[#This Row],[Stock]])-ROW(T_WATCHLIST[[#Headers],[Stock]])&gt;C_CNT_STOCKS,"",INDEX(_xlfn.ANCHORARRAY(HELP!$G$2),ROW(T_WATCHLIST[[#This Row],[Stock]])-ROW(T_WATCHLIST[[#Headers],[Stock]]))),"")</f>
        <v/>
      </c>
      <c r="G93" s="80" t="str" cm="1">
        <f t="array" ref="G93">IFERROR(_xlfn.FIELDVALUE(T_WATCHLIST[[#This Row],[Stock]],"Ticker Symbol"),"")</f>
        <v/>
      </c>
      <c r="H93" s="117"/>
      <c r="I93" s="81" t="str">
        <f>IF(T_WATCHLIST[[#This Row],[Stock]]="","",SUMIFS(T_TXN[UNITS],T_TXN[TYPE],"Buy",T_TXN[TICKER],T_WATCHLIST[[#This Row],[Stock]])-SUMIFS(T_TXN[UNITS],T_TXN[TYPE],"Sell",T_TXN[TICKER],T_WATCHLIST[[#This Row],[Stock]])+SUMIFS(T_TXN[UNITS],T_TXN[TYPE],"Dividend Reinvestment",T_TXN[TICKER],T_WATCHLIST[[#This Row],[Stock]]))</f>
        <v/>
      </c>
      <c r="J93" s="75" t="str" cm="1">
        <f t="array" ref="J93">IFERROR(_xlfn.FIELDVALUE(T_WATCHLIST[[#This Row],[Stock]],"Price"),"")</f>
        <v/>
      </c>
      <c r="K93" s="82" t="str" cm="1">
        <f t="array" ref="K93">IFERROR(_xlfn.FIELDVALUE(T_WATCHLIST[[#This Row],[Stock]],"Change"),"")</f>
        <v/>
      </c>
      <c r="L93" s="83" t="str" cm="1">
        <f t="array" ref="L93">IFERROR(_xlfn.FIELDVALUE(T_WATCHLIST[[#This Row],[Stock]],"Change (%)"),"")</f>
        <v/>
      </c>
      <c r="M93" s="84" t="str">
        <f>IF(T_WATCHLIST[[#This Row],[Stock]]="","",T_WATCHLIST[[#This Row],[Quantity]]*T_WATCHLIST[[#This Row],[Last Price]])</f>
        <v/>
      </c>
      <c r="N93" s="85" t="str" cm="1">
        <f t="array" ref="N93">IF(T_WATCHLIST[[#This Row],[Stock]]="","",T_WATCHLIST[[#This Row],[Current Value]]-_xlfn.FIELDVALUE(T_WATCHLIST[[#This Row],[Stock]],"Previous Close")*T_WATCHLIST[[#This Row],[Quantity]])</f>
        <v/>
      </c>
      <c r="O93" s="86" t="str">
        <f>IFERROR(T_WATCHLIST[[#This Row],[Today''s Gain/Loss]]/(T_WATCHLIST[[#This Row],[Current Value]]-T_WATCHLIST[[#This Row],[Today''s Gain/Loss]]),"")</f>
        <v/>
      </c>
      <c r="P93" s="84" t="str">
        <f>IFERROR(T_WATCHLIST[[#This Row],[Current Value]]-T_WATCHLIST[[#This Row],[% Total Gain/Loss9]],"")</f>
        <v/>
      </c>
      <c r="Q93" s="87" t="str">
        <f>IFERROR(T_WATCHLIST[[#This Row],[Total Gain/Loss]]/T_WATCHLIST[[#This Row],[% Total Gain/Loss9]],"")</f>
        <v/>
      </c>
      <c r="R93" s="88" t="str" cm="1">
        <f t="array" ref="R93">IFERROR(_xlfn.FIELDVALUE(T_WATCHLIST[[#This Row],[Stock]],"52 week low"),"")</f>
        <v/>
      </c>
      <c r="S93"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3" s="73" t="str" cm="1">
        <f t="array" ref="T93">IFERROR(_xlfn.FIELDVALUE(T_WATCHLIST[[#This Row],[Stock]],"52 week high"),"")</f>
        <v/>
      </c>
      <c r="U93" s="64" t="str" cm="1">
        <f t="array" ref="U93">IF(T_WATCHLIST[[#This Row],[Stock]]="","",SUMPRODUCT(T_TXN[UNITS],--(T_TXN[TYPE]="Buy"),--(T_TXN[TICKER]=T_WATCHLIST[[#This Row],[Stock]])))</f>
        <v/>
      </c>
      <c r="V93" s="67" t="str" cm="1">
        <f t="array" ref="V93">IF(T_WATCHLIST[[#This Row],[Stock]]="","",SUMPRODUCT(--(T_TXN[TYPE]="Buy"),T_TXN[UNITS],T_TXN[PRICE],--(T_TXN[TICKER]=T_WATCHLIST[[#This Row],[Stock]])))</f>
        <v/>
      </c>
      <c r="W93" s="64" t="str" cm="1">
        <f t="array" ref="W93">IF(T_WATCHLIST[[#This Row],[Stock]]="","",SUMPRODUCT(T_TXN[UNITS],--(T_TXN[TYPE]="Sell"),--(T_TXN[TICKER]=T_WATCHLIST[[#This Row],[Stock]])))</f>
        <v/>
      </c>
      <c r="X93" s="67" t="str" cm="1">
        <f t="array" ref="X93">IF(T_WATCHLIST[[#This Row],[Stock]]="","",SUMPRODUCT(--(T_TXN[TYPE]="Sell"),T_TXN[UNITS],T_TXN[PRICE],--(T_TXN[TICKER]=T_WATCHLIST[[#This Row],[Stock]])))</f>
        <v/>
      </c>
      <c r="Y93" s="67" t="str" cm="1">
        <f t="array" ref="Y93">IF(T_WATCHLIST[[#This Row],[Stock]]="","",SUMPRODUCT(T_TXN[UNITS],T_TXN[PRICE],--(T_TXN[TYPE]="Buy"),--(T_TXN[TICKER]=T_WATCHLIST[[#This Row],[Stock]])) -SUMPRODUCT(T_TXN[UNITS],T_TXN[PRICE],--(T_TXN[TYPE]="Sell"),--(T_TXN[TICKER]=T_WATCHLIST[[#This Row],[Stock]])))</f>
        <v/>
      </c>
      <c r="Z93" s="64" t="str" cm="1">
        <f t="array" ref="Z93">IFERROR(IF(ROW(T_WATCHLIST[[#This Row],[Stock]])-ROW(T_WATCHLIST[[#Headers],[Stock]])&gt;=C_CNT_STOCKS,"",_FV(T_WATCHLIST[[#This Row],[Stock]],"Industry",TRUE)),"Not Available")</f>
        <v/>
      </c>
      <c r="AA93" s="64" t="str" cm="1">
        <f t="array" ref="AA93">IFERROR(IF(ROW(T_WATCHLIST[[#This Row],[Stock]])-ROW(T_WATCHLIST[[#Headers],[Stock]])&gt;=C_CNT_STOCKS,"",_FV(T_WATCHLIST[[#This Row],[Stock]],"Instrument type",TRUE)),"Not Available")</f>
        <v/>
      </c>
    </row>
    <row r="94" spans="5:27" ht="22" customHeight="1">
      <c r="E94" s="89"/>
      <c r="F94" s="75" t="str" cm="1">
        <f t="array" ref="F94">IFERROR(IF(ROW(T_WATCHLIST[[#This Row],[Stock]])-ROW(T_WATCHLIST[[#Headers],[Stock]])&gt;C_CNT_STOCKS,"",INDEX(_xlfn.ANCHORARRAY(HELP!$G$2),ROW(T_WATCHLIST[[#This Row],[Stock]])-ROW(T_WATCHLIST[[#Headers],[Stock]]))),"")</f>
        <v/>
      </c>
      <c r="G94" s="80" t="str" cm="1">
        <f t="array" ref="G94">IFERROR(_xlfn.FIELDVALUE(T_WATCHLIST[[#This Row],[Stock]],"Ticker Symbol"),"")</f>
        <v/>
      </c>
      <c r="H94" s="117"/>
      <c r="I94" s="81" t="str">
        <f>IF(T_WATCHLIST[[#This Row],[Stock]]="","",SUMIFS(T_TXN[UNITS],T_TXN[TYPE],"Buy",T_TXN[TICKER],T_WATCHLIST[[#This Row],[Stock]])-SUMIFS(T_TXN[UNITS],T_TXN[TYPE],"Sell",T_TXN[TICKER],T_WATCHLIST[[#This Row],[Stock]])+SUMIFS(T_TXN[UNITS],T_TXN[TYPE],"Dividend Reinvestment",T_TXN[TICKER],T_WATCHLIST[[#This Row],[Stock]]))</f>
        <v/>
      </c>
      <c r="J94" s="75" t="str" cm="1">
        <f t="array" ref="J94">IFERROR(_xlfn.FIELDVALUE(T_WATCHLIST[[#This Row],[Stock]],"Price"),"")</f>
        <v/>
      </c>
      <c r="K94" s="82" t="str" cm="1">
        <f t="array" ref="K94">IFERROR(_xlfn.FIELDVALUE(T_WATCHLIST[[#This Row],[Stock]],"Change"),"")</f>
        <v/>
      </c>
      <c r="L94" s="83" t="str" cm="1">
        <f t="array" ref="L94">IFERROR(_xlfn.FIELDVALUE(T_WATCHLIST[[#This Row],[Stock]],"Change (%)"),"")</f>
        <v/>
      </c>
      <c r="M94" s="84" t="str">
        <f>IF(T_WATCHLIST[[#This Row],[Stock]]="","",T_WATCHLIST[[#This Row],[Quantity]]*T_WATCHLIST[[#This Row],[Last Price]])</f>
        <v/>
      </c>
      <c r="N94" s="85" t="str" cm="1">
        <f t="array" ref="N94">IF(T_WATCHLIST[[#This Row],[Stock]]="","",T_WATCHLIST[[#This Row],[Current Value]]-_xlfn.FIELDVALUE(T_WATCHLIST[[#This Row],[Stock]],"Previous Close")*T_WATCHLIST[[#This Row],[Quantity]])</f>
        <v/>
      </c>
      <c r="O94" s="86" t="str">
        <f>IFERROR(T_WATCHLIST[[#This Row],[Today''s Gain/Loss]]/(T_WATCHLIST[[#This Row],[Current Value]]-T_WATCHLIST[[#This Row],[Today''s Gain/Loss]]),"")</f>
        <v/>
      </c>
      <c r="P94" s="84" t="str">
        <f>IFERROR(T_WATCHLIST[[#This Row],[Current Value]]-T_WATCHLIST[[#This Row],[% Total Gain/Loss9]],"")</f>
        <v/>
      </c>
      <c r="Q94" s="87" t="str">
        <f>IFERROR(T_WATCHLIST[[#This Row],[Total Gain/Loss]]/T_WATCHLIST[[#This Row],[% Total Gain/Loss9]],"")</f>
        <v/>
      </c>
      <c r="R94" s="88" t="str" cm="1">
        <f t="array" ref="R94">IFERROR(_xlfn.FIELDVALUE(T_WATCHLIST[[#This Row],[Stock]],"52 week low"),"")</f>
        <v/>
      </c>
      <c r="S94"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4" s="73" t="str" cm="1">
        <f t="array" ref="T94">IFERROR(_xlfn.FIELDVALUE(T_WATCHLIST[[#This Row],[Stock]],"52 week high"),"")</f>
        <v/>
      </c>
      <c r="U94" s="64" t="str" cm="1">
        <f t="array" ref="U94">IF(T_WATCHLIST[[#This Row],[Stock]]="","",SUMPRODUCT(T_TXN[UNITS],--(T_TXN[TYPE]="Buy"),--(T_TXN[TICKER]=T_WATCHLIST[[#This Row],[Stock]])))</f>
        <v/>
      </c>
      <c r="V94" s="67" t="str" cm="1">
        <f t="array" ref="V94">IF(T_WATCHLIST[[#This Row],[Stock]]="","",SUMPRODUCT(--(T_TXN[TYPE]="Buy"),T_TXN[UNITS],T_TXN[PRICE],--(T_TXN[TICKER]=T_WATCHLIST[[#This Row],[Stock]])))</f>
        <v/>
      </c>
      <c r="W94" s="64" t="str" cm="1">
        <f t="array" ref="W94">IF(T_WATCHLIST[[#This Row],[Stock]]="","",SUMPRODUCT(T_TXN[UNITS],--(T_TXN[TYPE]="Sell"),--(T_TXN[TICKER]=T_WATCHLIST[[#This Row],[Stock]])))</f>
        <v/>
      </c>
      <c r="X94" s="67" t="str" cm="1">
        <f t="array" ref="X94">IF(T_WATCHLIST[[#This Row],[Stock]]="","",SUMPRODUCT(--(T_TXN[TYPE]="Sell"),T_TXN[UNITS],T_TXN[PRICE],--(T_TXN[TICKER]=T_WATCHLIST[[#This Row],[Stock]])))</f>
        <v/>
      </c>
      <c r="Y94" s="67" t="str" cm="1">
        <f t="array" ref="Y94">IF(T_WATCHLIST[[#This Row],[Stock]]="","",SUMPRODUCT(T_TXN[UNITS],T_TXN[PRICE],--(T_TXN[TYPE]="Buy"),--(T_TXN[TICKER]=T_WATCHLIST[[#This Row],[Stock]])) -SUMPRODUCT(T_TXN[UNITS],T_TXN[PRICE],--(T_TXN[TYPE]="Sell"),--(T_TXN[TICKER]=T_WATCHLIST[[#This Row],[Stock]])))</f>
        <v/>
      </c>
      <c r="Z94" s="64" t="str" cm="1">
        <f t="array" ref="Z94">IFERROR(IF(ROW(T_WATCHLIST[[#This Row],[Stock]])-ROW(T_WATCHLIST[[#Headers],[Stock]])&gt;=C_CNT_STOCKS,"",_FV(T_WATCHLIST[[#This Row],[Stock]],"Industry",TRUE)),"Not Available")</f>
        <v/>
      </c>
      <c r="AA94" s="64" t="str" cm="1">
        <f t="array" ref="AA94">IFERROR(IF(ROW(T_WATCHLIST[[#This Row],[Stock]])-ROW(T_WATCHLIST[[#Headers],[Stock]])&gt;=C_CNT_STOCKS,"",_FV(T_WATCHLIST[[#This Row],[Stock]],"Instrument type",TRUE)),"Not Available")</f>
        <v/>
      </c>
    </row>
    <row r="95" spans="5:27" ht="22" customHeight="1">
      <c r="E95" s="89"/>
      <c r="F95" s="75" t="str" cm="1">
        <f t="array" ref="F95">IFERROR(IF(ROW(T_WATCHLIST[[#This Row],[Stock]])-ROW(T_WATCHLIST[[#Headers],[Stock]])&gt;C_CNT_STOCKS,"",INDEX(_xlfn.ANCHORARRAY(HELP!$G$2),ROW(T_WATCHLIST[[#This Row],[Stock]])-ROW(T_WATCHLIST[[#Headers],[Stock]]))),"")</f>
        <v/>
      </c>
      <c r="G95" s="80" t="str" cm="1">
        <f t="array" ref="G95">IFERROR(_xlfn.FIELDVALUE(T_WATCHLIST[[#This Row],[Stock]],"Ticker Symbol"),"")</f>
        <v/>
      </c>
      <c r="H95" s="117"/>
      <c r="I95" s="81" t="str">
        <f>IF(T_WATCHLIST[[#This Row],[Stock]]="","",SUMIFS(T_TXN[UNITS],T_TXN[TYPE],"Buy",T_TXN[TICKER],T_WATCHLIST[[#This Row],[Stock]])-SUMIFS(T_TXN[UNITS],T_TXN[TYPE],"Sell",T_TXN[TICKER],T_WATCHLIST[[#This Row],[Stock]])+SUMIFS(T_TXN[UNITS],T_TXN[TYPE],"Dividend Reinvestment",T_TXN[TICKER],T_WATCHLIST[[#This Row],[Stock]]))</f>
        <v/>
      </c>
      <c r="J95" s="75" t="str" cm="1">
        <f t="array" ref="J95">IFERROR(_xlfn.FIELDVALUE(T_WATCHLIST[[#This Row],[Stock]],"Price"),"")</f>
        <v/>
      </c>
      <c r="K95" s="82" t="str" cm="1">
        <f t="array" ref="K95">IFERROR(_xlfn.FIELDVALUE(T_WATCHLIST[[#This Row],[Stock]],"Change"),"")</f>
        <v/>
      </c>
      <c r="L95" s="83" t="str" cm="1">
        <f t="array" ref="L95">IFERROR(_xlfn.FIELDVALUE(T_WATCHLIST[[#This Row],[Stock]],"Change (%)"),"")</f>
        <v/>
      </c>
      <c r="M95" s="84" t="str">
        <f>IF(T_WATCHLIST[[#This Row],[Stock]]="","",T_WATCHLIST[[#This Row],[Quantity]]*T_WATCHLIST[[#This Row],[Last Price]])</f>
        <v/>
      </c>
      <c r="N95" s="85" t="str" cm="1">
        <f t="array" ref="N95">IF(T_WATCHLIST[[#This Row],[Stock]]="","",T_WATCHLIST[[#This Row],[Current Value]]-_xlfn.FIELDVALUE(T_WATCHLIST[[#This Row],[Stock]],"Previous Close")*T_WATCHLIST[[#This Row],[Quantity]])</f>
        <v/>
      </c>
      <c r="O95" s="86" t="str">
        <f>IFERROR(T_WATCHLIST[[#This Row],[Today''s Gain/Loss]]/(T_WATCHLIST[[#This Row],[Current Value]]-T_WATCHLIST[[#This Row],[Today''s Gain/Loss]]),"")</f>
        <v/>
      </c>
      <c r="P95" s="84" t="str">
        <f>IFERROR(T_WATCHLIST[[#This Row],[Current Value]]-T_WATCHLIST[[#This Row],[% Total Gain/Loss9]],"")</f>
        <v/>
      </c>
      <c r="Q95" s="87" t="str">
        <f>IFERROR(T_WATCHLIST[[#This Row],[Total Gain/Loss]]/T_WATCHLIST[[#This Row],[% Total Gain/Loss9]],"")</f>
        <v/>
      </c>
      <c r="R95" s="88" t="str" cm="1">
        <f t="array" ref="R95">IFERROR(_xlfn.FIELDVALUE(T_WATCHLIST[[#This Row],[Stock]],"52 week low"),"")</f>
        <v/>
      </c>
      <c r="S95"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5" s="73" t="str" cm="1">
        <f t="array" ref="T95">IFERROR(_xlfn.FIELDVALUE(T_WATCHLIST[[#This Row],[Stock]],"52 week high"),"")</f>
        <v/>
      </c>
      <c r="U95" s="64" t="str" cm="1">
        <f t="array" ref="U95">IF(T_WATCHLIST[[#This Row],[Stock]]="","",SUMPRODUCT(T_TXN[UNITS],--(T_TXN[TYPE]="Buy"),--(T_TXN[TICKER]=T_WATCHLIST[[#This Row],[Stock]])))</f>
        <v/>
      </c>
      <c r="V95" s="67" t="str" cm="1">
        <f t="array" ref="V95">IF(T_WATCHLIST[[#This Row],[Stock]]="","",SUMPRODUCT(--(T_TXN[TYPE]="Buy"),T_TXN[UNITS],T_TXN[PRICE],--(T_TXN[TICKER]=T_WATCHLIST[[#This Row],[Stock]])))</f>
        <v/>
      </c>
      <c r="W95" s="64" t="str" cm="1">
        <f t="array" ref="W95">IF(T_WATCHLIST[[#This Row],[Stock]]="","",SUMPRODUCT(T_TXN[UNITS],--(T_TXN[TYPE]="Sell"),--(T_TXN[TICKER]=T_WATCHLIST[[#This Row],[Stock]])))</f>
        <v/>
      </c>
      <c r="X95" s="67" t="str" cm="1">
        <f t="array" ref="X95">IF(T_WATCHLIST[[#This Row],[Stock]]="","",SUMPRODUCT(--(T_TXN[TYPE]="Sell"),T_TXN[UNITS],T_TXN[PRICE],--(T_TXN[TICKER]=T_WATCHLIST[[#This Row],[Stock]])))</f>
        <v/>
      </c>
      <c r="Y95" s="67" t="str" cm="1">
        <f t="array" ref="Y95">IF(T_WATCHLIST[[#This Row],[Stock]]="","",SUMPRODUCT(T_TXN[UNITS],T_TXN[PRICE],--(T_TXN[TYPE]="Buy"),--(T_TXN[TICKER]=T_WATCHLIST[[#This Row],[Stock]])) -SUMPRODUCT(T_TXN[UNITS],T_TXN[PRICE],--(T_TXN[TYPE]="Sell"),--(T_TXN[TICKER]=T_WATCHLIST[[#This Row],[Stock]])))</f>
        <v/>
      </c>
      <c r="Z95" s="64" t="str" cm="1">
        <f t="array" ref="Z95">IFERROR(IF(ROW(T_WATCHLIST[[#This Row],[Stock]])-ROW(T_WATCHLIST[[#Headers],[Stock]])&gt;=C_CNT_STOCKS,"",_FV(T_WATCHLIST[[#This Row],[Stock]],"Industry",TRUE)),"Not Available")</f>
        <v/>
      </c>
      <c r="AA95" s="64" t="str" cm="1">
        <f t="array" ref="AA95">IFERROR(IF(ROW(T_WATCHLIST[[#This Row],[Stock]])-ROW(T_WATCHLIST[[#Headers],[Stock]])&gt;=C_CNT_STOCKS,"",_FV(T_WATCHLIST[[#This Row],[Stock]],"Instrument type",TRUE)),"Not Available")</f>
        <v/>
      </c>
    </row>
    <row r="96" spans="5:27" ht="22" customHeight="1">
      <c r="E96" s="89"/>
      <c r="F96" s="75" t="str" cm="1">
        <f t="array" ref="F96">IFERROR(IF(ROW(T_WATCHLIST[[#This Row],[Stock]])-ROW(T_WATCHLIST[[#Headers],[Stock]])&gt;C_CNT_STOCKS,"",INDEX(_xlfn.ANCHORARRAY(HELP!$G$2),ROW(T_WATCHLIST[[#This Row],[Stock]])-ROW(T_WATCHLIST[[#Headers],[Stock]]))),"")</f>
        <v/>
      </c>
      <c r="G96" s="80" t="str" cm="1">
        <f t="array" ref="G96">IFERROR(_xlfn.FIELDVALUE(T_WATCHLIST[[#This Row],[Stock]],"Ticker Symbol"),"")</f>
        <v/>
      </c>
      <c r="H96" s="117"/>
      <c r="I96" s="81" t="str">
        <f>IF(T_WATCHLIST[[#This Row],[Stock]]="","",SUMIFS(T_TXN[UNITS],T_TXN[TYPE],"Buy",T_TXN[TICKER],T_WATCHLIST[[#This Row],[Stock]])-SUMIFS(T_TXN[UNITS],T_TXN[TYPE],"Sell",T_TXN[TICKER],T_WATCHLIST[[#This Row],[Stock]])+SUMIFS(T_TXN[UNITS],T_TXN[TYPE],"Dividend Reinvestment",T_TXN[TICKER],T_WATCHLIST[[#This Row],[Stock]]))</f>
        <v/>
      </c>
      <c r="J96" s="75" t="str" cm="1">
        <f t="array" ref="J96">IFERROR(_xlfn.FIELDVALUE(T_WATCHLIST[[#This Row],[Stock]],"Price"),"")</f>
        <v/>
      </c>
      <c r="K96" s="82" t="str" cm="1">
        <f t="array" ref="K96">IFERROR(_xlfn.FIELDVALUE(T_WATCHLIST[[#This Row],[Stock]],"Change"),"")</f>
        <v/>
      </c>
      <c r="L96" s="83" t="str" cm="1">
        <f t="array" ref="L96">IFERROR(_xlfn.FIELDVALUE(T_WATCHLIST[[#This Row],[Stock]],"Change (%)"),"")</f>
        <v/>
      </c>
      <c r="M96" s="84" t="str">
        <f>IF(T_WATCHLIST[[#This Row],[Stock]]="","",T_WATCHLIST[[#This Row],[Quantity]]*T_WATCHLIST[[#This Row],[Last Price]])</f>
        <v/>
      </c>
      <c r="N96" s="85" t="str" cm="1">
        <f t="array" ref="N96">IF(T_WATCHLIST[[#This Row],[Stock]]="","",T_WATCHLIST[[#This Row],[Current Value]]-_xlfn.FIELDVALUE(T_WATCHLIST[[#This Row],[Stock]],"Previous Close")*T_WATCHLIST[[#This Row],[Quantity]])</f>
        <v/>
      </c>
      <c r="O96" s="86" t="str">
        <f>IFERROR(T_WATCHLIST[[#This Row],[Today''s Gain/Loss]]/(T_WATCHLIST[[#This Row],[Current Value]]-T_WATCHLIST[[#This Row],[Today''s Gain/Loss]]),"")</f>
        <v/>
      </c>
      <c r="P96" s="84" t="str">
        <f>IFERROR(T_WATCHLIST[[#This Row],[Current Value]]-T_WATCHLIST[[#This Row],[% Total Gain/Loss9]],"")</f>
        <v/>
      </c>
      <c r="Q96" s="87" t="str">
        <f>IFERROR(T_WATCHLIST[[#This Row],[Total Gain/Loss]]/T_WATCHLIST[[#This Row],[% Total Gain/Loss9]],"")</f>
        <v/>
      </c>
      <c r="R96" s="88" t="str" cm="1">
        <f t="array" ref="R96">IFERROR(_xlfn.FIELDVALUE(T_WATCHLIST[[#This Row],[Stock]],"52 week low"),"")</f>
        <v/>
      </c>
      <c r="S96"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6" s="73" t="str" cm="1">
        <f t="array" ref="T96">IFERROR(_xlfn.FIELDVALUE(T_WATCHLIST[[#This Row],[Stock]],"52 week high"),"")</f>
        <v/>
      </c>
      <c r="U96" s="64" t="str" cm="1">
        <f t="array" ref="U96">IF(T_WATCHLIST[[#This Row],[Stock]]="","",SUMPRODUCT(T_TXN[UNITS],--(T_TXN[TYPE]="Buy"),--(T_TXN[TICKER]=T_WATCHLIST[[#This Row],[Stock]])))</f>
        <v/>
      </c>
      <c r="V96" s="67" t="str" cm="1">
        <f t="array" ref="V96">IF(T_WATCHLIST[[#This Row],[Stock]]="","",SUMPRODUCT(--(T_TXN[TYPE]="Buy"),T_TXN[UNITS],T_TXN[PRICE],--(T_TXN[TICKER]=T_WATCHLIST[[#This Row],[Stock]])))</f>
        <v/>
      </c>
      <c r="W96" s="64" t="str" cm="1">
        <f t="array" ref="W96">IF(T_WATCHLIST[[#This Row],[Stock]]="","",SUMPRODUCT(T_TXN[UNITS],--(T_TXN[TYPE]="Sell"),--(T_TXN[TICKER]=T_WATCHLIST[[#This Row],[Stock]])))</f>
        <v/>
      </c>
      <c r="X96" s="67" t="str" cm="1">
        <f t="array" ref="X96">IF(T_WATCHLIST[[#This Row],[Stock]]="","",SUMPRODUCT(--(T_TXN[TYPE]="Sell"),T_TXN[UNITS],T_TXN[PRICE],--(T_TXN[TICKER]=T_WATCHLIST[[#This Row],[Stock]])))</f>
        <v/>
      </c>
      <c r="Y96" s="67" t="str" cm="1">
        <f t="array" ref="Y96">IF(T_WATCHLIST[[#This Row],[Stock]]="","",SUMPRODUCT(T_TXN[UNITS],T_TXN[PRICE],--(T_TXN[TYPE]="Buy"),--(T_TXN[TICKER]=T_WATCHLIST[[#This Row],[Stock]])) -SUMPRODUCT(T_TXN[UNITS],T_TXN[PRICE],--(T_TXN[TYPE]="Sell"),--(T_TXN[TICKER]=T_WATCHLIST[[#This Row],[Stock]])))</f>
        <v/>
      </c>
      <c r="Z96" s="64" t="str" cm="1">
        <f t="array" ref="Z96">IFERROR(IF(ROW(T_WATCHLIST[[#This Row],[Stock]])-ROW(T_WATCHLIST[[#Headers],[Stock]])&gt;=C_CNT_STOCKS,"",_FV(T_WATCHLIST[[#This Row],[Stock]],"Industry",TRUE)),"Not Available")</f>
        <v/>
      </c>
      <c r="AA96" s="64" t="str" cm="1">
        <f t="array" ref="AA96">IFERROR(IF(ROW(T_WATCHLIST[[#This Row],[Stock]])-ROW(T_WATCHLIST[[#Headers],[Stock]])&gt;=C_CNT_STOCKS,"",_FV(T_WATCHLIST[[#This Row],[Stock]],"Instrument type",TRUE)),"Not Available")</f>
        <v/>
      </c>
    </row>
    <row r="97" spans="5:27" ht="22" customHeight="1">
      <c r="E97" s="89"/>
      <c r="F97" s="75" t="str" cm="1">
        <f t="array" ref="F97">IFERROR(IF(ROW(T_WATCHLIST[[#This Row],[Stock]])-ROW(T_WATCHLIST[[#Headers],[Stock]])&gt;C_CNT_STOCKS,"",INDEX(_xlfn.ANCHORARRAY(HELP!$G$2),ROW(T_WATCHLIST[[#This Row],[Stock]])-ROW(T_WATCHLIST[[#Headers],[Stock]]))),"")</f>
        <v/>
      </c>
      <c r="G97" s="80" t="str" cm="1">
        <f t="array" ref="G97">IFERROR(_xlfn.FIELDVALUE(T_WATCHLIST[[#This Row],[Stock]],"Ticker Symbol"),"")</f>
        <v/>
      </c>
      <c r="H97" s="117"/>
      <c r="I97" s="81" t="str">
        <f>IF(T_WATCHLIST[[#This Row],[Stock]]="","",SUMIFS(T_TXN[UNITS],T_TXN[TYPE],"Buy",T_TXN[TICKER],T_WATCHLIST[[#This Row],[Stock]])-SUMIFS(T_TXN[UNITS],T_TXN[TYPE],"Sell",T_TXN[TICKER],T_WATCHLIST[[#This Row],[Stock]])+SUMIFS(T_TXN[UNITS],T_TXN[TYPE],"Dividend Reinvestment",T_TXN[TICKER],T_WATCHLIST[[#This Row],[Stock]]))</f>
        <v/>
      </c>
      <c r="J97" s="75" t="str" cm="1">
        <f t="array" ref="J97">IFERROR(_xlfn.FIELDVALUE(T_WATCHLIST[[#This Row],[Stock]],"Price"),"")</f>
        <v/>
      </c>
      <c r="K97" s="82" t="str" cm="1">
        <f t="array" ref="K97">IFERROR(_xlfn.FIELDVALUE(T_WATCHLIST[[#This Row],[Stock]],"Change"),"")</f>
        <v/>
      </c>
      <c r="L97" s="83" t="str" cm="1">
        <f t="array" ref="L97">IFERROR(_xlfn.FIELDVALUE(T_WATCHLIST[[#This Row],[Stock]],"Change (%)"),"")</f>
        <v/>
      </c>
      <c r="M97" s="84" t="str">
        <f>IF(T_WATCHLIST[[#This Row],[Stock]]="","",T_WATCHLIST[[#This Row],[Quantity]]*T_WATCHLIST[[#This Row],[Last Price]])</f>
        <v/>
      </c>
      <c r="N97" s="85" t="str" cm="1">
        <f t="array" ref="N97">IF(T_WATCHLIST[[#This Row],[Stock]]="","",T_WATCHLIST[[#This Row],[Current Value]]-_xlfn.FIELDVALUE(T_WATCHLIST[[#This Row],[Stock]],"Previous Close")*T_WATCHLIST[[#This Row],[Quantity]])</f>
        <v/>
      </c>
      <c r="O97" s="86" t="str">
        <f>IFERROR(T_WATCHLIST[[#This Row],[Today''s Gain/Loss]]/(T_WATCHLIST[[#This Row],[Current Value]]-T_WATCHLIST[[#This Row],[Today''s Gain/Loss]]),"")</f>
        <v/>
      </c>
      <c r="P97" s="84" t="str">
        <f>IFERROR(T_WATCHLIST[[#This Row],[Current Value]]-T_WATCHLIST[[#This Row],[% Total Gain/Loss9]],"")</f>
        <v/>
      </c>
      <c r="Q97" s="87" t="str">
        <f>IFERROR(T_WATCHLIST[[#This Row],[Total Gain/Loss]]/T_WATCHLIST[[#This Row],[% Total Gain/Loss9]],"")</f>
        <v/>
      </c>
      <c r="R97" s="88" t="str" cm="1">
        <f t="array" ref="R97">IFERROR(_xlfn.FIELDVALUE(T_WATCHLIST[[#This Row],[Stock]],"52 week low"),"")</f>
        <v/>
      </c>
      <c r="S97" s="72" t="str">
        <f>IFERROR(REPT("0",ROUND((T_WATCHLIST[[#This Row],[Last Price]] -T_WATCHLIST[[#This Row],[% Total Gain/Loss2]])/(T_WATCHLIST[[#This Row],[% Total Gain/Loss4]]-T_WATCHLIST[[#This Row],[% Total Gain/Loss2]])*10,0))&amp;"6"&amp;REPT("0",10-ROUND((T_WATCHLIST[[#This Row],[Last Price]] -T_WATCHLIST[[#This Row],[% Total Gain/Loss2]])/(T_WATCHLIST[[#This Row],[% Total Gain/Loss4]]-T_WATCHLIST[[#This Row],[% Total Gain/Loss2]])*10,0)),"")</f>
        <v/>
      </c>
      <c r="T97" s="73" t="str" cm="1">
        <f t="array" ref="T97">IFERROR(_xlfn.FIELDVALUE(T_WATCHLIST[[#This Row],[Stock]],"52 week high"),"")</f>
        <v/>
      </c>
      <c r="U97" s="64" t="str" cm="1">
        <f t="array" ref="U97">IF(T_WATCHLIST[[#This Row],[Stock]]="","",SUMPRODUCT(T_TXN[UNITS],--(T_TXN[TYPE]="Buy"),--(T_TXN[TICKER]=T_WATCHLIST[[#This Row],[Stock]])))</f>
        <v/>
      </c>
      <c r="V97" s="67" t="str" cm="1">
        <f t="array" ref="V97">IF(T_WATCHLIST[[#This Row],[Stock]]="","",SUMPRODUCT(--(T_TXN[TYPE]="Buy"),T_TXN[UNITS],T_TXN[PRICE],--(T_TXN[TICKER]=T_WATCHLIST[[#This Row],[Stock]])))</f>
        <v/>
      </c>
      <c r="W97" s="64" t="str" cm="1">
        <f t="array" ref="W97">IF(T_WATCHLIST[[#This Row],[Stock]]="","",SUMPRODUCT(T_TXN[UNITS],--(T_TXN[TYPE]="Sell"),--(T_TXN[TICKER]=T_WATCHLIST[[#This Row],[Stock]])))</f>
        <v/>
      </c>
      <c r="X97" s="67" t="str" cm="1">
        <f t="array" ref="X97">IF(T_WATCHLIST[[#This Row],[Stock]]="","",SUMPRODUCT(--(T_TXN[TYPE]="Sell"),T_TXN[UNITS],T_TXN[PRICE],--(T_TXN[TICKER]=T_WATCHLIST[[#This Row],[Stock]])))</f>
        <v/>
      </c>
      <c r="Y97" s="67" t="str" cm="1">
        <f t="array" ref="Y97">IF(T_WATCHLIST[[#This Row],[Stock]]="","",SUMPRODUCT(T_TXN[UNITS],T_TXN[PRICE],--(T_TXN[TYPE]="Buy"),--(T_TXN[TICKER]=T_WATCHLIST[[#This Row],[Stock]])) -SUMPRODUCT(T_TXN[UNITS],T_TXN[PRICE],--(T_TXN[TYPE]="Sell"),--(T_TXN[TICKER]=T_WATCHLIST[[#This Row],[Stock]])))</f>
        <v/>
      </c>
      <c r="Z97" s="64" t="str" cm="1">
        <f t="array" ref="Z97">IFERROR(IF(ROW(T_WATCHLIST[[#This Row],[Stock]])-ROW(T_WATCHLIST[[#Headers],[Stock]])&gt;=C_CNT_STOCKS,"",_FV(T_WATCHLIST[[#This Row],[Stock]],"Industry",TRUE)),"Not Available")</f>
        <v/>
      </c>
      <c r="AA97" s="64" t="str" cm="1">
        <f t="array" ref="AA97">IFERROR(IF(ROW(T_WATCHLIST[[#This Row],[Stock]])-ROW(T_WATCHLIST[[#Headers],[Stock]])&gt;=C_CNT_STOCKS,"",_FV(T_WATCHLIST[[#This Row],[Stock]],"Instrument type",TRUE)),"Not Available")</f>
        <v/>
      </c>
    </row>
    <row r="98" spans="5:27" ht="22" customHeight="1"/>
    <row r="99" spans="5:27" ht="22" customHeight="1"/>
    <row r="100" spans="5:27" ht="22" customHeight="1"/>
    <row r="101" spans="5:27" ht="22" customHeight="1"/>
    <row r="102" spans="5:27" ht="22" customHeight="1"/>
    <row r="103" spans="5:27" ht="22" customHeight="1"/>
    <row r="104" spans="5:27" ht="22" customHeight="1"/>
    <row r="105" spans="5:27" ht="22" customHeight="1"/>
    <row r="106" spans="5:27" ht="22" customHeight="1"/>
    <row r="107" spans="5:27" ht="22" customHeight="1"/>
    <row r="108" spans="5:27" ht="22" customHeight="1"/>
  </sheetData>
  <mergeCells count="2">
    <mergeCell ref="A2:E2"/>
    <mergeCell ref="M1:N1"/>
  </mergeCells>
  <phoneticPr fontId="2" type="noConversion"/>
  <conditionalFormatting sqref="B4:B6">
    <cfRule type="iconSet" priority="2">
      <iconSet iconSet="3Arrows">
        <cfvo type="percent" val="0"/>
        <cfvo type="num" val="0"/>
        <cfvo type="num" val="0"/>
      </iconSet>
    </cfRule>
  </conditionalFormatting>
  <conditionalFormatting sqref="B9:B10">
    <cfRule type="iconSet" priority="1">
      <iconSet iconSet="3Arrows">
        <cfvo type="percent" val="0"/>
        <cfvo type="num" val="0"/>
        <cfvo type="num" val="0"/>
      </iconSet>
    </cfRule>
  </conditionalFormatting>
  <conditionalFormatting sqref="N3:Q97">
    <cfRule type="expression" dxfId="5" priority="3">
      <formula>N3&lt;0</formula>
    </cfRule>
    <cfRule type="expression" dxfId="4" priority="4">
      <formula>N3&gt;0</formula>
    </cfRule>
  </conditionalFormatting>
  <pageMargins left="0.25" right="0.25" top="0.75" bottom="0.75" header="0.3" footer="0.3"/>
  <pageSetup scale="99" orientation="landscape"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4" id="{00000000-000E-0000-0100-000002000000}">
            <x14:iconSet iconSet="3Arrows">
              <x14:cfvo type="percent">
                <xm:f>0</xm:f>
              </x14:cfvo>
              <x14:cfvo type="num">
                <xm:f>HELP!$E$3</xm:f>
              </x14:cfvo>
              <x14:cfvo type="num">
                <xm:f>HELP!$E$2</xm:f>
              </x14:cfvo>
            </x14:iconSet>
          </x14:cfRule>
          <xm:sqref>L3:L97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E0C8-BDFB-4949-928C-75C69497E932}">
  <dimension ref="A1:AH107"/>
  <sheetViews>
    <sheetView showGridLines="0" tabSelected="1" zoomScale="80" zoomScaleNormal="80" workbookViewId="0">
      <pane xSplit="9" ySplit="2" topLeftCell="AG3" activePane="bottomRight" state="frozen"/>
      <selection pane="topRight" activeCell="E1" sqref="E1"/>
      <selection pane="bottomLeft" activeCell="A3" sqref="A3"/>
      <selection pane="bottomRight" activeCell="B28" sqref="B28"/>
    </sheetView>
  </sheetViews>
  <sheetFormatPr baseColWidth="10" defaultColWidth="9.1640625" defaultRowHeight="14"/>
  <cols>
    <col min="1" max="1" width="42.33203125" style="42" bestFit="1" customWidth="1"/>
    <col min="2" max="2" width="51.6640625" style="42" bestFit="1" customWidth="1"/>
    <col min="3" max="3" width="20.6640625" style="42" customWidth="1"/>
    <col min="4" max="4" width="11.5" style="42" customWidth="1"/>
    <col min="5" max="5" width="18.5" style="42" customWidth="1"/>
    <col min="6" max="6" width="44.6640625" style="42" bestFit="1" customWidth="1"/>
    <col min="7" max="7" width="10.5" style="42" bestFit="1" customWidth="1"/>
    <col min="8" max="8" width="10.5" style="119" customWidth="1"/>
    <col min="9" max="9" width="10.5" style="42" customWidth="1"/>
    <col min="10" max="10" width="9.1640625" style="42"/>
    <col min="11" max="11" width="10.6640625" style="42" customWidth="1"/>
    <col min="12" max="12" width="13.5" style="42" customWidth="1"/>
    <col min="13" max="13" width="12.5" style="42" customWidth="1"/>
    <col min="14" max="14" width="12.1640625" style="42" bestFit="1" customWidth="1"/>
    <col min="15" max="15" width="12.6640625" style="42" customWidth="1"/>
    <col min="16" max="16" width="12.83203125" style="42" bestFit="1" customWidth="1"/>
    <col min="17" max="17" width="13.5" style="42" customWidth="1"/>
    <col min="18" max="18" width="12.5" style="42" hidden="1" customWidth="1"/>
    <col min="19" max="19" width="24.83203125" style="42" hidden="1" customWidth="1"/>
    <col min="20" max="20" width="17.1640625" style="42" hidden="1" customWidth="1"/>
    <col min="21" max="21" width="0" style="42" hidden="1" customWidth="1"/>
    <col min="22" max="22" width="11.6640625" style="42" hidden="1" customWidth="1"/>
    <col min="23" max="23" width="6.83203125" style="42" hidden="1" customWidth="1"/>
    <col min="24" max="24" width="10" style="42" hidden="1" customWidth="1"/>
    <col min="25" max="25" width="9.33203125" style="42" hidden="1" customWidth="1"/>
    <col min="26" max="26" width="6.83203125" style="42" hidden="1" customWidth="1"/>
    <col min="27" max="27" width="11" style="42" hidden="1" customWidth="1"/>
    <col min="28" max="28" width="11.83203125" style="42" customWidth="1"/>
    <col min="29" max="30" width="9.1640625" style="42"/>
    <col min="31" max="31" width="16.5" style="42" customWidth="1"/>
    <col min="32" max="32" width="18" style="42" customWidth="1"/>
    <col min="33" max="33" width="36.5" style="42" bestFit="1" customWidth="1"/>
    <col min="34" max="34" width="40.6640625" style="42" bestFit="1" customWidth="1"/>
    <col min="35" max="35" width="14.83203125" style="42" bestFit="1" customWidth="1"/>
    <col min="36" max="36" width="15.33203125" style="42" customWidth="1"/>
    <col min="37" max="37" width="16.5" style="42" customWidth="1"/>
    <col min="38" max="39" width="1.6640625" style="42" customWidth="1"/>
    <col min="40" max="16384" width="9.1640625" style="42"/>
  </cols>
  <sheetData>
    <row r="1" spans="1:34" ht="30" customHeight="1">
      <c r="A1" s="52" t="s">
        <v>94</v>
      </c>
      <c r="B1" s="53"/>
      <c r="C1" s="53"/>
      <c r="D1" s="53"/>
      <c r="E1" s="53"/>
      <c r="F1" s="54" t="s">
        <v>70</v>
      </c>
      <c r="G1" s="53"/>
      <c r="H1" s="113"/>
      <c r="I1" s="53"/>
      <c r="J1" s="53"/>
      <c r="K1" s="55" t="s">
        <v>84</v>
      </c>
      <c r="L1" s="56">
        <v>-7</v>
      </c>
      <c r="M1" s="127" cm="1">
        <f t="array" ref="M1">_FV(HELP!D7,"Last trade time",TRUE)+('Maximize impact score'!$L$1/24)</f>
        <v>45602.584190184898</v>
      </c>
      <c r="N1" s="127"/>
      <c r="O1" s="53"/>
      <c r="P1" s="57"/>
      <c r="Q1" s="53"/>
      <c r="R1" s="53"/>
      <c r="S1" s="53"/>
      <c r="T1" s="53"/>
      <c r="U1" s="53"/>
      <c r="V1" s="53"/>
      <c r="W1" s="53"/>
      <c r="X1" s="53"/>
      <c r="Y1" s="53"/>
      <c r="Z1" s="53"/>
      <c r="AA1" s="53"/>
      <c r="AB1" s="53"/>
      <c r="AC1" s="53"/>
      <c r="AD1" s="53"/>
      <c r="AE1" s="53"/>
      <c r="AF1" s="53"/>
      <c r="AG1" s="53"/>
      <c r="AH1" s="53"/>
    </row>
    <row r="2" spans="1:34" s="43" customFormat="1" ht="30" customHeight="1">
      <c r="A2" s="126">
        <f>C_LAST_TRADE_TIME</f>
        <v>45602.584190184898</v>
      </c>
      <c r="B2" s="126"/>
      <c r="C2" s="126"/>
      <c r="D2" s="126"/>
      <c r="E2" s="126"/>
      <c r="F2" s="58" t="s">
        <v>61</v>
      </c>
      <c r="G2" s="58" t="s">
        <v>80</v>
      </c>
      <c r="H2" s="114" t="s">
        <v>108</v>
      </c>
      <c r="I2" s="58" t="s">
        <v>65</v>
      </c>
      <c r="J2" s="58" t="s">
        <v>66</v>
      </c>
      <c r="K2" s="58" t="s">
        <v>6</v>
      </c>
      <c r="L2" s="58" t="s">
        <v>67</v>
      </c>
      <c r="M2" s="58" t="s">
        <v>49</v>
      </c>
      <c r="N2" s="58" t="s">
        <v>47</v>
      </c>
      <c r="O2" s="58" t="s">
        <v>68</v>
      </c>
      <c r="P2" s="58" t="s">
        <v>46</v>
      </c>
      <c r="Q2" s="58" t="s">
        <v>69</v>
      </c>
      <c r="R2" s="58" t="s">
        <v>95</v>
      </c>
      <c r="S2" s="58" t="s">
        <v>96</v>
      </c>
      <c r="T2" s="58" t="s">
        <v>97</v>
      </c>
      <c r="U2" s="58" t="s">
        <v>98</v>
      </c>
      <c r="V2" s="58" t="s">
        <v>99</v>
      </c>
      <c r="W2" s="58" t="s">
        <v>100</v>
      </c>
      <c r="X2" s="58" t="s">
        <v>101</v>
      </c>
      <c r="Y2" s="58" t="s">
        <v>102</v>
      </c>
      <c r="Z2" s="58" t="s">
        <v>103</v>
      </c>
      <c r="AA2" s="58" t="s">
        <v>104</v>
      </c>
      <c r="AB2" s="59" t="s">
        <v>91</v>
      </c>
      <c r="AC2" s="59" t="s">
        <v>92</v>
      </c>
      <c r="AD2" s="59" t="s">
        <v>85</v>
      </c>
      <c r="AE2" s="59" t="s">
        <v>86</v>
      </c>
      <c r="AF2" s="59" t="s">
        <v>87</v>
      </c>
      <c r="AG2" s="59" t="s">
        <v>88</v>
      </c>
      <c r="AH2" s="59" t="s">
        <v>93</v>
      </c>
    </row>
    <row r="3" spans="1:34" s="43" customFormat="1" ht="22" customHeight="1">
      <c r="B3" s="60" t="s">
        <v>71</v>
      </c>
      <c r="E3" s="61"/>
      <c r="F3" s="62" t="e" cm="1" vm="1">
        <f t="array" ref="F3">IFERROR(IF(ROW(T_WATCHLIST4[[#This Row],[Stock]])-ROW(T_WATCHLIST4[[#Headers],[Stock]])&gt;C_CNT_STOCKS,"",INDEX(_xlfn.ANCHORARRAY(HELP!$G$2),ROW(T_WATCHLIST4[[#This Row],[Stock]])-ROW(T_WATCHLIST4[[#Headers],[Stock]]))),"")</f>
        <v>#VALUE!</v>
      </c>
      <c r="G3" s="63" t="str" cm="1">
        <f t="array" ref="G3">IFERROR(_xlfn.FIELDVALUE(T_WATCHLIST4[[#This Row],[Stock]],"Ticker Symbol"),"")</f>
        <v>FDX</v>
      </c>
      <c r="H3" s="115">
        <v>9.9993779767134673E-3</v>
      </c>
      <c r="I3" s="64">
        <f>IF(T_WATCHLIST4[[#This Row],[Stock]]="","",SUMIFS(T_TXN[UNITS],T_TXN[TYPE],"Buy",T_TXN[TICKER],T_WATCHLIST4[[#This Row],[Stock]])-SUMIFS(T_TXN[UNITS],T_TXN[TYPE],"Sell",T_TXN[TICKER],T_WATCHLIST4[[#This Row],[Stock]])+SUMIFS(T_TXN[UNITS],T_TXN[TYPE],"Dividend Reinvestment",T_TXN[TICKER],T_WATCHLIST4[[#This Row],[Stock]]))</f>
        <v>7</v>
      </c>
      <c r="J3" s="62" cm="1">
        <f t="array" ref="J3">IFERROR(_xlfn.FIELDVALUE(T_WATCHLIST4[[#This Row],[Stock]],"Price"),"")</f>
        <v>280.02</v>
      </c>
      <c r="K3" s="65" cm="1">
        <f t="array" ref="K3">IFERROR(_xlfn.FIELDVALUE(T_WATCHLIST4[[#This Row],[Stock]],"Change"),"")</f>
        <v>4.5999999999999996</v>
      </c>
      <c r="L3" s="66" cm="1">
        <f t="array" ref="L3">IFERROR(_xlfn.FIELDVALUE(T_WATCHLIST4[[#This Row],[Stock]],"Change (%)"),"")</f>
        <v>1.6701999999999998E-2</v>
      </c>
      <c r="M3" s="67">
        <f>IF(T_WATCHLIST4[[#This Row],[Stock]]="","",T_WATCHLIST4[[#This Row],[Quantity]]*T_WATCHLIST4[[#This Row],[Last Price]])</f>
        <v>1960.1399999999999</v>
      </c>
      <c r="N3" s="68" cm="1">
        <f t="array" ref="N3">IF(T_WATCHLIST4[[#This Row],[Stock]]="","",T_WATCHLIST4[[#This Row],[Current Value]]-_xlfn.FIELDVALUE(T_WATCHLIST4[[#This Row],[Stock]],"Previous Close")*T_WATCHLIST4[[#This Row],[Quantity]])</f>
        <v>32.199999999999818</v>
      </c>
      <c r="O3" s="69">
        <f>IFERROR(T_WATCHLIST4[[#This Row],[Today''s Gain/Loss]]/(T_WATCHLIST4[[#This Row],[Current Value]]-T_WATCHLIST4[[#This Row],[Today''s Gain/Loss]]),"")</f>
        <v>1.6701764577735728E-2</v>
      </c>
      <c r="P3" s="67">
        <f>IFERROR(T_WATCHLIST4[[#This Row],[Current Value]]-T_WATCHLIST4[[#This Row],[% Total Gain/Loss9]],"")</f>
        <v>1120.21</v>
      </c>
      <c r="Q3" s="70">
        <f>IFERROR(T_WATCHLIST4[[#This Row],[Total Gain/Loss]]/T_WATCHLIST4[[#This Row],[% Total Gain/Loss9]],"")</f>
        <v>1.3336944745395451</v>
      </c>
      <c r="R3" s="71" cm="1">
        <f t="array" ref="R3">IFERROR(_xlfn.FIELDVALUE(T_WATCHLIST4[[#This Row],[Stock]],"52 week low"),"")</f>
        <v>234.45</v>
      </c>
      <c r="S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00000060000</v>
      </c>
      <c r="T3" s="73" cm="1">
        <f t="array" ref="T3">IFERROR(_xlfn.FIELDVALUE(T_WATCHLIST4[[#This Row],[Stock]],"52 week high"),"")</f>
        <v>313.83999999999997</v>
      </c>
      <c r="U3" s="64" cm="1">
        <f t="array" ref="U3">IF(T_WATCHLIST4[[#This Row],[Stock]]="","",SUMPRODUCT(T_TXN[UNITS],--(T_TXN[TYPE]="Buy"),--(T_TXN[TICKER]=T_WATCHLIST4[[#This Row],[Stock]])))</f>
        <v>7</v>
      </c>
      <c r="V3" s="67" cm="1">
        <f t="array" ref="V3">IF(T_WATCHLIST4[[#This Row],[Stock]]="","",SUMPRODUCT(--(T_TXN[TYPE]="Buy"),T_TXN[UNITS],T_TXN[PRICE],--(T_TXN[TICKER]=T_WATCHLIST4[[#This Row],[Stock]])))</f>
        <v>839.93</v>
      </c>
      <c r="W3" s="64" cm="1">
        <f t="array" ref="W3">IF(T_WATCHLIST4[[#This Row],[Stock]]="","",SUMPRODUCT(T_TXN[UNITS],--(T_TXN[TYPE]="Sell"),--(T_TXN[TICKER]=T_WATCHLIST4[[#This Row],[Stock]])))</f>
        <v>0</v>
      </c>
      <c r="X3" s="67" cm="1">
        <f t="array" ref="X3">IF(T_WATCHLIST4[[#This Row],[Stock]]="","",SUMPRODUCT(--(T_TXN[TYPE]="Sell"),T_TXN[UNITS],T_TXN[PRICE],--(T_TXN[TICKER]=T_WATCHLIST4[[#This Row],[Stock]])))</f>
        <v>0</v>
      </c>
      <c r="Y3" s="67" cm="1">
        <f t="array" ref="Y3">IF(T_WATCHLIST4[[#This Row],[Stock]]="","",SUMPRODUCT(T_TXN[UNITS],T_TXN[PRICE],--(T_TXN[TYPE]="Buy"),--(T_TXN[TICKER]=T_WATCHLIST4[[#This Row],[Stock]])) -SUMPRODUCT(T_TXN[UNITS],T_TXN[PRICE],--(T_TXN[TYPE]="Sell"),--(T_TXN[TICKER]=T_WATCHLIST4[[#This Row],[Stock]])))</f>
        <v>839.93</v>
      </c>
      <c r="Z3" s="64" t="str" cm="1">
        <f t="array" ref="Z3">IFERROR(IF(ROW(T_WATCHLIST4[[#This Row],[Stock]])-ROW(T_WATCHLIST4[[#Headers],[Stock]])&gt;=C_CNT_STOCKS,"",_FV(T_WATCHLIST4[[#This Row],[Stock]],"Industry",TRUE)),"Not Available")</f>
        <v>Freight &amp; Logistics Services</v>
      </c>
      <c r="AA3" s="64" t="str" cm="1">
        <f t="array" ref="AA3">IFERROR(IF(ROW(T_WATCHLIST4[[#This Row],[Stock]])-ROW(T_WATCHLIST4[[#Headers],[Stock]])&gt;=C_CNT_STOCKS,"",_FV(T_WATCHLIST4[[#This Row],[Stock]],"Instrument type",TRUE)),"Not Available")</f>
        <v>Stock</v>
      </c>
      <c r="AB3" s="92">
        <f>'Maximize impact score'!M3/TRANSACTIONS!$B$26</f>
        <v>0.50924234827090797</v>
      </c>
      <c r="AC3" s="50">
        <v>90</v>
      </c>
      <c r="AD3" s="50">
        <v>30</v>
      </c>
      <c r="AE3" s="50">
        <v>21</v>
      </c>
      <c r="AF3" s="50">
        <v>44</v>
      </c>
      <c r="AG3" s="50">
        <f>VLOOKUP(G3,'Impact Scores'!$B:$Z,25)</f>
        <v>230</v>
      </c>
      <c r="AH3" s="51">
        <f>AG3*T_WATCHLIST4[[#This Row],[Weight]]</f>
        <v>2.2998569346440974</v>
      </c>
    </row>
    <row r="4" spans="1:34" s="43" customFormat="1" ht="22" customHeight="1">
      <c r="B4" s="74" cm="1">
        <f t="array" ref="B4">_FV(I_EXH_1,"Change (%)",TRUE)</f>
        <v>2.7382E-2</v>
      </c>
      <c r="C4" s="75" t="str" cm="1">
        <f t="array" ref="C4">_FV(I_EXH_1,"Name",TRUE)</f>
        <v>NASDAQ 100 Index</v>
      </c>
      <c r="E4" s="61"/>
      <c r="F4" s="62" t="e" cm="1" vm="2">
        <f t="array" ref="F4">IFERROR(IF(ROW(T_WATCHLIST4[[#This Row],[Stock]])-ROW(T_WATCHLIST4[[#Headers],[Stock]])&gt;C_CNT_STOCKS,"",INDEX(_xlfn.ANCHORARRAY(HELP!$G$2),ROW(T_WATCHLIST4[[#This Row],[Stock]])-ROW(T_WATCHLIST4[[#Headers],[Stock]]))),"")</f>
        <v>#VALUE!</v>
      </c>
      <c r="G4" s="63" t="str" cm="1">
        <f t="array" ref="G4">IFERROR(_xlfn.FIELDVALUE(T_WATCHLIST4[[#This Row],[Stock]],"Ticker Symbol"),"")</f>
        <v>F</v>
      </c>
      <c r="H4" s="115">
        <v>9.999777766451964E-3</v>
      </c>
      <c r="I4" s="64">
        <f>IF(T_WATCHLIST4[[#This Row],[Stock]]="","",SUMIFS(T_TXN[UNITS],T_TXN[TYPE],"Buy",T_TXN[TICKER],T_WATCHLIST4[[#This Row],[Stock]])-SUMIFS(T_TXN[UNITS],T_TXN[TYPE],"Sell",T_TXN[TICKER],T_WATCHLIST4[[#This Row],[Stock]])+SUMIFS(T_TXN[UNITS],T_TXN[TYPE],"Dividend Reinvestment",T_TXN[TICKER],T_WATCHLIST4[[#This Row],[Stock]]))</f>
        <v>10</v>
      </c>
      <c r="J4" s="62" cm="1">
        <f t="array" ref="J4">IFERROR(_xlfn.FIELDVALUE(T_WATCHLIST4[[#This Row],[Stock]],"Price"),"")</f>
        <v>11.19</v>
      </c>
      <c r="K4" s="65" cm="1">
        <f t="array" ref="K4">IFERROR(_xlfn.FIELDVALUE(T_WATCHLIST4[[#This Row],[Stock]],"Change"),"")</f>
        <v>0.59</v>
      </c>
      <c r="L4" s="76" cm="1">
        <f t="array" ref="L4">IFERROR(_xlfn.FIELDVALUE(T_WATCHLIST4[[#This Row],[Stock]],"Change (%)"),"")</f>
        <v>5.5660000000000001E-2</v>
      </c>
      <c r="M4" s="67">
        <f>IF(T_WATCHLIST4[[#This Row],[Stock]]="","",T_WATCHLIST4[[#This Row],[Quantity]]*T_WATCHLIST4[[#This Row],[Last Price]])</f>
        <v>111.89999999999999</v>
      </c>
      <c r="N4" s="68" cm="1">
        <f t="array" ref="N4">IF(T_WATCHLIST4[[#This Row],[Stock]]="","",T_WATCHLIST4[[#This Row],[Current Value]]-_xlfn.FIELDVALUE(T_WATCHLIST4[[#This Row],[Stock]],"Previous Close")*T_WATCHLIST4[[#This Row],[Quantity]])</f>
        <v>5.8999999999999915</v>
      </c>
      <c r="O4" s="69">
        <f>IFERROR(T_WATCHLIST4[[#This Row],[Today''s Gain/Loss]]/(T_WATCHLIST4[[#This Row],[Current Value]]-T_WATCHLIST4[[#This Row],[Today''s Gain/Loss]]),"")</f>
        <v>5.5660377358490484E-2</v>
      </c>
      <c r="P4" s="67">
        <f>IFERROR(T_WATCHLIST4[[#This Row],[Current Value]]-T_WATCHLIST4[[#This Row],[% Total Gain/Loss9]],"")</f>
        <v>66.899999999999991</v>
      </c>
      <c r="Q4" s="70">
        <f>IFERROR(T_WATCHLIST4[[#This Row],[Total Gain/Loss]]/T_WATCHLIST4[[#This Row],[% Total Gain/Loss9]],"")</f>
        <v>1.4866666666666666</v>
      </c>
      <c r="R4" s="77" cm="1">
        <f t="array" ref="R4">IFERROR(_xlfn.FIELDVALUE(T_WATCHLIST4[[#This Row],[Stock]],"52 week low"),"")</f>
        <v>9.49</v>
      </c>
      <c r="S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00060000000</v>
      </c>
      <c r="T4" s="73" cm="1">
        <f t="array" ref="T4">IFERROR(_xlfn.FIELDVALUE(T_WATCHLIST4[[#This Row],[Stock]],"52 week high"),"")</f>
        <v>14.85</v>
      </c>
      <c r="U4" s="64" cm="1">
        <f t="array" ref="U4">IF(T_WATCHLIST4[[#This Row],[Stock]]="","",SUMPRODUCT(T_TXN[UNITS],--(T_TXN[TYPE]="Buy"),--(T_TXN[TICKER]=T_WATCHLIST4[[#This Row],[Stock]])))</f>
        <v>10</v>
      </c>
      <c r="V4" s="67" cm="1">
        <f t="array" ref="V4">IF(T_WATCHLIST4[[#This Row],[Stock]]="","",SUMPRODUCT(--(T_TXN[TYPE]="Buy"),T_TXN[UNITS],T_TXN[PRICE],--(T_TXN[TICKER]=T_WATCHLIST4[[#This Row],[Stock]])))</f>
        <v>45</v>
      </c>
      <c r="W4" s="64" cm="1">
        <f t="array" ref="W4">IF(T_WATCHLIST4[[#This Row],[Stock]]="","",SUMPRODUCT(T_TXN[UNITS],--(T_TXN[TYPE]="Sell"),--(T_TXN[TICKER]=T_WATCHLIST4[[#This Row],[Stock]])))</f>
        <v>0</v>
      </c>
      <c r="X4" s="67" cm="1">
        <f t="array" ref="X4">IF(T_WATCHLIST4[[#This Row],[Stock]]="","",SUMPRODUCT(--(T_TXN[TYPE]="Sell"),T_TXN[UNITS],T_TXN[PRICE],--(T_TXN[TICKER]=T_WATCHLIST4[[#This Row],[Stock]])))</f>
        <v>0</v>
      </c>
      <c r="Y4" s="67" cm="1">
        <f t="array" ref="Y4">IF(T_WATCHLIST4[[#This Row],[Stock]]="","",SUMPRODUCT(T_TXN[UNITS],T_TXN[PRICE],--(T_TXN[TYPE]="Buy"),--(T_TXN[TICKER]=T_WATCHLIST4[[#This Row],[Stock]])) -SUMPRODUCT(T_TXN[UNITS],T_TXN[PRICE],--(T_TXN[TYPE]="Sell"),--(T_TXN[TICKER]=T_WATCHLIST4[[#This Row],[Stock]])))</f>
        <v>45</v>
      </c>
      <c r="Z4" s="64" t="str" cm="1">
        <f t="array" ref="Z4">IFERROR(IF(ROW(T_WATCHLIST4[[#This Row],[Stock]])-ROW(T_WATCHLIST4[[#Headers],[Stock]])&gt;=C_CNT_STOCKS,"",_FV(T_WATCHLIST4[[#This Row],[Stock]],"Industry",TRUE)),"Not Available")</f>
        <v>Automobiles &amp; Auto Parts</v>
      </c>
      <c r="AA4" s="64" t="str" cm="1">
        <f t="array" ref="AA4">IFERROR(IF(ROW(T_WATCHLIST4[[#This Row],[Stock]])-ROW(T_WATCHLIST4[[#Headers],[Stock]])&gt;=C_CNT_STOCKS,"",_FV(T_WATCHLIST4[[#This Row],[Stock]],"Instrument type",TRUE)),"Not Available")</f>
        <v>Stock</v>
      </c>
      <c r="AB4" s="92">
        <f>'Maximize impact score'!AC3/TRANSACTIONS!$B$26</f>
        <v>2.3381907080301263E-2</v>
      </c>
      <c r="AC4" s="50">
        <v>40</v>
      </c>
      <c r="AD4" s="50">
        <v>25</v>
      </c>
      <c r="AE4" s="50">
        <v>99</v>
      </c>
      <c r="AF4" s="50">
        <v>66</v>
      </c>
      <c r="AG4" s="50">
        <f>VLOOKUP(G4,'Impact Scores'!$B:$Z,25)</f>
        <v>230</v>
      </c>
      <c r="AH4" s="51">
        <f>AG4*T_WATCHLIST4[[#This Row],[Weight]]</f>
        <v>2.2999488862839517</v>
      </c>
    </row>
    <row r="5" spans="1:34" s="43" customFormat="1" ht="22" customHeight="1">
      <c r="B5" s="74" cm="1">
        <f t="array" ref="B5">_FV(I_EXH_2,"Change (%)",TRUE)</f>
        <v>2.5118999999999999E-2</v>
      </c>
      <c r="C5" s="75" t="str" cm="1">
        <f t="array" ref="C5">_FV(I_EXH_2,"Name",TRUE)</f>
        <v>S&amp;P 500 INDEX</v>
      </c>
      <c r="E5" s="61"/>
      <c r="F5" s="62" t="e" cm="1" vm="3">
        <f t="array" ref="F5">IFERROR(IF(ROW(T_WATCHLIST4[[#This Row],[Stock]])-ROW(T_WATCHLIST4[[#Headers],[Stock]])&gt;C_CNT_STOCKS,"",INDEX(_xlfn.ANCHORARRAY(HELP!$G$2),ROW(T_WATCHLIST4[[#This Row],[Stock]])-ROW(T_WATCHLIST4[[#Headers],[Stock]]))),"")</f>
        <v>#VALUE!</v>
      </c>
      <c r="G5" s="63" t="str" cm="1">
        <f t="array" ref="G5">IFERROR(_xlfn.FIELDVALUE(T_WATCHLIST4[[#This Row],[Stock]],"Ticker Symbol"),"")</f>
        <v>HMC</v>
      </c>
      <c r="H5" s="115">
        <v>0.97000179542130316</v>
      </c>
      <c r="I5" s="64">
        <f>IF(T_WATCHLIST4[[#This Row],[Stock]]="","",SUMIFS(T_TXN[UNITS],T_TXN[TYPE],"Buy",T_TXN[TICKER],T_WATCHLIST4[[#This Row],[Stock]])-SUMIFS(T_TXN[UNITS],T_TXN[TYPE],"Sell",T_TXN[TICKER],T_WATCHLIST4[[#This Row],[Stock]])+SUMIFS(T_TXN[UNITS],T_TXN[TYPE],"Dividend Reinvestment",T_TXN[TICKER],T_WATCHLIST4[[#This Row],[Stock]]))</f>
        <v>12</v>
      </c>
      <c r="J5" s="62" cm="1">
        <f t="array" ref="J5">IFERROR(_xlfn.FIELDVALUE(T_WATCHLIST4[[#This Row],[Stock]],"Price"),"")</f>
        <v>27.87</v>
      </c>
      <c r="K5" s="65" cm="1">
        <f t="array" ref="K5">IFERROR(_xlfn.FIELDVALUE(T_WATCHLIST4[[#This Row],[Stock]],"Change"),"")</f>
        <v>-2.4300000000000002</v>
      </c>
      <c r="L5" s="76" cm="1">
        <f t="array" ref="L5">IFERROR(_xlfn.FIELDVALUE(T_WATCHLIST4[[#This Row],[Stock]],"Change (%)"),"")</f>
        <v>-8.0198000000000005E-2</v>
      </c>
      <c r="M5" s="67">
        <f>IF(T_WATCHLIST4[[#This Row],[Stock]]="","",T_WATCHLIST4[[#This Row],[Quantity]]*T_WATCHLIST4[[#This Row],[Last Price]])</f>
        <v>334.44</v>
      </c>
      <c r="N5" s="68" cm="1">
        <f t="array" ref="N5">IF(T_WATCHLIST4[[#This Row],[Stock]]="","",T_WATCHLIST4[[#This Row],[Current Value]]-_xlfn.FIELDVALUE(T_WATCHLIST4[[#This Row],[Stock]],"Previous Close")*T_WATCHLIST4[[#This Row],[Quantity]])</f>
        <v>-29.160000000000025</v>
      </c>
      <c r="O5" s="69">
        <f>IFERROR(T_WATCHLIST4[[#This Row],[Today''s Gain/Loss]]/(T_WATCHLIST4[[#This Row],[Current Value]]-T_WATCHLIST4[[#This Row],[Today''s Gain/Loss]]),"")</f>
        <v>-8.0198019801980255E-2</v>
      </c>
      <c r="P5" s="67">
        <f>IFERROR(T_WATCHLIST4[[#This Row],[Current Value]]-T_WATCHLIST4[[#This Row],[% Total Gain/Loss9]],"")</f>
        <v>70.680000000000007</v>
      </c>
      <c r="Q5" s="70">
        <f>IFERROR(T_WATCHLIST4[[#This Row],[Total Gain/Loss]]/T_WATCHLIST4[[#This Row],[% Total Gain/Loss9]],"")</f>
        <v>0.26797088262056418</v>
      </c>
      <c r="R5" s="77" cm="1">
        <f t="array" ref="R5">IFERROR(_xlfn.FIELDVALUE(T_WATCHLIST4[[#This Row],[Stock]],"52 week low"),"")</f>
        <v>27.271599999999999</v>
      </c>
      <c r="S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06000000000</v>
      </c>
      <c r="T5" s="73" cm="1">
        <f t="array" ref="T5">IFERROR(_xlfn.FIELDVALUE(T_WATCHLIST4[[#This Row],[Stock]],"52 week high"),"")</f>
        <v>37.9</v>
      </c>
      <c r="U5" s="64" cm="1">
        <f t="array" ref="U5">IF(T_WATCHLIST4[[#This Row],[Stock]]="","",SUMPRODUCT(T_TXN[UNITS],--(T_TXN[TYPE]="Buy"),--(T_TXN[TICKER]=T_WATCHLIST4[[#This Row],[Stock]])))</f>
        <v>12</v>
      </c>
      <c r="V5" s="67" cm="1">
        <f t="array" ref="V5">IF(T_WATCHLIST4[[#This Row],[Stock]]="","",SUMPRODUCT(--(T_TXN[TYPE]="Buy"),T_TXN[UNITS],T_TXN[PRICE],--(T_TXN[TICKER]=T_WATCHLIST4[[#This Row],[Stock]])))</f>
        <v>263.76</v>
      </c>
      <c r="W5" s="64" cm="1">
        <f t="array" ref="W5">IF(T_WATCHLIST4[[#This Row],[Stock]]="","",SUMPRODUCT(T_TXN[UNITS],--(T_TXN[TYPE]="Sell"),--(T_TXN[TICKER]=T_WATCHLIST4[[#This Row],[Stock]])))</f>
        <v>0</v>
      </c>
      <c r="X5" s="67" cm="1">
        <f t="array" ref="X5">IF(T_WATCHLIST4[[#This Row],[Stock]]="","",SUMPRODUCT(--(T_TXN[TYPE]="Sell"),T_TXN[UNITS],T_TXN[PRICE],--(T_TXN[TICKER]=T_WATCHLIST4[[#This Row],[Stock]])))</f>
        <v>0</v>
      </c>
      <c r="Y5" s="67" cm="1">
        <f t="array" ref="Y5">IF(T_WATCHLIST4[[#This Row],[Stock]]="","",SUMPRODUCT(T_TXN[UNITS],T_TXN[PRICE],--(T_TXN[TYPE]="Buy"),--(T_TXN[TICKER]=T_WATCHLIST4[[#This Row],[Stock]])) -SUMPRODUCT(T_TXN[UNITS],T_TXN[PRICE],--(T_TXN[TYPE]="Sell"),--(T_TXN[TICKER]=T_WATCHLIST4[[#This Row],[Stock]])))</f>
        <v>263.76</v>
      </c>
      <c r="Z5" s="64" t="str" cm="1">
        <f t="array" ref="Z5">IFERROR(IF(ROW(T_WATCHLIST4[[#This Row],[Stock]])-ROW(T_WATCHLIST4[[#Headers],[Stock]])&gt;=C_CNT_STOCKS,"",_FV(T_WATCHLIST4[[#This Row],[Stock]],"Industry",TRUE)),"Not Available")</f>
        <v>Automobiles &amp; Auto Parts</v>
      </c>
      <c r="AA5" s="64" t="str" cm="1">
        <f t="array" ref="AA5">IFERROR(IF(ROW(T_WATCHLIST4[[#This Row],[Stock]])-ROW(T_WATCHLIST4[[#Headers],[Stock]])&gt;=C_CNT_STOCKS,"",_FV(T_WATCHLIST4[[#This Row],[Stock]],"Instrument type",TRUE)),"Not Available")</f>
        <v>Stock</v>
      </c>
      <c r="AB5" s="92">
        <f>'Maximize impact score'!AC4/TRANSACTIONS!$B$26</f>
        <v>1.0391958702356116E-2</v>
      </c>
      <c r="AC5" s="50">
        <v>70</v>
      </c>
      <c r="AD5" s="50">
        <v>66</v>
      </c>
      <c r="AE5" s="50">
        <v>76</v>
      </c>
      <c r="AF5" s="50">
        <v>55</v>
      </c>
      <c r="AG5" s="50">
        <f>VLOOKUP(G5,'Impact Scores'!$B:$Z,25)</f>
        <v>267</v>
      </c>
      <c r="AH5" s="51">
        <f>AG5*T_WATCHLIST4[[#This Row],[Weight]]</f>
        <v>258.99047937748793</v>
      </c>
    </row>
    <row r="6" spans="1:34" s="43" customFormat="1" ht="22" customHeight="1">
      <c r="B6" s="74" cm="1">
        <f t="array" ref="B6">_FV(I_EXH_3,"Change (%)",TRUE)</f>
        <v>3.5699999999999996E-2</v>
      </c>
      <c r="C6" s="75" t="str" cm="1">
        <f t="array" ref="C6">_FV(I_EXH_3,"Name",TRUE)</f>
        <v>DOW JONES INDU AVERAGE NDX</v>
      </c>
      <c r="E6" s="61"/>
      <c r="F6" s="62" t="e" cm="1" vm="4">
        <f t="array" ref="F6">IFERROR(IF(ROW(T_WATCHLIST4[[#This Row],[Stock]])-ROW(T_WATCHLIST4[[#Headers],[Stock]])&gt;C_CNT_STOCKS,"",INDEX(_xlfn.ANCHORARRAY(HELP!$G$2),ROW(T_WATCHLIST4[[#This Row],[Stock]])-ROW(T_WATCHLIST4[[#Headers],[Stock]]))),"")</f>
        <v>#VALUE!</v>
      </c>
      <c r="G6" s="63" t="str" cm="1">
        <f t="array" ref="G6">IFERROR(_xlfn.FIELDVALUE(T_WATCHLIST4[[#This Row],[Stock]],"Ticker Symbol"),"")</f>
        <v>TSLA</v>
      </c>
      <c r="H6" s="115">
        <v>9.9990488355313212E-3</v>
      </c>
      <c r="I6" s="64">
        <f>IF(T_WATCHLIST4[[#This Row],[Stock]]="","",SUMIFS(T_TXN[UNITS],T_TXN[TYPE],"Buy",T_TXN[TICKER],T_WATCHLIST4[[#This Row],[Stock]])-SUMIFS(T_TXN[UNITS],T_TXN[TYPE],"Sell",T_TXN[TICKER],T_WATCHLIST4[[#This Row],[Stock]])+SUMIFS(T_TXN[UNITS],T_TXN[TYPE],"Dividend Reinvestment",T_TXN[TICKER],T_WATCHLIST4[[#This Row],[Stock]]))</f>
        <v>5</v>
      </c>
      <c r="J6" s="62" cm="1">
        <f t="array" ref="J6">IFERROR(_xlfn.FIELDVALUE(T_WATCHLIST4[[#This Row],[Stock]],"Price"),"")</f>
        <v>288.52999999999997</v>
      </c>
      <c r="K6" s="65" cm="1">
        <f t="array" ref="K6">IFERROR(_xlfn.FIELDVALUE(T_WATCHLIST4[[#This Row],[Stock]],"Change"),"")</f>
        <v>37.090000000000003</v>
      </c>
      <c r="L6" s="76" cm="1">
        <f t="array" ref="L6">IFERROR(_xlfn.FIELDVALUE(T_WATCHLIST4[[#This Row],[Stock]],"Change (%)"),"")</f>
        <v>0.14751</v>
      </c>
      <c r="M6" s="67">
        <f>IF(T_WATCHLIST4[[#This Row],[Stock]]="","",T_WATCHLIST4[[#This Row],[Quantity]]*T_WATCHLIST4[[#This Row],[Last Price]])</f>
        <v>1442.6499999999999</v>
      </c>
      <c r="N6" s="68" cm="1">
        <f t="array" ref="N6">IF(T_WATCHLIST4[[#This Row],[Stock]]="","",T_WATCHLIST4[[#This Row],[Current Value]]-_xlfn.FIELDVALUE(T_WATCHLIST4[[#This Row],[Stock]],"Previous Close")*T_WATCHLIST4[[#This Row],[Quantity]])</f>
        <v>185.44999999999982</v>
      </c>
      <c r="O6" s="69">
        <f>IFERROR(T_WATCHLIST4[[#This Row],[Today''s Gain/Loss]]/(T_WATCHLIST4[[#This Row],[Current Value]]-T_WATCHLIST4[[#This Row],[Today''s Gain/Loss]]),"")</f>
        <v>0.1475103404390708</v>
      </c>
      <c r="P6" s="67">
        <f>IFERROR(T_WATCHLIST4[[#This Row],[Current Value]]-T_WATCHLIST4[[#This Row],[% Total Gain/Loss9]],"")</f>
        <v>1207.6499999999999</v>
      </c>
      <c r="Q6" s="70">
        <f>IFERROR(T_WATCHLIST4[[#This Row],[Total Gain/Loss]]/T_WATCHLIST4[[#This Row],[% Total Gain/Loss9]],"")</f>
        <v>5.1389361702127649</v>
      </c>
      <c r="R6" s="77" cm="1">
        <f t="array" ref="R6">IFERROR(_xlfn.FIELDVALUE(T_WATCHLIST4[[#This Row],[Stock]],"52 week low"),"")</f>
        <v>138.80250000000001</v>
      </c>
      <c r="S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00000000006</v>
      </c>
      <c r="T6" s="73" cm="1">
        <f t="array" ref="T6">IFERROR(_xlfn.FIELDVALUE(T_WATCHLIST4[[#This Row],[Stock]],"52 week high"),"")</f>
        <v>289.58999999999997</v>
      </c>
      <c r="U6" s="64" cm="1">
        <f t="array" ref="U6">IF(T_WATCHLIST4[[#This Row],[Stock]]="","",SUMPRODUCT(T_TXN[UNITS],--(T_TXN[TYPE]="Buy"),--(T_TXN[TICKER]=T_WATCHLIST4[[#This Row],[Stock]])))</f>
        <v>5</v>
      </c>
      <c r="V6" s="67" cm="1">
        <f t="array" ref="V6">IF(T_WATCHLIST4[[#This Row],[Stock]]="","",SUMPRODUCT(--(T_TXN[TYPE]="Buy"),T_TXN[UNITS],T_TXN[PRICE],--(T_TXN[TICKER]=T_WATCHLIST4[[#This Row],[Stock]])))</f>
        <v>235</v>
      </c>
      <c r="W6" s="64" cm="1">
        <f t="array" ref="W6">IF(T_WATCHLIST4[[#This Row],[Stock]]="","",SUMPRODUCT(T_TXN[UNITS],--(T_TXN[TYPE]="Sell"),--(T_TXN[TICKER]=T_WATCHLIST4[[#This Row],[Stock]])))</f>
        <v>0</v>
      </c>
      <c r="X6" s="67" cm="1">
        <f t="array" ref="X6">IF(T_WATCHLIST4[[#This Row],[Stock]]="","",SUMPRODUCT(--(T_TXN[TYPE]="Sell"),T_TXN[UNITS],T_TXN[PRICE],--(T_TXN[TICKER]=T_WATCHLIST4[[#This Row],[Stock]])))</f>
        <v>0</v>
      </c>
      <c r="Y6" s="67" cm="1">
        <f t="array" ref="Y6">IF(T_WATCHLIST4[[#This Row],[Stock]]="","",SUMPRODUCT(T_TXN[UNITS],T_TXN[PRICE],--(T_TXN[TYPE]="Buy"),--(T_TXN[TICKER]=T_WATCHLIST4[[#This Row],[Stock]])) -SUMPRODUCT(T_TXN[UNITS],T_TXN[PRICE],--(T_TXN[TYPE]="Sell"),--(T_TXN[TICKER]=T_WATCHLIST4[[#This Row],[Stock]])))</f>
        <v>235</v>
      </c>
      <c r="Z6" s="64" t="str" cm="1">
        <f t="array" ref="Z6">IFERROR(IF(ROW(T_WATCHLIST4[[#This Row],[Stock]])-ROW(T_WATCHLIST4[[#Headers],[Stock]])&gt;=C_CNT_STOCKS,"",_FV(T_WATCHLIST4[[#This Row],[Stock]],"Industry",TRUE)),"Not Available")</f>
        <v/>
      </c>
      <c r="AA6" s="64" t="str" cm="1">
        <f t="array" ref="AA6">IFERROR(IF(ROW(T_WATCHLIST4[[#This Row],[Stock]])-ROW(T_WATCHLIST4[[#Headers],[Stock]])&gt;=C_CNT_STOCKS,"",_FV(T_WATCHLIST4[[#This Row],[Stock]],"Instrument type",TRUE)),"Not Available")</f>
        <v/>
      </c>
      <c r="AB6" s="92">
        <f>'Maximize impact score'!AC5/TRANSACTIONS!$B$26</f>
        <v>1.8185927729123204E-2</v>
      </c>
      <c r="AC6" s="50">
        <v>40</v>
      </c>
      <c r="AD6" s="50">
        <v>40</v>
      </c>
      <c r="AE6" s="50">
        <v>40</v>
      </c>
      <c r="AF6" s="50">
        <v>40</v>
      </c>
      <c r="AG6" s="50">
        <f>VLOOKUP(G6,'Impact Scores'!$B:$Z,25)</f>
        <v>160</v>
      </c>
      <c r="AH6" s="51">
        <f>AG6*T_WATCHLIST4[[#This Row],[Weight]]</f>
        <v>1.5998478136850114</v>
      </c>
    </row>
    <row r="7" spans="1:34" s="43" customFormat="1" ht="22" customHeight="1">
      <c r="E7" s="61"/>
      <c r="F7" s="62" t="str" cm="1">
        <f t="array" ref="F7">IFERROR(IF(ROW(T_WATCHLIST4[[#This Row],[Stock]])-ROW(T_WATCHLIST4[[#Headers],[Stock]])&gt;C_CNT_STOCKS,"",INDEX(_xlfn.ANCHORARRAY(HELP!$G$2),ROW(T_WATCHLIST4[[#This Row],[Stock]])-ROW(T_WATCHLIST4[[#Headers],[Stock]]))),"")</f>
        <v/>
      </c>
      <c r="G7" s="63" t="str" cm="1">
        <f t="array" ref="G7">IFERROR(_xlfn.FIELDVALUE(T_WATCHLIST4[[#This Row],[Stock]],"Ticker Symbol"),"")</f>
        <v/>
      </c>
      <c r="H7" s="116"/>
      <c r="I7" s="64" t="str">
        <f>IF(T_WATCHLIST4[[#This Row],[Stock]]="","",SUMIFS(T_TXN[UNITS],T_TXN[TYPE],"Buy",T_TXN[TICKER],T_WATCHLIST4[[#This Row],[Stock]])-SUMIFS(T_TXN[UNITS],T_TXN[TYPE],"Sell",T_TXN[TICKER],T_WATCHLIST4[[#This Row],[Stock]])+SUMIFS(T_TXN[UNITS],T_TXN[TYPE],"Dividend Reinvestment",T_TXN[TICKER],T_WATCHLIST4[[#This Row],[Stock]]))</f>
        <v/>
      </c>
      <c r="J7" s="62" t="str" cm="1">
        <f t="array" ref="J7">IFERROR(_xlfn.FIELDVALUE(T_WATCHLIST4[[#This Row],[Stock]],"Price"),"")</f>
        <v/>
      </c>
      <c r="K7" s="65" t="str" cm="1">
        <f t="array" ref="K7">IFERROR(_xlfn.FIELDVALUE(T_WATCHLIST4[[#This Row],[Stock]],"Change"),"")</f>
        <v/>
      </c>
      <c r="L7" s="76" t="str" cm="1">
        <f t="array" ref="L7">IFERROR(_xlfn.FIELDVALUE(T_WATCHLIST4[[#This Row],[Stock]],"Change (%)"),"")</f>
        <v/>
      </c>
      <c r="M7" s="67" t="str">
        <f>IF(T_WATCHLIST4[[#This Row],[Stock]]="","",T_WATCHLIST4[[#This Row],[Quantity]]*T_WATCHLIST4[[#This Row],[Last Price]])</f>
        <v/>
      </c>
      <c r="N7" s="68" t="str" cm="1">
        <f t="array" ref="N7">IF(T_WATCHLIST4[[#This Row],[Stock]]="","",T_WATCHLIST4[[#This Row],[Current Value]]-_xlfn.FIELDVALUE(T_WATCHLIST4[[#This Row],[Stock]],"Previous Close")*T_WATCHLIST4[[#This Row],[Quantity]])</f>
        <v/>
      </c>
      <c r="O7" s="69" t="str">
        <f>IFERROR(T_WATCHLIST4[[#This Row],[Today''s Gain/Loss]]/(T_WATCHLIST4[[#This Row],[Current Value]]-T_WATCHLIST4[[#This Row],[Today''s Gain/Loss]]),"")</f>
        <v/>
      </c>
      <c r="P7" s="67" t="str">
        <f>IFERROR(T_WATCHLIST4[[#This Row],[Current Value]]-T_WATCHLIST4[[#This Row],[% Total Gain/Loss9]],"")</f>
        <v/>
      </c>
      <c r="Q7" s="70" t="str">
        <f>IFERROR(T_WATCHLIST4[[#This Row],[Total Gain/Loss]]/T_WATCHLIST4[[#This Row],[% Total Gain/Loss9]],"")</f>
        <v/>
      </c>
      <c r="R7" s="77" t="str" cm="1">
        <f t="array" ref="R7">IFERROR(_xlfn.FIELDVALUE(T_WATCHLIST4[[#This Row],[Stock]],"52 week low"),"")</f>
        <v/>
      </c>
      <c r="S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 s="73" t="str" cm="1">
        <f t="array" ref="T7">IFERROR(_xlfn.FIELDVALUE(T_WATCHLIST4[[#This Row],[Stock]],"52 week high"),"")</f>
        <v/>
      </c>
      <c r="U7" s="64" t="str" cm="1">
        <f t="array" ref="U7">IF(T_WATCHLIST4[[#This Row],[Stock]]="","",SUMPRODUCT(T_TXN[UNITS],--(T_TXN[TYPE]="Buy"),--(T_TXN[TICKER]=T_WATCHLIST4[[#This Row],[Stock]])))</f>
        <v/>
      </c>
      <c r="V7" s="67" t="str" cm="1">
        <f t="array" ref="V7">IF(T_WATCHLIST4[[#This Row],[Stock]]="","",SUMPRODUCT(--(T_TXN[TYPE]="Buy"),T_TXN[UNITS],T_TXN[PRICE],--(T_TXN[TICKER]=T_WATCHLIST4[[#This Row],[Stock]])))</f>
        <v/>
      </c>
      <c r="W7" s="64" t="str" cm="1">
        <f t="array" ref="W7">IF(T_WATCHLIST4[[#This Row],[Stock]]="","",SUMPRODUCT(T_TXN[UNITS],--(T_TXN[TYPE]="Sell"),--(T_TXN[TICKER]=T_WATCHLIST4[[#This Row],[Stock]])))</f>
        <v/>
      </c>
      <c r="X7" s="67" t="str" cm="1">
        <f t="array" ref="X7">IF(T_WATCHLIST4[[#This Row],[Stock]]="","",SUMPRODUCT(--(T_TXN[TYPE]="Sell"),T_TXN[UNITS],T_TXN[PRICE],--(T_TXN[TICKER]=T_WATCHLIST4[[#This Row],[Stock]])))</f>
        <v/>
      </c>
      <c r="Y7" s="67" t="str" cm="1">
        <f t="array" ref="Y7">IF(T_WATCHLIST4[[#This Row],[Stock]]="","",SUMPRODUCT(T_TXN[UNITS],T_TXN[PRICE],--(T_TXN[TYPE]="Buy"),--(T_TXN[TICKER]=T_WATCHLIST4[[#This Row],[Stock]])) -SUMPRODUCT(T_TXN[UNITS],T_TXN[PRICE],--(T_TXN[TYPE]="Sell"),--(T_TXN[TICKER]=T_WATCHLIST4[[#This Row],[Stock]])))</f>
        <v/>
      </c>
      <c r="Z7" s="64" t="str" cm="1">
        <f t="array" ref="Z7">IFERROR(IF(ROW(T_WATCHLIST4[[#This Row],[Stock]])-ROW(T_WATCHLIST4[[#Headers],[Stock]])&gt;=C_CNT_STOCKS,"",_FV(T_WATCHLIST4[[#This Row],[Stock]],"Industry",TRUE)),"Not Available")</f>
        <v/>
      </c>
      <c r="AA7" s="64" t="str" cm="1">
        <f t="array" ref="AA7">IFERROR(IF(ROW(T_WATCHLIST4[[#This Row],[Stock]])-ROW(T_WATCHLIST4[[#Headers],[Stock]])&gt;=C_CNT_STOCKS,"",_FV(T_WATCHLIST4[[#This Row],[Stock]],"Instrument type",TRUE)),"Not Available")</f>
        <v/>
      </c>
      <c r="AG7"/>
      <c r="AH7"/>
    </row>
    <row r="8" spans="1:34" s="43" customFormat="1" ht="22" customHeight="1">
      <c r="B8" s="60" t="s">
        <v>72</v>
      </c>
      <c r="E8" s="61"/>
      <c r="F8" s="78" t="str" cm="1">
        <f t="array" ref="F8">IFERROR(IF(ROW(T_WATCHLIST4[[#This Row],[Stock]])-ROW(T_WATCHLIST4[[#Headers],[Stock]])&gt;C_CNT_STOCKS,"",INDEX(_xlfn.ANCHORARRAY(HELP!$G$2),ROW(T_WATCHLIST4[[#This Row],[Stock]])-ROW(T_WATCHLIST4[[#Headers],[Stock]]))),"")</f>
        <v/>
      </c>
      <c r="G8" s="63" t="str" cm="1">
        <f t="array" ref="G8">IFERROR(_xlfn.FIELDVALUE(T_WATCHLIST4[[#This Row],[Stock]],"Ticker Symbol"),"")</f>
        <v/>
      </c>
      <c r="H8" s="116"/>
      <c r="I8" s="64" t="str">
        <f>IF(T_WATCHLIST4[[#This Row],[Stock]]="","",SUMIFS(T_TXN[UNITS],T_TXN[TYPE],"Buy",T_TXN[TICKER],T_WATCHLIST4[[#This Row],[Stock]])-SUMIFS(T_TXN[UNITS],T_TXN[TYPE],"Sell",T_TXN[TICKER],T_WATCHLIST4[[#This Row],[Stock]])+SUMIFS(T_TXN[UNITS],T_TXN[TYPE],"Dividend Reinvestment",T_TXN[TICKER],T_WATCHLIST4[[#This Row],[Stock]]))</f>
        <v/>
      </c>
      <c r="J8" s="62" t="str" cm="1">
        <f t="array" ref="J8">IFERROR(_xlfn.FIELDVALUE(T_WATCHLIST4[[#This Row],[Stock]],"Price"),"")</f>
        <v/>
      </c>
      <c r="K8" s="65" t="str" cm="1">
        <f t="array" ref="K8">IFERROR(_xlfn.FIELDVALUE(T_WATCHLIST4[[#This Row],[Stock]],"Change"),"")</f>
        <v/>
      </c>
      <c r="L8" s="76" t="str" cm="1">
        <f t="array" ref="L8">IFERROR(_xlfn.FIELDVALUE(T_WATCHLIST4[[#This Row],[Stock]],"Change (%)"),"")</f>
        <v/>
      </c>
      <c r="M8" s="67" t="str">
        <f>IF(T_WATCHLIST4[[#This Row],[Stock]]="","",T_WATCHLIST4[[#This Row],[Quantity]]*T_WATCHLIST4[[#This Row],[Last Price]])</f>
        <v/>
      </c>
      <c r="N8" s="68" t="str" cm="1">
        <f t="array" ref="N8">IF(T_WATCHLIST4[[#This Row],[Stock]]="","",T_WATCHLIST4[[#This Row],[Current Value]]-_xlfn.FIELDVALUE(T_WATCHLIST4[[#This Row],[Stock]],"Previous Close")*T_WATCHLIST4[[#This Row],[Quantity]])</f>
        <v/>
      </c>
      <c r="O8" s="69" t="str">
        <f>IFERROR(T_WATCHLIST4[[#This Row],[Today''s Gain/Loss]]/(T_WATCHLIST4[[#This Row],[Current Value]]-T_WATCHLIST4[[#This Row],[Today''s Gain/Loss]]),"")</f>
        <v/>
      </c>
      <c r="P8" s="67" t="str">
        <f>IFERROR(T_WATCHLIST4[[#This Row],[Current Value]]-T_WATCHLIST4[[#This Row],[% Total Gain/Loss9]],"")</f>
        <v/>
      </c>
      <c r="Q8" s="70" t="str">
        <f>IFERROR(T_WATCHLIST4[[#This Row],[Total Gain/Loss]]/T_WATCHLIST4[[#This Row],[% Total Gain/Loss9]],"")</f>
        <v/>
      </c>
      <c r="R8" s="77" t="str" cm="1">
        <f t="array" ref="R8">IFERROR(_xlfn.FIELDVALUE(T_WATCHLIST4[[#This Row],[Stock]],"52 week low"),"")</f>
        <v/>
      </c>
      <c r="S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 s="73" t="str" cm="1">
        <f t="array" ref="T8">IFERROR(_xlfn.FIELDVALUE(T_WATCHLIST4[[#This Row],[Stock]],"52 week high"),"")</f>
        <v/>
      </c>
      <c r="U8" s="64" t="str" cm="1">
        <f t="array" ref="U8">IF(T_WATCHLIST4[[#This Row],[Stock]]="","",SUMPRODUCT(T_TXN[UNITS],--(T_TXN[TYPE]="Buy"),--(T_TXN[TICKER]=T_WATCHLIST4[[#This Row],[Stock]])))</f>
        <v/>
      </c>
      <c r="V8" s="67" t="str" cm="1">
        <f t="array" ref="V8">IF(T_WATCHLIST4[[#This Row],[Stock]]="","",SUMPRODUCT(--(T_TXN[TYPE]="Buy"),T_TXN[UNITS],T_TXN[PRICE],--(T_TXN[TICKER]=T_WATCHLIST4[[#This Row],[Stock]])))</f>
        <v/>
      </c>
      <c r="W8" s="64" t="str" cm="1">
        <f t="array" ref="W8">IF(T_WATCHLIST4[[#This Row],[Stock]]="","",SUMPRODUCT(T_TXN[UNITS],--(T_TXN[TYPE]="Sell"),--(T_TXN[TICKER]=T_WATCHLIST4[[#This Row],[Stock]])))</f>
        <v/>
      </c>
      <c r="X8" s="67" t="str" cm="1">
        <f t="array" ref="X8">IF(T_WATCHLIST4[[#This Row],[Stock]]="","",SUMPRODUCT(--(T_TXN[TYPE]="Sell"),T_TXN[UNITS],T_TXN[PRICE],--(T_TXN[TICKER]=T_WATCHLIST4[[#This Row],[Stock]])))</f>
        <v/>
      </c>
      <c r="Y8" s="67" t="str" cm="1">
        <f t="array" ref="Y8">IF(T_WATCHLIST4[[#This Row],[Stock]]="","",SUMPRODUCT(T_TXN[UNITS],T_TXN[PRICE],--(T_TXN[TYPE]="Buy"),--(T_TXN[TICKER]=T_WATCHLIST4[[#This Row],[Stock]])) -SUMPRODUCT(T_TXN[UNITS],T_TXN[PRICE],--(T_TXN[TYPE]="Sell"),--(T_TXN[TICKER]=T_WATCHLIST4[[#This Row],[Stock]])))</f>
        <v/>
      </c>
      <c r="Z8" s="64" t="str" cm="1">
        <f t="array" ref="Z8">IFERROR(IF(ROW(T_WATCHLIST4[[#This Row],[Stock]])-ROW(T_WATCHLIST4[[#Headers],[Stock]])&gt;=C_CNT_STOCKS,"",_FV(T_WATCHLIST4[[#This Row],[Stock]],"Industry",TRUE)),"Not Available")</f>
        <v/>
      </c>
      <c r="AA8" s="64" t="str" cm="1">
        <f t="array" ref="AA8">IFERROR(IF(ROW(T_WATCHLIST4[[#This Row],[Stock]])-ROW(T_WATCHLIST4[[#Headers],[Stock]])&gt;=C_CNT_STOCKS,"",_FV(T_WATCHLIST4[[#This Row],[Stock]],"Instrument type",TRUE)),"Not Available")</f>
        <v/>
      </c>
    </row>
    <row r="9" spans="1:34" s="43" customFormat="1" ht="22" customHeight="1">
      <c r="B9" s="79">
        <f>C_TODAY_GAINLOSS</f>
        <v>194.38999999999959</v>
      </c>
      <c r="C9" s="43" t="s">
        <v>47</v>
      </c>
      <c r="E9" s="61"/>
      <c r="F9" s="62" t="str" cm="1">
        <f t="array" ref="F9">IFERROR(IF(ROW(T_WATCHLIST4[[#This Row],[Stock]])-ROW(T_WATCHLIST4[[#Headers],[Stock]])&gt;C_CNT_STOCKS,"",INDEX(_xlfn.ANCHORARRAY(HELP!$G$2),ROW(T_WATCHLIST4[[#This Row],[Stock]])-ROW(T_WATCHLIST4[[#Headers],[Stock]]))),"")</f>
        <v/>
      </c>
      <c r="G9" s="63" t="str" cm="1">
        <f t="array" ref="G9">IFERROR(_xlfn.FIELDVALUE(T_WATCHLIST4[[#This Row],[Stock]],"Ticker Symbol"),"")</f>
        <v/>
      </c>
      <c r="H9" s="116"/>
      <c r="I9" s="64" t="str">
        <f>IF(T_WATCHLIST4[[#This Row],[Stock]]="","",SUMIFS(T_TXN[UNITS],T_TXN[TYPE],"Buy",T_TXN[TICKER],T_WATCHLIST4[[#This Row],[Stock]])-SUMIFS(T_TXN[UNITS],T_TXN[TYPE],"Sell",T_TXN[TICKER],T_WATCHLIST4[[#This Row],[Stock]])+SUMIFS(T_TXN[UNITS],T_TXN[TYPE],"Dividend Reinvestment",T_TXN[TICKER],T_WATCHLIST4[[#This Row],[Stock]]))</f>
        <v/>
      </c>
      <c r="J9" s="62" t="str" cm="1">
        <f t="array" ref="J9">IFERROR(_xlfn.FIELDVALUE(T_WATCHLIST4[[#This Row],[Stock]],"Price"),"")</f>
        <v/>
      </c>
      <c r="K9" s="65" t="str" cm="1">
        <f t="array" ref="K9">IFERROR(_xlfn.FIELDVALUE(T_WATCHLIST4[[#This Row],[Stock]],"Change"),"")</f>
        <v/>
      </c>
      <c r="L9" s="76" t="str" cm="1">
        <f t="array" ref="L9">IFERROR(_xlfn.FIELDVALUE(T_WATCHLIST4[[#This Row],[Stock]],"Change (%)"),"")</f>
        <v/>
      </c>
      <c r="M9" s="67" t="str">
        <f>IF(T_WATCHLIST4[[#This Row],[Stock]]="","",T_WATCHLIST4[[#This Row],[Quantity]]*T_WATCHLIST4[[#This Row],[Last Price]])</f>
        <v/>
      </c>
      <c r="N9" s="68" t="str" cm="1">
        <f t="array" ref="N9">IF(T_WATCHLIST4[[#This Row],[Stock]]="","",T_WATCHLIST4[[#This Row],[Current Value]]-_xlfn.FIELDVALUE(T_WATCHLIST4[[#This Row],[Stock]],"Previous Close")*T_WATCHLIST4[[#This Row],[Quantity]])</f>
        <v/>
      </c>
      <c r="O9" s="69" t="str">
        <f>IFERROR(T_WATCHLIST4[[#This Row],[Today''s Gain/Loss]]/(T_WATCHLIST4[[#This Row],[Current Value]]-T_WATCHLIST4[[#This Row],[Today''s Gain/Loss]]),"")</f>
        <v/>
      </c>
      <c r="P9" s="67" t="str">
        <f>IFERROR(T_WATCHLIST4[[#This Row],[Current Value]]-T_WATCHLIST4[[#This Row],[% Total Gain/Loss9]],"")</f>
        <v/>
      </c>
      <c r="Q9" s="70" t="str">
        <f>IFERROR(T_WATCHLIST4[[#This Row],[Total Gain/Loss]]/T_WATCHLIST4[[#This Row],[% Total Gain/Loss9]],"")</f>
        <v/>
      </c>
      <c r="R9" s="77" t="str" cm="1">
        <f t="array" ref="R9">IFERROR(_xlfn.FIELDVALUE(T_WATCHLIST4[[#This Row],[Stock]],"52 week low"),"")</f>
        <v/>
      </c>
      <c r="S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 s="73" t="str" cm="1">
        <f t="array" ref="T9">IFERROR(_xlfn.FIELDVALUE(T_WATCHLIST4[[#This Row],[Stock]],"52 week high"),"")</f>
        <v/>
      </c>
      <c r="U9" s="64" t="str" cm="1">
        <f t="array" ref="U9">IF(T_WATCHLIST4[[#This Row],[Stock]]="","",SUMPRODUCT(T_TXN[UNITS],--(T_TXN[TYPE]="Buy"),--(T_TXN[TICKER]=T_WATCHLIST4[[#This Row],[Stock]])))</f>
        <v/>
      </c>
      <c r="V9" s="67" t="str" cm="1">
        <f t="array" ref="V9">IF(T_WATCHLIST4[[#This Row],[Stock]]="","",SUMPRODUCT(--(T_TXN[TYPE]="Buy"),T_TXN[UNITS],T_TXN[PRICE],--(T_TXN[TICKER]=T_WATCHLIST4[[#This Row],[Stock]])))</f>
        <v/>
      </c>
      <c r="W9" s="64" t="str" cm="1">
        <f t="array" ref="W9">IF(T_WATCHLIST4[[#This Row],[Stock]]="","",SUMPRODUCT(T_TXN[UNITS],--(T_TXN[TYPE]="Sell"),--(T_TXN[TICKER]=T_WATCHLIST4[[#This Row],[Stock]])))</f>
        <v/>
      </c>
      <c r="X9" s="67" t="str" cm="1">
        <f t="array" ref="X9">IF(T_WATCHLIST4[[#This Row],[Stock]]="","",SUMPRODUCT(--(T_TXN[TYPE]="Sell"),T_TXN[UNITS],T_TXN[PRICE],--(T_TXN[TICKER]=T_WATCHLIST4[[#This Row],[Stock]])))</f>
        <v/>
      </c>
      <c r="Y9" s="67" t="str" cm="1">
        <f t="array" ref="Y9">IF(T_WATCHLIST4[[#This Row],[Stock]]="","",SUMPRODUCT(T_TXN[UNITS],T_TXN[PRICE],--(T_TXN[TYPE]="Buy"),--(T_TXN[TICKER]=T_WATCHLIST4[[#This Row],[Stock]])) -SUMPRODUCT(T_TXN[UNITS],T_TXN[PRICE],--(T_TXN[TYPE]="Sell"),--(T_TXN[TICKER]=T_WATCHLIST4[[#This Row],[Stock]])))</f>
        <v/>
      </c>
      <c r="Z9" s="64" t="str" cm="1">
        <f t="array" ref="Z9">IFERROR(IF(ROW(T_WATCHLIST4[[#This Row],[Stock]])-ROW(T_WATCHLIST4[[#Headers],[Stock]])&gt;=C_CNT_STOCKS,"",_FV(T_WATCHLIST4[[#This Row],[Stock]],"Industry",TRUE)),"Not Available")</f>
        <v/>
      </c>
      <c r="AA9" s="64" t="str" cm="1">
        <f t="array" ref="AA9">IFERROR(IF(ROW(T_WATCHLIST4[[#This Row],[Stock]])-ROW(T_WATCHLIST4[[#Headers],[Stock]])&gt;=C_CNT_STOCKS,"",_FV(T_WATCHLIST4[[#This Row],[Stock]],"Instrument type",TRUE)),"Not Available")</f>
        <v/>
      </c>
    </row>
    <row r="10" spans="1:34" s="43" customFormat="1" ht="22" customHeight="1">
      <c r="B10" s="74">
        <f>C_TODAY_GAINLOSS_P</f>
        <v>5.3188462106743446E-2</v>
      </c>
      <c r="C10" s="43" t="s">
        <v>68</v>
      </c>
      <c r="E10" s="61"/>
      <c r="F10" s="62" t="str" cm="1">
        <f t="array" ref="F10">IFERROR(IF(ROW(T_WATCHLIST4[[#This Row],[Stock]])-ROW(T_WATCHLIST4[[#Headers],[Stock]])&gt;C_CNT_STOCKS,"",INDEX(_xlfn.ANCHORARRAY(HELP!$G$2),ROW(T_WATCHLIST4[[#This Row],[Stock]])-ROW(T_WATCHLIST4[[#Headers],[Stock]]))),"")</f>
        <v/>
      </c>
      <c r="G10" s="63" t="str" cm="1">
        <f t="array" ref="G10">IFERROR(_xlfn.FIELDVALUE(T_WATCHLIST4[[#This Row],[Stock]],"Ticker Symbol"),"")</f>
        <v/>
      </c>
      <c r="H10" s="116"/>
      <c r="I10" s="64" t="str">
        <f>IF(T_WATCHLIST4[[#This Row],[Stock]]="","",SUMIFS(T_TXN[UNITS],T_TXN[TYPE],"Buy",T_TXN[TICKER],T_WATCHLIST4[[#This Row],[Stock]])-SUMIFS(T_TXN[UNITS],T_TXN[TYPE],"Sell",T_TXN[TICKER],T_WATCHLIST4[[#This Row],[Stock]])+SUMIFS(T_TXN[UNITS],T_TXN[TYPE],"Dividend Reinvestment",T_TXN[TICKER],T_WATCHLIST4[[#This Row],[Stock]]))</f>
        <v/>
      </c>
      <c r="J10" s="62" t="str" cm="1">
        <f t="array" ref="J10">IFERROR(_xlfn.FIELDVALUE(T_WATCHLIST4[[#This Row],[Stock]],"Price"),"")</f>
        <v/>
      </c>
      <c r="K10" s="65" t="str" cm="1">
        <f t="array" ref="K10">IFERROR(_xlfn.FIELDVALUE(T_WATCHLIST4[[#This Row],[Stock]],"Change"),"")</f>
        <v/>
      </c>
      <c r="L10" s="76" t="str" cm="1">
        <f t="array" ref="L10">IFERROR(_xlfn.FIELDVALUE(T_WATCHLIST4[[#This Row],[Stock]],"Change (%)"),"")</f>
        <v/>
      </c>
      <c r="M10" s="67" t="str">
        <f>IF(T_WATCHLIST4[[#This Row],[Stock]]="","",T_WATCHLIST4[[#This Row],[Quantity]]*T_WATCHLIST4[[#This Row],[Last Price]])</f>
        <v/>
      </c>
      <c r="N10" s="68" t="str" cm="1">
        <f t="array" ref="N10">IF(T_WATCHLIST4[[#This Row],[Stock]]="","",T_WATCHLIST4[[#This Row],[Current Value]]-_xlfn.FIELDVALUE(T_WATCHLIST4[[#This Row],[Stock]],"Previous Close")*T_WATCHLIST4[[#This Row],[Quantity]])</f>
        <v/>
      </c>
      <c r="O10" s="69" t="str">
        <f>IFERROR(T_WATCHLIST4[[#This Row],[Today''s Gain/Loss]]/(T_WATCHLIST4[[#This Row],[Current Value]]-T_WATCHLIST4[[#This Row],[Today''s Gain/Loss]]),"")</f>
        <v/>
      </c>
      <c r="P10" s="67" t="str">
        <f>IFERROR(T_WATCHLIST4[[#This Row],[Current Value]]-T_WATCHLIST4[[#This Row],[% Total Gain/Loss9]],"")</f>
        <v/>
      </c>
      <c r="Q10" s="70" t="str">
        <f>IFERROR(T_WATCHLIST4[[#This Row],[Total Gain/Loss]]/T_WATCHLIST4[[#This Row],[% Total Gain/Loss9]],"")</f>
        <v/>
      </c>
      <c r="R10" s="77" t="str" cm="1">
        <f t="array" ref="R10">IFERROR(_xlfn.FIELDVALUE(T_WATCHLIST4[[#This Row],[Stock]],"52 week low"),"")</f>
        <v/>
      </c>
      <c r="S1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0" s="73" t="str" cm="1">
        <f t="array" ref="T10">IFERROR(_xlfn.FIELDVALUE(T_WATCHLIST4[[#This Row],[Stock]],"52 week high"),"")</f>
        <v/>
      </c>
      <c r="U10" s="64" t="str" cm="1">
        <f t="array" ref="U10">IF(T_WATCHLIST4[[#This Row],[Stock]]="","",SUMPRODUCT(T_TXN[UNITS],--(T_TXN[TYPE]="Buy"),--(T_TXN[TICKER]=T_WATCHLIST4[[#This Row],[Stock]])))</f>
        <v/>
      </c>
      <c r="V10" s="67" t="str" cm="1">
        <f t="array" ref="V10">IF(T_WATCHLIST4[[#This Row],[Stock]]="","",SUMPRODUCT(--(T_TXN[TYPE]="Buy"),T_TXN[UNITS],T_TXN[PRICE],--(T_TXN[TICKER]=T_WATCHLIST4[[#This Row],[Stock]])))</f>
        <v/>
      </c>
      <c r="W10" s="64" t="str" cm="1">
        <f t="array" ref="W10">IF(T_WATCHLIST4[[#This Row],[Stock]]="","",SUMPRODUCT(T_TXN[UNITS],--(T_TXN[TYPE]="Sell"),--(T_TXN[TICKER]=T_WATCHLIST4[[#This Row],[Stock]])))</f>
        <v/>
      </c>
      <c r="X10" s="67" t="str" cm="1">
        <f t="array" ref="X10">IF(T_WATCHLIST4[[#This Row],[Stock]]="","",SUMPRODUCT(--(T_TXN[TYPE]="Sell"),T_TXN[UNITS],T_TXN[PRICE],--(T_TXN[TICKER]=T_WATCHLIST4[[#This Row],[Stock]])))</f>
        <v/>
      </c>
      <c r="Y10" s="67" t="str" cm="1">
        <f t="array" ref="Y10">IF(T_WATCHLIST4[[#This Row],[Stock]]="","",SUMPRODUCT(T_TXN[UNITS],T_TXN[PRICE],--(T_TXN[TYPE]="Buy"),--(T_TXN[TICKER]=T_WATCHLIST4[[#This Row],[Stock]])) -SUMPRODUCT(T_TXN[UNITS],T_TXN[PRICE],--(T_TXN[TYPE]="Sell"),--(T_TXN[TICKER]=T_WATCHLIST4[[#This Row],[Stock]])))</f>
        <v/>
      </c>
      <c r="Z10" s="64" t="str" cm="1">
        <f t="array" ref="Z10">IFERROR(IF(ROW(T_WATCHLIST4[[#This Row],[Stock]])-ROW(T_WATCHLIST4[[#Headers],[Stock]])&gt;=C_CNT_STOCKS,"",_FV(T_WATCHLIST4[[#This Row],[Stock]],"Industry",TRUE)),"Not Available")</f>
        <v/>
      </c>
      <c r="AA10" s="64" t="str" cm="1">
        <f t="array" ref="AA10">IFERROR(IF(ROW(T_WATCHLIST4[[#This Row],[Stock]])-ROW(T_WATCHLIST4[[#Headers],[Stock]])&gt;=C_CNT_STOCKS,"",_FV(T_WATCHLIST4[[#This Row],[Stock]],"Instrument type",TRUE)),"Not Available")</f>
        <v/>
      </c>
    </row>
    <row r="11" spans="1:34" s="43" customFormat="1" ht="22" customHeight="1">
      <c r="E11" s="61"/>
      <c r="F11" s="62" t="str" cm="1">
        <f t="array" ref="F11">IFERROR(IF(ROW(T_WATCHLIST4[[#This Row],[Stock]])-ROW(T_WATCHLIST4[[#Headers],[Stock]])&gt;C_CNT_STOCKS,"",INDEX(_xlfn.ANCHORARRAY(HELP!$G$2),ROW(T_WATCHLIST4[[#This Row],[Stock]])-ROW(T_WATCHLIST4[[#Headers],[Stock]]))),"")</f>
        <v/>
      </c>
      <c r="G11" s="63" t="str" cm="1">
        <f t="array" ref="G11">IFERROR(_xlfn.FIELDVALUE(T_WATCHLIST4[[#This Row],[Stock]],"Ticker Symbol"),"")</f>
        <v/>
      </c>
      <c r="H11" s="116"/>
      <c r="I11" s="64" t="str">
        <f>IF(T_WATCHLIST4[[#This Row],[Stock]]="","",SUMIFS(T_TXN[UNITS],T_TXN[TYPE],"Buy",T_TXN[TICKER],T_WATCHLIST4[[#This Row],[Stock]])-SUMIFS(T_TXN[UNITS],T_TXN[TYPE],"Sell",T_TXN[TICKER],T_WATCHLIST4[[#This Row],[Stock]])+SUMIFS(T_TXN[UNITS],T_TXN[TYPE],"Dividend Reinvestment",T_TXN[TICKER],T_WATCHLIST4[[#This Row],[Stock]]))</f>
        <v/>
      </c>
      <c r="J11" s="62" t="str" cm="1">
        <f t="array" ref="J11">IFERROR(_xlfn.FIELDVALUE(T_WATCHLIST4[[#This Row],[Stock]],"Price"),"")</f>
        <v/>
      </c>
      <c r="K11" s="65" t="str" cm="1">
        <f t="array" ref="K11">IFERROR(_xlfn.FIELDVALUE(T_WATCHLIST4[[#This Row],[Stock]],"Change"),"")</f>
        <v/>
      </c>
      <c r="L11" s="76" t="str" cm="1">
        <f t="array" ref="L11">IFERROR(_xlfn.FIELDVALUE(T_WATCHLIST4[[#This Row],[Stock]],"Change (%)"),"")</f>
        <v/>
      </c>
      <c r="M11" s="67" t="str">
        <f>IF(T_WATCHLIST4[[#This Row],[Stock]]="","",T_WATCHLIST4[[#This Row],[Quantity]]*T_WATCHLIST4[[#This Row],[Last Price]])</f>
        <v/>
      </c>
      <c r="N11" s="68" t="str" cm="1">
        <f t="array" ref="N11">IF(T_WATCHLIST4[[#This Row],[Stock]]="","",T_WATCHLIST4[[#This Row],[Current Value]]-_xlfn.FIELDVALUE(T_WATCHLIST4[[#This Row],[Stock]],"Previous Close")*T_WATCHLIST4[[#This Row],[Quantity]])</f>
        <v/>
      </c>
      <c r="O11" s="69" t="str">
        <f>IFERROR(T_WATCHLIST4[[#This Row],[Today''s Gain/Loss]]/(T_WATCHLIST4[[#This Row],[Current Value]]-T_WATCHLIST4[[#This Row],[Today''s Gain/Loss]]),"")</f>
        <v/>
      </c>
      <c r="P11" s="67" t="str">
        <f>IFERROR(T_WATCHLIST4[[#This Row],[Current Value]]-T_WATCHLIST4[[#This Row],[% Total Gain/Loss9]],"")</f>
        <v/>
      </c>
      <c r="Q11" s="70" t="str">
        <f>IFERROR(T_WATCHLIST4[[#This Row],[Total Gain/Loss]]/T_WATCHLIST4[[#This Row],[% Total Gain/Loss9]],"")</f>
        <v/>
      </c>
      <c r="R11" s="77" t="str" cm="1">
        <f t="array" ref="R11">IFERROR(_xlfn.FIELDVALUE(T_WATCHLIST4[[#This Row],[Stock]],"52 week low"),"")</f>
        <v/>
      </c>
      <c r="S1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1" s="73" t="str" cm="1">
        <f t="array" ref="T11">IFERROR(_xlfn.FIELDVALUE(T_WATCHLIST4[[#This Row],[Stock]],"52 week high"),"")</f>
        <v/>
      </c>
      <c r="U11" s="64" t="str" cm="1">
        <f t="array" ref="U11">IF(T_WATCHLIST4[[#This Row],[Stock]]="","",SUMPRODUCT(T_TXN[UNITS],--(T_TXN[TYPE]="Buy"),--(T_TXN[TICKER]=T_WATCHLIST4[[#This Row],[Stock]])))</f>
        <v/>
      </c>
      <c r="V11" s="67" t="str" cm="1">
        <f t="array" ref="V11">IF(T_WATCHLIST4[[#This Row],[Stock]]="","",SUMPRODUCT(--(T_TXN[TYPE]="Buy"),T_TXN[UNITS],T_TXN[PRICE],--(T_TXN[TICKER]=T_WATCHLIST4[[#This Row],[Stock]])))</f>
        <v/>
      </c>
      <c r="W11" s="64" t="str" cm="1">
        <f t="array" ref="W11">IF(T_WATCHLIST4[[#This Row],[Stock]]="","",SUMPRODUCT(T_TXN[UNITS],--(T_TXN[TYPE]="Sell"),--(T_TXN[TICKER]=T_WATCHLIST4[[#This Row],[Stock]])))</f>
        <v/>
      </c>
      <c r="X11" s="67" t="str" cm="1">
        <f t="array" ref="X11">IF(T_WATCHLIST4[[#This Row],[Stock]]="","",SUMPRODUCT(--(T_TXN[TYPE]="Sell"),T_TXN[UNITS],T_TXN[PRICE],--(T_TXN[TICKER]=T_WATCHLIST4[[#This Row],[Stock]])))</f>
        <v/>
      </c>
      <c r="Y11" s="67" t="str" cm="1">
        <f t="array" ref="Y11">IF(T_WATCHLIST4[[#This Row],[Stock]]="","",SUMPRODUCT(T_TXN[UNITS],T_TXN[PRICE],--(T_TXN[TYPE]="Buy"),--(T_TXN[TICKER]=T_WATCHLIST4[[#This Row],[Stock]])) -SUMPRODUCT(T_TXN[UNITS],T_TXN[PRICE],--(T_TXN[TYPE]="Sell"),--(T_TXN[TICKER]=T_WATCHLIST4[[#This Row],[Stock]])))</f>
        <v/>
      </c>
      <c r="Z11" s="64" t="str" cm="1">
        <f t="array" ref="Z11">IFERROR(IF(ROW(T_WATCHLIST4[[#This Row],[Stock]])-ROW(T_WATCHLIST4[[#Headers],[Stock]])&gt;=C_CNT_STOCKS,"",_FV(T_WATCHLIST4[[#This Row],[Stock]],"Industry",TRUE)),"Not Available")</f>
        <v/>
      </c>
      <c r="AA11" s="64" t="str" cm="1">
        <f t="array" ref="AA11">IFERROR(IF(ROW(T_WATCHLIST4[[#This Row],[Stock]])-ROW(T_WATCHLIST4[[#Headers],[Stock]])&gt;=C_CNT_STOCKS,"",_FV(T_WATCHLIST4[[#This Row],[Stock]],"Instrument type",TRUE)),"Not Available")</f>
        <v/>
      </c>
    </row>
    <row r="12" spans="1:34" s="43" customFormat="1" ht="22" customHeight="1">
      <c r="E12" s="61"/>
      <c r="F12" s="62" t="str" cm="1">
        <f t="array" ref="F12">IFERROR(IF(ROW(T_WATCHLIST4[[#This Row],[Stock]])-ROW(T_WATCHLIST4[[#Headers],[Stock]])&gt;C_CNT_STOCKS,"",INDEX(_xlfn.ANCHORARRAY(HELP!$G$2),ROW(T_WATCHLIST4[[#This Row],[Stock]])-ROW(T_WATCHLIST4[[#Headers],[Stock]]))),"")</f>
        <v/>
      </c>
      <c r="G12" s="63" t="str" cm="1">
        <f t="array" ref="G12">IFERROR(_xlfn.FIELDVALUE(T_WATCHLIST4[[#This Row],[Stock]],"Ticker Symbol"),"")</f>
        <v/>
      </c>
      <c r="H12" s="116"/>
      <c r="I12" s="64" t="str">
        <f>IF(T_WATCHLIST4[[#This Row],[Stock]]="","",SUMIFS(T_TXN[UNITS],T_TXN[TYPE],"Buy",T_TXN[TICKER],T_WATCHLIST4[[#This Row],[Stock]])-SUMIFS(T_TXN[UNITS],T_TXN[TYPE],"Sell",T_TXN[TICKER],T_WATCHLIST4[[#This Row],[Stock]])+SUMIFS(T_TXN[UNITS],T_TXN[TYPE],"Dividend Reinvestment",T_TXN[TICKER],T_WATCHLIST4[[#This Row],[Stock]]))</f>
        <v/>
      </c>
      <c r="J12" s="62" t="str" cm="1">
        <f t="array" ref="J12">IFERROR(_xlfn.FIELDVALUE(T_WATCHLIST4[[#This Row],[Stock]],"Price"),"")</f>
        <v/>
      </c>
      <c r="K12" s="65" t="str" cm="1">
        <f t="array" ref="K12">IFERROR(_xlfn.FIELDVALUE(T_WATCHLIST4[[#This Row],[Stock]],"Change"),"")</f>
        <v/>
      </c>
      <c r="L12" s="66" t="str" cm="1">
        <f t="array" ref="L12">IFERROR(_xlfn.FIELDVALUE(T_WATCHLIST4[[#This Row],[Stock]],"Change (%)"),"")</f>
        <v/>
      </c>
      <c r="M12" s="67" t="str">
        <f>IF(T_WATCHLIST4[[#This Row],[Stock]]="","",T_WATCHLIST4[[#This Row],[Quantity]]*T_WATCHLIST4[[#This Row],[Last Price]])</f>
        <v/>
      </c>
      <c r="N12" s="68" t="str" cm="1">
        <f t="array" ref="N12">IF(T_WATCHLIST4[[#This Row],[Stock]]="","",T_WATCHLIST4[[#This Row],[Current Value]]-_xlfn.FIELDVALUE(T_WATCHLIST4[[#This Row],[Stock]],"Previous Close")*T_WATCHLIST4[[#This Row],[Quantity]])</f>
        <v/>
      </c>
      <c r="O12" s="69" t="str">
        <f>IFERROR(T_WATCHLIST4[[#This Row],[Today''s Gain/Loss]]/(T_WATCHLIST4[[#This Row],[Current Value]]-T_WATCHLIST4[[#This Row],[Today''s Gain/Loss]]),"")</f>
        <v/>
      </c>
      <c r="P12" s="67" t="str">
        <f>IFERROR(T_WATCHLIST4[[#This Row],[Current Value]]-T_WATCHLIST4[[#This Row],[% Total Gain/Loss9]],"")</f>
        <v/>
      </c>
      <c r="Q12" s="70" t="str">
        <f>IFERROR(T_WATCHLIST4[[#This Row],[Total Gain/Loss]]/T_WATCHLIST4[[#This Row],[% Total Gain/Loss9]],"")</f>
        <v/>
      </c>
      <c r="R12" s="71" t="str" cm="1">
        <f t="array" ref="R12">IFERROR(_xlfn.FIELDVALUE(T_WATCHLIST4[[#This Row],[Stock]],"52 week low"),"")</f>
        <v/>
      </c>
      <c r="S1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2" s="73" t="str" cm="1">
        <f t="array" ref="T12">IFERROR(_xlfn.FIELDVALUE(T_WATCHLIST4[[#This Row],[Stock]],"52 week high"),"")</f>
        <v/>
      </c>
      <c r="U12" s="64" t="str" cm="1">
        <f t="array" ref="U12">IF(T_WATCHLIST4[[#This Row],[Stock]]="","",SUMPRODUCT(T_TXN[UNITS],--(T_TXN[TYPE]="Buy"),--(T_TXN[TICKER]=T_WATCHLIST4[[#This Row],[Stock]])))</f>
        <v/>
      </c>
      <c r="V12" s="67" t="str" cm="1">
        <f t="array" ref="V12">IF(T_WATCHLIST4[[#This Row],[Stock]]="","",SUMPRODUCT(--(T_TXN[TYPE]="Buy"),T_TXN[UNITS],T_TXN[PRICE],--(T_TXN[TICKER]=T_WATCHLIST4[[#This Row],[Stock]])))</f>
        <v/>
      </c>
      <c r="W12" s="64" t="str" cm="1">
        <f t="array" ref="W12">IF(T_WATCHLIST4[[#This Row],[Stock]]="","",SUMPRODUCT(T_TXN[UNITS],--(T_TXN[TYPE]="Sell"),--(T_TXN[TICKER]=T_WATCHLIST4[[#This Row],[Stock]])))</f>
        <v/>
      </c>
      <c r="X12" s="67" t="str" cm="1">
        <f t="array" ref="X12">IF(T_WATCHLIST4[[#This Row],[Stock]]="","",SUMPRODUCT(--(T_TXN[TYPE]="Sell"),T_TXN[UNITS],T_TXN[PRICE],--(T_TXN[TICKER]=T_WATCHLIST4[[#This Row],[Stock]])))</f>
        <v/>
      </c>
      <c r="Y12" s="67" t="str" cm="1">
        <f t="array" ref="Y12">IF(T_WATCHLIST4[[#This Row],[Stock]]="","",SUMPRODUCT(T_TXN[UNITS],T_TXN[PRICE],--(T_TXN[TYPE]="Buy"),--(T_TXN[TICKER]=T_WATCHLIST4[[#This Row],[Stock]])) -SUMPRODUCT(T_TXN[UNITS],T_TXN[PRICE],--(T_TXN[TYPE]="Sell"),--(T_TXN[TICKER]=T_WATCHLIST4[[#This Row],[Stock]])))</f>
        <v/>
      </c>
      <c r="Z12" s="64" t="str" cm="1">
        <f t="array" ref="Z12">IFERROR(IF(ROW(T_WATCHLIST4[[#This Row],[Stock]])-ROW(T_WATCHLIST4[[#Headers],[Stock]])&gt;=C_CNT_STOCKS,"",_FV(T_WATCHLIST4[[#This Row],[Stock]],"Industry",TRUE)),"Not Available")</f>
        <v/>
      </c>
      <c r="AA12" s="64" t="str" cm="1">
        <f t="array" ref="AA12">IFERROR(IF(ROW(T_WATCHLIST4[[#This Row],[Stock]])-ROW(T_WATCHLIST4[[#Headers],[Stock]])&gt;=C_CNT_STOCKS,"",_FV(T_WATCHLIST4[[#This Row],[Stock]],"Instrument type",TRUE)),"Not Available")</f>
        <v/>
      </c>
    </row>
    <row r="13" spans="1:34" s="43" customFormat="1" ht="22" customHeight="1">
      <c r="E13" s="61"/>
      <c r="F13" s="75" t="str" cm="1">
        <f t="array" ref="F13">IFERROR(IF(ROW(T_WATCHLIST4[[#This Row],[Stock]])-ROW(T_WATCHLIST4[[#Headers],[Stock]])&gt;C_CNT_STOCKS,"",INDEX(_xlfn.ANCHORARRAY(HELP!$G$2),ROW(T_WATCHLIST4[[#This Row],[Stock]])-ROW(T_WATCHLIST4[[#Headers],[Stock]]))),"")</f>
        <v/>
      </c>
      <c r="G13" s="80" t="str" cm="1">
        <f t="array" ref="G13">IFERROR(_xlfn.FIELDVALUE(T_WATCHLIST4[[#This Row],[Stock]],"Ticker Symbol"),"")</f>
        <v/>
      </c>
      <c r="H13" s="116"/>
      <c r="I13" s="81" t="str">
        <f>IF(T_WATCHLIST4[[#This Row],[Stock]]="","",SUMIFS(T_TXN[UNITS],T_TXN[TYPE],"Buy",T_TXN[TICKER],T_WATCHLIST4[[#This Row],[Stock]])-SUMIFS(T_TXN[UNITS],T_TXN[TYPE],"Sell",T_TXN[TICKER],T_WATCHLIST4[[#This Row],[Stock]])+SUMIFS(T_TXN[UNITS],T_TXN[TYPE],"Dividend Reinvestment",T_TXN[TICKER],T_WATCHLIST4[[#This Row],[Stock]]))</f>
        <v/>
      </c>
      <c r="J13" s="75" t="str" cm="1">
        <f t="array" ref="J13">IFERROR(_xlfn.FIELDVALUE(T_WATCHLIST4[[#This Row],[Stock]],"Price"),"")</f>
        <v/>
      </c>
      <c r="K13" s="82" t="str" cm="1">
        <f t="array" ref="K13">IFERROR(_xlfn.FIELDVALUE(T_WATCHLIST4[[#This Row],[Stock]],"Change"),"")</f>
        <v/>
      </c>
      <c r="L13" s="83" t="str" cm="1">
        <f t="array" ref="L13">IFERROR(_xlfn.FIELDVALUE(T_WATCHLIST4[[#This Row],[Stock]],"Change (%)"),"")</f>
        <v/>
      </c>
      <c r="M13" s="84" t="str">
        <f>IF(T_WATCHLIST4[[#This Row],[Stock]]="","",T_WATCHLIST4[[#This Row],[Quantity]]*T_WATCHLIST4[[#This Row],[Last Price]])</f>
        <v/>
      </c>
      <c r="N13" s="85" t="str" cm="1">
        <f t="array" ref="N13">IF(T_WATCHLIST4[[#This Row],[Stock]]="","",T_WATCHLIST4[[#This Row],[Current Value]]-_xlfn.FIELDVALUE(T_WATCHLIST4[[#This Row],[Stock]],"Previous Close")*T_WATCHLIST4[[#This Row],[Quantity]])</f>
        <v/>
      </c>
      <c r="O13" s="86" t="str">
        <f>IFERROR(T_WATCHLIST4[[#This Row],[Today''s Gain/Loss]]/(T_WATCHLIST4[[#This Row],[Current Value]]-T_WATCHLIST4[[#This Row],[Today''s Gain/Loss]]),"")</f>
        <v/>
      </c>
      <c r="P13" s="84" t="str">
        <f>IFERROR(T_WATCHLIST4[[#This Row],[Current Value]]-T_WATCHLIST4[[#This Row],[% Total Gain/Loss9]],"")</f>
        <v/>
      </c>
      <c r="Q13" s="87" t="str">
        <f>IFERROR(T_WATCHLIST4[[#This Row],[Total Gain/Loss]]/T_WATCHLIST4[[#This Row],[% Total Gain/Loss9]],"")</f>
        <v/>
      </c>
      <c r="R13" s="88" t="str" cm="1">
        <f t="array" ref="R13">IFERROR(_xlfn.FIELDVALUE(T_WATCHLIST4[[#This Row],[Stock]],"52 week low"),"")</f>
        <v/>
      </c>
      <c r="S1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3" s="73" t="str" cm="1">
        <f t="array" ref="T13">IFERROR(_xlfn.FIELDVALUE(T_WATCHLIST4[[#This Row],[Stock]],"52 week high"),"")</f>
        <v/>
      </c>
      <c r="U13" s="64" t="str" cm="1">
        <f t="array" ref="U13">IF(T_WATCHLIST4[[#This Row],[Stock]]="","",SUMPRODUCT(T_TXN[UNITS],--(T_TXN[TYPE]="Buy"),--(T_TXN[TICKER]=T_WATCHLIST4[[#This Row],[Stock]])))</f>
        <v/>
      </c>
      <c r="V13" s="67" t="str" cm="1">
        <f t="array" ref="V13">IF(T_WATCHLIST4[[#This Row],[Stock]]="","",SUMPRODUCT(--(T_TXN[TYPE]="Buy"),T_TXN[UNITS],T_TXN[PRICE],--(T_TXN[TICKER]=T_WATCHLIST4[[#This Row],[Stock]])))</f>
        <v/>
      </c>
      <c r="W13" s="64" t="str" cm="1">
        <f t="array" ref="W13">IF(T_WATCHLIST4[[#This Row],[Stock]]="","",SUMPRODUCT(T_TXN[UNITS],--(T_TXN[TYPE]="Sell"),--(T_TXN[TICKER]=T_WATCHLIST4[[#This Row],[Stock]])))</f>
        <v/>
      </c>
      <c r="X13" s="67" t="str" cm="1">
        <f t="array" ref="X13">IF(T_WATCHLIST4[[#This Row],[Stock]]="","",SUMPRODUCT(--(T_TXN[TYPE]="Sell"),T_TXN[UNITS],T_TXN[PRICE],--(T_TXN[TICKER]=T_WATCHLIST4[[#This Row],[Stock]])))</f>
        <v/>
      </c>
      <c r="Y13" s="67" t="str" cm="1">
        <f t="array" ref="Y13">IF(T_WATCHLIST4[[#This Row],[Stock]]="","",SUMPRODUCT(T_TXN[UNITS],T_TXN[PRICE],--(T_TXN[TYPE]="Buy"),--(T_TXN[TICKER]=T_WATCHLIST4[[#This Row],[Stock]])) -SUMPRODUCT(T_TXN[UNITS],T_TXN[PRICE],--(T_TXN[TYPE]="Sell"),--(T_TXN[TICKER]=T_WATCHLIST4[[#This Row],[Stock]])))</f>
        <v/>
      </c>
      <c r="Z13" s="64" t="str" cm="1">
        <f t="array" ref="Z13">IFERROR(IF(ROW(T_WATCHLIST4[[#This Row],[Stock]])-ROW(T_WATCHLIST4[[#Headers],[Stock]])&gt;=C_CNT_STOCKS,"",_FV(T_WATCHLIST4[[#This Row],[Stock]],"Industry",TRUE)),"Not Available")</f>
        <v/>
      </c>
      <c r="AA13" s="64" t="str" cm="1">
        <f t="array" ref="AA13">IFERROR(IF(ROW(T_WATCHLIST4[[#This Row],[Stock]])-ROW(T_WATCHLIST4[[#Headers],[Stock]])&gt;=C_CNT_STOCKS,"",_FV(T_WATCHLIST4[[#This Row],[Stock]],"Instrument type",TRUE)),"Not Available")</f>
        <v/>
      </c>
    </row>
    <row r="14" spans="1:34" s="43" customFormat="1" ht="22" customHeight="1">
      <c r="E14" s="61"/>
      <c r="F14" s="75" t="str" cm="1">
        <f t="array" ref="F14">IFERROR(IF(ROW(T_WATCHLIST4[[#This Row],[Stock]])-ROW(T_WATCHLIST4[[#Headers],[Stock]])&gt;C_CNT_STOCKS,"",INDEX(_xlfn.ANCHORARRAY(HELP!$G$2),ROW(T_WATCHLIST4[[#This Row],[Stock]])-ROW(T_WATCHLIST4[[#Headers],[Stock]]))),"")</f>
        <v/>
      </c>
      <c r="G14" s="80" t="str" cm="1">
        <f t="array" ref="G14">IFERROR(_xlfn.FIELDVALUE(T_WATCHLIST4[[#This Row],[Stock]],"Ticker Symbol"),"")</f>
        <v/>
      </c>
      <c r="H14" s="116"/>
      <c r="I14" s="81" t="str">
        <f>IF(T_WATCHLIST4[[#This Row],[Stock]]="","",SUMIFS(T_TXN[UNITS],T_TXN[TYPE],"Buy",T_TXN[TICKER],T_WATCHLIST4[[#This Row],[Stock]])-SUMIFS(T_TXN[UNITS],T_TXN[TYPE],"Sell",T_TXN[TICKER],T_WATCHLIST4[[#This Row],[Stock]])+SUMIFS(T_TXN[UNITS],T_TXN[TYPE],"Dividend Reinvestment",T_TXN[TICKER],T_WATCHLIST4[[#This Row],[Stock]]))</f>
        <v/>
      </c>
      <c r="J14" s="75" t="str" cm="1">
        <f t="array" ref="J14">IFERROR(_xlfn.FIELDVALUE(T_WATCHLIST4[[#This Row],[Stock]],"Price"),"")</f>
        <v/>
      </c>
      <c r="K14" s="82" t="str" cm="1">
        <f t="array" ref="K14">IFERROR(_xlfn.FIELDVALUE(T_WATCHLIST4[[#This Row],[Stock]],"Change"),"")</f>
        <v/>
      </c>
      <c r="L14" s="83" t="str" cm="1">
        <f t="array" ref="L14">IFERROR(_xlfn.FIELDVALUE(T_WATCHLIST4[[#This Row],[Stock]],"Change (%)"),"")</f>
        <v/>
      </c>
      <c r="M14" s="84" t="str">
        <f>IF(T_WATCHLIST4[[#This Row],[Stock]]="","",T_WATCHLIST4[[#This Row],[Quantity]]*T_WATCHLIST4[[#This Row],[Last Price]])</f>
        <v/>
      </c>
      <c r="N14" s="85" t="str" cm="1">
        <f t="array" ref="N14">IF(T_WATCHLIST4[[#This Row],[Stock]]="","",T_WATCHLIST4[[#This Row],[Current Value]]-_xlfn.FIELDVALUE(T_WATCHLIST4[[#This Row],[Stock]],"Previous Close")*T_WATCHLIST4[[#This Row],[Quantity]])</f>
        <v/>
      </c>
      <c r="O14" s="86" t="str">
        <f>IFERROR(T_WATCHLIST4[[#This Row],[Today''s Gain/Loss]]/(T_WATCHLIST4[[#This Row],[Current Value]]-T_WATCHLIST4[[#This Row],[Today''s Gain/Loss]]),"")</f>
        <v/>
      </c>
      <c r="P14" s="84" t="str">
        <f>IFERROR(T_WATCHLIST4[[#This Row],[Current Value]]-T_WATCHLIST4[[#This Row],[% Total Gain/Loss9]],"")</f>
        <v/>
      </c>
      <c r="Q14" s="87" t="str">
        <f>IFERROR(T_WATCHLIST4[[#This Row],[Total Gain/Loss]]/T_WATCHLIST4[[#This Row],[% Total Gain/Loss9]],"")</f>
        <v/>
      </c>
      <c r="R14" s="88" t="str" cm="1">
        <f t="array" ref="R14">IFERROR(_xlfn.FIELDVALUE(T_WATCHLIST4[[#This Row],[Stock]],"52 week low"),"")</f>
        <v/>
      </c>
      <c r="S1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4" s="73" t="str" cm="1">
        <f t="array" ref="T14">IFERROR(_xlfn.FIELDVALUE(T_WATCHLIST4[[#This Row],[Stock]],"52 week high"),"")</f>
        <v/>
      </c>
      <c r="U14" s="64" t="str" cm="1">
        <f t="array" ref="U14">IF(T_WATCHLIST4[[#This Row],[Stock]]="","",SUMPRODUCT(T_TXN[UNITS],--(T_TXN[TYPE]="Buy"),--(T_TXN[TICKER]=T_WATCHLIST4[[#This Row],[Stock]])))</f>
        <v/>
      </c>
      <c r="V14" s="67" t="str" cm="1">
        <f t="array" ref="V14">IF(T_WATCHLIST4[[#This Row],[Stock]]="","",SUMPRODUCT(--(T_TXN[TYPE]="Buy"),T_TXN[UNITS],T_TXN[PRICE],--(T_TXN[TICKER]=T_WATCHLIST4[[#This Row],[Stock]])))</f>
        <v/>
      </c>
      <c r="W14" s="64" t="str" cm="1">
        <f t="array" ref="W14">IF(T_WATCHLIST4[[#This Row],[Stock]]="","",SUMPRODUCT(T_TXN[UNITS],--(T_TXN[TYPE]="Sell"),--(T_TXN[TICKER]=T_WATCHLIST4[[#This Row],[Stock]])))</f>
        <v/>
      </c>
      <c r="X14" s="67" t="str" cm="1">
        <f t="array" ref="X14">IF(T_WATCHLIST4[[#This Row],[Stock]]="","",SUMPRODUCT(--(T_TXN[TYPE]="Sell"),T_TXN[UNITS],T_TXN[PRICE],--(T_TXN[TICKER]=T_WATCHLIST4[[#This Row],[Stock]])))</f>
        <v/>
      </c>
      <c r="Y14" s="67" t="str" cm="1">
        <f t="array" ref="Y14">IF(T_WATCHLIST4[[#This Row],[Stock]]="","",SUMPRODUCT(T_TXN[UNITS],T_TXN[PRICE],--(T_TXN[TYPE]="Buy"),--(T_TXN[TICKER]=T_WATCHLIST4[[#This Row],[Stock]])) -SUMPRODUCT(T_TXN[UNITS],T_TXN[PRICE],--(T_TXN[TYPE]="Sell"),--(T_TXN[TICKER]=T_WATCHLIST4[[#This Row],[Stock]])))</f>
        <v/>
      </c>
      <c r="Z14" s="64" t="str" cm="1">
        <f t="array" ref="Z14">IFERROR(IF(ROW(T_WATCHLIST4[[#This Row],[Stock]])-ROW(T_WATCHLIST4[[#Headers],[Stock]])&gt;=C_CNT_STOCKS,"",_FV(T_WATCHLIST4[[#This Row],[Stock]],"Industry",TRUE)),"Not Available")</f>
        <v/>
      </c>
      <c r="AA14" s="64" t="str" cm="1">
        <f t="array" ref="AA14">IFERROR(IF(ROW(T_WATCHLIST4[[#This Row],[Stock]])-ROW(T_WATCHLIST4[[#Headers],[Stock]])&gt;=C_CNT_STOCKS,"",_FV(T_WATCHLIST4[[#This Row],[Stock]],"Instrument type",TRUE)),"Not Available")</f>
        <v/>
      </c>
    </row>
    <row r="15" spans="1:34" s="43" customFormat="1" ht="22" customHeight="1">
      <c r="E15" s="61"/>
      <c r="F15" s="75" t="str" cm="1">
        <f t="array" ref="F15">IFERROR(IF(ROW(T_WATCHLIST4[[#This Row],[Stock]])-ROW(T_WATCHLIST4[[#Headers],[Stock]])&gt;C_CNT_STOCKS,"",INDEX(_xlfn.ANCHORARRAY(HELP!$G$2),ROW(T_WATCHLIST4[[#This Row],[Stock]])-ROW(T_WATCHLIST4[[#Headers],[Stock]]))),"")</f>
        <v/>
      </c>
      <c r="G15" s="80" t="str" cm="1">
        <f t="array" ref="G15">IFERROR(_xlfn.FIELDVALUE(T_WATCHLIST4[[#This Row],[Stock]],"Ticker Symbol"),"")</f>
        <v/>
      </c>
      <c r="H15" s="116"/>
      <c r="I15" s="81" t="str">
        <f>IF(T_WATCHLIST4[[#This Row],[Stock]]="","",SUMIFS(T_TXN[UNITS],T_TXN[TYPE],"Buy",T_TXN[TICKER],T_WATCHLIST4[[#This Row],[Stock]])-SUMIFS(T_TXN[UNITS],T_TXN[TYPE],"Sell",T_TXN[TICKER],T_WATCHLIST4[[#This Row],[Stock]])+SUMIFS(T_TXN[UNITS],T_TXN[TYPE],"Dividend Reinvestment",T_TXN[TICKER],T_WATCHLIST4[[#This Row],[Stock]]))</f>
        <v/>
      </c>
      <c r="J15" s="75" t="str" cm="1">
        <f t="array" ref="J15">IFERROR(_xlfn.FIELDVALUE(T_WATCHLIST4[[#This Row],[Stock]],"Price"),"")</f>
        <v/>
      </c>
      <c r="K15" s="82" t="str" cm="1">
        <f t="array" ref="K15">IFERROR(_xlfn.FIELDVALUE(T_WATCHLIST4[[#This Row],[Stock]],"Change"),"")</f>
        <v/>
      </c>
      <c r="L15" s="83" t="str" cm="1">
        <f t="array" ref="L15">IFERROR(_xlfn.FIELDVALUE(T_WATCHLIST4[[#This Row],[Stock]],"Change (%)"),"")</f>
        <v/>
      </c>
      <c r="M15" s="84" t="str">
        <f>IF(T_WATCHLIST4[[#This Row],[Stock]]="","",T_WATCHLIST4[[#This Row],[Quantity]]*T_WATCHLIST4[[#This Row],[Last Price]])</f>
        <v/>
      </c>
      <c r="N15" s="85" t="str" cm="1">
        <f t="array" ref="N15">IF(T_WATCHLIST4[[#This Row],[Stock]]="","",T_WATCHLIST4[[#This Row],[Current Value]]-_xlfn.FIELDVALUE(T_WATCHLIST4[[#This Row],[Stock]],"Previous Close")*T_WATCHLIST4[[#This Row],[Quantity]])</f>
        <v/>
      </c>
      <c r="O15" s="86" t="str">
        <f>IFERROR(T_WATCHLIST4[[#This Row],[Today''s Gain/Loss]]/(T_WATCHLIST4[[#This Row],[Current Value]]-T_WATCHLIST4[[#This Row],[Today''s Gain/Loss]]),"")</f>
        <v/>
      </c>
      <c r="P15" s="84" t="str">
        <f>IFERROR(T_WATCHLIST4[[#This Row],[Current Value]]-T_WATCHLIST4[[#This Row],[% Total Gain/Loss9]],"")</f>
        <v/>
      </c>
      <c r="Q15" s="87" t="str">
        <f>IFERROR(T_WATCHLIST4[[#This Row],[Total Gain/Loss]]/T_WATCHLIST4[[#This Row],[% Total Gain/Loss9]],"")</f>
        <v/>
      </c>
      <c r="R15" s="88" t="str" cm="1">
        <f t="array" ref="R15">IFERROR(_xlfn.FIELDVALUE(T_WATCHLIST4[[#This Row],[Stock]],"52 week low"),"")</f>
        <v/>
      </c>
      <c r="S1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5" s="73" t="str" cm="1">
        <f t="array" ref="T15">IFERROR(_xlfn.FIELDVALUE(T_WATCHLIST4[[#This Row],[Stock]],"52 week high"),"")</f>
        <v/>
      </c>
      <c r="U15" s="64" t="str" cm="1">
        <f t="array" ref="U15">IF(T_WATCHLIST4[[#This Row],[Stock]]="","",SUMPRODUCT(T_TXN[UNITS],--(T_TXN[TYPE]="Buy"),--(T_TXN[TICKER]=T_WATCHLIST4[[#This Row],[Stock]])))</f>
        <v/>
      </c>
      <c r="V15" s="67" t="str" cm="1">
        <f t="array" ref="V15">IF(T_WATCHLIST4[[#This Row],[Stock]]="","",SUMPRODUCT(--(T_TXN[TYPE]="Buy"),T_TXN[UNITS],T_TXN[PRICE],--(T_TXN[TICKER]=T_WATCHLIST4[[#This Row],[Stock]])))</f>
        <v/>
      </c>
      <c r="W15" s="64" t="str" cm="1">
        <f t="array" ref="W15">IF(T_WATCHLIST4[[#This Row],[Stock]]="","",SUMPRODUCT(T_TXN[UNITS],--(T_TXN[TYPE]="Sell"),--(T_TXN[TICKER]=T_WATCHLIST4[[#This Row],[Stock]])))</f>
        <v/>
      </c>
      <c r="X15" s="67" t="str" cm="1">
        <f t="array" ref="X15">IF(T_WATCHLIST4[[#This Row],[Stock]]="","",SUMPRODUCT(--(T_TXN[TYPE]="Sell"),T_TXN[UNITS],T_TXN[PRICE],--(T_TXN[TICKER]=T_WATCHLIST4[[#This Row],[Stock]])))</f>
        <v/>
      </c>
      <c r="Y15" s="67" t="str" cm="1">
        <f t="array" ref="Y15">IF(T_WATCHLIST4[[#This Row],[Stock]]="","",SUMPRODUCT(T_TXN[UNITS],T_TXN[PRICE],--(T_TXN[TYPE]="Buy"),--(T_TXN[TICKER]=T_WATCHLIST4[[#This Row],[Stock]])) -SUMPRODUCT(T_TXN[UNITS],T_TXN[PRICE],--(T_TXN[TYPE]="Sell"),--(T_TXN[TICKER]=T_WATCHLIST4[[#This Row],[Stock]])))</f>
        <v/>
      </c>
      <c r="Z15" s="64" t="str" cm="1">
        <f t="array" ref="Z15">IFERROR(IF(ROW(T_WATCHLIST4[[#This Row],[Stock]])-ROW(T_WATCHLIST4[[#Headers],[Stock]])&gt;=C_CNT_STOCKS,"",_FV(T_WATCHLIST4[[#This Row],[Stock]],"Industry",TRUE)),"Not Available")</f>
        <v/>
      </c>
      <c r="AA15" s="64" t="str" cm="1">
        <f t="array" ref="AA15">IFERROR(IF(ROW(T_WATCHLIST4[[#This Row],[Stock]])-ROW(T_WATCHLIST4[[#Headers],[Stock]])&gt;=C_CNT_STOCKS,"",_FV(T_WATCHLIST4[[#This Row],[Stock]],"Instrument type",TRUE)),"Not Available")</f>
        <v/>
      </c>
      <c r="AB15" s="42"/>
      <c r="AC15" s="42"/>
    </row>
    <row r="16" spans="1:34" s="43" customFormat="1" ht="22" customHeight="1">
      <c r="E16" s="61"/>
      <c r="F16" s="75" t="str" cm="1">
        <f t="array" ref="F16">IFERROR(IF(ROW(T_WATCHLIST4[[#This Row],[Stock]])-ROW(T_WATCHLIST4[[#Headers],[Stock]])&gt;C_CNT_STOCKS,"",INDEX(_xlfn.ANCHORARRAY(HELP!$G$2),ROW(T_WATCHLIST4[[#This Row],[Stock]])-ROW(T_WATCHLIST4[[#Headers],[Stock]]))),"")</f>
        <v/>
      </c>
      <c r="G16" s="80" t="str" cm="1">
        <f t="array" ref="G16">IFERROR(_xlfn.FIELDVALUE(T_WATCHLIST4[[#This Row],[Stock]],"Ticker Symbol"),"")</f>
        <v/>
      </c>
      <c r="H16" s="116"/>
      <c r="I16" s="81" t="str">
        <f>IF(T_WATCHLIST4[[#This Row],[Stock]]="","",SUMIFS(T_TXN[UNITS],T_TXN[TYPE],"Buy",T_TXN[TICKER],T_WATCHLIST4[[#This Row],[Stock]])-SUMIFS(T_TXN[UNITS],T_TXN[TYPE],"Sell",T_TXN[TICKER],T_WATCHLIST4[[#This Row],[Stock]])+SUMIFS(T_TXN[UNITS],T_TXN[TYPE],"Dividend Reinvestment",T_TXN[TICKER],T_WATCHLIST4[[#This Row],[Stock]]))</f>
        <v/>
      </c>
      <c r="J16" s="75" t="str" cm="1">
        <f t="array" ref="J16">IFERROR(_xlfn.FIELDVALUE(T_WATCHLIST4[[#This Row],[Stock]],"Price"),"")</f>
        <v/>
      </c>
      <c r="K16" s="82" t="str" cm="1">
        <f t="array" ref="K16">IFERROR(_xlfn.FIELDVALUE(T_WATCHLIST4[[#This Row],[Stock]],"Change"),"")</f>
        <v/>
      </c>
      <c r="L16" s="83" t="str" cm="1">
        <f t="array" ref="L16">IFERROR(_xlfn.FIELDVALUE(T_WATCHLIST4[[#This Row],[Stock]],"Change (%)"),"")</f>
        <v/>
      </c>
      <c r="M16" s="84" t="str">
        <f>IF(T_WATCHLIST4[[#This Row],[Stock]]="","",T_WATCHLIST4[[#This Row],[Quantity]]*T_WATCHLIST4[[#This Row],[Last Price]])</f>
        <v/>
      </c>
      <c r="N16" s="85" t="str" cm="1">
        <f t="array" ref="N16">IF(T_WATCHLIST4[[#This Row],[Stock]]="","",T_WATCHLIST4[[#This Row],[Current Value]]-_xlfn.FIELDVALUE(T_WATCHLIST4[[#This Row],[Stock]],"Previous Close")*T_WATCHLIST4[[#This Row],[Quantity]])</f>
        <v/>
      </c>
      <c r="O16" s="86" t="str">
        <f>IFERROR(T_WATCHLIST4[[#This Row],[Today''s Gain/Loss]]/(T_WATCHLIST4[[#This Row],[Current Value]]-T_WATCHLIST4[[#This Row],[Today''s Gain/Loss]]),"")</f>
        <v/>
      </c>
      <c r="P16" s="84" t="str">
        <f>IFERROR(T_WATCHLIST4[[#This Row],[Current Value]]-T_WATCHLIST4[[#This Row],[% Total Gain/Loss9]],"")</f>
        <v/>
      </c>
      <c r="Q16" s="87" t="str">
        <f>IFERROR(T_WATCHLIST4[[#This Row],[Total Gain/Loss]]/T_WATCHLIST4[[#This Row],[% Total Gain/Loss9]],"")</f>
        <v/>
      </c>
      <c r="R16" s="88" t="str" cm="1">
        <f t="array" ref="R16">IFERROR(_xlfn.FIELDVALUE(T_WATCHLIST4[[#This Row],[Stock]],"52 week low"),"")</f>
        <v/>
      </c>
      <c r="S1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6" s="73" t="str" cm="1">
        <f t="array" ref="T16">IFERROR(_xlfn.FIELDVALUE(T_WATCHLIST4[[#This Row],[Stock]],"52 week high"),"")</f>
        <v/>
      </c>
      <c r="U16" s="64" t="str" cm="1">
        <f t="array" ref="U16">IF(T_WATCHLIST4[[#This Row],[Stock]]="","",SUMPRODUCT(T_TXN[UNITS],--(T_TXN[TYPE]="Buy"),--(T_TXN[TICKER]=T_WATCHLIST4[[#This Row],[Stock]])))</f>
        <v/>
      </c>
      <c r="V16" s="67" t="str" cm="1">
        <f t="array" ref="V16">IF(T_WATCHLIST4[[#This Row],[Stock]]="","",SUMPRODUCT(--(T_TXN[TYPE]="Buy"),T_TXN[UNITS],T_TXN[PRICE],--(T_TXN[TICKER]=T_WATCHLIST4[[#This Row],[Stock]])))</f>
        <v/>
      </c>
      <c r="W16" s="64" t="str" cm="1">
        <f t="array" ref="W16">IF(T_WATCHLIST4[[#This Row],[Stock]]="","",SUMPRODUCT(T_TXN[UNITS],--(T_TXN[TYPE]="Sell"),--(T_TXN[TICKER]=T_WATCHLIST4[[#This Row],[Stock]])))</f>
        <v/>
      </c>
      <c r="X16" s="67" t="str" cm="1">
        <f t="array" ref="X16">IF(T_WATCHLIST4[[#This Row],[Stock]]="","",SUMPRODUCT(--(T_TXN[TYPE]="Sell"),T_TXN[UNITS],T_TXN[PRICE],--(T_TXN[TICKER]=T_WATCHLIST4[[#This Row],[Stock]])))</f>
        <v/>
      </c>
      <c r="Y16" s="67" t="str" cm="1">
        <f t="array" ref="Y16">IF(T_WATCHLIST4[[#This Row],[Stock]]="","",SUMPRODUCT(T_TXN[UNITS],T_TXN[PRICE],--(T_TXN[TYPE]="Buy"),--(T_TXN[TICKER]=T_WATCHLIST4[[#This Row],[Stock]])) -SUMPRODUCT(T_TXN[UNITS],T_TXN[PRICE],--(T_TXN[TYPE]="Sell"),--(T_TXN[TICKER]=T_WATCHLIST4[[#This Row],[Stock]])))</f>
        <v/>
      </c>
      <c r="Z16" s="64" t="str" cm="1">
        <f t="array" ref="Z16">IFERROR(IF(ROW(T_WATCHLIST4[[#This Row],[Stock]])-ROW(T_WATCHLIST4[[#Headers],[Stock]])&gt;=C_CNT_STOCKS,"",_FV(T_WATCHLIST4[[#This Row],[Stock]],"Industry",TRUE)),"Not Available")</f>
        <v/>
      </c>
      <c r="AA16" s="64" t="str" cm="1">
        <f t="array" ref="AA16">IFERROR(IF(ROW(T_WATCHLIST4[[#This Row],[Stock]])-ROW(T_WATCHLIST4[[#Headers],[Stock]])&gt;=C_CNT_STOCKS,"",_FV(T_WATCHLIST4[[#This Row],[Stock]],"Instrument type",TRUE)),"Not Available")</f>
        <v/>
      </c>
      <c r="AB16" s="42"/>
      <c r="AC16" s="42"/>
    </row>
    <row r="17" spans="1:29" s="43" customFormat="1" ht="22" customHeight="1">
      <c r="E17" s="61"/>
      <c r="F17" s="75" t="str" cm="1">
        <f t="array" ref="F17">IFERROR(IF(ROW(T_WATCHLIST4[[#This Row],[Stock]])-ROW(T_WATCHLIST4[[#Headers],[Stock]])&gt;C_CNT_STOCKS,"",INDEX(_xlfn.ANCHORARRAY(HELP!$G$2),ROW(T_WATCHLIST4[[#This Row],[Stock]])-ROW(T_WATCHLIST4[[#Headers],[Stock]]))),"")</f>
        <v/>
      </c>
      <c r="G17" s="80" t="str" cm="1">
        <f t="array" ref="G17">IFERROR(_xlfn.FIELDVALUE(T_WATCHLIST4[[#This Row],[Stock]],"Ticker Symbol"),"")</f>
        <v/>
      </c>
      <c r="H17" s="116"/>
      <c r="I17" s="81" t="str">
        <f>IF(T_WATCHLIST4[[#This Row],[Stock]]="","",SUMIFS(T_TXN[UNITS],T_TXN[TYPE],"Buy",T_TXN[TICKER],T_WATCHLIST4[[#This Row],[Stock]])-SUMIFS(T_TXN[UNITS],T_TXN[TYPE],"Sell",T_TXN[TICKER],T_WATCHLIST4[[#This Row],[Stock]])+SUMIFS(T_TXN[UNITS],T_TXN[TYPE],"Dividend Reinvestment",T_TXN[TICKER],T_WATCHLIST4[[#This Row],[Stock]]))</f>
        <v/>
      </c>
      <c r="J17" s="75" t="str" cm="1">
        <f t="array" ref="J17">IFERROR(_xlfn.FIELDVALUE(T_WATCHLIST4[[#This Row],[Stock]],"Price"),"")</f>
        <v/>
      </c>
      <c r="K17" s="82" t="str" cm="1">
        <f t="array" ref="K17">IFERROR(_xlfn.FIELDVALUE(T_WATCHLIST4[[#This Row],[Stock]],"Change"),"")</f>
        <v/>
      </c>
      <c r="L17" s="83" t="str" cm="1">
        <f t="array" ref="L17">IFERROR(_xlfn.FIELDVALUE(T_WATCHLIST4[[#This Row],[Stock]],"Change (%)"),"")</f>
        <v/>
      </c>
      <c r="M17" s="84" t="str">
        <f>IF(T_WATCHLIST4[[#This Row],[Stock]]="","",T_WATCHLIST4[[#This Row],[Quantity]]*T_WATCHLIST4[[#This Row],[Last Price]])</f>
        <v/>
      </c>
      <c r="N17" s="85" t="str" cm="1">
        <f t="array" ref="N17">IF(T_WATCHLIST4[[#This Row],[Stock]]="","",T_WATCHLIST4[[#This Row],[Current Value]]-_xlfn.FIELDVALUE(T_WATCHLIST4[[#This Row],[Stock]],"Previous Close")*T_WATCHLIST4[[#This Row],[Quantity]])</f>
        <v/>
      </c>
      <c r="O17" s="86" t="str">
        <f>IFERROR(T_WATCHLIST4[[#This Row],[Today''s Gain/Loss]]/(T_WATCHLIST4[[#This Row],[Current Value]]-T_WATCHLIST4[[#This Row],[Today''s Gain/Loss]]),"")</f>
        <v/>
      </c>
      <c r="P17" s="84" t="str">
        <f>IFERROR(T_WATCHLIST4[[#This Row],[Current Value]]-T_WATCHLIST4[[#This Row],[% Total Gain/Loss9]],"")</f>
        <v/>
      </c>
      <c r="Q17" s="87" t="str">
        <f>IFERROR(T_WATCHLIST4[[#This Row],[Total Gain/Loss]]/T_WATCHLIST4[[#This Row],[% Total Gain/Loss9]],"")</f>
        <v/>
      </c>
      <c r="R17" s="88" t="str" cm="1">
        <f t="array" ref="R17">IFERROR(_xlfn.FIELDVALUE(T_WATCHLIST4[[#This Row],[Stock]],"52 week low"),"")</f>
        <v/>
      </c>
      <c r="S1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7" s="73" t="str" cm="1">
        <f t="array" ref="T17">IFERROR(_xlfn.FIELDVALUE(T_WATCHLIST4[[#This Row],[Stock]],"52 week high"),"")</f>
        <v/>
      </c>
      <c r="U17" s="64" t="str" cm="1">
        <f t="array" ref="U17">IF(T_WATCHLIST4[[#This Row],[Stock]]="","",SUMPRODUCT(T_TXN[UNITS],--(T_TXN[TYPE]="Buy"),--(T_TXN[TICKER]=T_WATCHLIST4[[#This Row],[Stock]])))</f>
        <v/>
      </c>
      <c r="V17" s="67" t="str" cm="1">
        <f t="array" ref="V17">IF(T_WATCHLIST4[[#This Row],[Stock]]="","",SUMPRODUCT(--(T_TXN[TYPE]="Buy"),T_TXN[UNITS],T_TXN[PRICE],--(T_TXN[TICKER]=T_WATCHLIST4[[#This Row],[Stock]])))</f>
        <v/>
      </c>
      <c r="W17" s="64" t="str" cm="1">
        <f t="array" ref="W17">IF(T_WATCHLIST4[[#This Row],[Stock]]="","",SUMPRODUCT(T_TXN[UNITS],--(T_TXN[TYPE]="Sell"),--(T_TXN[TICKER]=T_WATCHLIST4[[#This Row],[Stock]])))</f>
        <v/>
      </c>
      <c r="X17" s="67" t="str" cm="1">
        <f t="array" ref="X17">IF(T_WATCHLIST4[[#This Row],[Stock]]="","",SUMPRODUCT(--(T_TXN[TYPE]="Sell"),T_TXN[UNITS],T_TXN[PRICE],--(T_TXN[TICKER]=T_WATCHLIST4[[#This Row],[Stock]])))</f>
        <v/>
      </c>
      <c r="Y17" s="67" t="str" cm="1">
        <f t="array" ref="Y17">IF(T_WATCHLIST4[[#This Row],[Stock]]="","",SUMPRODUCT(T_TXN[UNITS],T_TXN[PRICE],--(T_TXN[TYPE]="Buy"),--(T_TXN[TICKER]=T_WATCHLIST4[[#This Row],[Stock]])) -SUMPRODUCT(T_TXN[UNITS],T_TXN[PRICE],--(T_TXN[TYPE]="Sell"),--(T_TXN[TICKER]=T_WATCHLIST4[[#This Row],[Stock]])))</f>
        <v/>
      </c>
      <c r="Z17" s="64" t="str" cm="1">
        <f t="array" ref="Z17">IFERROR(IF(ROW(T_WATCHLIST4[[#This Row],[Stock]])-ROW(T_WATCHLIST4[[#Headers],[Stock]])&gt;=C_CNT_STOCKS,"",_FV(T_WATCHLIST4[[#This Row],[Stock]],"Industry",TRUE)),"Not Available")</f>
        <v/>
      </c>
      <c r="AA17" s="64" t="str" cm="1">
        <f t="array" ref="AA17">IFERROR(IF(ROW(T_WATCHLIST4[[#This Row],[Stock]])-ROW(T_WATCHLIST4[[#Headers],[Stock]])&gt;=C_CNT_STOCKS,"",_FV(T_WATCHLIST4[[#This Row],[Stock]],"Instrument type",TRUE)),"Not Available")</f>
        <v/>
      </c>
      <c r="AB17" s="42"/>
      <c r="AC17" s="42"/>
    </row>
    <row r="18" spans="1:29" s="43" customFormat="1" ht="22" customHeight="1">
      <c r="E18" s="61"/>
      <c r="F18" s="75" t="str" cm="1">
        <f t="array" ref="F18">IFERROR(IF(ROW(T_WATCHLIST4[[#This Row],[Stock]])-ROW(T_WATCHLIST4[[#Headers],[Stock]])&gt;C_CNT_STOCKS,"",INDEX(_xlfn.ANCHORARRAY(HELP!$G$2),ROW(T_WATCHLIST4[[#This Row],[Stock]])-ROW(T_WATCHLIST4[[#Headers],[Stock]]))),"")</f>
        <v/>
      </c>
      <c r="G18" s="80" t="str" cm="1">
        <f t="array" ref="G18">IFERROR(_xlfn.FIELDVALUE(T_WATCHLIST4[[#This Row],[Stock]],"Ticker Symbol"),"")</f>
        <v/>
      </c>
      <c r="H18" s="116"/>
      <c r="I18" s="81" t="str">
        <f>IF(T_WATCHLIST4[[#This Row],[Stock]]="","",SUMIFS(T_TXN[UNITS],T_TXN[TYPE],"Buy",T_TXN[TICKER],T_WATCHLIST4[[#This Row],[Stock]])-SUMIFS(T_TXN[UNITS],T_TXN[TYPE],"Sell",T_TXN[TICKER],T_WATCHLIST4[[#This Row],[Stock]])+SUMIFS(T_TXN[UNITS],T_TXN[TYPE],"Dividend Reinvestment",T_TXN[TICKER],T_WATCHLIST4[[#This Row],[Stock]]))</f>
        <v/>
      </c>
      <c r="J18" s="75" t="str" cm="1">
        <f t="array" ref="J18">IFERROR(_xlfn.FIELDVALUE(T_WATCHLIST4[[#This Row],[Stock]],"Price"),"")</f>
        <v/>
      </c>
      <c r="K18" s="82" t="str" cm="1">
        <f t="array" ref="K18">IFERROR(_xlfn.FIELDVALUE(T_WATCHLIST4[[#This Row],[Stock]],"Change"),"")</f>
        <v/>
      </c>
      <c r="L18" s="83" t="str" cm="1">
        <f t="array" ref="L18">IFERROR(_xlfn.FIELDVALUE(T_WATCHLIST4[[#This Row],[Stock]],"Change (%)"),"")</f>
        <v/>
      </c>
      <c r="M18" s="84" t="str">
        <f>IF(T_WATCHLIST4[[#This Row],[Stock]]="","",T_WATCHLIST4[[#This Row],[Quantity]]*T_WATCHLIST4[[#This Row],[Last Price]])</f>
        <v/>
      </c>
      <c r="N18" s="85" t="str" cm="1">
        <f t="array" ref="N18">IF(T_WATCHLIST4[[#This Row],[Stock]]="","",T_WATCHLIST4[[#This Row],[Current Value]]-_xlfn.FIELDVALUE(T_WATCHLIST4[[#This Row],[Stock]],"Previous Close")*T_WATCHLIST4[[#This Row],[Quantity]])</f>
        <v/>
      </c>
      <c r="O18" s="86" t="str">
        <f>IFERROR(T_WATCHLIST4[[#This Row],[Today''s Gain/Loss]]/(T_WATCHLIST4[[#This Row],[Current Value]]-T_WATCHLIST4[[#This Row],[Today''s Gain/Loss]]),"")</f>
        <v/>
      </c>
      <c r="P18" s="84" t="str">
        <f>IFERROR(T_WATCHLIST4[[#This Row],[Current Value]]-T_WATCHLIST4[[#This Row],[% Total Gain/Loss9]],"")</f>
        <v/>
      </c>
      <c r="Q18" s="87" t="str">
        <f>IFERROR(T_WATCHLIST4[[#This Row],[Total Gain/Loss]]/T_WATCHLIST4[[#This Row],[% Total Gain/Loss9]],"")</f>
        <v/>
      </c>
      <c r="R18" s="88" t="str" cm="1">
        <f t="array" ref="R18">IFERROR(_xlfn.FIELDVALUE(T_WATCHLIST4[[#This Row],[Stock]],"52 week low"),"")</f>
        <v/>
      </c>
      <c r="S1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8" s="73" t="str" cm="1">
        <f t="array" ref="T18">IFERROR(_xlfn.FIELDVALUE(T_WATCHLIST4[[#This Row],[Stock]],"52 week high"),"")</f>
        <v/>
      </c>
      <c r="U18" s="64" t="str" cm="1">
        <f t="array" ref="U18">IF(T_WATCHLIST4[[#This Row],[Stock]]="","",SUMPRODUCT(T_TXN[UNITS],--(T_TXN[TYPE]="Buy"),--(T_TXN[TICKER]=T_WATCHLIST4[[#This Row],[Stock]])))</f>
        <v/>
      </c>
      <c r="V18" s="67" t="str" cm="1">
        <f t="array" ref="V18">IF(T_WATCHLIST4[[#This Row],[Stock]]="","",SUMPRODUCT(--(T_TXN[TYPE]="Buy"),T_TXN[UNITS],T_TXN[PRICE],--(T_TXN[TICKER]=T_WATCHLIST4[[#This Row],[Stock]])))</f>
        <v/>
      </c>
      <c r="W18" s="64" t="str" cm="1">
        <f t="array" ref="W18">IF(T_WATCHLIST4[[#This Row],[Stock]]="","",SUMPRODUCT(T_TXN[UNITS],--(T_TXN[TYPE]="Sell"),--(T_TXN[TICKER]=T_WATCHLIST4[[#This Row],[Stock]])))</f>
        <v/>
      </c>
      <c r="X18" s="67" t="str" cm="1">
        <f t="array" ref="X18">IF(T_WATCHLIST4[[#This Row],[Stock]]="","",SUMPRODUCT(--(T_TXN[TYPE]="Sell"),T_TXN[UNITS],T_TXN[PRICE],--(T_TXN[TICKER]=T_WATCHLIST4[[#This Row],[Stock]])))</f>
        <v/>
      </c>
      <c r="Y18" s="67" t="str" cm="1">
        <f t="array" ref="Y18">IF(T_WATCHLIST4[[#This Row],[Stock]]="","",SUMPRODUCT(T_TXN[UNITS],T_TXN[PRICE],--(T_TXN[TYPE]="Buy"),--(T_TXN[TICKER]=T_WATCHLIST4[[#This Row],[Stock]])) -SUMPRODUCT(T_TXN[UNITS],T_TXN[PRICE],--(T_TXN[TYPE]="Sell"),--(T_TXN[TICKER]=T_WATCHLIST4[[#This Row],[Stock]])))</f>
        <v/>
      </c>
      <c r="Z18" s="64" t="str" cm="1">
        <f t="array" ref="Z18">IFERROR(IF(ROW(T_WATCHLIST4[[#This Row],[Stock]])-ROW(T_WATCHLIST4[[#Headers],[Stock]])&gt;=C_CNT_STOCKS,"",_FV(T_WATCHLIST4[[#This Row],[Stock]],"Industry",TRUE)),"Not Available")</f>
        <v/>
      </c>
      <c r="AA18" s="64" t="str" cm="1">
        <f t="array" ref="AA18">IFERROR(IF(ROW(T_WATCHLIST4[[#This Row],[Stock]])-ROW(T_WATCHLIST4[[#Headers],[Stock]])&gt;=C_CNT_STOCKS,"",_FV(T_WATCHLIST4[[#This Row],[Stock]],"Instrument type",TRUE)),"Not Available")</f>
        <v/>
      </c>
      <c r="AB18" s="42"/>
      <c r="AC18" s="42"/>
    </row>
    <row r="19" spans="1:29" s="43" customFormat="1" ht="22" customHeight="1">
      <c r="E19" s="61"/>
      <c r="F19" s="75" t="str" cm="1">
        <f t="array" ref="F19">IFERROR(IF(ROW(T_WATCHLIST4[[#This Row],[Stock]])-ROW(T_WATCHLIST4[[#Headers],[Stock]])&gt;C_CNT_STOCKS,"",INDEX(_xlfn.ANCHORARRAY(HELP!$G$2),ROW(T_WATCHLIST4[[#This Row],[Stock]])-ROW(T_WATCHLIST4[[#Headers],[Stock]]))),"")</f>
        <v/>
      </c>
      <c r="G19" s="80" t="str" cm="1">
        <f t="array" ref="G19">IFERROR(_xlfn.FIELDVALUE(T_WATCHLIST4[[#This Row],[Stock]],"Ticker Symbol"),"")</f>
        <v/>
      </c>
      <c r="H19" s="116"/>
      <c r="I19" s="81" t="str">
        <f>IF(T_WATCHLIST4[[#This Row],[Stock]]="","",SUMIFS(T_TXN[UNITS],T_TXN[TYPE],"Buy",T_TXN[TICKER],T_WATCHLIST4[[#This Row],[Stock]])-SUMIFS(T_TXN[UNITS],T_TXN[TYPE],"Sell",T_TXN[TICKER],T_WATCHLIST4[[#This Row],[Stock]])+SUMIFS(T_TXN[UNITS],T_TXN[TYPE],"Dividend Reinvestment",T_TXN[TICKER],T_WATCHLIST4[[#This Row],[Stock]]))</f>
        <v/>
      </c>
      <c r="J19" s="75" t="str" cm="1">
        <f t="array" ref="J19">IFERROR(_xlfn.FIELDVALUE(T_WATCHLIST4[[#This Row],[Stock]],"Price"),"")</f>
        <v/>
      </c>
      <c r="K19" s="82" t="str" cm="1">
        <f t="array" ref="K19">IFERROR(_xlfn.FIELDVALUE(T_WATCHLIST4[[#This Row],[Stock]],"Change"),"")</f>
        <v/>
      </c>
      <c r="L19" s="83" t="str" cm="1">
        <f t="array" ref="L19">IFERROR(_xlfn.FIELDVALUE(T_WATCHLIST4[[#This Row],[Stock]],"Change (%)"),"")</f>
        <v/>
      </c>
      <c r="M19" s="84" t="str">
        <f>IF(T_WATCHLIST4[[#This Row],[Stock]]="","",T_WATCHLIST4[[#This Row],[Quantity]]*T_WATCHLIST4[[#This Row],[Last Price]])</f>
        <v/>
      </c>
      <c r="N19" s="85" t="str" cm="1">
        <f t="array" ref="N19">IF(T_WATCHLIST4[[#This Row],[Stock]]="","",T_WATCHLIST4[[#This Row],[Current Value]]-_xlfn.FIELDVALUE(T_WATCHLIST4[[#This Row],[Stock]],"Previous Close")*T_WATCHLIST4[[#This Row],[Quantity]])</f>
        <v/>
      </c>
      <c r="O19" s="86" t="str">
        <f>IFERROR(T_WATCHLIST4[[#This Row],[Today''s Gain/Loss]]/(T_WATCHLIST4[[#This Row],[Current Value]]-T_WATCHLIST4[[#This Row],[Today''s Gain/Loss]]),"")</f>
        <v/>
      </c>
      <c r="P19" s="84" t="str">
        <f>IFERROR(T_WATCHLIST4[[#This Row],[Current Value]]-T_WATCHLIST4[[#This Row],[% Total Gain/Loss9]],"")</f>
        <v/>
      </c>
      <c r="Q19" s="87" t="str">
        <f>IFERROR(T_WATCHLIST4[[#This Row],[Total Gain/Loss]]/T_WATCHLIST4[[#This Row],[% Total Gain/Loss9]],"")</f>
        <v/>
      </c>
      <c r="R19" s="88" t="str" cm="1">
        <f t="array" ref="R19">IFERROR(_xlfn.FIELDVALUE(T_WATCHLIST4[[#This Row],[Stock]],"52 week low"),"")</f>
        <v/>
      </c>
      <c r="S1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19" s="73" t="str" cm="1">
        <f t="array" ref="T19">IFERROR(_xlfn.FIELDVALUE(T_WATCHLIST4[[#This Row],[Stock]],"52 week high"),"")</f>
        <v/>
      </c>
      <c r="U19" s="64" t="str" cm="1">
        <f t="array" ref="U19">IF(T_WATCHLIST4[[#This Row],[Stock]]="","",SUMPRODUCT(T_TXN[UNITS],--(T_TXN[TYPE]="Buy"),--(T_TXN[TICKER]=T_WATCHLIST4[[#This Row],[Stock]])))</f>
        <v/>
      </c>
      <c r="V19" s="67" t="str" cm="1">
        <f t="array" ref="V19">IF(T_WATCHLIST4[[#This Row],[Stock]]="","",SUMPRODUCT(--(T_TXN[TYPE]="Buy"),T_TXN[UNITS],T_TXN[PRICE],--(T_TXN[TICKER]=T_WATCHLIST4[[#This Row],[Stock]])))</f>
        <v/>
      </c>
      <c r="W19" s="64" t="str" cm="1">
        <f t="array" ref="W19">IF(T_WATCHLIST4[[#This Row],[Stock]]="","",SUMPRODUCT(T_TXN[UNITS],--(T_TXN[TYPE]="Sell"),--(T_TXN[TICKER]=T_WATCHLIST4[[#This Row],[Stock]])))</f>
        <v/>
      </c>
      <c r="X19" s="67" t="str" cm="1">
        <f t="array" ref="X19">IF(T_WATCHLIST4[[#This Row],[Stock]]="","",SUMPRODUCT(--(T_TXN[TYPE]="Sell"),T_TXN[UNITS],T_TXN[PRICE],--(T_TXN[TICKER]=T_WATCHLIST4[[#This Row],[Stock]])))</f>
        <v/>
      </c>
      <c r="Y19" s="67" t="str" cm="1">
        <f t="array" ref="Y19">IF(T_WATCHLIST4[[#This Row],[Stock]]="","",SUMPRODUCT(T_TXN[UNITS],T_TXN[PRICE],--(T_TXN[TYPE]="Buy"),--(T_TXN[TICKER]=T_WATCHLIST4[[#This Row],[Stock]])) -SUMPRODUCT(T_TXN[UNITS],T_TXN[PRICE],--(T_TXN[TYPE]="Sell"),--(T_TXN[TICKER]=T_WATCHLIST4[[#This Row],[Stock]])))</f>
        <v/>
      </c>
      <c r="Z19" s="64" t="str" cm="1">
        <f t="array" ref="Z19">IFERROR(IF(ROW(T_WATCHLIST4[[#This Row],[Stock]])-ROW(T_WATCHLIST4[[#Headers],[Stock]])&gt;=C_CNT_STOCKS,"",_FV(T_WATCHLIST4[[#This Row],[Stock]],"Industry",TRUE)),"Not Available")</f>
        <v/>
      </c>
      <c r="AA19" s="64" t="str" cm="1">
        <f t="array" ref="AA19">IFERROR(IF(ROW(T_WATCHLIST4[[#This Row],[Stock]])-ROW(T_WATCHLIST4[[#Headers],[Stock]])&gt;=C_CNT_STOCKS,"",_FV(T_WATCHLIST4[[#This Row],[Stock]],"Instrument type",TRUE)),"Not Available")</f>
        <v/>
      </c>
      <c r="AB19" s="42"/>
      <c r="AC19" s="42"/>
    </row>
    <row r="20" spans="1:29" s="43" customFormat="1" ht="22" customHeight="1">
      <c r="E20" s="61"/>
      <c r="F20" s="75" t="str" cm="1">
        <f t="array" ref="F20">IFERROR(IF(ROW(T_WATCHLIST4[[#This Row],[Stock]])-ROW(T_WATCHLIST4[[#Headers],[Stock]])&gt;C_CNT_STOCKS,"",INDEX(_xlfn.ANCHORARRAY(HELP!$G$2),ROW(T_WATCHLIST4[[#This Row],[Stock]])-ROW(T_WATCHLIST4[[#Headers],[Stock]]))),"")</f>
        <v/>
      </c>
      <c r="G20" s="80" t="str" cm="1">
        <f t="array" ref="G20">IFERROR(_xlfn.FIELDVALUE(T_WATCHLIST4[[#This Row],[Stock]],"Ticker Symbol"),"")</f>
        <v/>
      </c>
      <c r="H20" s="116"/>
      <c r="I20" s="81" t="str">
        <f>IF(T_WATCHLIST4[[#This Row],[Stock]]="","",SUMIFS(T_TXN[UNITS],T_TXN[TYPE],"Buy",T_TXN[TICKER],T_WATCHLIST4[[#This Row],[Stock]])-SUMIFS(T_TXN[UNITS],T_TXN[TYPE],"Sell",T_TXN[TICKER],T_WATCHLIST4[[#This Row],[Stock]])+SUMIFS(T_TXN[UNITS],T_TXN[TYPE],"Dividend Reinvestment",T_TXN[TICKER],T_WATCHLIST4[[#This Row],[Stock]]))</f>
        <v/>
      </c>
      <c r="J20" s="75" t="str" cm="1">
        <f t="array" ref="J20">IFERROR(_xlfn.FIELDVALUE(T_WATCHLIST4[[#This Row],[Stock]],"Price"),"")</f>
        <v/>
      </c>
      <c r="K20" s="82" t="str" cm="1">
        <f t="array" ref="K20">IFERROR(_xlfn.FIELDVALUE(T_WATCHLIST4[[#This Row],[Stock]],"Change"),"")</f>
        <v/>
      </c>
      <c r="L20" s="83" t="str" cm="1">
        <f t="array" ref="L20">IFERROR(_xlfn.FIELDVALUE(T_WATCHLIST4[[#This Row],[Stock]],"Change (%)"),"")</f>
        <v/>
      </c>
      <c r="M20" s="84" t="str">
        <f>IF(T_WATCHLIST4[[#This Row],[Stock]]="","",T_WATCHLIST4[[#This Row],[Quantity]]*T_WATCHLIST4[[#This Row],[Last Price]])</f>
        <v/>
      </c>
      <c r="N20" s="85" t="str" cm="1">
        <f t="array" ref="N20">IF(T_WATCHLIST4[[#This Row],[Stock]]="","",T_WATCHLIST4[[#This Row],[Current Value]]-_xlfn.FIELDVALUE(T_WATCHLIST4[[#This Row],[Stock]],"Previous Close")*T_WATCHLIST4[[#This Row],[Quantity]])</f>
        <v/>
      </c>
      <c r="O20" s="86" t="str">
        <f>IFERROR(T_WATCHLIST4[[#This Row],[Today''s Gain/Loss]]/(T_WATCHLIST4[[#This Row],[Current Value]]-T_WATCHLIST4[[#This Row],[Today''s Gain/Loss]]),"")</f>
        <v/>
      </c>
      <c r="P20" s="84" t="str">
        <f>IFERROR(T_WATCHLIST4[[#This Row],[Current Value]]-T_WATCHLIST4[[#This Row],[% Total Gain/Loss9]],"")</f>
        <v/>
      </c>
      <c r="Q20" s="87" t="str">
        <f>IFERROR(T_WATCHLIST4[[#This Row],[Total Gain/Loss]]/T_WATCHLIST4[[#This Row],[% Total Gain/Loss9]],"")</f>
        <v/>
      </c>
      <c r="R20" s="88" t="str" cm="1">
        <f t="array" ref="R20">IFERROR(_xlfn.FIELDVALUE(T_WATCHLIST4[[#This Row],[Stock]],"52 week low"),"")</f>
        <v/>
      </c>
      <c r="S2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0" s="73" t="str" cm="1">
        <f t="array" ref="T20">IFERROR(_xlfn.FIELDVALUE(T_WATCHLIST4[[#This Row],[Stock]],"52 week high"),"")</f>
        <v/>
      </c>
      <c r="U20" s="64" t="str" cm="1">
        <f t="array" ref="U20">IF(T_WATCHLIST4[[#This Row],[Stock]]="","",SUMPRODUCT(T_TXN[UNITS],--(T_TXN[TYPE]="Buy"),--(T_TXN[TICKER]=T_WATCHLIST4[[#This Row],[Stock]])))</f>
        <v/>
      </c>
      <c r="V20" s="67" t="str" cm="1">
        <f t="array" ref="V20">IF(T_WATCHLIST4[[#This Row],[Stock]]="","",SUMPRODUCT(--(T_TXN[TYPE]="Buy"),T_TXN[UNITS],T_TXN[PRICE],--(T_TXN[TICKER]=T_WATCHLIST4[[#This Row],[Stock]])))</f>
        <v/>
      </c>
      <c r="W20" s="64" t="str" cm="1">
        <f t="array" ref="W20">IF(T_WATCHLIST4[[#This Row],[Stock]]="","",SUMPRODUCT(T_TXN[UNITS],--(T_TXN[TYPE]="Sell"),--(T_TXN[TICKER]=T_WATCHLIST4[[#This Row],[Stock]])))</f>
        <v/>
      </c>
      <c r="X20" s="67" t="str" cm="1">
        <f t="array" ref="X20">IF(T_WATCHLIST4[[#This Row],[Stock]]="","",SUMPRODUCT(--(T_TXN[TYPE]="Sell"),T_TXN[UNITS],T_TXN[PRICE],--(T_TXN[TICKER]=T_WATCHLIST4[[#This Row],[Stock]])))</f>
        <v/>
      </c>
      <c r="Y20" s="67" t="str" cm="1">
        <f t="array" ref="Y20">IF(T_WATCHLIST4[[#This Row],[Stock]]="","",SUMPRODUCT(T_TXN[UNITS],T_TXN[PRICE],--(T_TXN[TYPE]="Buy"),--(T_TXN[TICKER]=T_WATCHLIST4[[#This Row],[Stock]])) -SUMPRODUCT(T_TXN[UNITS],T_TXN[PRICE],--(T_TXN[TYPE]="Sell"),--(T_TXN[TICKER]=T_WATCHLIST4[[#This Row],[Stock]])))</f>
        <v/>
      </c>
      <c r="Z20" s="64" t="str" cm="1">
        <f t="array" ref="Z20">IFERROR(IF(ROW(T_WATCHLIST4[[#This Row],[Stock]])-ROW(T_WATCHLIST4[[#Headers],[Stock]])&gt;=C_CNT_STOCKS,"",_FV(T_WATCHLIST4[[#This Row],[Stock]],"Industry",TRUE)),"Not Available")</f>
        <v/>
      </c>
      <c r="AA20" s="64" t="str" cm="1">
        <f t="array" ref="AA20">IFERROR(IF(ROW(T_WATCHLIST4[[#This Row],[Stock]])-ROW(T_WATCHLIST4[[#Headers],[Stock]])&gt;=C_CNT_STOCKS,"",_FV(T_WATCHLIST4[[#This Row],[Stock]],"Instrument type",TRUE)),"Not Available")</f>
        <v/>
      </c>
      <c r="AB20" s="42"/>
      <c r="AC20" s="42"/>
    </row>
    <row r="21" spans="1:29" s="43" customFormat="1" ht="22" customHeight="1">
      <c r="E21" s="61"/>
      <c r="F21" s="75" t="str" cm="1">
        <f t="array" ref="F21">IFERROR(IF(ROW(T_WATCHLIST4[[#This Row],[Stock]])-ROW(T_WATCHLIST4[[#Headers],[Stock]])&gt;C_CNT_STOCKS,"",INDEX(_xlfn.ANCHORARRAY(HELP!$G$2),ROW(T_WATCHLIST4[[#This Row],[Stock]])-ROW(T_WATCHLIST4[[#Headers],[Stock]]))),"")</f>
        <v/>
      </c>
      <c r="G21" s="80" t="str" cm="1">
        <f t="array" ref="G21">IFERROR(_xlfn.FIELDVALUE(T_WATCHLIST4[[#This Row],[Stock]],"Ticker Symbol"),"")</f>
        <v/>
      </c>
      <c r="H21" s="116"/>
      <c r="I21" s="81" t="str">
        <f>IF(T_WATCHLIST4[[#This Row],[Stock]]="","",SUMIFS(T_TXN[UNITS],T_TXN[TYPE],"Buy",T_TXN[TICKER],T_WATCHLIST4[[#This Row],[Stock]])-SUMIFS(T_TXN[UNITS],T_TXN[TYPE],"Sell",T_TXN[TICKER],T_WATCHLIST4[[#This Row],[Stock]])+SUMIFS(T_TXN[UNITS],T_TXN[TYPE],"Dividend Reinvestment",T_TXN[TICKER],T_WATCHLIST4[[#This Row],[Stock]]))</f>
        <v/>
      </c>
      <c r="J21" s="75" t="str" cm="1">
        <f t="array" ref="J21">IFERROR(_xlfn.FIELDVALUE(T_WATCHLIST4[[#This Row],[Stock]],"Price"),"")</f>
        <v/>
      </c>
      <c r="K21" s="82" t="str" cm="1">
        <f t="array" ref="K21">IFERROR(_xlfn.FIELDVALUE(T_WATCHLIST4[[#This Row],[Stock]],"Change"),"")</f>
        <v/>
      </c>
      <c r="L21" s="83" t="str" cm="1">
        <f t="array" ref="L21">IFERROR(_xlfn.FIELDVALUE(T_WATCHLIST4[[#This Row],[Stock]],"Change (%)"),"")</f>
        <v/>
      </c>
      <c r="M21" s="84" t="str">
        <f>IF(T_WATCHLIST4[[#This Row],[Stock]]="","",T_WATCHLIST4[[#This Row],[Quantity]]*T_WATCHLIST4[[#This Row],[Last Price]])</f>
        <v/>
      </c>
      <c r="N21" s="85" t="str" cm="1">
        <f t="array" ref="N21">IF(T_WATCHLIST4[[#This Row],[Stock]]="","",T_WATCHLIST4[[#This Row],[Current Value]]-_xlfn.FIELDVALUE(T_WATCHLIST4[[#This Row],[Stock]],"Previous Close")*T_WATCHLIST4[[#This Row],[Quantity]])</f>
        <v/>
      </c>
      <c r="O21" s="86" t="str">
        <f>IFERROR(T_WATCHLIST4[[#This Row],[Today''s Gain/Loss]]/(T_WATCHLIST4[[#This Row],[Current Value]]-T_WATCHLIST4[[#This Row],[Today''s Gain/Loss]]),"")</f>
        <v/>
      </c>
      <c r="P21" s="84" t="str">
        <f>IFERROR(T_WATCHLIST4[[#This Row],[Current Value]]-T_WATCHLIST4[[#This Row],[% Total Gain/Loss9]],"")</f>
        <v/>
      </c>
      <c r="Q21" s="87" t="str">
        <f>IFERROR(T_WATCHLIST4[[#This Row],[Total Gain/Loss]]/T_WATCHLIST4[[#This Row],[% Total Gain/Loss9]],"")</f>
        <v/>
      </c>
      <c r="R21" s="88" t="str" cm="1">
        <f t="array" ref="R21">IFERROR(_xlfn.FIELDVALUE(T_WATCHLIST4[[#This Row],[Stock]],"52 week low"),"")</f>
        <v/>
      </c>
      <c r="S2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1" s="73" t="str" cm="1">
        <f t="array" ref="T21">IFERROR(_xlfn.FIELDVALUE(T_WATCHLIST4[[#This Row],[Stock]],"52 week high"),"")</f>
        <v/>
      </c>
      <c r="U21" s="64" t="str" cm="1">
        <f t="array" ref="U21">IF(T_WATCHLIST4[[#This Row],[Stock]]="","",SUMPRODUCT(T_TXN[UNITS],--(T_TXN[TYPE]="Buy"),--(T_TXN[TICKER]=T_WATCHLIST4[[#This Row],[Stock]])))</f>
        <v/>
      </c>
      <c r="V21" s="67" t="str" cm="1">
        <f t="array" ref="V21">IF(T_WATCHLIST4[[#This Row],[Stock]]="","",SUMPRODUCT(--(T_TXN[TYPE]="Buy"),T_TXN[UNITS],T_TXN[PRICE],--(T_TXN[TICKER]=T_WATCHLIST4[[#This Row],[Stock]])))</f>
        <v/>
      </c>
      <c r="W21" s="64" t="str" cm="1">
        <f t="array" ref="W21">IF(T_WATCHLIST4[[#This Row],[Stock]]="","",SUMPRODUCT(T_TXN[UNITS],--(T_TXN[TYPE]="Sell"),--(T_TXN[TICKER]=T_WATCHLIST4[[#This Row],[Stock]])))</f>
        <v/>
      </c>
      <c r="X21" s="67" t="str" cm="1">
        <f t="array" ref="X21">IF(T_WATCHLIST4[[#This Row],[Stock]]="","",SUMPRODUCT(--(T_TXN[TYPE]="Sell"),T_TXN[UNITS],T_TXN[PRICE],--(T_TXN[TICKER]=T_WATCHLIST4[[#This Row],[Stock]])))</f>
        <v/>
      </c>
      <c r="Y21" s="67" t="str" cm="1">
        <f t="array" ref="Y21">IF(T_WATCHLIST4[[#This Row],[Stock]]="","",SUMPRODUCT(T_TXN[UNITS],T_TXN[PRICE],--(T_TXN[TYPE]="Buy"),--(T_TXN[TICKER]=T_WATCHLIST4[[#This Row],[Stock]])) -SUMPRODUCT(T_TXN[UNITS],T_TXN[PRICE],--(T_TXN[TYPE]="Sell"),--(T_TXN[TICKER]=T_WATCHLIST4[[#This Row],[Stock]])))</f>
        <v/>
      </c>
      <c r="Z21" s="64" t="str" cm="1">
        <f t="array" ref="Z21">IFERROR(IF(ROW(T_WATCHLIST4[[#This Row],[Stock]])-ROW(T_WATCHLIST4[[#Headers],[Stock]])&gt;=C_CNT_STOCKS,"",_FV(T_WATCHLIST4[[#This Row],[Stock]],"Industry",TRUE)),"Not Available")</f>
        <v/>
      </c>
      <c r="AA21" s="64" t="str" cm="1">
        <f t="array" ref="AA21">IFERROR(IF(ROW(T_WATCHLIST4[[#This Row],[Stock]])-ROW(T_WATCHLIST4[[#Headers],[Stock]])&gt;=C_CNT_STOCKS,"",_FV(T_WATCHLIST4[[#This Row],[Stock]],"Instrument type",TRUE)),"Not Available")</f>
        <v/>
      </c>
      <c r="AB21" s="42"/>
      <c r="AC21" s="42"/>
    </row>
    <row r="22" spans="1:29" s="43" customFormat="1" ht="22" customHeight="1">
      <c r="E22" s="61"/>
      <c r="F22" s="75" t="str" cm="1">
        <f t="array" ref="F22">IFERROR(IF(ROW(T_WATCHLIST4[[#This Row],[Stock]])-ROW(T_WATCHLIST4[[#Headers],[Stock]])&gt;C_CNT_STOCKS,"",INDEX(_xlfn.ANCHORARRAY(HELP!$G$2),ROW(T_WATCHLIST4[[#This Row],[Stock]])-ROW(T_WATCHLIST4[[#Headers],[Stock]]))),"")</f>
        <v/>
      </c>
      <c r="G22" s="80" t="str" cm="1">
        <f t="array" ref="G22">IFERROR(_xlfn.FIELDVALUE(T_WATCHLIST4[[#This Row],[Stock]],"Ticker Symbol"),"")</f>
        <v/>
      </c>
      <c r="H22" s="117"/>
      <c r="I22" s="81" t="str">
        <f>IF(T_WATCHLIST4[[#This Row],[Stock]]="","",SUMIFS(T_TXN[UNITS],T_TXN[TYPE],"Buy",T_TXN[TICKER],T_WATCHLIST4[[#This Row],[Stock]])-SUMIFS(T_TXN[UNITS],T_TXN[TYPE],"Sell",T_TXN[TICKER],T_WATCHLIST4[[#This Row],[Stock]])+SUMIFS(T_TXN[UNITS],T_TXN[TYPE],"Dividend Reinvestment",T_TXN[TICKER],T_WATCHLIST4[[#This Row],[Stock]]))</f>
        <v/>
      </c>
      <c r="J22" s="75" t="str" cm="1">
        <f t="array" ref="J22">IFERROR(_xlfn.FIELDVALUE(T_WATCHLIST4[[#This Row],[Stock]],"Price"),"")</f>
        <v/>
      </c>
      <c r="K22" s="82" t="str" cm="1">
        <f t="array" ref="K22">IFERROR(_xlfn.FIELDVALUE(T_WATCHLIST4[[#This Row],[Stock]],"Change"),"")</f>
        <v/>
      </c>
      <c r="L22" s="83" t="str" cm="1">
        <f t="array" ref="L22">IFERROR(_xlfn.FIELDVALUE(T_WATCHLIST4[[#This Row],[Stock]],"Change (%)"),"")</f>
        <v/>
      </c>
      <c r="M22" s="84" t="str">
        <f>IF(T_WATCHLIST4[[#This Row],[Stock]]="","",T_WATCHLIST4[[#This Row],[Quantity]]*T_WATCHLIST4[[#This Row],[Last Price]])</f>
        <v/>
      </c>
      <c r="N22" s="85" t="str" cm="1">
        <f t="array" ref="N22">IF(T_WATCHLIST4[[#This Row],[Stock]]="","",T_WATCHLIST4[[#This Row],[Current Value]]-_xlfn.FIELDVALUE(T_WATCHLIST4[[#This Row],[Stock]],"Previous Close")*T_WATCHLIST4[[#This Row],[Quantity]])</f>
        <v/>
      </c>
      <c r="O22" s="86" t="str">
        <f>IFERROR(T_WATCHLIST4[[#This Row],[Today''s Gain/Loss]]/(T_WATCHLIST4[[#This Row],[Current Value]]-T_WATCHLIST4[[#This Row],[Today''s Gain/Loss]]),"")</f>
        <v/>
      </c>
      <c r="P22" s="84" t="str">
        <f>IFERROR(T_WATCHLIST4[[#This Row],[Current Value]]-T_WATCHLIST4[[#This Row],[% Total Gain/Loss9]],"")</f>
        <v/>
      </c>
      <c r="Q22" s="87" t="str">
        <f>IFERROR(T_WATCHLIST4[[#This Row],[Total Gain/Loss]]/T_WATCHLIST4[[#This Row],[% Total Gain/Loss9]],"")</f>
        <v/>
      </c>
      <c r="R22" s="88" t="str" cm="1">
        <f t="array" ref="R22">IFERROR(_xlfn.FIELDVALUE(T_WATCHLIST4[[#This Row],[Stock]],"52 week low"),"")</f>
        <v/>
      </c>
      <c r="S2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2" s="73" t="str" cm="1">
        <f t="array" ref="T22">IFERROR(_xlfn.FIELDVALUE(T_WATCHLIST4[[#This Row],[Stock]],"52 week high"),"")</f>
        <v/>
      </c>
      <c r="U22" s="64" t="str" cm="1">
        <f t="array" ref="U22">IF(T_WATCHLIST4[[#This Row],[Stock]]="","",SUMPRODUCT(T_TXN[UNITS],--(T_TXN[TYPE]="Buy"),--(T_TXN[TICKER]=T_WATCHLIST4[[#This Row],[Stock]])))</f>
        <v/>
      </c>
      <c r="V22" s="67" t="str" cm="1">
        <f t="array" ref="V22">IF(T_WATCHLIST4[[#This Row],[Stock]]="","",SUMPRODUCT(--(T_TXN[TYPE]="Buy"),T_TXN[UNITS],T_TXN[PRICE],--(T_TXN[TICKER]=T_WATCHLIST4[[#This Row],[Stock]])))</f>
        <v/>
      </c>
      <c r="W22" s="64" t="str" cm="1">
        <f t="array" ref="W22">IF(T_WATCHLIST4[[#This Row],[Stock]]="","",SUMPRODUCT(T_TXN[UNITS],--(T_TXN[TYPE]="Sell"),--(T_TXN[TICKER]=T_WATCHLIST4[[#This Row],[Stock]])))</f>
        <v/>
      </c>
      <c r="X22" s="67" t="str" cm="1">
        <f t="array" ref="X22">IF(T_WATCHLIST4[[#This Row],[Stock]]="","",SUMPRODUCT(--(T_TXN[TYPE]="Sell"),T_TXN[UNITS],T_TXN[PRICE],--(T_TXN[TICKER]=T_WATCHLIST4[[#This Row],[Stock]])))</f>
        <v/>
      </c>
      <c r="Y22" s="67" t="str" cm="1">
        <f t="array" ref="Y22">IF(T_WATCHLIST4[[#This Row],[Stock]]="","",SUMPRODUCT(T_TXN[UNITS],T_TXN[PRICE],--(T_TXN[TYPE]="Buy"),--(T_TXN[TICKER]=T_WATCHLIST4[[#This Row],[Stock]])) -SUMPRODUCT(T_TXN[UNITS],T_TXN[PRICE],--(T_TXN[TYPE]="Sell"),--(T_TXN[TICKER]=T_WATCHLIST4[[#This Row],[Stock]])))</f>
        <v/>
      </c>
      <c r="Z22" s="64" t="str" cm="1">
        <f t="array" ref="Z22">IFERROR(IF(ROW(T_WATCHLIST4[[#This Row],[Stock]])-ROW(T_WATCHLIST4[[#Headers],[Stock]])&gt;=C_CNT_STOCKS,"",_FV(T_WATCHLIST4[[#This Row],[Stock]],"Industry",TRUE)),"Not Available")</f>
        <v/>
      </c>
      <c r="AA22" s="64" t="str" cm="1">
        <f t="array" ref="AA22">IFERROR(IF(ROW(T_WATCHLIST4[[#This Row],[Stock]])-ROW(T_WATCHLIST4[[#Headers],[Stock]])&gt;=C_CNT_STOCKS,"",_FV(T_WATCHLIST4[[#This Row],[Stock]],"Instrument type",TRUE)),"Not Available")</f>
        <v/>
      </c>
      <c r="AB22" s="42"/>
      <c r="AC22" s="42"/>
    </row>
    <row r="23" spans="1:29" s="43" customFormat="1" ht="22" customHeight="1">
      <c r="E23" s="61"/>
      <c r="F23" s="75" t="str" cm="1">
        <f t="array" ref="F23">IFERROR(IF(ROW(T_WATCHLIST4[[#This Row],[Stock]])-ROW(T_WATCHLIST4[[#Headers],[Stock]])&gt;C_CNT_STOCKS,"",INDEX(_xlfn.ANCHORARRAY(HELP!$G$2),ROW(T_WATCHLIST4[[#This Row],[Stock]])-ROW(T_WATCHLIST4[[#Headers],[Stock]]))),"")</f>
        <v/>
      </c>
      <c r="G23" s="80" t="str" cm="1">
        <f t="array" ref="G23">IFERROR(_xlfn.FIELDVALUE(T_WATCHLIST4[[#This Row],[Stock]],"Ticker Symbol"),"")</f>
        <v/>
      </c>
      <c r="H23" s="117"/>
      <c r="I23" s="81" t="str">
        <f>IF(T_WATCHLIST4[[#This Row],[Stock]]="","",SUMIFS(T_TXN[UNITS],T_TXN[TYPE],"Buy",T_TXN[TICKER],T_WATCHLIST4[[#This Row],[Stock]])-SUMIFS(T_TXN[UNITS],T_TXN[TYPE],"Sell",T_TXN[TICKER],T_WATCHLIST4[[#This Row],[Stock]])+SUMIFS(T_TXN[UNITS],T_TXN[TYPE],"Dividend Reinvestment",T_TXN[TICKER],T_WATCHLIST4[[#This Row],[Stock]]))</f>
        <v/>
      </c>
      <c r="J23" s="75" t="str" cm="1">
        <f t="array" ref="J23">IFERROR(_xlfn.FIELDVALUE(T_WATCHLIST4[[#This Row],[Stock]],"Price"),"")</f>
        <v/>
      </c>
      <c r="K23" s="82" t="str" cm="1">
        <f t="array" ref="K23">IFERROR(_xlfn.FIELDVALUE(T_WATCHLIST4[[#This Row],[Stock]],"Change"),"")</f>
        <v/>
      </c>
      <c r="L23" s="83" t="str" cm="1">
        <f t="array" ref="L23">IFERROR(_xlfn.FIELDVALUE(T_WATCHLIST4[[#This Row],[Stock]],"Change (%)"),"")</f>
        <v/>
      </c>
      <c r="M23" s="84" t="str">
        <f>IF(T_WATCHLIST4[[#This Row],[Stock]]="","",T_WATCHLIST4[[#This Row],[Quantity]]*T_WATCHLIST4[[#This Row],[Last Price]])</f>
        <v/>
      </c>
      <c r="N23" s="85" t="str" cm="1">
        <f t="array" ref="N23">IF(T_WATCHLIST4[[#This Row],[Stock]]="","",T_WATCHLIST4[[#This Row],[Current Value]]-_xlfn.FIELDVALUE(T_WATCHLIST4[[#This Row],[Stock]],"Previous Close")*T_WATCHLIST4[[#This Row],[Quantity]])</f>
        <v/>
      </c>
      <c r="O23" s="86" t="str">
        <f>IFERROR(T_WATCHLIST4[[#This Row],[Today''s Gain/Loss]]/(T_WATCHLIST4[[#This Row],[Current Value]]-T_WATCHLIST4[[#This Row],[Today''s Gain/Loss]]),"")</f>
        <v/>
      </c>
      <c r="P23" s="84" t="str">
        <f>IFERROR(T_WATCHLIST4[[#This Row],[Current Value]]-T_WATCHLIST4[[#This Row],[% Total Gain/Loss9]],"")</f>
        <v/>
      </c>
      <c r="Q23" s="87" t="str">
        <f>IFERROR(T_WATCHLIST4[[#This Row],[Total Gain/Loss]]/T_WATCHLIST4[[#This Row],[% Total Gain/Loss9]],"")</f>
        <v/>
      </c>
      <c r="R23" s="88" t="str" cm="1">
        <f t="array" ref="R23">IFERROR(_xlfn.FIELDVALUE(T_WATCHLIST4[[#This Row],[Stock]],"52 week low"),"")</f>
        <v/>
      </c>
      <c r="S2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3" s="73" t="str" cm="1">
        <f t="array" ref="T23">IFERROR(_xlfn.FIELDVALUE(T_WATCHLIST4[[#This Row],[Stock]],"52 week high"),"")</f>
        <v/>
      </c>
      <c r="U23" s="64" t="str" cm="1">
        <f t="array" ref="U23">IF(T_WATCHLIST4[[#This Row],[Stock]]="","",SUMPRODUCT(T_TXN[UNITS],--(T_TXN[TYPE]="Buy"),--(T_TXN[TICKER]=T_WATCHLIST4[[#This Row],[Stock]])))</f>
        <v/>
      </c>
      <c r="V23" s="67" t="str" cm="1">
        <f t="array" ref="V23">IF(T_WATCHLIST4[[#This Row],[Stock]]="","",SUMPRODUCT(--(T_TXN[TYPE]="Buy"),T_TXN[UNITS],T_TXN[PRICE],--(T_TXN[TICKER]=T_WATCHLIST4[[#This Row],[Stock]])))</f>
        <v/>
      </c>
      <c r="W23" s="64" t="str" cm="1">
        <f t="array" ref="W23">IF(T_WATCHLIST4[[#This Row],[Stock]]="","",SUMPRODUCT(T_TXN[UNITS],--(T_TXN[TYPE]="Sell"),--(T_TXN[TICKER]=T_WATCHLIST4[[#This Row],[Stock]])))</f>
        <v/>
      </c>
      <c r="X23" s="67" t="str" cm="1">
        <f t="array" ref="X23">IF(T_WATCHLIST4[[#This Row],[Stock]]="","",SUMPRODUCT(--(T_TXN[TYPE]="Sell"),T_TXN[UNITS],T_TXN[PRICE],--(T_TXN[TICKER]=T_WATCHLIST4[[#This Row],[Stock]])))</f>
        <v/>
      </c>
      <c r="Y23" s="67" t="str" cm="1">
        <f t="array" ref="Y23">IF(T_WATCHLIST4[[#This Row],[Stock]]="","",SUMPRODUCT(T_TXN[UNITS],T_TXN[PRICE],--(T_TXN[TYPE]="Buy"),--(T_TXN[TICKER]=T_WATCHLIST4[[#This Row],[Stock]])) -SUMPRODUCT(T_TXN[UNITS],T_TXN[PRICE],--(T_TXN[TYPE]="Sell"),--(T_TXN[TICKER]=T_WATCHLIST4[[#This Row],[Stock]])))</f>
        <v/>
      </c>
      <c r="Z23" s="64" t="str" cm="1">
        <f t="array" ref="Z23">IFERROR(IF(ROW(T_WATCHLIST4[[#This Row],[Stock]])-ROW(T_WATCHLIST4[[#Headers],[Stock]])&gt;=C_CNT_STOCKS,"",_FV(T_WATCHLIST4[[#This Row],[Stock]],"Industry",TRUE)),"Not Available")</f>
        <v/>
      </c>
      <c r="AA23" s="64" t="str" cm="1">
        <f t="array" ref="AA23">IFERROR(IF(ROW(T_WATCHLIST4[[#This Row],[Stock]])-ROW(T_WATCHLIST4[[#Headers],[Stock]])&gt;=C_CNT_STOCKS,"",_FV(T_WATCHLIST4[[#This Row],[Stock]],"Instrument type",TRUE)),"Not Available")</f>
        <v/>
      </c>
      <c r="AB23" s="42"/>
      <c r="AC23" s="42"/>
    </row>
    <row r="24" spans="1:29" s="43" customFormat="1" ht="22" customHeight="1">
      <c r="E24" s="61"/>
      <c r="F24" s="75" t="str" cm="1">
        <f t="array" ref="F24">IFERROR(IF(ROW(T_WATCHLIST4[[#This Row],[Stock]])-ROW(T_WATCHLIST4[[#Headers],[Stock]])&gt;C_CNT_STOCKS,"",INDEX(_xlfn.ANCHORARRAY(HELP!$G$2),ROW(T_WATCHLIST4[[#This Row],[Stock]])-ROW(T_WATCHLIST4[[#Headers],[Stock]]))),"")</f>
        <v/>
      </c>
      <c r="G24" s="80" t="str" cm="1">
        <f t="array" ref="G24">IFERROR(_xlfn.FIELDVALUE(T_WATCHLIST4[[#This Row],[Stock]],"Ticker Symbol"),"")</f>
        <v/>
      </c>
      <c r="H24" s="117"/>
      <c r="I24" s="81" t="str">
        <f>IF(T_WATCHLIST4[[#This Row],[Stock]]="","",SUMIFS(T_TXN[UNITS],T_TXN[TYPE],"Buy",T_TXN[TICKER],T_WATCHLIST4[[#This Row],[Stock]])-SUMIFS(T_TXN[UNITS],T_TXN[TYPE],"Sell",T_TXN[TICKER],T_WATCHLIST4[[#This Row],[Stock]])+SUMIFS(T_TXN[UNITS],T_TXN[TYPE],"Dividend Reinvestment",T_TXN[TICKER],T_WATCHLIST4[[#This Row],[Stock]]))</f>
        <v/>
      </c>
      <c r="J24" s="75" t="str" cm="1">
        <f t="array" ref="J24">IFERROR(_xlfn.FIELDVALUE(T_WATCHLIST4[[#This Row],[Stock]],"Price"),"")</f>
        <v/>
      </c>
      <c r="K24" s="82" t="str" cm="1">
        <f t="array" ref="K24">IFERROR(_xlfn.FIELDVALUE(T_WATCHLIST4[[#This Row],[Stock]],"Change"),"")</f>
        <v/>
      </c>
      <c r="L24" s="83" t="str" cm="1">
        <f t="array" ref="L24">IFERROR(_xlfn.FIELDVALUE(T_WATCHLIST4[[#This Row],[Stock]],"Change (%)"),"")</f>
        <v/>
      </c>
      <c r="M24" s="84" t="str">
        <f>IF(T_WATCHLIST4[[#This Row],[Stock]]="","",T_WATCHLIST4[[#This Row],[Quantity]]*T_WATCHLIST4[[#This Row],[Last Price]])</f>
        <v/>
      </c>
      <c r="N24" s="85" t="str" cm="1">
        <f t="array" ref="N24">IF(T_WATCHLIST4[[#This Row],[Stock]]="","",T_WATCHLIST4[[#This Row],[Current Value]]-_xlfn.FIELDVALUE(T_WATCHLIST4[[#This Row],[Stock]],"Previous Close")*T_WATCHLIST4[[#This Row],[Quantity]])</f>
        <v/>
      </c>
      <c r="O24" s="86" t="str">
        <f>IFERROR(T_WATCHLIST4[[#This Row],[Today''s Gain/Loss]]/(T_WATCHLIST4[[#This Row],[Current Value]]-T_WATCHLIST4[[#This Row],[Today''s Gain/Loss]]),"")</f>
        <v/>
      </c>
      <c r="P24" s="84" t="str">
        <f>IFERROR(T_WATCHLIST4[[#This Row],[Current Value]]-T_WATCHLIST4[[#This Row],[% Total Gain/Loss9]],"")</f>
        <v/>
      </c>
      <c r="Q24" s="87" t="str">
        <f>IFERROR(T_WATCHLIST4[[#This Row],[Total Gain/Loss]]/T_WATCHLIST4[[#This Row],[% Total Gain/Loss9]],"")</f>
        <v/>
      </c>
      <c r="R24" s="88" t="str" cm="1">
        <f t="array" ref="R24">IFERROR(_xlfn.FIELDVALUE(T_WATCHLIST4[[#This Row],[Stock]],"52 week low"),"")</f>
        <v/>
      </c>
      <c r="S2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4" s="73" t="str" cm="1">
        <f t="array" ref="T24">IFERROR(_xlfn.FIELDVALUE(T_WATCHLIST4[[#This Row],[Stock]],"52 week high"),"")</f>
        <v/>
      </c>
      <c r="U24" s="64" t="str" cm="1">
        <f t="array" ref="U24">IF(T_WATCHLIST4[[#This Row],[Stock]]="","",SUMPRODUCT(T_TXN[UNITS],--(T_TXN[TYPE]="Buy"),--(T_TXN[TICKER]=T_WATCHLIST4[[#This Row],[Stock]])))</f>
        <v/>
      </c>
      <c r="V24" s="67" t="str" cm="1">
        <f t="array" ref="V24">IF(T_WATCHLIST4[[#This Row],[Stock]]="","",SUMPRODUCT(--(T_TXN[TYPE]="Buy"),T_TXN[UNITS],T_TXN[PRICE],--(T_TXN[TICKER]=T_WATCHLIST4[[#This Row],[Stock]])))</f>
        <v/>
      </c>
      <c r="W24" s="64" t="str" cm="1">
        <f t="array" ref="W24">IF(T_WATCHLIST4[[#This Row],[Stock]]="","",SUMPRODUCT(T_TXN[UNITS],--(T_TXN[TYPE]="Sell"),--(T_TXN[TICKER]=T_WATCHLIST4[[#This Row],[Stock]])))</f>
        <v/>
      </c>
      <c r="X24" s="67" t="str" cm="1">
        <f t="array" ref="X24">IF(T_WATCHLIST4[[#This Row],[Stock]]="","",SUMPRODUCT(--(T_TXN[TYPE]="Sell"),T_TXN[UNITS],T_TXN[PRICE],--(T_TXN[TICKER]=T_WATCHLIST4[[#This Row],[Stock]])))</f>
        <v/>
      </c>
      <c r="Y24" s="67" t="str" cm="1">
        <f t="array" ref="Y24">IF(T_WATCHLIST4[[#This Row],[Stock]]="","",SUMPRODUCT(T_TXN[UNITS],T_TXN[PRICE],--(T_TXN[TYPE]="Buy"),--(T_TXN[TICKER]=T_WATCHLIST4[[#This Row],[Stock]])) -SUMPRODUCT(T_TXN[UNITS],T_TXN[PRICE],--(T_TXN[TYPE]="Sell"),--(T_TXN[TICKER]=T_WATCHLIST4[[#This Row],[Stock]])))</f>
        <v/>
      </c>
      <c r="Z24" s="64" t="str" cm="1">
        <f t="array" ref="Z24">IFERROR(IF(ROW(T_WATCHLIST4[[#This Row],[Stock]])-ROW(T_WATCHLIST4[[#Headers],[Stock]])&gt;=C_CNT_STOCKS,"",_FV(T_WATCHLIST4[[#This Row],[Stock]],"Industry",TRUE)),"Not Available")</f>
        <v/>
      </c>
      <c r="AA24" s="64" t="str" cm="1">
        <f t="array" ref="AA24">IFERROR(IF(ROW(T_WATCHLIST4[[#This Row],[Stock]])-ROW(T_WATCHLIST4[[#Headers],[Stock]])&gt;=C_CNT_STOCKS,"",_FV(T_WATCHLIST4[[#This Row],[Stock]],"Instrument type",TRUE)),"Not Available")</f>
        <v/>
      </c>
      <c r="AB24" s="42"/>
      <c r="AC24" s="42"/>
    </row>
    <row r="25" spans="1:29" s="43" customFormat="1" ht="22" customHeight="1">
      <c r="E25" s="61"/>
      <c r="F25" s="75" t="str" cm="1">
        <f t="array" ref="F25">IFERROR(IF(ROW(T_WATCHLIST4[[#This Row],[Stock]])-ROW(T_WATCHLIST4[[#Headers],[Stock]])&gt;C_CNT_STOCKS,"",INDEX(_xlfn.ANCHORARRAY(HELP!$G$2),ROW(T_WATCHLIST4[[#This Row],[Stock]])-ROW(T_WATCHLIST4[[#Headers],[Stock]]))),"")</f>
        <v/>
      </c>
      <c r="G25" s="80" t="str" cm="1">
        <f t="array" ref="G25">IFERROR(_xlfn.FIELDVALUE(T_WATCHLIST4[[#This Row],[Stock]],"Ticker Symbol"),"")</f>
        <v/>
      </c>
      <c r="H25" s="117"/>
      <c r="I25" s="81" t="str">
        <f>IF(T_WATCHLIST4[[#This Row],[Stock]]="","",SUMIFS(T_TXN[UNITS],T_TXN[TYPE],"Buy",T_TXN[TICKER],T_WATCHLIST4[[#This Row],[Stock]])-SUMIFS(T_TXN[UNITS],T_TXN[TYPE],"Sell",T_TXN[TICKER],T_WATCHLIST4[[#This Row],[Stock]])+SUMIFS(T_TXN[UNITS],T_TXN[TYPE],"Dividend Reinvestment",T_TXN[TICKER],T_WATCHLIST4[[#This Row],[Stock]]))</f>
        <v/>
      </c>
      <c r="J25" s="75" t="str" cm="1">
        <f t="array" ref="J25">IFERROR(_xlfn.FIELDVALUE(T_WATCHLIST4[[#This Row],[Stock]],"Price"),"")</f>
        <v/>
      </c>
      <c r="K25" s="82" t="str" cm="1">
        <f t="array" ref="K25">IFERROR(_xlfn.FIELDVALUE(T_WATCHLIST4[[#This Row],[Stock]],"Change"),"")</f>
        <v/>
      </c>
      <c r="L25" s="83" t="str" cm="1">
        <f t="array" ref="L25">IFERROR(_xlfn.FIELDVALUE(T_WATCHLIST4[[#This Row],[Stock]],"Change (%)"),"")</f>
        <v/>
      </c>
      <c r="M25" s="84" t="str">
        <f>IF(T_WATCHLIST4[[#This Row],[Stock]]="","",T_WATCHLIST4[[#This Row],[Quantity]]*T_WATCHLIST4[[#This Row],[Last Price]])</f>
        <v/>
      </c>
      <c r="N25" s="85" t="str" cm="1">
        <f t="array" ref="N25">IF(T_WATCHLIST4[[#This Row],[Stock]]="","",T_WATCHLIST4[[#This Row],[Current Value]]-_xlfn.FIELDVALUE(T_WATCHLIST4[[#This Row],[Stock]],"Previous Close")*T_WATCHLIST4[[#This Row],[Quantity]])</f>
        <v/>
      </c>
      <c r="O25" s="86" t="str">
        <f>IFERROR(T_WATCHLIST4[[#This Row],[Today''s Gain/Loss]]/(T_WATCHLIST4[[#This Row],[Current Value]]-T_WATCHLIST4[[#This Row],[Today''s Gain/Loss]]),"")</f>
        <v/>
      </c>
      <c r="P25" s="84" t="str">
        <f>IFERROR(T_WATCHLIST4[[#This Row],[Current Value]]-T_WATCHLIST4[[#This Row],[% Total Gain/Loss9]],"")</f>
        <v/>
      </c>
      <c r="Q25" s="87" t="str">
        <f>IFERROR(T_WATCHLIST4[[#This Row],[Total Gain/Loss]]/T_WATCHLIST4[[#This Row],[% Total Gain/Loss9]],"")</f>
        <v/>
      </c>
      <c r="R25" s="88" t="str" cm="1">
        <f t="array" ref="R25">IFERROR(_xlfn.FIELDVALUE(T_WATCHLIST4[[#This Row],[Stock]],"52 week low"),"")</f>
        <v/>
      </c>
      <c r="S2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5" s="73" t="str" cm="1">
        <f t="array" ref="T25">IFERROR(_xlfn.FIELDVALUE(T_WATCHLIST4[[#This Row],[Stock]],"52 week high"),"")</f>
        <v/>
      </c>
      <c r="U25" s="64" t="str" cm="1">
        <f t="array" ref="U25">IF(T_WATCHLIST4[[#This Row],[Stock]]="","",SUMPRODUCT(T_TXN[UNITS],--(T_TXN[TYPE]="Buy"),--(T_TXN[TICKER]=T_WATCHLIST4[[#This Row],[Stock]])))</f>
        <v/>
      </c>
      <c r="V25" s="67" t="str" cm="1">
        <f t="array" ref="V25">IF(T_WATCHLIST4[[#This Row],[Stock]]="","",SUMPRODUCT(--(T_TXN[TYPE]="Buy"),T_TXN[UNITS],T_TXN[PRICE],--(T_TXN[TICKER]=T_WATCHLIST4[[#This Row],[Stock]])))</f>
        <v/>
      </c>
      <c r="W25" s="64" t="str" cm="1">
        <f t="array" ref="W25">IF(T_WATCHLIST4[[#This Row],[Stock]]="","",SUMPRODUCT(T_TXN[UNITS],--(T_TXN[TYPE]="Sell"),--(T_TXN[TICKER]=T_WATCHLIST4[[#This Row],[Stock]])))</f>
        <v/>
      </c>
      <c r="X25" s="67" t="str" cm="1">
        <f t="array" ref="X25">IF(T_WATCHLIST4[[#This Row],[Stock]]="","",SUMPRODUCT(--(T_TXN[TYPE]="Sell"),T_TXN[UNITS],T_TXN[PRICE],--(T_TXN[TICKER]=T_WATCHLIST4[[#This Row],[Stock]])))</f>
        <v/>
      </c>
      <c r="Y25" s="67" t="str" cm="1">
        <f t="array" ref="Y25">IF(T_WATCHLIST4[[#This Row],[Stock]]="","",SUMPRODUCT(T_TXN[UNITS],T_TXN[PRICE],--(T_TXN[TYPE]="Buy"),--(T_TXN[TICKER]=T_WATCHLIST4[[#This Row],[Stock]])) -SUMPRODUCT(T_TXN[UNITS],T_TXN[PRICE],--(T_TXN[TYPE]="Sell"),--(T_TXN[TICKER]=T_WATCHLIST4[[#This Row],[Stock]])))</f>
        <v/>
      </c>
      <c r="Z25" s="64" t="str" cm="1">
        <f t="array" ref="Z25">IFERROR(IF(ROW(T_WATCHLIST4[[#This Row],[Stock]])-ROW(T_WATCHLIST4[[#Headers],[Stock]])&gt;=C_CNT_STOCKS,"",_FV(T_WATCHLIST4[[#This Row],[Stock]],"Industry",TRUE)),"Not Available")</f>
        <v/>
      </c>
      <c r="AA25" s="64" t="str" cm="1">
        <f t="array" ref="AA25">IFERROR(IF(ROW(T_WATCHLIST4[[#This Row],[Stock]])-ROW(T_WATCHLIST4[[#Headers],[Stock]])&gt;=C_CNT_STOCKS,"",_FV(T_WATCHLIST4[[#This Row],[Stock]],"Instrument type",TRUE)),"Not Available")</f>
        <v/>
      </c>
      <c r="AB25" s="42"/>
      <c r="AC25" s="42"/>
    </row>
    <row r="26" spans="1:29" s="43" customFormat="1" ht="22" customHeight="1">
      <c r="E26" s="61"/>
      <c r="F26" s="75" t="str" cm="1">
        <f t="array" ref="F26">IFERROR(IF(ROW(T_WATCHLIST4[[#This Row],[Stock]])-ROW(T_WATCHLIST4[[#Headers],[Stock]])&gt;C_CNT_STOCKS,"",INDEX(_xlfn.ANCHORARRAY(HELP!$G$2),ROW(T_WATCHLIST4[[#This Row],[Stock]])-ROW(T_WATCHLIST4[[#Headers],[Stock]]))),"")</f>
        <v/>
      </c>
      <c r="G26" s="80" t="str" cm="1">
        <f t="array" ref="G26">IFERROR(_xlfn.FIELDVALUE(T_WATCHLIST4[[#This Row],[Stock]],"Ticker Symbol"),"")</f>
        <v/>
      </c>
      <c r="H26" s="117"/>
      <c r="I26" s="81" t="str">
        <f>IF(T_WATCHLIST4[[#This Row],[Stock]]="","",SUMIFS(T_TXN[UNITS],T_TXN[TYPE],"Buy",T_TXN[TICKER],T_WATCHLIST4[[#This Row],[Stock]])-SUMIFS(T_TXN[UNITS],T_TXN[TYPE],"Sell",T_TXN[TICKER],T_WATCHLIST4[[#This Row],[Stock]])+SUMIFS(T_TXN[UNITS],T_TXN[TYPE],"Dividend Reinvestment",T_TXN[TICKER],T_WATCHLIST4[[#This Row],[Stock]]))</f>
        <v/>
      </c>
      <c r="J26" s="75" t="str" cm="1">
        <f t="array" ref="J26">IFERROR(_xlfn.FIELDVALUE(T_WATCHLIST4[[#This Row],[Stock]],"Price"),"")</f>
        <v/>
      </c>
      <c r="K26" s="82" t="str" cm="1">
        <f t="array" ref="K26">IFERROR(_xlfn.FIELDVALUE(T_WATCHLIST4[[#This Row],[Stock]],"Change"),"")</f>
        <v/>
      </c>
      <c r="L26" s="83" t="str" cm="1">
        <f t="array" ref="L26">IFERROR(_xlfn.FIELDVALUE(T_WATCHLIST4[[#This Row],[Stock]],"Change (%)"),"")</f>
        <v/>
      </c>
      <c r="M26" s="84" t="str">
        <f>IF(T_WATCHLIST4[[#This Row],[Stock]]="","",T_WATCHLIST4[[#This Row],[Quantity]]*T_WATCHLIST4[[#This Row],[Last Price]])</f>
        <v/>
      </c>
      <c r="N26" s="85" t="str" cm="1">
        <f t="array" ref="N26">IF(T_WATCHLIST4[[#This Row],[Stock]]="","",T_WATCHLIST4[[#This Row],[Current Value]]-_xlfn.FIELDVALUE(T_WATCHLIST4[[#This Row],[Stock]],"Previous Close")*T_WATCHLIST4[[#This Row],[Quantity]])</f>
        <v/>
      </c>
      <c r="O26" s="86" t="str">
        <f>IFERROR(T_WATCHLIST4[[#This Row],[Today''s Gain/Loss]]/(T_WATCHLIST4[[#This Row],[Current Value]]-T_WATCHLIST4[[#This Row],[Today''s Gain/Loss]]),"")</f>
        <v/>
      </c>
      <c r="P26" s="84" t="str">
        <f>IFERROR(T_WATCHLIST4[[#This Row],[Current Value]]-T_WATCHLIST4[[#This Row],[% Total Gain/Loss9]],"")</f>
        <v/>
      </c>
      <c r="Q26" s="87" t="str">
        <f>IFERROR(T_WATCHLIST4[[#This Row],[Total Gain/Loss]]/T_WATCHLIST4[[#This Row],[% Total Gain/Loss9]],"")</f>
        <v/>
      </c>
      <c r="R26" s="88" t="str" cm="1">
        <f t="array" ref="R26">IFERROR(_xlfn.FIELDVALUE(T_WATCHLIST4[[#This Row],[Stock]],"52 week low"),"")</f>
        <v/>
      </c>
      <c r="S2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6" s="73" t="str" cm="1">
        <f t="array" ref="T26">IFERROR(_xlfn.FIELDVALUE(T_WATCHLIST4[[#This Row],[Stock]],"52 week high"),"")</f>
        <v/>
      </c>
      <c r="U26" s="64" t="str" cm="1">
        <f t="array" ref="U26">IF(T_WATCHLIST4[[#This Row],[Stock]]="","",SUMPRODUCT(T_TXN[UNITS],--(T_TXN[TYPE]="Buy"),--(T_TXN[TICKER]=T_WATCHLIST4[[#This Row],[Stock]])))</f>
        <v/>
      </c>
      <c r="V26" s="67" t="str" cm="1">
        <f t="array" ref="V26">IF(T_WATCHLIST4[[#This Row],[Stock]]="","",SUMPRODUCT(--(T_TXN[TYPE]="Buy"),T_TXN[UNITS],T_TXN[PRICE],--(T_TXN[TICKER]=T_WATCHLIST4[[#This Row],[Stock]])))</f>
        <v/>
      </c>
      <c r="W26" s="64" t="str" cm="1">
        <f t="array" ref="W26">IF(T_WATCHLIST4[[#This Row],[Stock]]="","",SUMPRODUCT(T_TXN[UNITS],--(T_TXN[TYPE]="Sell"),--(T_TXN[TICKER]=T_WATCHLIST4[[#This Row],[Stock]])))</f>
        <v/>
      </c>
      <c r="X26" s="67" t="str" cm="1">
        <f t="array" ref="X26">IF(T_WATCHLIST4[[#This Row],[Stock]]="","",SUMPRODUCT(--(T_TXN[TYPE]="Sell"),T_TXN[UNITS],T_TXN[PRICE],--(T_TXN[TICKER]=T_WATCHLIST4[[#This Row],[Stock]])))</f>
        <v/>
      </c>
      <c r="Y26" s="67" t="str" cm="1">
        <f t="array" ref="Y26">IF(T_WATCHLIST4[[#This Row],[Stock]]="","",SUMPRODUCT(T_TXN[UNITS],T_TXN[PRICE],--(T_TXN[TYPE]="Buy"),--(T_TXN[TICKER]=T_WATCHLIST4[[#This Row],[Stock]])) -SUMPRODUCT(T_TXN[UNITS],T_TXN[PRICE],--(T_TXN[TYPE]="Sell"),--(T_TXN[TICKER]=T_WATCHLIST4[[#This Row],[Stock]])))</f>
        <v/>
      </c>
      <c r="Z26" s="64" t="str" cm="1">
        <f t="array" ref="Z26">IFERROR(IF(ROW(T_WATCHLIST4[[#This Row],[Stock]])-ROW(T_WATCHLIST4[[#Headers],[Stock]])&gt;=C_CNT_STOCKS,"",_FV(T_WATCHLIST4[[#This Row],[Stock]],"Industry",TRUE)),"Not Available")</f>
        <v/>
      </c>
      <c r="AA26" s="64" t="str" cm="1">
        <f t="array" ref="AA26">IFERROR(IF(ROW(T_WATCHLIST4[[#This Row],[Stock]])-ROW(T_WATCHLIST4[[#Headers],[Stock]])&gt;=C_CNT_STOCKS,"",_FV(T_WATCHLIST4[[#This Row],[Stock]],"Instrument type",TRUE)),"Not Available")</f>
        <v/>
      </c>
      <c r="AB26" s="42"/>
      <c r="AC26" s="42"/>
    </row>
    <row r="27" spans="1:29" s="43" customFormat="1" ht="28" customHeight="1">
      <c r="E27" s="61"/>
      <c r="F27" s="75" t="str" cm="1">
        <f t="array" ref="F27">IFERROR(IF(ROW(T_WATCHLIST4[[#This Row],[Stock]])-ROW(T_WATCHLIST4[[#Headers],[Stock]])&gt;C_CNT_STOCKS,"",INDEX(_xlfn.ANCHORARRAY(HELP!$G$2),ROW(T_WATCHLIST4[[#This Row],[Stock]])-ROW(T_WATCHLIST4[[#Headers],[Stock]]))),"")</f>
        <v/>
      </c>
      <c r="G27" s="80" t="str" cm="1">
        <f t="array" ref="G27">IFERROR(_xlfn.FIELDVALUE(T_WATCHLIST4[[#This Row],[Stock]],"Ticker Symbol"),"")</f>
        <v/>
      </c>
      <c r="H27" s="117"/>
      <c r="I27" s="81" t="str">
        <f>IF(T_WATCHLIST4[[#This Row],[Stock]]="","",SUMIFS(T_TXN[UNITS],T_TXN[TYPE],"Buy",T_TXN[TICKER],T_WATCHLIST4[[#This Row],[Stock]])-SUMIFS(T_TXN[UNITS],T_TXN[TYPE],"Sell",T_TXN[TICKER],T_WATCHLIST4[[#This Row],[Stock]])+SUMIFS(T_TXN[UNITS],T_TXN[TYPE],"Dividend Reinvestment",T_TXN[TICKER],T_WATCHLIST4[[#This Row],[Stock]]))</f>
        <v/>
      </c>
      <c r="J27" s="75" t="str" cm="1">
        <f t="array" ref="J27">IFERROR(_xlfn.FIELDVALUE(T_WATCHLIST4[[#This Row],[Stock]],"Price"),"")</f>
        <v/>
      </c>
      <c r="K27" s="82" t="str" cm="1">
        <f t="array" ref="K27">IFERROR(_xlfn.FIELDVALUE(T_WATCHLIST4[[#This Row],[Stock]],"Change"),"")</f>
        <v/>
      </c>
      <c r="L27" s="83" t="str" cm="1">
        <f t="array" ref="L27">IFERROR(_xlfn.FIELDVALUE(T_WATCHLIST4[[#This Row],[Stock]],"Change (%)"),"")</f>
        <v/>
      </c>
      <c r="M27" s="84" t="str">
        <f>IF(T_WATCHLIST4[[#This Row],[Stock]]="","",T_WATCHLIST4[[#This Row],[Quantity]]*T_WATCHLIST4[[#This Row],[Last Price]])</f>
        <v/>
      </c>
      <c r="N27" s="85" t="str" cm="1">
        <f t="array" ref="N27">IF(T_WATCHLIST4[[#This Row],[Stock]]="","",T_WATCHLIST4[[#This Row],[Current Value]]-_xlfn.FIELDVALUE(T_WATCHLIST4[[#This Row],[Stock]],"Previous Close")*T_WATCHLIST4[[#This Row],[Quantity]])</f>
        <v/>
      </c>
      <c r="O27" s="86" t="str">
        <f>IFERROR(T_WATCHLIST4[[#This Row],[Today''s Gain/Loss]]/(T_WATCHLIST4[[#This Row],[Current Value]]-T_WATCHLIST4[[#This Row],[Today''s Gain/Loss]]),"")</f>
        <v/>
      </c>
      <c r="P27" s="84" t="str">
        <f>IFERROR(T_WATCHLIST4[[#This Row],[Current Value]]-T_WATCHLIST4[[#This Row],[% Total Gain/Loss9]],"")</f>
        <v/>
      </c>
      <c r="Q27" s="87" t="str">
        <f>IFERROR(T_WATCHLIST4[[#This Row],[Total Gain/Loss]]/T_WATCHLIST4[[#This Row],[% Total Gain/Loss9]],"")</f>
        <v/>
      </c>
      <c r="R27" s="88" t="str" cm="1">
        <f t="array" ref="R27">IFERROR(_xlfn.FIELDVALUE(T_WATCHLIST4[[#This Row],[Stock]],"52 week low"),"")</f>
        <v/>
      </c>
      <c r="S2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7" s="73" t="str" cm="1">
        <f t="array" ref="T27">IFERROR(_xlfn.FIELDVALUE(T_WATCHLIST4[[#This Row],[Stock]],"52 week high"),"")</f>
        <v/>
      </c>
      <c r="U27" s="64" t="str" cm="1">
        <f t="array" ref="U27">IF(T_WATCHLIST4[[#This Row],[Stock]]="","",SUMPRODUCT(T_TXN[UNITS],--(T_TXN[TYPE]="Buy"),--(T_TXN[TICKER]=T_WATCHLIST4[[#This Row],[Stock]])))</f>
        <v/>
      </c>
      <c r="V27" s="67" t="str" cm="1">
        <f t="array" ref="V27">IF(T_WATCHLIST4[[#This Row],[Stock]]="","",SUMPRODUCT(--(T_TXN[TYPE]="Buy"),T_TXN[UNITS],T_TXN[PRICE],--(T_TXN[TICKER]=T_WATCHLIST4[[#This Row],[Stock]])))</f>
        <v/>
      </c>
      <c r="W27" s="64" t="str" cm="1">
        <f t="array" ref="W27">IF(T_WATCHLIST4[[#This Row],[Stock]]="","",SUMPRODUCT(T_TXN[UNITS],--(T_TXN[TYPE]="Sell"),--(T_TXN[TICKER]=T_WATCHLIST4[[#This Row],[Stock]])))</f>
        <v/>
      </c>
      <c r="X27" s="67" t="str" cm="1">
        <f t="array" ref="X27">IF(T_WATCHLIST4[[#This Row],[Stock]]="","",SUMPRODUCT(--(T_TXN[TYPE]="Sell"),T_TXN[UNITS],T_TXN[PRICE],--(T_TXN[TICKER]=T_WATCHLIST4[[#This Row],[Stock]])))</f>
        <v/>
      </c>
      <c r="Y27" s="67" t="str" cm="1">
        <f t="array" ref="Y27">IF(T_WATCHLIST4[[#This Row],[Stock]]="","",SUMPRODUCT(T_TXN[UNITS],T_TXN[PRICE],--(T_TXN[TYPE]="Buy"),--(T_TXN[TICKER]=T_WATCHLIST4[[#This Row],[Stock]])) -SUMPRODUCT(T_TXN[UNITS],T_TXN[PRICE],--(T_TXN[TYPE]="Sell"),--(T_TXN[TICKER]=T_WATCHLIST4[[#This Row],[Stock]])))</f>
        <v/>
      </c>
      <c r="Z27" s="64" t="str" cm="1">
        <f t="array" ref="Z27">IFERROR(IF(ROW(T_WATCHLIST4[[#This Row],[Stock]])-ROW(T_WATCHLIST4[[#Headers],[Stock]])&gt;=C_CNT_STOCKS,"",_FV(T_WATCHLIST4[[#This Row],[Stock]],"Industry",TRUE)),"Not Available")</f>
        <v/>
      </c>
      <c r="AA27" s="64" t="str" cm="1">
        <f t="array" ref="AA27">IFERROR(IF(ROW(T_WATCHLIST4[[#This Row],[Stock]])-ROW(T_WATCHLIST4[[#Headers],[Stock]])&gt;=C_CNT_STOCKS,"",_FV(T_WATCHLIST4[[#This Row],[Stock]],"Instrument type",TRUE)),"Not Available")</f>
        <v/>
      </c>
      <c r="AB27" s="42"/>
      <c r="AC27" s="42"/>
    </row>
    <row r="28" spans="1:29" ht="46" customHeight="1">
      <c r="A28" s="91" t="s">
        <v>107</v>
      </c>
      <c r="B28" s="90" t="s">
        <v>117</v>
      </c>
      <c r="E28" s="89"/>
      <c r="F28" s="75" t="str" cm="1">
        <f t="array" ref="F28">IFERROR(IF(ROW(T_WATCHLIST4[[#This Row],[Stock]])-ROW(T_WATCHLIST4[[#Headers],[Stock]])&gt;C_CNT_STOCKS,"",INDEX(_xlfn.ANCHORARRAY(HELP!$G$2),ROW(T_WATCHLIST4[[#This Row],[Stock]])-ROW(T_WATCHLIST4[[#Headers],[Stock]]))),"")</f>
        <v/>
      </c>
      <c r="G28" s="80" t="str" cm="1">
        <f t="array" ref="G28">IFERROR(_xlfn.FIELDVALUE(T_WATCHLIST4[[#This Row],[Stock]],"Ticker Symbol"),"")</f>
        <v/>
      </c>
      <c r="H28" s="117"/>
      <c r="I28" s="81" t="str">
        <f>IF(T_WATCHLIST4[[#This Row],[Stock]]="","",SUMIFS(T_TXN[UNITS],T_TXN[TYPE],"Buy",T_TXN[TICKER],T_WATCHLIST4[[#This Row],[Stock]])-SUMIFS(T_TXN[UNITS],T_TXN[TYPE],"Sell",T_TXN[TICKER],T_WATCHLIST4[[#This Row],[Stock]])+SUMIFS(T_TXN[UNITS],T_TXN[TYPE],"Dividend Reinvestment",T_TXN[TICKER],T_WATCHLIST4[[#This Row],[Stock]]))</f>
        <v/>
      </c>
      <c r="J28" s="75" t="str" cm="1">
        <f t="array" ref="J28">IFERROR(_xlfn.FIELDVALUE(T_WATCHLIST4[[#This Row],[Stock]],"Price"),"")</f>
        <v/>
      </c>
      <c r="K28" s="82" t="str" cm="1">
        <f t="array" ref="K28">IFERROR(_xlfn.FIELDVALUE(T_WATCHLIST4[[#This Row],[Stock]],"Change"),"")</f>
        <v/>
      </c>
      <c r="L28" s="83" t="str" cm="1">
        <f t="array" ref="L28">IFERROR(_xlfn.FIELDVALUE(T_WATCHLIST4[[#This Row],[Stock]],"Change (%)"),"")</f>
        <v/>
      </c>
      <c r="M28" s="84" t="str">
        <f>IF(T_WATCHLIST4[[#This Row],[Stock]]="","",T_WATCHLIST4[[#This Row],[Quantity]]*T_WATCHLIST4[[#This Row],[Last Price]])</f>
        <v/>
      </c>
      <c r="N28" s="85" t="str" cm="1">
        <f t="array" ref="N28">IF(T_WATCHLIST4[[#This Row],[Stock]]="","",T_WATCHLIST4[[#This Row],[Current Value]]-_xlfn.FIELDVALUE(T_WATCHLIST4[[#This Row],[Stock]],"Previous Close")*T_WATCHLIST4[[#This Row],[Quantity]])</f>
        <v/>
      </c>
      <c r="O28" s="86" t="str">
        <f>IFERROR(T_WATCHLIST4[[#This Row],[Today''s Gain/Loss]]/(T_WATCHLIST4[[#This Row],[Current Value]]-T_WATCHLIST4[[#This Row],[Today''s Gain/Loss]]),"")</f>
        <v/>
      </c>
      <c r="P28" s="84" t="str">
        <f>IFERROR(T_WATCHLIST4[[#This Row],[Current Value]]-T_WATCHLIST4[[#This Row],[% Total Gain/Loss9]],"")</f>
        <v/>
      </c>
      <c r="Q28" s="87" t="str">
        <f>IFERROR(T_WATCHLIST4[[#This Row],[Total Gain/Loss]]/T_WATCHLIST4[[#This Row],[% Total Gain/Loss9]],"")</f>
        <v/>
      </c>
      <c r="R28" s="88" t="str" cm="1">
        <f t="array" ref="R28">IFERROR(_xlfn.FIELDVALUE(T_WATCHLIST4[[#This Row],[Stock]],"52 week low"),"")</f>
        <v/>
      </c>
      <c r="S2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8" s="73" t="str" cm="1">
        <f t="array" ref="T28">IFERROR(_xlfn.FIELDVALUE(T_WATCHLIST4[[#This Row],[Stock]],"52 week high"),"")</f>
        <v/>
      </c>
      <c r="U28" s="64" t="str" cm="1">
        <f t="array" ref="U28">IF(T_WATCHLIST4[[#This Row],[Stock]]="","",SUMPRODUCT(T_TXN[UNITS],--(T_TXN[TYPE]="Buy"),--(T_TXN[TICKER]=T_WATCHLIST4[[#This Row],[Stock]])))</f>
        <v/>
      </c>
      <c r="V28" s="67" t="str" cm="1">
        <f t="array" ref="V28">IF(T_WATCHLIST4[[#This Row],[Stock]]="","",SUMPRODUCT(--(T_TXN[TYPE]="Buy"),T_TXN[UNITS],T_TXN[PRICE],--(T_TXN[TICKER]=T_WATCHLIST4[[#This Row],[Stock]])))</f>
        <v/>
      </c>
      <c r="W28" s="64" t="str" cm="1">
        <f t="array" ref="W28">IF(T_WATCHLIST4[[#This Row],[Stock]]="","",SUMPRODUCT(T_TXN[UNITS],--(T_TXN[TYPE]="Sell"),--(T_TXN[TICKER]=T_WATCHLIST4[[#This Row],[Stock]])))</f>
        <v/>
      </c>
      <c r="X28" s="67" t="str" cm="1">
        <f t="array" ref="X28">IF(T_WATCHLIST4[[#This Row],[Stock]]="","",SUMPRODUCT(--(T_TXN[TYPE]="Sell"),T_TXN[UNITS],T_TXN[PRICE],--(T_TXN[TICKER]=T_WATCHLIST4[[#This Row],[Stock]])))</f>
        <v/>
      </c>
      <c r="Y28" s="67" t="str" cm="1">
        <f t="array" ref="Y28">IF(T_WATCHLIST4[[#This Row],[Stock]]="","",SUMPRODUCT(T_TXN[UNITS],T_TXN[PRICE],--(T_TXN[TYPE]="Buy"),--(T_TXN[TICKER]=T_WATCHLIST4[[#This Row],[Stock]])) -SUMPRODUCT(T_TXN[UNITS],T_TXN[PRICE],--(T_TXN[TYPE]="Sell"),--(T_TXN[TICKER]=T_WATCHLIST4[[#This Row],[Stock]])))</f>
        <v/>
      </c>
      <c r="Z28" s="64" t="str" cm="1">
        <f t="array" ref="Z28">IFERROR(IF(ROW(T_WATCHLIST4[[#This Row],[Stock]])-ROW(T_WATCHLIST4[[#Headers],[Stock]])&gt;=C_CNT_STOCKS,"",_FV(T_WATCHLIST4[[#This Row],[Stock]],"Industry",TRUE)),"Not Available")</f>
        <v/>
      </c>
      <c r="AA28" s="64" t="str" cm="1">
        <f t="array" ref="AA28">IFERROR(IF(ROW(T_WATCHLIST4[[#This Row],[Stock]])-ROW(T_WATCHLIST4[[#Headers],[Stock]])&gt;=C_CNT_STOCKS,"",_FV(T_WATCHLIST4[[#This Row],[Stock]],"Instrument type",TRUE)),"Not Available")</f>
        <v/>
      </c>
    </row>
    <row r="29" spans="1:29" ht="15">
      <c r="E29" s="89"/>
      <c r="F29" s="75" t="str" cm="1">
        <f t="array" ref="F29">IFERROR(IF(ROW(T_WATCHLIST4[[#This Row],[Stock]])-ROW(T_WATCHLIST4[[#Headers],[Stock]])&gt;C_CNT_STOCKS,"",INDEX(_xlfn.ANCHORARRAY(HELP!$G$2),ROW(T_WATCHLIST4[[#This Row],[Stock]])-ROW(T_WATCHLIST4[[#Headers],[Stock]]))),"")</f>
        <v/>
      </c>
      <c r="G29" s="80" t="str" cm="1">
        <f t="array" ref="G29">IFERROR(_xlfn.FIELDVALUE(T_WATCHLIST4[[#This Row],[Stock]],"Ticker Symbol"),"")</f>
        <v/>
      </c>
      <c r="H29" s="117"/>
      <c r="I29" s="81" t="str">
        <f>IF(T_WATCHLIST4[[#This Row],[Stock]]="","",SUMIFS(T_TXN[UNITS],T_TXN[TYPE],"Buy",T_TXN[TICKER],T_WATCHLIST4[[#This Row],[Stock]])-SUMIFS(T_TXN[UNITS],T_TXN[TYPE],"Sell",T_TXN[TICKER],T_WATCHLIST4[[#This Row],[Stock]])+SUMIFS(T_TXN[UNITS],T_TXN[TYPE],"Dividend Reinvestment",T_TXN[TICKER],T_WATCHLIST4[[#This Row],[Stock]]))</f>
        <v/>
      </c>
      <c r="J29" s="75" t="str" cm="1">
        <f t="array" ref="J29">IFERROR(_xlfn.FIELDVALUE(T_WATCHLIST4[[#This Row],[Stock]],"Price"),"")</f>
        <v/>
      </c>
      <c r="K29" s="82" t="str" cm="1">
        <f t="array" ref="K29">IFERROR(_xlfn.FIELDVALUE(T_WATCHLIST4[[#This Row],[Stock]],"Change"),"")</f>
        <v/>
      </c>
      <c r="L29" s="83" t="str" cm="1">
        <f t="array" ref="L29">IFERROR(_xlfn.FIELDVALUE(T_WATCHLIST4[[#This Row],[Stock]],"Change (%)"),"")</f>
        <v/>
      </c>
      <c r="M29" s="84" t="str">
        <f>IF(T_WATCHLIST4[[#This Row],[Stock]]="","",T_WATCHLIST4[[#This Row],[Quantity]]*T_WATCHLIST4[[#This Row],[Last Price]])</f>
        <v/>
      </c>
      <c r="N29" s="85" t="str" cm="1">
        <f t="array" ref="N29">IF(T_WATCHLIST4[[#This Row],[Stock]]="","",T_WATCHLIST4[[#This Row],[Current Value]]-_xlfn.FIELDVALUE(T_WATCHLIST4[[#This Row],[Stock]],"Previous Close")*T_WATCHLIST4[[#This Row],[Quantity]])</f>
        <v/>
      </c>
      <c r="O29" s="86" t="str">
        <f>IFERROR(T_WATCHLIST4[[#This Row],[Today''s Gain/Loss]]/(T_WATCHLIST4[[#This Row],[Current Value]]-T_WATCHLIST4[[#This Row],[Today''s Gain/Loss]]),"")</f>
        <v/>
      </c>
      <c r="P29" s="84" t="str">
        <f>IFERROR(T_WATCHLIST4[[#This Row],[Current Value]]-T_WATCHLIST4[[#This Row],[% Total Gain/Loss9]],"")</f>
        <v/>
      </c>
      <c r="Q29" s="87" t="str">
        <f>IFERROR(T_WATCHLIST4[[#This Row],[Total Gain/Loss]]/T_WATCHLIST4[[#This Row],[% Total Gain/Loss9]],"")</f>
        <v/>
      </c>
      <c r="R29" s="88" t="str" cm="1">
        <f t="array" ref="R29">IFERROR(_xlfn.FIELDVALUE(T_WATCHLIST4[[#This Row],[Stock]],"52 week low"),"")</f>
        <v/>
      </c>
      <c r="S2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29" s="73" t="str" cm="1">
        <f t="array" ref="T29">IFERROR(_xlfn.FIELDVALUE(T_WATCHLIST4[[#This Row],[Stock]],"52 week high"),"")</f>
        <v/>
      </c>
      <c r="U29" s="64" t="str" cm="1">
        <f t="array" ref="U29">IF(T_WATCHLIST4[[#This Row],[Stock]]="","",SUMPRODUCT(T_TXN[UNITS],--(T_TXN[TYPE]="Buy"),--(T_TXN[TICKER]=T_WATCHLIST4[[#This Row],[Stock]])))</f>
        <v/>
      </c>
      <c r="V29" s="67" t="str" cm="1">
        <f t="array" ref="V29">IF(T_WATCHLIST4[[#This Row],[Stock]]="","",SUMPRODUCT(--(T_TXN[TYPE]="Buy"),T_TXN[UNITS],T_TXN[PRICE],--(T_TXN[TICKER]=T_WATCHLIST4[[#This Row],[Stock]])))</f>
        <v/>
      </c>
      <c r="W29" s="64" t="str" cm="1">
        <f t="array" ref="W29">IF(T_WATCHLIST4[[#This Row],[Stock]]="","",SUMPRODUCT(T_TXN[UNITS],--(T_TXN[TYPE]="Sell"),--(T_TXN[TICKER]=T_WATCHLIST4[[#This Row],[Stock]])))</f>
        <v/>
      </c>
      <c r="X29" s="67" t="str" cm="1">
        <f t="array" ref="X29">IF(T_WATCHLIST4[[#This Row],[Stock]]="","",SUMPRODUCT(--(T_TXN[TYPE]="Sell"),T_TXN[UNITS],T_TXN[PRICE],--(T_TXN[TICKER]=T_WATCHLIST4[[#This Row],[Stock]])))</f>
        <v/>
      </c>
      <c r="Y29" s="67" t="str" cm="1">
        <f t="array" ref="Y29">IF(T_WATCHLIST4[[#This Row],[Stock]]="","",SUMPRODUCT(T_TXN[UNITS],T_TXN[PRICE],--(T_TXN[TYPE]="Buy"),--(T_TXN[TICKER]=T_WATCHLIST4[[#This Row],[Stock]])) -SUMPRODUCT(T_TXN[UNITS],T_TXN[PRICE],--(T_TXN[TYPE]="Sell"),--(T_TXN[TICKER]=T_WATCHLIST4[[#This Row],[Stock]])))</f>
        <v/>
      </c>
      <c r="Z29" s="64" t="str" cm="1">
        <f t="array" ref="Z29">IFERROR(IF(ROW(T_WATCHLIST4[[#This Row],[Stock]])-ROW(T_WATCHLIST4[[#Headers],[Stock]])&gt;=C_CNT_STOCKS,"",_FV(T_WATCHLIST4[[#This Row],[Stock]],"Industry",TRUE)),"Not Available")</f>
        <v/>
      </c>
      <c r="AA29" s="64" t="str" cm="1">
        <f t="array" ref="AA29">IFERROR(IF(ROW(T_WATCHLIST4[[#This Row],[Stock]])-ROW(T_WATCHLIST4[[#Headers],[Stock]])&gt;=C_CNT_STOCKS,"",_FV(T_WATCHLIST4[[#This Row],[Stock]],"Instrument type",TRUE)),"Not Available")</f>
        <v/>
      </c>
    </row>
    <row r="30" spans="1:29" ht="22" customHeight="1">
      <c r="A30" s="110" t="s">
        <v>114</v>
      </c>
      <c r="E30" s="89"/>
      <c r="F30" s="75" t="str" cm="1">
        <f t="array" ref="F30">IFERROR(IF(ROW(T_WATCHLIST4[[#This Row],[Stock]])-ROW(T_WATCHLIST4[[#Headers],[Stock]])&gt;C_CNT_STOCKS,"",INDEX(_xlfn.ANCHORARRAY(HELP!$G$2),ROW(T_WATCHLIST4[[#This Row],[Stock]])-ROW(T_WATCHLIST4[[#Headers],[Stock]]))),"")</f>
        <v/>
      </c>
      <c r="G30" s="80" t="str" cm="1">
        <f t="array" ref="G30">IFERROR(_xlfn.FIELDVALUE(T_WATCHLIST4[[#This Row],[Stock]],"Ticker Symbol"),"")</f>
        <v/>
      </c>
      <c r="H30" s="117"/>
      <c r="I30" s="81" t="str">
        <f>IF(T_WATCHLIST4[[#This Row],[Stock]]="","",SUMIFS(T_TXN[UNITS],T_TXN[TYPE],"Buy",T_TXN[TICKER],T_WATCHLIST4[[#This Row],[Stock]])-SUMIFS(T_TXN[UNITS],T_TXN[TYPE],"Sell",T_TXN[TICKER],T_WATCHLIST4[[#This Row],[Stock]])+SUMIFS(T_TXN[UNITS],T_TXN[TYPE],"Dividend Reinvestment",T_TXN[TICKER],T_WATCHLIST4[[#This Row],[Stock]]))</f>
        <v/>
      </c>
      <c r="J30" s="75" t="str" cm="1">
        <f t="array" ref="J30">IFERROR(_xlfn.FIELDVALUE(T_WATCHLIST4[[#This Row],[Stock]],"Price"),"")</f>
        <v/>
      </c>
      <c r="K30" s="82" t="str" cm="1">
        <f t="array" ref="K30">IFERROR(_xlfn.FIELDVALUE(T_WATCHLIST4[[#This Row],[Stock]],"Change"),"")</f>
        <v/>
      </c>
      <c r="L30" s="83" t="str" cm="1">
        <f t="array" ref="L30">IFERROR(_xlfn.FIELDVALUE(T_WATCHLIST4[[#This Row],[Stock]],"Change (%)"),"")</f>
        <v/>
      </c>
      <c r="M30" s="84" t="str">
        <f>IF(T_WATCHLIST4[[#This Row],[Stock]]="","",T_WATCHLIST4[[#This Row],[Quantity]]*T_WATCHLIST4[[#This Row],[Last Price]])</f>
        <v/>
      </c>
      <c r="N30" s="85" t="str" cm="1">
        <f t="array" ref="N30">IF(T_WATCHLIST4[[#This Row],[Stock]]="","",T_WATCHLIST4[[#This Row],[Current Value]]-_xlfn.FIELDVALUE(T_WATCHLIST4[[#This Row],[Stock]],"Previous Close")*T_WATCHLIST4[[#This Row],[Quantity]])</f>
        <v/>
      </c>
      <c r="O30" s="86" t="str">
        <f>IFERROR(T_WATCHLIST4[[#This Row],[Today''s Gain/Loss]]/(T_WATCHLIST4[[#This Row],[Current Value]]-T_WATCHLIST4[[#This Row],[Today''s Gain/Loss]]),"")</f>
        <v/>
      </c>
      <c r="P30" s="84" t="str">
        <f>IFERROR(T_WATCHLIST4[[#This Row],[Current Value]]-T_WATCHLIST4[[#This Row],[% Total Gain/Loss9]],"")</f>
        <v/>
      </c>
      <c r="Q30" s="87" t="str">
        <f>IFERROR(T_WATCHLIST4[[#This Row],[Total Gain/Loss]]/T_WATCHLIST4[[#This Row],[% Total Gain/Loss9]],"")</f>
        <v/>
      </c>
      <c r="R30" s="88" t="str" cm="1">
        <f t="array" ref="R30">IFERROR(_xlfn.FIELDVALUE(T_WATCHLIST4[[#This Row],[Stock]],"52 week low"),"")</f>
        <v/>
      </c>
      <c r="S3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0" s="73" t="str" cm="1">
        <f t="array" ref="T30">IFERROR(_xlfn.FIELDVALUE(T_WATCHLIST4[[#This Row],[Stock]],"52 week high"),"")</f>
        <v/>
      </c>
      <c r="U30" s="64" t="str" cm="1">
        <f t="array" ref="U30">IF(T_WATCHLIST4[[#This Row],[Stock]]="","",SUMPRODUCT(T_TXN[UNITS],--(T_TXN[TYPE]="Buy"),--(T_TXN[TICKER]=T_WATCHLIST4[[#This Row],[Stock]])))</f>
        <v/>
      </c>
      <c r="V30" s="67" t="str" cm="1">
        <f t="array" ref="V30">IF(T_WATCHLIST4[[#This Row],[Stock]]="","",SUMPRODUCT(--(T_TXN[TYPE]="Buy"),T_TXN[UNITS],T_TXN[PRICE],--(T_TXN[TICKER]=T_WATCHLIST4[[#This Row],[Stock]])))</f>
        <v/>
      </c>
      <c r="W30" s="64" t="str" cm="1">
        <f t="array" ref="W30">IF(T_WATCHLIST4[[#This Row],[Stock]]="","",SUMPRODUCT(T_TXN[UNITS],--(T_TXN[TYPE]="Sell"),--(T_TXN[TICKER]=T_WATCHLIST4[[#This Row],[Stock]])))</f>
        <v/>
      </c>
      <c r="X30" s="67" t="str" cm="1">
        <f t="array" ref="X30">IF(T_WATCHLIST4[[#This Row],[Stock]]="","",SUMPRODUCT(--(T_TXN[TYPE]="Sell"),T_TXN[UNITS],T_TXN[PRICE],--(T_TXN[TICKER]=T_WATCHLIST4[[#This Row],[Stock]])))</f>
        <v/>
      </c>
      <c r="Y30" s="67" t="str" cm="1">
        <f t="array" ref="Y30">IF(T_WATCHLIST4[[#This Row],[Stock]]="","",SUMPRODUCT(T_TXN[UNITS],T_TXN[PRICE],--(T_TXN[TYPE]="Buy"),--(T_TXN[TICKER]=T_WATCHLIST4[[#This Row],[Stock]])) -SUMPRODUCT(T_TXN[UNITS],T_TXN[PRICE],--(T_TXN[TYPE]="Sell"),--(T_TXN[TICKER]=T_WATCHLIST4[[#This Row],[Stock]])))</f>
        <v/>
      </c>
      <c r="Z30" s="64" t="str" cm="1">
        <f t="array" ref="Z30">IFERROR(IF(ROW(T_WATCHLIST4[[#This Row],[Stock]])-ROW(T_WATCHLIST4[[#Headers],[Stock]])&gt;=C_CNT_STOCKS,"",_FV(T_WATCHLIST4[[#This Row],[Stock]],"Industry",TRUE)),"Not Available")</f>
        <v/>
      </c>
      <c r="AA30" s="64" t="str" cm="1">
        <f t="array" ref="AA30">IFERROR(IF(ROW(T_WATCHLIST4[[#This Row],[Stock]])-ROW(T_WATCHLIST4[[#Headers],[Stock]])&gt;=C_CNT_STOCKS,"",_FV(T_WATCHLIST4[[#This Row],[Stock]],"Instrument type",TRUE)),"Not Available")</f>
        <v/>
      </c>
    </row>
    <row r="31" spans="1:29" ht="22" customHeight="1">
      <c r="A31" s="42" t="s">
        <v>110</v>
      </c>
      <c r="B31" s="42">
        <f>SUMPRODUCT(H3:H6,AG3:AG6)</f>
        <v>265.190133012101</v>
      </c>
      <c r="C31" s="94"/>
      <c r="E31" s="89"/>
      <c r="F31" s="75" t="str" cm="1">
        <f t="array" ref="F31">IFERROR(IF(ROW(T_WATCHLIST4[[#This Row],[Stock]])-ROW(T_WATCHLIST4[[#Headers],[Stock]])&gt;C_CNT_STOCKS,"",INDEX(_xlfn.ANCHORARRAY(HELP!$G$2),ROW(T_WATCHLIST4[[#This Row],[Stock]])-ROW(T_WATCHLIST4[[#Headers],[Stock]]))),"")</f>
        <v/>
      </c>
      <c r="G31" s="80" t="str" cm="1">
        <f t="array" ref="G31">IFERROR(_xlfn.FIELDVALUE(T_WATCHLIST4[[#This Row],[Stock]],"Ticker Symbol"),"")</f>
        <v/>
      </c>
      <c r="H31" s="117"/>
      <c r="I31" s="81" t="str">
        <f>IF(T_WATCHLIST4[[#This Row],[Stock]]="","",SUMIFS(T_TXN[UNITS],T_TXN[TYPE],"Buy",T_TXN[TICKER],T_WATCHLIST4[[#This Row],[Stock]])-SUMIFS(T_TXN[UNITS],T_TXN[TYPE],"Sell",T_TXN[TICKER],T_WATCHLIST4[[#This Row],[Stock]])+SUMIFS(T_TXN[UNITS],T_TXN[TYPE],"Dividend Reinvestment",T_TXN[TICKER],T_WATCHLIST4[[#This Row],[Stock]]))</f>
        <v/>
      </c>
      <c r="J31" s="75" t="str" cm="1">
        <f t="array" ref="J31">IFERROR(_xlfn.FIELDVALUE(T_WATCHLIST4[[#This Row],[Stock]],"Price"),"")</f>
        <v/>
      </c>
      <c r="K31" s="82" t="str" cm="1">
        <f t="array" ref="K31">IFERROR(_xlfn.FIELDVALUE(T_WATCHLIST4[[#This Row],[Stock]],"Change"),"")</f>
        <v/>
      </c>
      <c r="L31" s="83" t="str" cm="1">
        <f t="array" ref="L31">IFERROR(_xlfn.FIELDVALUE(T_WATCHLIST4[[#This Row],[Stock]],"Change (%)"),"")</f>
        <v/>
      </c>
      <c r="M31" s="84" t="str">
        <f>IF(T_WATCHLIST4[[#This Row],[Stock]]="","",T_WATCHLIST4[[#This Row],[Quantity]]*T_WATCHLIST4[[#This Row],[Last Price]])</f>
        <v/>
      </c>
      <c r="N31" s="85" t="str" cm="1">
        <f t="array" ref="N31">IF(T_WATCHLIST4[[#This Row],[Stock]]="","",T_WATCHLIST4[[#This Row],[Current Value]]-_xlfn.FIELDVALUE(T_WATCHLIST4[[#This Row],[Stock]],"Previous Close")*T_WATCHLIST4[[#This Row],[Quantity]])</f>
        <v/>
      </c>
      <c r="O31" s="86" t="str">
        <f>IFERROR(T_WATCHLIST4[[#This Row],[Today''s Gain/Loss]]/(T_WATCHLIST4[[#This Row],[Current Value]]-T_WATCHLIST4[[#This Row],[Today''s Gain/Loss]]),"")</f>
        <v/>
      </c>
      <c r="P31" s="84" t="str">
        <f>IFERROR(T_WATCHLIST4[[#This Row],[Current Value]]-T_WATCHLIST4[[#This Row],[% Total Gain/Loss9]],"")</f>
        <v/>
      </c>
      <c r="Q31" s="87" t="str">
        <f>IFERROR(T_WATCHLIST4[[#This Row],[Total Gain/Loss]]/T_WATCHLIST4[[#This Row],[% Total Gain/Loss9]],"")</f>
        <v/>
      </c>
      <c r="R31" s="88" t="str" cm="1">
        <f t="array" ref="R31">IFERROR(_xlfn.FIELDVALUE(T_WATCHLIST4[[#This Row],[Stock]],"52 week low"),"")</f>
        <v/>
      </c>
      <c r="S3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1" s="73" t="str" cm="1">
        <f t="array" ref="T31">IFERROR(_xlfn.FIELDVALUE(T_WATCHLIST4[[#This Row],[Stock]],"52 week high"),"")</f>
        <v/>
      </c>
      <c r="U31" s="64" t="str" cm="1">
        <f t="array" ref="U31">IF(T_WATCHLIST4[[#This Row],[Stock]]="","",SUMPRODUCT(T_TXN[UNITS],--(T_TXN[TYPE]="Buy"),--(T_TXN[TICKER]=T_WATCHLIST4[[#This Row],[Stock]])))</f>
        <v/>
      </c>
      <c r="V31" s="67" t="str" cm="1">
        <f t="array" ref="V31">IF(T_WATCHLIST4[[#This Row],[Stock]]="","",SUMPRODUCT(--(T_TXN[TYPE]="Buy"),T_TXN[UNITS],T_TXN[PRICE],--(T_TXN[TICKER]=T_WATCHLIST4[[#This Row],[Stock]])))</f>
        <v/>
      </c>
      <c r="W31" s="64" t="str" cm="1">
        <f t="array" ref="W31">IF(T_WATCHLIST4[[#This Row],[Stock]]="","",SUMPRODUCT(T_TXN[UNITS],--(T_TXN[TYPE]="Sell"),--(T_TXN[TICKER]=T_WATCHLIST4[[#This Row],[Stock]])))</f>
        <v/>
      </c>
      <c r="X31" s="67" t="str" cm="1">
        <f t="array" ref="X31">IF(T_WATCHLIST4[[#This Row],[Stock]]="","",SUMPRODUCT(--(T_TXN[TYPE]="Sell"),T_TXN[UNITS],T_TXN[PRICE],--(T_TXN[TICKER]=T_WATCHLIST4[[#This Row],[Stock]])))</f>
        <v/>
      </c>
      <c r="Y31" s="67" t="str" cm="1">
        <f t="array" ref="Y31">IF(T_WATCHLIST4[[#This Row],[Stock]]="","",SUMPRODUCT(T_TXN[UNITS],T_TXN[PRICE],--(T_TXN[TYPE]="Buy"),--(T_TXN[TICKER]=T_WATCHLIST4[[#This Row],[Stock]])) -SUMPRODUCT(T_TXN[UNITS],T_TXN[PRICE],--(T_TXN[TYPE]="Sell"),--(T_TXN[TICKER]=T_WATCHLIST4[[#This Row],[Stock]])))</f>
        <v/>
      </c>
      <c r="Z31" s="64" t="str" cm="1">
        <f t="array" ref="Z31">IFERROR(IF(ROW(T_WATCHLIST4[[#This Row],[Stock]])-ROW(T_WATCHLIST4[[#Headers],[Stock]])&gt;=C_CNT_STOCKS,"",_FV(T_WATCHLIST4[[#This Row],[Stock]],"Industry",TRUE)),"Not Available")</f>
        <v/>
      </c>
      <c r="AA31" s="64" t="str" cm="1">
        <f t="array" ref="AA31">IFERROR(IF(ROW(T_WATCHLIST4[[#This Row],[Stock]])-ROW(T_WATCHLIST4[[#Headers],[Stock]])&gt;=C_CNT_STOCKS,"",_FV(T_WATCHLIST4[[#This Row],[Stock]],"Instrument type",TRUE)),"Not Available")</f>
        <v/>
      </c>
    </row>
    <row r="32" spans="1:29" ht="22" customHeight="1">
      <c r="E32" s="89"/>
      <c r="F32" s="75" t="str" cm="1">
        <f t="array" ref="F32">IFERROR(IF(ROW(T_WATCHLIST4[[#This Row],[Stock]])-ROW(T_WATCHLIST4[[#Headers],[Stock]])&gt;C_CNT_STOCKS,"",INDEX(_xlfn.ANCHORARRAY(HELP!$G$2),ROW(T_WATCHLIST4[[#This Row],[Stock]])-ROW(T_WATCHLIST4[[#Headers],[Stock]]))),"")</f>
        <v/>
      </c>
      <c r="G32" s="80" t="str" cm="1">
        <f t="array" ref="G32">IFERROR(_xlfn.FIELDVALUE(T_WATCHLIST4[[#This Row],[Stock]],"Ticker Symbol"),"")</f>
        <v/>
      </c>
      <c r="H32" s="117"/>
      <c r="I32" s="81" t="str">
        <f>IF(T_WATCHLIST4[[#This Row],[Stock]]="","",SUMIFS(T_TXN[UNITS],T_TXN[TYPE],"Buy",T_TXN[TICKER],T_WATCHLIST4[[#This Row],[Stock]])-SUMIFS(T_TXN[UNITS],T_TXN[TYPE],"Sell",T_TXN[TICKER],T_WATCHLIST4[[#This Row],[Stock]])+SUMIFS(T_TXN[UNITS],T_TXN[TYPE],"Dividend Reinvestment",T_TXN[TICKER],T_WATCHLIST4[[#This Row],[Stock]]))</f>
        <v/>
      </c>
      <c r="J32" s="75" t="str" cm="1">
        <f t="array" ref="J32">IFERROR(_xlfn.FIELDVALUE(T_WATCHLIST4[[#This Row],[Stock]],"Price"),"")</f>
        <v/>
      </c>
      <c r="K32" s="82" t="str" cm="1">
        <f t="array" ref="K32">IFERROR(_xlfn.FIELDVALUE(T_WATCHLIST4[[#This Row],[Stock]],"Change"),"")</f>
        <v/>
      </c>
      <c r="L32" s="83" t="str" cm="1">
        <f t="array" ref="L32">IFERROR(_xlfn.FIELDVALUE(T_WATCHLIST4[[#This Row],[Stock]],"Change (%)"),"")</f>
        <v/>
      </c>
      <c r="M32" s="84" t="str">
        <f>IF(T_WATCHLIST4[[#This Row],[Stock]]="","",T_WATCHLIST4[[#This Row],[Quantity]]*T_WATCHLIST4[[#This Row],[Last Price]])</f>
        <v/>
      </c>
      <c r="N32" s="85" t="str" cm="1">
        <f t="array" ref="N32">IF(T_WATCHLIST4[[#This Row],[Stock]]="","",T_WATCHLIST4[[#This Row],[Current Value]]-_xlfn.FIELDVALUE(T_WATCHLIST4[[#This Row],[Stock]],"Previous Close")*T_WATCHLIST4[[#This Row],[Quantity]])</f>
        <v/>
      </c>
      <c r="O32" s="86" t="str">
        <f>IFERROR(T_WATCHLIST4[[#This Row],[Today''s Gain/Loss]]/(T_WATCHLIST4[[#This Row],[Current Value]]-T_WATCHLIST4[[#This Row],[Today''s Gain/Loss]]),"")</f>
        <v/>
      </c>
      <c r="P32" s="84" t="str">
        <f>IFERROR(T_WATCHLIST4[[#This Row],[Current Value]]-T_WATCHLIST4[[#This Row],[% Total Gain/Loss9]],"")</f>
        <v/>
      </c>
      <c r="Q32" s="87" t="str">
        <f>IFERROR(T_WATCHLIST4[[#This Row],[Total Gain/Loss]]/T_WATCHLIST4[[#This Row],[% Total Gain/Loss9]],"")</f>
        <v/>
      </c>
      <c r="R32" s="88" t="str" cm="1">
        <f t="array" ref="R32">IFERROR(_xlfn.FIELDVALUE(T_WATCHLIST4[[#This Row],[Stock]],"52 week low"),"")</f>
        <v/>
      </c>
      <c r="S3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2" s="73" t="str" cm="1">
        <f t="array" ref="T32">IFERROR(_xlfn.FIELDVALUE(T_WATCHLIST4[[#This Row],[Stock]],"52 week high"),"")</f>
        <v/>
      </c>
      <c r="U32" s="64" t="str" cm="1">
        <f t="array" ref="U32">IF(T_WATCHLIST4[[#This Row],[Stock]]="","",SUMPRODUCT(T_TXN[UNITS],--(T_TXN[TYPE]="Buy"),--(T_TXN[TICKER]=T_WATCHLIST4[[#This Row],[Stock]])))</f>
        <v/>
      </c>
      <c r="V32" s="67" t="str" cm="1">
        <f t="array" ref="V32">IF(T_WATCHLIST4[[#This Row],[Stock]]="","",SUMPRODUCT(--(T_TXN[TYPE]="Buy"),T_TXN[UNITS],T_TXN[PRICE],--(T_TXN[TICKER]=T_WATCHLIST4[[#This Row],[Stock]])))</f>
        <v/>
      </c>
      <c r="W32" s="64" t="str" cm="1">
        <f t="array" ref="W32">IF(T_WATCHLIST4[[#This Row],[Stock]]="","",SUMPRODUCT(T_TXN[UNITS],--(T_TXN[TYPE]="Sell"),--(T_TXN[TICKER]=T_WATCHLIST4[[#This Row],[Stock]])))</f>
        <v/>
      </c>
      <c r="X32" s="67" t="str" cm="1">
        <f t="array" ref="X32">IF(T_WATCHLIST4[[#This Row],[Stock]]="","",SUMPRODUCT(--(T_TXN[TYPE]="Sell"),T_TXN[UNITS],T_TXN[PRICE],--(T_TXN[TICKER]=T_WATCHLIST4[[#This Row],[Stock]])))</f>
        <v/>
      </c>
      <c r="Y32" s="67" t="str" cm="1">
        <f t="array" ref="Y32">IF(T_WATCHLIST4[[#This Row],[Stock]]="","",SUMPRODUCT(T_TXN[UNITS],T_TXN[PRICE],--(T_TXN[TYPE]="Buy"),--(T_TXN[TICKER]=T_WATCHLIST4[[#This Row],[Stock]])) -SUMPRODUCT(T_TXN[UNITS],T_TXN[PRICE],--(T_TXN[TYPE]="Sell"),--(T_TXN[TICKER]=T_WATCHLIST4[[#This Row],[Stock]])))</f>
        <v/>
      </c>
      <c r="Z32" s="64" t="str" cm="1">
        <f t="array" ref="Z32">IFERROR(IF(ROW(T_WATCHLIST4[[#This Row],[Stock]])-ROW(T_WATCHLIST4[[#Headers],[Stock]])&gt;=C_CNT_STOCKS,"",_FV(T_WATCHLIST4[[#This Row],[Stock]],"Industry",TRUE)),"Not Available")</f>
        <v/>
      </c>
      <c r="AA32" s="64" t="str" cm="1">
        <f t="array" ref="AA32">IFERROR(IF(ROW(T_WATCHLIST4[[#This Row],[Stock]])-ROW(T_WATCHLIST4[[#Headers],[Stock]])&gt;=C_CNT_STOCKS,"",_FV(T_WATCHLIST4[[#This Row],[Stock]],"Instrument type",TRUE)),"Not Available")</f>
        <v/>
      </c>
    </row>
    <row r="33" spans="1:27" ht="22" customHeight="1">
      <c r="A33" s="110" t="s">
        <v>115</v>
      </c>
      <c r="E33" s="89"/>
      <c r="F33" s="95" t="str" cm="1">
        <f t="array" ref="F33">IFERROR(IF(ROW(T_WATCHLIST4[[#This Row],[Stock]])-ROW(T_WATCHLIST4[[#Headers],[Stock]])&gt;C_CNT_STOCKS,"",INDEX(_xlfn.ANCHORARRAY(HELP!$G$2),ROW(T_WATCHLIST4[[#This Row],[Stock]])-ROW(T_WATCHLIST4[[#Headers],[Stock]]))),"")</f>
        <v/>
      </c>
      <c r="G33" s="96" t="str" cm="1">
        <f t="array" ref="G33">IFERROR(_xlfn.FIELDVALUE(T_WATCHLIST4[[#This Row],[Stock]],"Ticker Symbol"),"")</f>
        <v/>
      </c>
      <c r="H33" s="118"/>
      <c r="I33" s="97" t="str">
        <f>IF(T_WATCHLIST4[[#This Row],[Stock]]="","",SUMIFS(T_TXN[UNITS],T_TXN[TYPE],"Buy",T_TXN[TICKER],T_WATCHLIST4[[#This Row],[Stock]])-SUMIFS(T_TXN[UNITS],T_TXN[TYPE],"Sell",T_TXN[TICKER],T_WATCHLIST4[[#This Row],[Stock]])+SUMIFS(T_TXN[UNITS],T_TXN[TYPE],"Dividend Reinvestment",T_TXN[TICKER],T_WATCHLIST4[[#This Row],[Stock]]))</f>
        <v/>
      </c>
      <c r="J33" s="95" t="str" cm="1">
        <f t="array" ref="J33">IFERROR(_xlfn.FIELDVALUE(T_WATCHLIST4[[#This Row],[Stock]],"Price"),"")</f>
        <v/>
      </c>
      <c r="K33" s="98" t="str" cm="1">
        <f t="array" ref="K33">IFERROR(_xlfn.FIELDVALUE(T_WATCHLIST4[[#This Row],[Stock]],"Change"),"")</f>
        <v/>
      </c>
      <c r="L33" s="99" t="str" cm="1">
        <f t="array" ref="L33">IFERROR(_xlfn.FIELDVALUE(T_WATCHLIST4[[#This Row],[Stock]],"Change (%)"),"")</f>
        <v/>
      </c>
      <c r="M33" s="100" t="str">
        <f>IF(T_WATCHLIST4[[#This Row],[Stock]]="","",T_WATCHLIST4[[#This Row],[Quantity]]*T_WATCHLIST4[[#This Row],[Last Price]])</f>
        <v/>
      </c>
      <c r="N33" s="101" t="str" cm="1">
        <f t="array" ref="N33">IF(T_WATCHLIST4[[#This Row],[Stock]]="","",T_WATCHLIST4[[#This Row],[Current Value]]-_xlfn.FIELDVALUE(T_WATCHLIST4[[#This Row],[Stock]],"Previous Close")*T_WATCHLIST4[[#This Row],[Quantity]])</f>
        <v/>
      </c>
      <c r="O33" s="102" t="str">
        <f>IFERROR(T_WATCHLIST4[[#This Row],[Today''s Gain/Loss]]/(T_WATCHLIST4[[#This Row],[Current Value]]-T_WATCHLIST4[[#This Row],[Today''s Gain/Loss]]),"")</f>
        <v/>
      </c>
      <c r="P33" s="103" t="str">
        <f>IFERROR(T_WATCHLIST4[[#This Row],[Current Value]]-T_WATCHLIST4[[#This Row],[% Total Gain/Loss9]],"")</f>
        <v/>
      </c>
      <c r="Q33" s="104" t="str">
        <f>IFERROR(T_WATCHLIST4[[#This Row],[Total Gain/Loss]]/T_WATCHLIST4[[#This Row],[% Total Gain/Loss9]],"")</f>
        <v/>
      </c>
      <c r="R33" s="105" t="str" cm="1">
        <f t="array" ref="R33">IFERROR(_xlfn.FIELDVALUE(T_WATCHLIST4[[#This Row],[Stock]],"52 week low"),"")</f>
        <v/>
      </c>
      <c r="S33" s="106"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3" s="107" t="str" cm="1">
        <f t="array" ref="T33">IFERROR(_xlfn.FIELDVALUE(T_WATCHLIST4[[#This Row],[Stock]],"52 week high"),"")</f>
        <v/>
      </c>
      <c r="U33" s="108" t="str" cm="1">
        <f t="array" ref="U33">IF(T_WATCHLIST4[[#This Row],[Stock]]="","",SUMPRODUCT(T_TXN[UNITS],--(T_TXN[TYPE]="Buy"),--(T_TXN[TICKER]=T_WATCHLIST4[[#This Row],[Stock]])))</f>
        <v/>
      </c>
      <c r="V33" s="109" t="str" cm="1">
        <f t="array" ref="V33">IF(T_WATCHLIST4[[#This Row],[Stock]]="","",SUMPRODUCT(--(T_TXN[TYPE]="Buy"),T_TXN[UNITS],T_TXN[PRICE],--(T_TXN[TICKER]=T_WATCHLIST4[[#This Row],[Stock]])))</f>
        <v/>
      </c>
      <c r="W33" s="108" t="str" cm="1">
        <f t="array" ref="W33">IF(T_WATCHLIST4[[#This Row],[Stock]]="","",SUMPRODUCT(T_TXN[UNITS],--(T_TXN[TYPE]="Sell"),--(T_TXN[TICKER]=T_WATCHLIST4[[#This Row],[Stock]])))</f>
        <v/>
      </c>
      <c r="X33" s="109" t="str" cm="1">
        <f t="array" ref="X33">IF(T_WATCHLIST4[[#This Row],[Stock]]="","",SUMPRODUCT(--(T_TXN[TYPE]="Sell"),T_TXN[UNITS],T_TXN[PRICE],--(T_TXN[TICKER]=T_WATCHLIST4[[#This Row],[Stock]])))</f>
        <v/>
      </c>
      <c r="Y33" s="109" t="str" cm="1">
        <f t="array" ref="Y33">IF(T_WATCHLIST4[[#This Row],[Stock]]="","",SUMPRODUCT(T_TXN[UNITS],T_TXN[PRICE],--(T_TXN[TYPE]="Buy"),--(T_TXN[TICKER]=T_WATCHLIST4[[#This Row],[Stock]]))
-SUMPRODUCT(T_TXN[UNITS],T_TXN[PRICE],--(T_TXN[TYPE]="Sell"),--(T_TXN[TICKER]=T_WATCHLIST4[[#This Row],[Stock]])))</f>
        <v/>
      </c>
      <c r="Z33" s="108" t="str" cm="1">
        <f t="array" ref="Z33">IFERROR(IF(ROW(T_WATCHLIST4[[#This Row],[Stock]])-ROW(T_WATCHLIST4[[#Headers],[Stock]])&gt;=C_CNT_STOCKS,"",_FV(T_WATCHLIST4[[#This Row],[Stock]],"Industry",TRUE)),"Not Available")</f>
        <v/>
      </c>
      <c r="AA33" s="108" t="str" cm="1">
        <f t="array" ref="AA33">IFERROR(IF(ROW(T_WATCHLIST4[[#This Row],[Stock]])-ROW(T_WATCHLIST4[[#Headers],[Stock]])&gt;=C_CNT_STOCKS,"",_FV(T_WATCHLIST4[[#This Row],[Stock]],"Instrument type",TRUE)),"Not Available")</f>
        <v/>
      </c>
    </row>
    <row r="34" spans="1:27" ht="22" customHeight="1">
      <c r="A34" s="42" t="s">
        <v>111</v>
      </c>
      <c r="B34" s="42">
        <f>SUM(H3:H22)</f>
        <v>1</v>
      </c>
      <c r="C34" s="42" t="s">
        <v>112</v>
      </c>
      <c r="D34" s="42">
        <v>1</v>
      </c>
      <c r="E34" s="89"/>
      <c r="F34" s="75" t="str" cm="1">
        <f t="array" ref="F34">IFERROR(IF(ROW(T_WATCHLIST4[[#This Row],[Stock]])-ROW(T_WATCHLIST4[[#Headers],[Stock]])&gt;C_CNT_STOCKS,"",INDEX(_xlfn.ANCHORARRAY(HELP!$G$2),ROW(T_WATCHLIST4[[#This Row],[Stock]])-ROW(T_WATCHLIST4[[#Headers],[Stock]]))),"")</f>
        <v/>
      </c>
      <c r="G34" s="80" t="str" cm="1">
        <f t="array" ref="G34">IFERROR(_xlfn.FIELDVALUE(T_WATCHLIST4[[#This Row],[Stock]],"Ticker Symbol"),"")</f>
        <v/>
      </c>
      <c r="H34" s="117"/>
      <c r="I34" s="81" t="str">
        <f>IF(T_WATCHLIST4[[#This Row],[Stock]]="","",SUMIFS(T_TXN[UNITS],T_TXN[TYPE],"Buy",T_TXN[TICKER],T_WATCHLIST4[[#This Row],[Stock]])-SUMIFS(T_TXN[UNITS],T_TXN[TYPE],"Sell",T_TXN[TICKER],T_WATCHLIST4[[#This Row],[Stock]])+SUMIFS(T_TXN[UNITS],T_TXN[TYPE],"Dividend Reinvestment",T_TXN[TICKER],T_WATCHLIST4[[#This Row],[Stock]]))</f>
        <v/>
      </c>
      <c r="J34" s="75" t="str" cm="1">
        <f t="array" ref="J34">IFERROR(_xlfn.FIELDVALUE(T_WATCHLIST4[[#This Row],[Stock]],"Price"),"")</f>
        <v/>
      </c>
      <c r="K34" s="82" t="str" cm="1">
        <f t="array" ref="K34">IFERROR(_xlfn.FIELDVALUE(T_WATCHLIST4[[#This Row],[Stock]],"Change"),"")</f>
        <v/>
      </c>
      <c r="L34" s="83" t="str" cm="1">
        <f t="array" ref="L34">IFERROR(_xlfn.FIELDVALUE(T_WATCHLIST4[[#This Row],[Stock]],"Change (%)"),"")</f>
        <v/>
      </c>
      <c r="M34" s="84" t="str">
        <f>IF(T_WATCHLIST4[[#This Row],[Stock]]="","",T_WATCHLIST4[[#This Row],[Quantity]]*T_WATCHLIST4[[#This Row],[Last Price]])</f>
        <v/>
      </c>
      <c r="N34" s="85" t="str" cm="1">
        <f t="array" ref="N34">IF(T_WATCHLIST4[[#This Row],[Stock]]="","",T_WATCHLIST4[[#This Row],[Current Value]]-_xlfn.FIELDVALUE(T_WATCHLIST4[[#This Row],[Stock]],"Previous Close")*T_WATCHLIST4[[#This Row],[Quantity]])</f>
        <v/>
      </c>
      <c r="O34" s="86" t="str">
        <f>IFERROR(T_WATCHLIST4[[#This Row],[Today''s Gain/Loss]]/(T_WATCHLIST4[[#This Row],[Current Value]]-T_WATCHLIST4[[#This Row],[Today''s Gain/Loss]]),"")</f>
        <v/>
      </c>
      <c r="P34" s="84" t="str">
        <f>IFERROR(T_WATCHLIST4[[#This Row],[Current Value]]-T_WATCHLIST4[[#This Row],[% Total Gain/Loss9]],"")</f>
        <v/>
      </c>
      <c r="Q34" s="87" t="str">
        <f>IFERROR(T_WATCHLIST4[[#This Row],[Total Gain/Loss]]/T_WATCHLIST4[[#This Row],[% Total Gain/Loss9]],"")</f>
        <v/>
      </c>
      <c r="R34" s="88" t="str" cm="1">
        <f t="array" ref="R34">IFERROR(_xlfn.FIELDVALUE(T_WATCHLIST4[[#This Row],[Stock]],"52 week low"),"")</f>
        <v/>
      </c>
      <c r="S3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4" s="73" t="str" cm="1">
        <f t="array" ref="T34">IFERROR(_xlfn.FIELDVALUE(T_WATCHLIST4[[#This Row],[Stock]],"52 week high"),"")</f>
        <v/>
      </c>
      <c r="U34" s="64" t="str" cm="1">
        <f t="array" ref="U34">IF(T_WATCHLIST4[[#This Row],[Stock]]="","",SUMPRODUCT(T_TXN[UNITS],--(T_TXN[TYPE]="Buy"),--(T_TXN[TICKER]=T_WATCHLIST4[[#This Row],[Stock]])))</f>
        <v/>
      </c>
      <c r="V34" s="67" t="str" cm="1">
        <f t="array" ref="V34">IF(T_WATCHLIST4[[#This Row],[Stock]]="","",SUMPRODUCT(--(T_TXN[TYPE]="Buy"),T_TXN[UNITS],T_TXN[PRICE],--(T_TXN[TICKER]=T_WATCHLIST4[[#This Row],[Stock]])))</f>
        <v/>
      </c>
      <c r="W34" s="64" t="str" cm="1">
        <f t="array" ref="W34">IF(T_WATCHLIST4[[#This Row],[Stock]]="","",SUMPRODUCT(T_TXN[UNITS],--(T_TXN[TYPE]="Sell"),--(T_TXN[TICKER]=T_WATCHLIST4[[#This Row],[Stock]])))</f>
        <v/>
      </c>
      <c r="X34" s="67" t="str" cm="1">
        <f t="array" ref="X34">IF(T_WATCHLIST4[[#This Row],[Stock]]="","",SUMPRODUCT(--(T_TXN[TYPE]="Sell"),T_TXN[UNITS],T_TXN[PRICE],--(T_TXN[TICKER]=T_WATCHLIST4[[#This Row],[Stock]])))</f>
        <v/>
      </c>
      <c r="Y34" s="67" t="str" cm="1">
        <f t="array" ref="Y34">IF(T_WATCHLIST4[[#This Row],[Stock]]="","",SUMPRODUCT(T_TXN[UNITS],T_TXN[PRICE],--(T_TXN[TYPE]="Buy"),--(T_TXN[TICKER]=T_WATCHLIST4[[#This Row],[Stock]])) -SUMPRODUCT(T_TXN[UNITS],T_TXN[PRICE],--(T_TXN[TYPE]="Sell"),--(T_TXN[TICKER]=T_WATCHLIST4[[#This Row],[Stock]])))</f>
        <v/>
      </c>
      <c r="Z34" s="64" t="str" cm="1">
        <f t="array" ref="Z34">IFERROR(IF(ROW(T_WATCHLIST4[[#This Row],[Stock]])-ROW(T_WATCHLIST4[[#Headers],[Stock]])&gt;=C_CNT_STOCKS,"",_FV(T_WATCHLIST4[[#This Row],[Stock]],"Industry",TRUE)),"Not Available")</f>
        <v/>
      </c>
      <c r="AA34" s="64" t="str" cm="1">
        <f t="array" ref="AA34">IFERROR(IF(ROW(T_WATCHLIST4[[#This Row],[Stock]])-ROW(T_WATCHLIST4[[#Headers],[Stock]])&gt;=C_CNT_STOCKS,"",_FV(T_WATCHLIST4[[#This Row],[Stock]],"Instrument type",TRUE)),"Not Available")</f>
        <v/>
      </c>
    </row>
    <row r="35" spans="1:27" ht="22" customHeight="1">
      <c r="A35" s="42" t="s">
        <v>116</v>
      </c>
      <c r="B35" s="111">
        <f>MIN(H3:H6)</f>
        <v>9.9990488355313212E-3</v>
      </c>
      <c r="C35" s="42" t="s">
        <v>113</v>
      </c>
      <c r="D35" s="112">
        <v>0.01</v>
      </c>
      <c r="E35" s="89"/>
      <c r="F35" s="75" t="str" cm="1">
        <f t="array" ref="F35">IFERROR(IF(ROW(T_WATCHLIST4[[#This Row],[Stock]])-ROW(T_WATCHLIST4[[#Headers],[Stock]])&gt;C_CNT_STOCKS,"",INDEX(_xlfn.ANCHORARRAY(HELP!$G$2),ROW(T_WATCHLIST4[[#This Row],[Stock]])-ROW(T_WATCHLIST4[[#Headers],[Stock]]))),"")</f>
        <v/>
      </c>
      <c r="G35" s="80" t="str" cm="1">
        <f t="array" ref="G35">IFERROR(_xlfn.FIELDVALUE(T_WATCHLIST4[[#This Row],[Stock]],"Ticker Symbol"),"")</f>
        <v/>
      </c>
      <c r="H35" s="117"/>
      <c r="I35" s="81" t="str">
        <f>IF(T_WATCHLIST4[[#This Row],[Stock]]="","",SUMIFS(T_TXN[UNITS],T_TXN[TYPE],"Buy",T_TXN[TICKER],T_WATCHLIST4[[#This Row],[Stock]])-SUMIFS(T_TXN[UNITS],T_TXN[TYPE],"Sell",T_TXN[TICKER],T_WATCHLIST4[[#This Row],[Stock]])+SUMIFS(T_TXN[UNITS],T_TXN[TYPE],"Dividend Reinvestment",T_TXN[TICKER],T_WATCHLIST4[[#This Row],[Stock]]))</f>
        <v/>
      </c>
      <c r="J35" s="75" t="str" cm="1">
        <f t="array" ref="J35">IFERROR(_xlfn.FIELDVALUE(T_WATCHLIST4[[#This Row],[Stock]],"Price"),"")</f>
        <v/>
      </c>
      <c r="K35" s="82" t="str" cm="1">
        <f t="array" ref="K35">IFERROR(_xlfn.FIELDVALUE(T_WATCHLIST4[[#This Row],[Stock]],"Change"),"")</f>
        <v/>
      </c>
      <c r="L35" s="83" t="str" cm="1">
        <f t="array" ref="L35">IFERROR(_xlfn.FIELDVALUE(T_WATCHLIST4[[#This Row],[Stock]],"Change (%)"),"")</f>
        <v/>
      </c>
      <c r="M35" s="84" t="str">
        <f>IF(T_WATCHLIST4[[#This Row],[Stock]]="","",T_WATCHLIST4[[#This Row],[Quantity]]*T_WATCHLIST4[[#This Row],[Last Price]])</f>
        <v/>
      </c>
      <c r="N35" s="85" t="str" cm="1">
        <f t="array" ref="N35">IF(T_WATCHLIST4[[#This Row],[Stock]]="","",T_WATCHLIST4[[#This Row],[Current Value]]-_xlfn.FIELDVALUE(T_WATCHLIST4[[#This Row],[Stock]],"Previous Close")*T_WATCHLIST4[[#This Row],[Quantity]])</f>
        <v/>
      </c>
      <c r="O35" s="86" t="str">
        <f>IFERROR(T_WATCHLIST4[[#This Row],[Today''s Gain/Loss]]/(T_WATCHLIST4[[#This Row],[Current Value]]-T_WATCHLIST4[[#This Row],[Today''s Gain/Loss]]),"")</f>
        <v/>
      </c>
      <c r="P35" s="84" t="str">
        <f>IFERROR(T_WATCHLIST4[[#This Row],[Current Value]]-T_WATCHLIST4[[#This Row],[% Total Gain/Loss9]],"")</f>
        <v/>
      </c>
      <c r="Q35" s="87" t="str">
        <f>IFERROR(T_WATCHLIST4[[#This Row],[Total Gain/Loss]]/T_WATCHLIST4[[#This Row],[% Total Gain/Loss9]],"")</f>
        <v/>
      </c>
      <c r="R35" s="88" t="str" cm="1">
        <f t="array" ref="R35">IFERROR(_xlfn.FIELDVALUE(T_WATCHLIST4[[#This Row],[Stock]],"52 week low"),"")</f>
        <v/>
      </c>
      <c r="S3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5" s="73" t="str" cm="1">
        <f t="array" ref="T35">IFERROR(_xlfn.FIELDVALUE(T_WATCHLIST4[[#This Row],[Stock]],"52 week high"),"")</f>
        <v/>
      </c>
      <c r="U35" s="64" t="str" cm="1">
        <f t="array" ref="U35">IF(T_WATCHLIST4[[#This Row],[Stock]]="","",SUMPRODUCT(T_TXN[UNITS],--(T_TXN[TYPE]="Buy"),--(T_TXN[TICKER]=T_WATCHLIST4[[#This Row],[Stock]])))</f>
        <v/>
      </c>
      <c r="V35" s="67" t="str" cm="1">
        <f t="array" ref="V35">IF(T_WATCHLIST4[[#This Row],[Stock]]="","",SUMPRODUCT(--(T_TXN[TYPE]="Buy"),T_TXN[UNITS],T_TXN[PRICE],--(T_TXN[TICKER]=T_WATCHLIST4[[#This Row],[Stock]])))</f>
        <v/>
      </c>
      <c r="W35" s="64" t="str" cm="1">
        <f t="array" ref="W35">IF(T_WATCHLIST4[[#This Row],[Stock]]="","",SUMPRODUCT(T_TXN[UNITS],--(T_TXN[TYPE]="Sell"),--(T_TXN[TICKER]=T_WATCHLIST4[[#This Row],[Stock]])))</f>
        <v/>
      </c>
      <c r="X35" s="67" t="str" cm="1">
        <f t="array" ref="X35">IF(T_WATCHLIST4[[#This Row],[Stock]]="","",SUMPRODUCT(--(T_TXN[TYPE]="Sell"),T_TXN[UNITS],T_TXN[PRICE],--(T_TXN[TICKER]=T_WATCHLIST4[[#This Row],[Stock]])))</f>
        <v/>
      </c>
      <c r="Y35" s="67" t="str" cm="1">
        <f t="array" ref="Y35">IF(T_WATCHLIST4[[#This Row],[Stock]]="","",SUMPRODUCT(T_TXN[UNITS],T_TXN[PRICE],--(T_TXN[TYPE]="Buy"),--(T_TXN[TICKER]=T_WATCHLIST4[[#This Row],[Stock]])) -SUMPRODUCT(T_TXN[UNITS],T_TXN[PRICE],--(T_TXN[TYPE]="Sell"),--(T_TXN[TICKER]=T_WATCHLIST4[[#This Row],[Stock]])))</f>
        <v/>
      </c>
      <c r="Z35" s="64" t="str" cm="1">
        <f t="array" ref="Z35">IFERROR(IF(ROW(T_WATCHLIST4[[#This Row],[Stock]])-ROW(T_WATCHLIST4[[#Headers],[Stock]])&gt;=C_CNT_STOCKS,"",_FV(T_WATCHLIST4[[#This Row],[Stock]],"Industry",TRUE)),"Not Available")</f>
        <v/>
      </c>
      <c r="AA35" s="64" t="str" cm="1">
        <f t="array" ref="AA35">IFERROR(IF(ROW(T_WATCHLIST4[[#This Row],[Stock]])-ROW(T_WATCHLIST4[[#Headers],[Stock]])&gt;=C_CNT_STOCKS,"",_FV(T_WATCHLIST4[[#This Row],[Stock]],"Instrument type",TRUE)),"Not Available")</f>
        <v/>
      </c>
    </row>
    <row r="36" spans="1:27" ht="22" customHeight="1">
      <c r="E36" s="89"/>
      <c r="F36" s="75" t="str" cm="1">
        <f t="array" ref="F36">IFERROR(IF(ROW(T_WATCHLIST4[[#This Row],[Stock]])-ROW(T_WATCHLIST4[[#Headers],[Stock]])&gt;C_CNT_STOCKS,"",INDEX(_xlfn.ANCHORARRAY(HELP!$G$2),ROW(T_WATCHLIST4[[#This Row],[Stock]])-ROW(T_WATCHLIST4[[#Headers],[Stock]]))),"")</f>
        <v/>
      </c>
      <c r="G36" s="80" t="str" cm="1">
        <f t="array" ref="G36">IFERROR(_xlfn.FIELDVALUE(T_WATCHLIST4[[#This Row],[Stock]],"Ticker Symbol"),"")</f>
        <v/>
      </c>
      <c r="H36" s="117"/>
      <c r="I36" s="81" t="str">
        <f>IF(T_WATCHLIST4[[#This Row],[Stock]]="","",SUMIFS(T_TXN[UNITS],T_TXN[TYPE],"Buy",T_TXN[TICKER],T_WATCHLIST4[[#This Row],[Stock]])-SUMIFS(T_TXN[UNITS],T_TXN[TYPE],"Sell",T_TXN[TICKER],T_WATCHLIST4[[#This Row],[Stock]])+SUMIFS(T_TXN[UNITS],T_TXN[TYPE],"Dividend Reinvestment",T_TXN[TICKER],T_WATCHLIST4[[#This Row],[Stock]]))</f>
        <v/>
      </c>
      <c r="J36" s="75" t="str" cm="1">
        <f t="array" ref="J36">IFERROR(_xlfn.FIELDVALUE(T_WATCHLIST4[[#This Row],[Stock]],"Price"),"")</f>
        <v/>
      </c>
      <c r="K36" s="82" t="str" cm="1">
        <f t="array" ref="K36">IFERROR(_xlfn.FIELDVALUE(T_WATCHLIST4[[#This Row],[Stock]],"Change"),"")</f>
        <v/>
      </c>
      <c r="L36" s="83" t="str" cm="1">
        <f t="array" ref="L36">IFERROR(_xlfn.FIELDVALUE(T_WATCHLIST4[[#This Row],[Stock]],"Change (%)"),"")</f>
        <v/>
      </c>
      <c r="M36" s="84" t="str">
        <f>IF(T_WATCHLIST4[[#This Row],[Stock]]="","",T_WATCHLIST4[[#This Row],[Quantity]]*T_WATCHLIST4[[#This Row],[Last Price]])</f>
        <v/>
      </c>
      <c r="N36" s="85" t="str" cm="1">
        <f t="array" ref="N36">IF(T_WATCHLIST4[[#This Row],[Stock]]="","",T_WATCHLIST4[[#This Row],[Current Value]]-_xlfn.FIELDVALUE(T_WATCHLIST4[[#This Row],[Stock]],"Previous Close")*T_WATCHLIST4[[#This Row],[Quantity]])</f>
        <v/>
      </c>
      <c r="O36" s="86" t="str">
        <f>IFERROR(T_WATCHLIST4[[#This Row],[Today''s Gain/Loss]]/(T_WATCHLIST4[[#This Row],[Current Value]]-T_WATCHLIST4[[#This Row],[Today''s Gain/Loss]]),"")</f>
        <v/>
      </c>
      <c r="P36" s="84" t="str">
        <f>IFERROR(T_WATCHLIST4[[#This Row],[Current Value]]-T_WATCHLIST4[[#This Row],[% Total Gain/Loss9]],"")</f>
        <v/>
      </c>
      <c r="Q36" s="87" t="str">
        <f>IFERROR(T_WATCHLIST4[[#This Row],[Total Gain/Loss]]/T_WATCHLIST4[[#This Row],[% Total Gain/Loss9]],"")</f>
        <v/>
      </c>
      <c r="R36" s="88" t="str" cm="1">
        <f t="array" ref="R36">IFERROR(_xlfn.FIELDVALUE(T_WATCHLIST4[[#This Row],[Stock]],"52 week low"),"")</f>
        <v/>
      </c>
      <c r="S3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6" s="73" t="str" cm="1">
        <f t="array" ref="T36">IFERROR(_xlfn.FIELDVALUE(T_WATCHLIST4[[#This Row],[Stock]],"52 week high"),"")</f>
        <v/>
      </c>
      <c r="U36" s="64" t="str" cm="1">
        <f t="array" ref="U36">IF(T_WATCHLIST4[[#This Row],[Stock]]="","",SUMPRODUCT(T_TXN[UNITS],--(T_TXN[TYPE]="Buy"),--(T_TXN[TICKER]=T_WATCHLIST4[[#This Row],[Stock]])))</f>
        <v/>
      </c>
      <c r="V36" s="67" t="str" cm="1">
        <f t="array" ref="V36">IF(T_WATCHLIST4[[#This Row],[Stock]]="","",SUMPRODUCT(--(T_TXN[TYPE]="Buy"),T_TXN[UNITS],T_TXN[PRICE],--(T_TXN[TICKER]=T_WATCHLIST4[[#This Row],[Stock]])))</f>
        <v/>
      </c>
      <c r="W36" s="64" t="str" cm="1">
        <f t="array" ref="W36">IF(T_WATCHLIST4[[#This Row],[Stock]]="","",SUMPRODUCT(T_TXN[UNITS],--(T_TXN[TYPE]="Sell"),--(T_TXN[TICKER]=T_WATCHLIST4[[#This Row],[Stock]])))</f>
        <v/>
      </c>
      <c r="X36" s="67" t="str" cm="1">
        <f t="array" ref="X36">IF(T_WATCHLIST4[[#This Row],[Stock]]="","",SUMPRODUCT(--(T_TXN[TYPE]="Sell"),T_TXN[UNITS],T_TXN[PRICE],--(T_TXN[TICKER]=T_WATCHLIST4[[#This Row],[Stock]])))</f>
        <v/>
      </c>
      <c r="Y36" s="67" t="str" cm="1">
        <f t="array" ref="Y36">IF(T_WATCHLIST4[[#This Row],[Stock]]="","",SUMPRODUCT(T_TXN[UNITS],T_TXN[PRICE],--(T_TXN[TYPE]="Buy"),--(T_TXN[TICKER]=T_WATCHLIST4[[#This Row],[Stock]])) -SUMPRODUCT(T_TXN[UNITS],T_TXN[PRICE],--(T_TXN[TYPE]="Sell"),--(T_TXN[TICKER]=T_WATCHLIST4[[#This Row],[Stock]])))</f>
        <v/>
      </c>
      <c r="Z36" s="64" t="str" cm="1">
        <f t="array" ref="Z36">IFERROR(IF(ROW(T_WATCHLIST4[[#This Row],[Stock]])-ROW(T_WATCHLIST4[[#Headers],[Stock]])&gt;=C_CNT_STOCKS,"",_FV(T_WATCHLIST4[[#This Row],[Stock]],"Industry",TRUE)),"Not Available")</f>
        <v/>
      </c>
      <c r="AA36" s="64" t="str" cm="1">
        <f t="array" ref="AA36">IFERROR(IF(ROW(T_WATCHLIST4[[#This Row],[Stock]])-ROW(T_WATCHLIST4[[#Headers],[Stock]])&gt;=C_CNT_STOCKS,"",_FV(T_WATCHLIST4[[#This Row],[Stock]],"Instrument type",TRUE)),"Not Available")</f>
        <v/>
      </c>
    </row>
    <row r="37" spans="1:27" ht="22" customHeight="1">
      <c r="E37" s="89"/>
      <c r="F37" s="75" t="str" cm="1">
        <f t="array" ref="F37">IFERROR(IF(ROW(T_WATCHLIST4[[#This Row],[Stock]])-ROW(T_WATCHLIST4[[#Headers],[Stock]])&gt;C_CNT_STOCKS,"",INDEX(_xlfn.ANCHORARRAY(HELP!$G$2),ROW(T_WATCHLIST4[[#This Row],[Stock]])-ROW(T_WATCHLIST4[[#Headers],[Stock]]))),"")</f>
        <v/>
      </c>
      <c r="G37" s="80" t="str" cm="1">
        <f t="array" ref="G37">IFERROR(_xlfn.FIELDVALUE(T_WATCHLIST4[[#This Row],[Stock]],"Ticker Symbol"),"")</f>
        <v/>
      </c>
      <c r="H37" s="117"/>
      <c r="I37" s="81" t="str">
        <f>IF(T_WATCHLIST4[[#This Row],[Stock]]="","",SUMIFS(T_TXN[UNITS],T_TXN[TYPE],"Buy",T_TXN[TICKER],T_WATCHLIST4[[#This Row],[Stock]])-SUMIFS(T_TXN[UNITS],T_TXN[TYPE],"Sell",T_TXN[TICKER],T_WATCHLIST4[[#This Row],[Stock]])+SUMIFS(T_TXN[UNITS],T_TXN[TYPE],"Dividend Reinvestment",T_TXN[TICKER],T_WATCHLIST4[[#This Row],[Stock]]))</f>
        <v/>
      </c>
      <c r="J37" s="75" t="str" cm="1">
        <f t="array" ref="J37">IFERROR(_xlfn.FIELDVALUE(T_WATCHLIST4[[#This Row],[Stock]],"Price"),"")</f>
        <v/>
      </c>
      <c r="K37" s="82" t="str" cm="1">
        <f t="array" ref="K37">IFERROR(_xlfn.FIELDVALUE(T_WATCHLIST4[[#This Row],[Stock]],"Change"),"")</f>
        <v/>
      </c>
      <c r="L37" s="83" t="str" cm="1">
        <f t="array" ref="L37">IFERROR(_xlfn.FIELDVALUE(T_WATCHLIST4[[#This Row],[Stock]],"Change (%)"),"")</f>
        <v/>
      </c>
      <c r="M37" s="84" t="str">
        <f>IF(T_WATCHLIST4[[#This Row],[Stock]]="","",T_WATCHLIST4[[#This Row],[Quantity]]*T_WATCHLIST4[[#This Row],[Last Price]])</f>
        <v/>
      </c>
      <c r="N37" s="85" t="str" cm="1">
        <f t="array" ref="N37">IF(T_WATCHLIST4[[#This Row],[Stock]]="","",T_WATCHLIST4[[#This Row],[Current Value]]-_xlfn.FIELDVALUE(T_WATCHLIST4[[#This Row],[Stock]],"Previous Close")*T_WATCHLIST4[[#This Row],[Quantity]])</f>
        <v/>
      </c>
      <c r="O37" s="86" t="str">
        <f>IFERROR(T_WATCHLIST4[[#This Row],[Today''s Gain/Loss]]/(T_WATCHLIST4[[#This Row],[Current Value]]-T_WATCHLIST4[[#This Row],[Today''s Gain/Loss]]),"")</f>
        <v/>
      </c>
      <c r="P37" s="84" t="str">
        <f>IFERROR(T_WATCHLIST4[[#This Row],[Current Value]]-T_WATCHLIST4[[#This Row],[% Total Gain/Loss9]],"")</f>
        <v/>
      </c>
      <c r="Q37" s="87" t="str">
        <f>IFERROR(T_WATCHLIST4[[#This Row],[Total Gain/Loss]]/T_WATCHLIST4[[#This Row],[% Total Gain/Loss9]],"")</f>
        <v/>
      </c>
      <c r="R37" s="88" t="str" cm="1">
        <f t="array" ref="R37">IFERROR(_xlfn.FIELDVALUE(T_WATCHLIST4[[#This Row],[Stock]],"52 week low"),"")</f>
        <v/>
      </c>
      <c r="S3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7" s="73" t="str" cm="1">
        <f t="array" ref="T37">IFERROR(_xlfn.FIELDVALUE(T_WATCHLIST4[[#This Row],[Stock]],"52 week high"),"")</f>
        <v/>
      </c>
      <c r="U37" s="64" t="str" cm="1">
        <f t="array" ref="U37">IF(T_WATCHLIST4[[#This Row],[Stock]]="","",SUMPRODUCT(T_TXN[UNITS],--(T_TXN[TYPE]="Buy"),--(T_TXN[TICKER]=T_WATCHLIST4[[#This Row],[Stock]])))</f>
        <v/>
      </c>
      <c r="V37" s="67" t="str" cm="1">
        <f t="array" ref="V37">IF(T_WATCHLIST4[[#This Row],[Stock]]="","",SUMPRODUCT(--(T_TXN[TYPE]="Buy"),T_TXN[UNITS],T_TXN[PRICE],--(T_TXN[TICKER]=T_WATCHLIST4[[#This Row],[Stock]])))</f>
        <v/>
      </c>
      <c r="W37" s="64" t="str" cm="1">
        <f t="array" ref="W37">IF(T_WATCHLIST4[[#This Row],[Stock]]="","",SUMPRODUCT(T_TXN[UNITS],--(T_TXN[TYPE]="Sell"),--(T_TXN[TICKER]=T_WATCHLIST4[[#This Row],[Stock]])))</f>
        <v/>
      </c>
      <c r="X37" s="67" t="str" cm="1">
        <f t="array" ref="X37">IF(T_WATCHLIST4[[#This Row],[Stock]]="","",SUMPRODUCT(--(T_TXN[TYPE]="Sell"),T_TXN[UNITS],T_TXN[PRICE],--(T_TXN[TICKER]=T_WATCHLIST4[[#This Row],[Stock]])))</f>
        <v/>
      </c>
      <c r="Y37" s="67" t="str" cm="1">
        <f t="array" ref="Y37">IF(T_WATCHLIST4[[#This Row],[Stock]]="","",SUMPRODUCT(T_TXN[UNITS],T_TXN[PRICE],--(T_TXN[TYPE]="Buy"),--(T_TXN[TICKER]=T_WATCHLIST4[[#This Row],[Stock]])) -SUMPRODUCT(T_TXN[UNITS],T_TXN[PRICE],--(T_TXN[TYPE]="Sell"),--(T_TXN[TICKER]=T_WATCHLIST4[[#This Row],[Stock]])))</f>
        <v/>
      </c>
      <c r="Z37" s="64" t="str" cm="1">
        <f t="array" ref="Z37">IFERROR(IF(ROW(T_WATCHLIST4[[#This Row],[Stock]])-ROW(T_WATCHLIST4[[#Headers],[Stock]])&gt;=C_CNT_STOCKS,"",_FV(T_WATCHLIST4[[#This Row],[Stock]],"Industry",TRUE)),"Not Available")</f>
        <v/>
      </c>
      <c r="AA37" s="64" t="str" cm="1">
        <f t="array" ref="AA37">IFERROR(IF(ROW(T_WATCHLIST4[[#This Row],[Stock]])-ROW(T_WATCHLIST4[[#Headers],[Stock]])&gt;=C_CNT_STOCKS,"",_FV(T_WATCHLIST4[[#This Row],[Stock]],"Instrument type",TRUE)),"Not Available")</f>
        <v/>
      </c>
    </row>
    <row r="38" spans="1:27" ht="22" customHeight="1">
      <c r="E38" s="89"/>
      <c r="F38" s="75" t="str" cm="1">
        <f t="array" ref="F38">IFERROR(IF(ROW(T_WATCHLIST4[[#This Row],[Stock]])-ROW(T_WATCHLIST4[[#Headers],[Stock]])&gt;C_CNT_STOCKS,"",INDEX(_xlfn.ANCHORARRAY(HELP!$G$2),ROW(T_WATCHLIST4[[#This Row],[Stock]])-ROW(T_WATCHLIST4[[#Headers],[Stock]]))),"")</f>
        <v/>
      </c>
      <c r="G38" s="80" t="str" cm="1">
        <f t="array" ref="G38">IFERROR(_xlfn.FIELDVALUE(T_WATCHLIST4[[#This Row],[Stock]],"Ticker Symbol"),"")</f>
        <v/>
      </c>
      <c r="H38" s="117"/>
      <c r="I38" s="81" t="str">
        <f>IF(T_WATCHLIST4[[#This Row],[Stock]]="","",SUMIFS(T_TXN[UNITS],T_TXN[TYPE],"Buy",T_TXN[TICKER],T_WATCHLIST4[[#This Row],[Stock]])-SUMIFS(T_TXN[UNITS],T_TXN[TYPE],"Sell",T_TXN[TICKER],T_WATCHLIST4[[#This Row],[Stock]])+SUMIFS(T_TXN[UNITS],T_TXN[TYPE],"Dividend Reinvestment",T_TXN[TICKER],T_WATCHLIST4[[#This Row],[Stock]]))</f>
        <v/>
      </c>
      <c r="J38" s="75" t="str" cm="1">
        <f t="array" ref="J38">IFERROR(_xlfn.FIELDVALUE(T_WATCHLIST4[[#This Row],[Stock]],"Price"),"")</f>
        <v/>
      </c>
      <c r="K38" s="82" t="str" cm="1">
        <f t="array" ref="K38">IFERROR(_xlfn.FIELDVALUE(T_WATCHLIST4[[#This Row],[Stock]],"Change"),"")</f>
        <v/>
      </c>
      <c r="L38" s="83" t="str" cm="1">
        <f t="array" ref="L38">IFERROR(_xlfn.FIELDVALUE(T_WATCHLIST4[[#This Row],[Stock]],"Change (%)"),"")</f>
        <v/>
      </c>
      <c r="M38" s="84" t="str">
        <f>IF(T_WATCHLIST4[[#This Row],[Stock]]="","",T_WATCHLIST4[[#This Row],[Quantity]]*T_WATCHLIST4[[#This Row],[Last Price]])</f>
        <v/>
      </c>
      <c r="N38" s="85" t="str" cm="1">
        <f t="array" ref="N38">IF(T_WATCHLIST4[[#This Row],[Stock]]="","",T_WATCHLIST4[[#This Row],[Current Value]]-_xlfn.FIELDVALUE(T_WATCHLIST4[[#This Row],[Stock]],"Previous Close")*T_WATCHLIST4[[#This Row],[Quantity]])</f>
        <v/>
      </c>
      <c r="O38" s="86" t="str">
        <f>IFERROR(T_WATCHLIST4[[#This Row],[Today''s Gain/Loss]]/(T_WATCHLIST4[[#This Row],[Current Value]]-T_WATCHLIST4[[#This Row],[Today''s Gain/Loss]]),"")</f>
        <v/>
      </c>
      <c r="P38" s="84" t="str">
        <f>IFERROR(T_WATCHLIST4[[#This Row],[Current Value]]-T_WATCHLIST4[[#This Row],[% Total Gain/Loss9]],"")</f>
        <v/>
      </c>
      <c r="Q38" s="87" t="str">
        <f>IFERROR(T_WATCHLIST4[[#This Row],[Total Gain/Loss]]/T_WATCHLIST4[[#This Row],[% Total Gain/Loss9]],"")</f>
        <v/>
      </c>
      <c r="R38" s="88" t="str" cm="1">
        <f t="array" ref="R38">IFERROR(_xlfn.FIELDVALUE(T_WATCHLIST4[[#This Row],[Stock]],"52 week low"),"")</f>
        <v/>
      </c>
      <c r="S3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8" s="73" t="str" cm="1">
        <f t="array" ref="T38">IFERROR(_xlfn.FIELDVALUE(T_WATCHLIST4[[#This Row],[Stock]],"52 week high"),"")</f>
        <v/>
      </c>
      <c r="U38" s="64" t="str" cm="1">
        <f t="array" ref="U38">IF(T_WATCHLIST4[[#This Row],[Stock]]="","",SUMPRODUCT(T_TXN[UNITS],--(T_TXN[TYPE]="Buy"),--(T_TXN[TICKER]=T_WATCHLIST4[[#This Row],[Stock]])))</f>
        <v/>
      </c>
      <c r="V38" s="67" t="str" cm="1">
        <f t="array" ref="V38">IF(T_WATCHLIST4[[#This Row],[Stock]]="","",SUMPRODUCT(--(T_TXN[TYPE]="Buy"),T_TXN[UNITS],T_TXN[PRICE],--(T_TXN[TICKER]=T_WATCHLIST4[[#This Row],[Stock]])))</f>
        <v/>
      </c>
      <c r="W38" s="64" t="str" cm="1">
        <f t="array" ref="W38">IF(T_WATCHLIST4[[#This Row],[Stock]]="","",SUMPRODUCT(T_TXN[UNITS],--(T_TXN[TYPE]="Sell"),--(T_TXN[TICKER]=T_WATCHLIST4[[#This Row],[Stock]])))</f>
        <v/>
      </c>
      <c r="X38" s="67" t="str" cm="1">
        <f t="array" ref="X38">IF(T_WATCHLIST4[[#This Row],[Stock]]="","",SUMPRODUCT(--(T_TXN[TYPE]="Sell"),T_TXN[UNITS],T_TXN[PRICE],--(T_TXN[TICKER]=T_WATCHLIST4[[#This Row],[Stock]])))</f>
        <v/>
      </c>
      <c r="Y38" s="67" t="str" cm="1">
        <f t="array" ref="Y38">IF(T_WATCHLIST4[[#This Row],[Stock]]="","",SUMPRODUCT(T_TXN[UNITS],T_TXN[PRICE],--(T_TXN[TYPE]="Buy"),--(T_TXN[TICKER]=T_WATCHLIST4[[#This Row],[Stock]])) -SUMPRODUCT(T_TXN[UNITS],T_TXN[PRICE],--(T_TXN[TYPE]="Sell"),--(T_TXN[TICKER]=T_WATCHLIST4[[#This Row],[Stock]])))</f>
        <v/>
      </c>
      <c r="Z38" s="64" t="str" cm="1">
        <f t="array" ref="Z38">IFERROR(IF(ROW(T_WATCHLIST4[[#This Row],[Stock]])-ROW(T_WATCHLIST4[[#Headers],[Stock]])&gt;=C_CNT_STOCKS,"",_FV(T_WATCHLIST4[[#This Row],[Stock]],"Industry",TRUE)),"Not Available")</f>
        <v/>
      </c>
      <c r="AA38" s="64" t="str" cm="1">
        <f t="array" ref="AA38">IFERROR(IF(ROW(T_WATCHLIST4[[#This Row],[Stock]])-ROW(T_WATCHLIST4[[#Headers],[Stock]])&gt;=C_CNT_STOCKS,"",_FV(T_WATCHLIST4[[#This Row],[Stock]],"Instrument type",TRUE)),"Not Available")</f>
        <v/>
      </c>
    </row>
    <row r="39" spans="1:27" ht="22" customHeight="1">
      <c r="E39" s="89"/>
      <c r="F39" s="75" t="str" cm="1">
        <f t="array" ref="F39">IFERROR(IF(ROW(T_WATCHLIST4[[#This Row],[Stock]])-ROW(T_WATCHLIST4[[#Headers],[Stock]])&gt;C_CNT_STOCKS,"",INDEX(_xlfn.ANCHORARRAY(HELP!$G$2),ROW(T_WATCHLIST4[[#This Row],[Stock]])-ROW(T_WATCHLIST4[[#Headers],[Stock]]))),"")</f>
        <v/>
      </c>
      <c r="G39" s="80" t="str" cm="1">
        <f t="array" ref="G39">IFERROR(_xlfn.FIELDVALUE(T_WATCHLIST4[[#This Row],[Stock]],"Ticker Symbol"),"")</f>
        <v/>
      </c>
      <c r="H39" s="117"/>
      <c r="I39" s="81" t="str">
        <f>IF(T_WATCHLIST4[[#This Row],[Stock]]="","",SUMIFS(T_TXN[UNITS],T_TXN[TYPE],"Buy",T_TXN[TICKER],T_WATCHLIST4[[#This Row],[Stock]])-SUMIFS(T_TXN[UNITS],T_TXN[TYPE],"Sell",T_TXN[TICKER],T_WATCHLIST4[[#This Row],[Stock]])+SUMIFS(T_TXN[UNITS],T_TXN[TYPE],"Dividend Reinvestment",T_TXN[TICKER],T_WATCHLIST4[[#This Row],[Stock]]))</f>
        <v/>
      </c>
      <c r="J39" s="75" t="str" cm="1">
        <f t="array" ref="J39">IFERROR(_xlfn.FIELDVALUE(T_WATCHLIST4[[#This Row],[Stock]],"Price"),"")</f>
        <v/>
      </c>
      <c r="K39" s="82" t="str" cm="1">
        <f t="array" ref="K39">IFERROR(_xlfn.FIELDVALUE(T_WATCHLIST4[[#This Row],[Stock]],"Change"),"")</f>
        <v/>
      </c>
      <c r="L39" s="83" t="str" cm="1">
        <f t="array" ref="L39">IFERROR(_xlfn.FIELDVALUE(T_WATCHLIST4[[#This Row],[Stock]],"Change (%)"),"")</f>
        <v/>
      </c>
      <c r="M39" s="84" t="str">
        <f>IF(T_WATCHLIST4[[#This Row],[Stock]]="","",T_WATCHLIST4[[#This Row],[Quantity]]*T_WATCHLIST4[[#This Row],[Last Price]])</f>
        <v/>
      </c>
      <c r="N39" s="85" t="str" cm="1">
        <f t="array" ref="N39">IF(T_WATCHLIST4[[#This Row],[Stock]]="","",T_WATCHLIST4[[#This Row],[Current Value]]-_xlfn.FIELDVALUE(T_WATCHLIST4[[#This Row],[Stock]],"Previous Close")*T_WATCHLIST4[[#This Row],[Quantity]])</f>
        <v/>
      </c>
      <c r="O39" s="86" t="str">
        <f>IFERROR(T_WATCHLIST4[[#This Row],[Today''s Gain/Loss]]/(T_WATCHLIST4[[#This Row],[Current Value]]-T_WATCHLIST4[[#This Row],[Today''s Gain/Loss]]),"")</f>
        <v/>
      </c>
      <c r="P39" s="84" t="str">
        <f>IFERROR(T_WATCHLIST4[[#This Row],[Current Value]]-T_WATCHLIST4[[#This Row],[% Total Gain/Loss9]],"")</f>
        <v/>
      </c>
      <c r="Q39" s="87" t="str">
        <f>IFERROR(T_WATCHLIST4[[#This Row],[Total Gain/Loss]]/T_WATCHLIST4[[#This Row],[% Total Gain/Loss9]],"")</f>
        <v/>
      </c>
      <c r="R39" s="88" t="str" cm="1">
        <f t="array" ref="R39">IFERROR(_xlfn.FIELDVALUE(T_WATCHLIST4[[#This Row],[Stock]],"52 week low"),"")</f>
        <v/>
      </c>
      <c r="S3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39" s="73" t="str" cm="1">
        <f t="array" ref="T39">IFERROR(_xlfn.FIELDVALUE(T_WATCHLIST4[[#This Row],[Stock]],"52 week high"),"")</f>
        <v/>
      </c>
      <c r="U39" s="64" t="str" cm="1">
        <f t="array" ref="U39">IF(T_WATCHLIST4[[#This Row],[Stock]]="","",SUMPRODUCT(T_TXN[UNITS],--(T_TXN[TYPE]="Buy"),--(T_TXN[TICKER]=T_WATCHLIST4[[#This Row],[Stock]])))</f>
        <v/>
      </c>
      <c r="V39" s="67" t="str" cm="1">
        <f t="array" ref="V39">IF(T_WATCHLIST4[[#This Row],[Stock]]="","",SUMPRODUCT(--(T_TXN[TYPE]="Buy"),T_TXN[UNITS],T_TXN[PRICE],--(T_TXN[TICKER]=T_WATCHLIST4[[#This Row],[Stock]])))</f>
        <v/>
      </c>
      <c r="W39" s="64" t="str" cm="1">
        <f t="array" ref="W39">IF(T_WATCHLIST4[[#This Row],[Stock]]="","",SUMPRODUCT(T_TXN[UNITS],--(T_TXN[TYPE]="Sell"),--(T_TXN[TICKER]=T_WATCHLIST4[[#This Row],[Stock]])))</f>
        <v/>
      </c>
      <c r="X39" s="67" t="str" cm="1">
        <f t="array" ref="X39">IF(T_WATCHLIST4[[#This Row],[Stock]]="","",SUMPRODUCT(--(T_TXN[TYPE]="Sell"),T_TXN[UNITS],T_TXN[PRICE],--(T_TXN[TICKER]=T_WATCHLIST4[[#This Row],[Stock]])))</f>
        <v/>
      </c>
      <c r="Y39" s="67" t="str" cm="1">
        <f t="array" ref="Y39">IF(T_WATCHLIST4[[#This Row],[Stock]]="","",SUMPRODUCT(T_TXN[UNITS],T_TXN[PRICE],--(T_TXN[TYPE]="Buy"),--(T_TXN[TICKER]=T_WATCHLIST4[[#This Row],[Stock]])) -SUMPRODUCT(T_TXN[UNITS],T_TXN[PRICE],--(T_TXN[TYPE]="Sell"),--(T_TXN[TICKER]=T_WATCHLIST4[[#This Row],[Stock]])))</f>
        <v/>
      </c>
      <c r="Z39" s="64" t="str" cm="1">
        <f t="array" ref="Z39">IFERROR(IF(ROW(T_WATCHLIST4[[#This Row],[Stock]])-ROW(T_WATCHLIST4[[#Headers],[Stock]])&gt;=C_CNT_STOCKS,"",_FV(T_WATCHLIST4[[#This Row],[Stock]],"Industry",TRUE)),"Not Available")</f>
        <v/>
      </c>
      <c r="AA39" s="64" t="str" cm="1">
        <f t="array" ref="AA39">IFERROR(IF(ROW(T_WATCHLIST4[[#This Row],[Stock]])-ROW(T_WATCHLIST4[[#Headers],[Stock]])&gt;=C_CNT_STOCKS,"",_FV(T_WATCHLIST4[[#This Row],[Stock]],"Instrument type",TRUE)),"Not Available")</f>
        <v/>
      </c>
    </row>
    <row r="40" spans="1:27" ht="22" customHeight="1">
      <c r="E40" s="89"/>
      <c r="F40" s="75" t="str" cm="1">
        <f t="array" ref="F40">IFERROR(IF(ROW(T_WATCHLIST4[[#This Row],[Stock]])-ROW(T_WATCHLIST4[[#Headers],[Stock]])&gt;C_CNT_STOCKS,"",INDEX(_xlfn.ANCHORARRAY(HELP!$G$2),ROW(T_WATCHLIST4[[#This Row],[Stock]])-ROW(T_WATCHLIST4[[#Headers],[Stock]]))),"")</f>
        <v/>
      </c>
      <c r="G40" s="80" t="str" cm="1">
        <f t="array" ref="G40">IFERROR(_xlfn.FIELDVALUE(T_WATCHLIST4[[#This Row],[Stock]],"Ticker Symbol"),"")</f>
        <v/>
      </c>
      <c r="H40" s="117"/>
      <c r="I40" s="81" t="str">
        <f>IF(T_WATCHLIST4[[#This Row],[Stock]]="","",SUMIFS(T_TXN[UNITS],T_TXN[TYPE],"Buy",T_TXN[TICKER],T_WATCHLIST4[[#This Row],[Stock]])-SUMIFS(T_TXN[UNITS],T_TXN[TYPE],"Sell",T_TXN[TICKER],T_WATCHLIST4[[#This Row],[Stock]])+SUMIFS(T_TXN[UNITS],T_TXN[TYPE],"Dividend Reinvestment",T_TXN[TICKER],T_WATCHLIST4[[#This Row],[Stock]]))</f>
        <v/>
      </c>
      <c r="J40" s="75" t="str" cm="1">
        <f t="array" ref="J40">IFERROR(_xlfn.FIELDVALUE(T_WATCHLIST4[[#This Row],[Stock]],"Price"),"")</f>
        <v/>
      </c>
      <c r="K40" s="82" t="str" cm="1">
        <f t="array" ref="K40">IFERROR(_xlfn.FIELDVALUE(T_WATCHLIST4[[#This Row],[Stock]],"Change"),"")</f>
        <v/>
      </c>
      <c r="L40" s="83" t="str" cm="1">
        <f t="array" ref="L40">IFERROR(_xlfn.FIELDVALUE(T_WATCHLIST4[[#This Row],[Stock]],"Change (%)"),"")</f>
        <v/>
      </c>
      <c r="M40" s="84" t="str">
        <f>IF(T_WATCHLIST4[[#This Row],[Stock]]="","",T_WATCHLIST4[[#This Row],[Quantity]]*T_WATCHLIST4[[#This Row],[Last Price]])</f>
        <v/>
      </c>
      <c r="N40" s="85" t="str" cm="1">
        <f t="array" ref="N40">IF(T_WATCHLIST4[[#This Row],[Stock]]="","",T_WATCHLIST4[[#This Row],[Current Value]]-_xlfn.FIELDVALUE(T_WATCHLIST4[[#This Row],[Stock]],"Previous Close")*T_WATCHLIST4[[#This Row],[Quantity]])</f>
        <v/>
      </c>
      <c r="O40" s="86" t="str">
        <f>IFERROR(T_WATCHLIST4[[#This Row],[Today''s Gain/Loss]]/(T_WATCHLIST4[[#This Row],[Current Value]]-T_WATCHLIST4[[#This Row],[Today''s Gain/Loss]]),"")</f>
        <v/>
      </c>
      <c r="P40" s="84" t="str">
        <f>IFERROR(T_WATCHLIST4[[#This Row],[Current Value]]-T_WATCHLIST4[[#This Row],[% Total Gain/Loss9]],"")</f>
        <v/>
      </c>
      <c r="Q40" s="87" t="str">
        <f>IFERROR(T_WATCHLIST4[[#This Row],[Total Gain/Loss]]/T_WATCHLIST4[[#This Row],[% Total Gain/Loss9]],"")</f>
        <v/>
      </c>
      <c r="R40" s="88" t="str" cm="1">
        <f t="array" ref="R40">IFERROR(_xlfn.FIELDVALUE(T_WATCHLIST4[[#This Row],[Stock]],"52 week low"),"")</f>
        <v/>
      </c>
      <c r="S4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0" s="73" t="str" cm="1">
        <f t="array" ref="T40">IFERROR(_xlfn.FIELDVALUE(T_WATCHLIST4[[#This Row],[Stock]],"52 week high"),"")</f>
        <v/>
      </c>
      <c r="U40" s="64" t="str" cm="1">
        <f t="array" ref="U40">IF(T_WATCHLIST4[[#This Row],[Stock]]="","",SUMPRODUCT(T_TXN[UNITS],--(T_TXN[TYPE]="Buy"),--(T_TXN[TICKER]=T_WATCHLIST4[[#This Row],[Stock]])))</f>
        <v/>
      </c>
      <c r="V40" s="67" t="str" cm="1">
        <f t="array" ref="V40">IF(T_WATCHLIST4[[#This Row],[Stock]]="","",SUMPRODUCT(--(T_TXN[TYPE]="Buy"),T_TXN[UNITS],T_TXN[PRICE],--(T_TXN[TICKER]=T_WATCHLIST4[[#This Row],[Stock]])))</f>
        <v/>
      </c>
      <c r="W40" s="64" t="str" cm="1">
        <f t="array" ref="W40">IF(T_WATCHLIST4[[#This Row],[Stock]]="","",SUMPRODUCT(T_TXN[UNITS],--(T_TXN[TYPE]="Sell"),--(T_TXN[TICKER]=T_WATCHLIST4[[#This Row],[Stock]])))</f>
        <v/>
      </c>
      <c r="X40" s="67" t="str" cm="1">
        <f t="array" ref="X40">IF(T_WATCHLIST4[[#This Row],[Stock]]="","",SUMPRODUCT(--(T_TXN[TYPE]="Sell"),T_TXN[UNITS],T_TXN[PRICE],--(T_TXN[TICKER]=T_WATCHLIST4[[#This Row],[Stock]])))</f>
        <v/>
      </c>
      <c r="Y40" s="67" t="str" cm="1">
        <f t="array" ref="Y40">IF(T_WATCHLIST4[[#This Row],[Stock]]="","",SUMPRODUCT(T_TXN[UNITS],T_TXN[PRICE],--(T_TXN[TYPE]="Buy"),--(T_TXN[TICKER]=T_WATCHLIST4[[#This Row],[Stock]])) -SUMPRODUCT(T_TXN[UNITS],T_TXN[PRICE],--(T_TXN[TYPE]="Sell"),--(T_TXN[TICKER]=T_WATCHLIST4[[#This Row],[Stock]])))</f>
        <v/>
      </c>
      <c r="Z40" s="64" t="str" cm="1">
        <f t="array" ref="Z40">IFERROR(IF(ROW(T_WATCHLIST4[[#This Row],[Stock]])-ROW(T_WATCHLIST4[[#Headers],[Stock]])&gt;=C_CNT_STOCKS,"",_FV(T_WATCHLIST4[[#This Row],[Stock]],"Industry",TRUE)),"Not Available")</f>
        <v/>
      </c>
      <c r="AA40" s="64" t="str" cm="1">
        <f t="array" ref="AA40">IFERROR(IF(ROW(T_WATCHLIST4[[#This Row],[Stock]])-ROW(T_WATCHLIST4[[#Headers],[Stock]])&gt;=C_CNT_STOCKS,"",_FV(T_WATCHLIST4[[#This Row],[Stock]],"Instrument type",TRUE)),"Not Available")</f>
        <v/>
      </c>
    </row>
    <row r="41" spans="1:27" ht="22" customHeight="1">
      <c r="E41" s="89"/>
      <c r="F41" s="75" t="str" cm="1">
        <f t="array" ref="F41">IFERROR(IF(ROW(T_WATCHLIST4[[#This Row],[Stock]])-ROW(T_WATCHLIST4[[#Headers],[Stock]])&gt;C_CNT_STOCKS,"",INDEX(_xlfn.ANCHORARRAY(HELP!$G$2),ROW(T_WATCHLIST4[[#This Row],[Stock]])-ROW(T_WATCHLIST4[[#Headers],[Stock]]))),"")</f>
        <v/>
      </c>
      <c r="G41" s="80" t="str" cm="1">
        <f t="array" ref="G41">IFERROR(_xlfn.FIELDVALUE(T_WATCHLIST4[[#This Row],[Stock]],"Ticker Symbol"),"")</f>
        <v/>
      </c>
      <c r="H41" s="117"/>
      <c r="I41" s="81" t="str">
        <f>IF(T_WATCHLIST4[[#This Row],[Stock]]="","",SUMIFS(T_TXN[UNITS],T_TXN[TYPE],"Buy",T_TXN[TICKER],T_WATCHLIST4[[#This Row],[Stock]])-SUMIFS(T_TXN[UNITS],T_TXN[TYPE],"Sell",T_TXN[TICKER],T_WATCHLIST4[[#This Row],[Stock]])+SUMIFS(T_TXN[UNITS],T_TXN[TYPE],"Dividend Reinvestment",T_TXN[TICKER],T_WATCHLIST4[[#This Row],[Stock]]))</f>
        <v/>
      </c>
      <c r="J41" s="75" t="str" cm="1">
        <f t="array" ref="J41">IFERROR(_xlfn.FIELDVALUE(T_WATCHLIST4[[#This Row],[Stock]],"Price"),"")</f>
        <v/>
      </c>
      <c r="K41" s="82" t="str" cm="1">
        <f t="array" ref="K41">IFERROR(_xlfn.FIELDVALUE(T_WATCHLIST4[[#This Row],[Stock]],"Change"),"")</f>
        <v/>
      </c>
      <c r="L41" s="83" t="str" cm="1">
        <f t="array" ref="L41">IFERROR(_xlfn.FIELDVALUE(T_WATCHLIST4[[#This Row],[Stock]],"Change (%)"),"")</f>
        <v/>
      </c>
      <c r="M41" s="84" t="str">
        <f>IF(T_WATCHLIST4[[#This Row],[Stock]]="","",T_WATCHLIST4[[#This Row],[Quantity]]*T_WATCHLIST4[[#This Row],[Last Price]])</f>
        <v/>
      </c>
      <c r="N41" s="85" t="str" cm="1">
        <f t="array" ref="N41">IF(T_WATCHLIST4[[#This Row],[Stock]]="","",T_WATCHLIST4[[#This Row],[Current Value]]-_xlfn.FIELDVALUE(T_WATCHLIST4[[#This Row],[Stock]],"Previous Close")*T_WATCHLIST4[[#This Row],[Quantity]])</f>
        <v/>
      </c>
      <c r="O41" s="86" t="str">
        <f>IFERROR(T_WATCHLIST4[[#This Row],[Today''s Gain/Loss]]/(T_WATCHLIST4[[#This Row],[Current Value]]-T_WATCHLIST4[[#This Row],[Today''s Gain/Loss]]),"")</f>
        <v/>
      </c>
      <c r="P41" s="84" t="str">
        <f>IFERROR(T_WATCHLIST4[[#This Row],[Current Value]]-T_WATCHLIST4[[#This Row],[% Total Gain/Loss9]],"")</f>
        <v/>
      </c>
      <c r="Q41" s="87" t="str">
        <f>IFERROR(T_WATCHLIST4[[#This Row],[Total Gain/Loss]]/T_WATCHLIST4[[#This Row],[% Total Gain/Loss9]],"")</f>
        <v/>
      </c>
      <c r="R41" s="88" t="str" cm="1">
        <f t="array" ref="R41">IFERROR(_xlfn.FIELDVALUE(T_WATCHLIST4[[#This Row],[Stock]],"52 week low"),"")</f>
        <v/>
      </c>
      <c r="S4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1" s="73" t="str" cm="1">
        <f t="array" ref="T41">IFERROR(_xlfn.FIELDVALUE(T_WATCHLIST4[[#This Row],[Stock]],"52 week high"),"")</f>
        <v/>
      </c>
      <c r="U41" s="64" t="str" cm="1">
        <f t="array" ref="U41">IF(T_WATCHLIST4[[#This Row],[Stock]]="","",SUMPRODUCT(T_TXN[UNITS],--(T_TXN[TYPE]="Buy"),--(T_TXN[TICKER]=T_WATCHLIST4[[#This Row],[Stock]])))</f>
        <v/>
      </c>
      <c r="V41" s="67" t="str" cm="1">
        <f t="array" ref="V41">IF(T_WATCHLIST4[[#This Row],[Stock]]="","",SUMPRODUCT(--(T_TXN[TYPE]="Buy"),T_TXN[UNITS],T_TXN[PRICE],--(T_TXN[TICKER]=T_WATCHLIST4[[#This Row],[Stock]])))</f>
        <v/>
      </c>
      <c r="W41" s="64" t="str" cm="1">
        <f t="array" ref="W41">IF(T_WATCHLIST4[[#This Row],[Stock]]="","",SUMPRODUCT(T_TXN[UNITS],--(T_TXN[TYPE]="Sell"),--(T_TXN[TICKER]=T_WATCHLIST4[[#This Row],[Stock]])))</f>
        <v/>
      </c>
      <c r="X41" s="67" t="str" cm="1">
        <f t="array" ref="X41">IF(T_WATCHLIST4[[#This Row],[Stock]]="","",SUMPRODUCT(--(T_TXN[TYPE]="Sell"),T_TXN[UNITS],T_TXN[PRICE],--(T_TXN[TICKER]=T_WATCHLIST4[[#This Row],[Stock]])))</f>
        <v/>
      </c>
      <c r="Y41" s="67" t="str" cm="1">
        <f t="array" ref="Y41">IF(T_WATCHLIST4[[#This Row],[Stock]]="","",SUMPRODUCT(T_TXN[UNITS],T_TXN[PRICE],--(T_TXN[TYPE]="Buy"),--(T_TXN[TICKER]=T_WATCHLIST4[[#This Row],[Stock]])) -SUMPRODUCT(T_TXN[UNITS],T_TXN[PRICE],--(T_TXN[TYPE]="Sell"),--(T_TXN[TICKER]=T_WATCHLIST4[[#This Row],[Stock]])))</f>
        <v/>
      </c>
      <c r="Z41" s="64" t="str" cm="1">
        <f t="array" ref="Z41">IFERROR(IF(ROW(T_WATCHLIST4[[#This Row],[Stock]])-ROW(T_WATCHLIST4[[#Headers],[Stock]])&gt;=C_CNT_STOCKS,"",_FV(T_WATCHLIST4[[#This Row],[Stock]],"Industry",TRUE)),"Not Available")</f>
        <v/>
      </c>
      <c r="AA41" s="64" t="str" cm="1">
        <f t="array" ref="AA41">IFERROR(IF(ROW(T_WATCHLIST4[[#This Row],[Stock]])-ROW(T_WATCHLIST4[[#Headers],[Stock]])&gt;=C_CNT_STOCKS,"",_FV(T_WATCHLIST4[[#This Row],[Stock]],"Instrument type",TRUE)),"Not Available")</f>
        <v/>
      </c>
    </row>
    <row r="42" spans="1:27" ht="22" customHeight="1">
      <c r="E42" s="89"/>
      <c r="F42" s="75" t="str" cm="1">
        <f t="array" ref="F42">IFERROR(IF(ROW(T_WATCHLIST4[[#This Row],[Stock]])-ROW(T_WATCHLIST4[[#Headers],[Stock]])&gt;C_CNT_STOCKS,"",INDEX(_xlfn.ANCHORARRAY(HELP!$G$2),ROW(T_WATCHLIST4[[#This Row],[Stock]])-ROW(T_WATCHLIST4[[#Headers],[Stock]]))),"")</f>
        <v/>
      </c>
      <c r="G42" s="80" t="str" cm="1">
        <f t="array" ref="G42">IFERROR(_xlfn.FIELDVALUE(T_WATCHLIST4[[#This Row],[Stock]],"Ticker Symbol"),"")</f>
        <v/>
      </c>
      <c r="H42" s="117"/>
      <c r="I42" s="81" t="str">
        <f>IF(T_WATCHLIST4[[#This Row],[Stock]]="","",SUMIFS(T_TXN[UNITS],T_TXN[TYPE],"Buy",T_TXN[TICKER],T_WATCHLIST4[[#This Row],[Stock]])-SUMIFS(T_TXN[UNITS],T_TXN[TYPE],"Sell",T_TXN[TICKER],T_WATCHLIST4[[#This Row],[Stock]])+SUMIFS(T_TXN[UNITS],T_TXN[TYPE],"Dividend Reinvestment",T_TXN[TICKER],T_WATCHLIST4[[#This Row],[Stock]]))</f>
        <v/>
      </c>
      <c r="J42" s="75" t="str" cm="1">
        <f t="array" ref="J42">IFERROR(_xlfn.FIELDVALUE(T_WATCHLIST4[[#This Row],[Stock]],"Price"),"")</f>
        <v/>
      </c>
      <c r="K42" s="82" t="str" cm="1">
        <f t="array" ref="K42">IFERROR(_xlfn.FIELDVALUE(T_WATCHLIST4[[#This Row],[Stock]],"Change"),"")</f>
        <v/>
      </c>
      <c r="L42" s="83" t="str" cm="1">
        <f t="array" ref="L42">IFERROR(_xlfn.FIELDVALUE(T_WATCHLIST4[[#This Row],[Stock]],"Change (%)"),"")</f>
        <v/>
      </c>
      <c r="M42" s="84" t="str">
        <f>IF(T_WATCHLIST4[[#This Row],[Stock]]="","",T_WATCHLIST4[[#This Row],[Quantity]]*T_WATCHLIST4[[#This Row],[Last Price]])</f>
        <v/>
      </c>
      <c r="N42" s="85" t="str" cm="1">
        <f t="array" ref="N42">IF(T_WATCHLIST4[[#This Row],[Stock]]="","",T_WATCHLIST4[[#This Row],[Current Value]]-_xlfn.FIELDVALUE(T_WATCHLIST4[[#This Row],[Stock]],"Previous Close")*T_WATCHLIST4[[#This Row],[Quantity]])</f>
        <v/>
      </c>
      <c r="O42" s="86" t="str">
        <f>IFERROR(T_WATCHLIST4[[#This Row],[Today''s Gain/Loss]]/(T_WATCHLIST4[[#This Row],[Current Value]]-T_WATCHLIST4[[#This Row],[Today''s Gain/Loss]]),"")</f>
        <v/>
      </c>
      <c r="P42" s="84" t="str">
        <f>IFERROR(T_WATCHLIST4[[#This Row],[Current Value]]-T_WATCHLIST4[[#This Row],[% Total Gain/Loss9]],"")</f>
        <v/>
      </c>
      <c r="Q42" s="87" t="str">
        <f>IFERROR(T_WATCHLIST4[[#This Row],[Total Gain/Loss]]/T_WATCHLIST4[[#This Row],[% Total Gain/Loss9]],"")</f>
        <v/>
      </c>
      <c r="R42" s="88" t="str" cm="1">
        <f t="array" ref="R42">IFERROR(_xlfn.FIELDVALUE(T_WATCHLIST4[[#This Row],[Stock]],"52 week low"),"")</f>
        <v/>
      </c>
      <c r="S4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2" s="73" t="str" cm="1">
        <f t="array" ref="T42">IFERROR(_xlfn.FIELDVALUE(T_WATCHLIST4[[#This Row],[Stock]],"52 week high"),"")</f>
        <v/>
      </c>
      <c r="U42" s="64" t="str" cm="1">
        <f t="array" ref="U42">IF(T_WATCHLIST4[[#This Row],[Stock]]="","",SUMPRODUCT(T_TXN[UNITS],--(T_TXN[TYPE]="Buy"),--(T_TXN[TICKER]=T_WATCHLIST4[[#This Row],[Stock]])))</f>
        <v/>
      </c>
      <c r="V42" s="67" t="str" cm="1">
        <f t="array" ref="V42">IF(T_WATCHLIST4[[#This Row],[Stock]]="","",SUMPRODUCT(--(T_TXN[TYPE]="Buy"),T_TXN[UNITS],T_TXN[PRICE],--(T_TXN[TICKER]=T_WATCHLIST4[[#This Row],[Stock]])))</f>
        <v/>
      </c>
      <c r="W42" s="64" t="str" cm="1">
        <f t="array" ref="W42">IF(T_WATCHLIST4[[#This Row],[Stock]]="","",SUMPRODUCT(T_TXN[UNITS],--(T_TXN[TYPE]="Sell"),--(T_TXN[TICKER]=T_WATCHLIST4[[#This Row],[Stock]])))</f>
        <v/>
      </c>
      <c r="X42" s="67" t="str" cm="1">
        <f t="array" ref="X42">IF(T_WATCHLIST4[[#This Row],[Stock]]="","",SUMPRODUCT(--(T_TXN[TYPE]="Sell"),T_TXN[UNITS],T_TXN[PRICE],--(T_TXN[TICKER]=T_WATCHLIST4[[#This Row],[Stock]])))</f>
        <v/>
      </c>
      <c r="Y42" s="67" t="str" cm="1">
        <f t="array" ref="Y42">IF(T_WATCHLIST4[[#This Row],[Stock]]="","",SUMPRODUCT(T_TXN[UNITS],T_TXN[PRICE],--(T_TXN[TYPE]="Buy"),--(T_TXN[TICKER]=T_WATCHLIST4[[#This Row],[Stock]])) -SUMPRODUCT(T_TXN[UNITS],T_TXN[PRICE],--(T_TXN[TYPE]="Sell"),--(T_TXN[TICKER]=T_WATCHLIST4[[#This Row],[Stock]])))</f>
        <v/>
      </c>
      <c r="Z42" s="64" t="str" cm="1">
        <f t="array" ref="Z42">IFERROR(IF(ROW(T_WATCHLIST4[[#This Row],[Stock]])-ROW(T_WATCHLIST4[[#Headers],[Stock]])&gt;=C_CNT_STOCKS,"",_FV(T_WATCHLIST4[[#This Row],[Stock]],"Industry",TRUE)),"Not Available")</f>
        <v/>
      </c>
      <c r="AA42" s="64" t="str" cm="1">
        <f t="array" ref="AA42">IFERROR(IF(ROW(T_WATCHLIST4[[#This Row],[Stock]])-ROW(T_WATCHLIST4[[#Headers],[Stock]])&gt;=C_CNT_STOCKS,"",_FV(T_WATCHLIST4[[#This Row],[Stock]],"Instrument type",TRUE)),"Not Available")</f>
        <v/>
      </c>
    </row>
    <row r="43" spans="1:27" ht="22" customHeight="1">
      <c r="E43" s="89"/>
      <c r="F43" s="75" t="str" cm="1">
        <f t="array" ref="F43">IFERROR(IF(ROW(T_WATCHLIST4[[#This Row],[Stock]])-ROW(T_WATCHLIST4[[#Headers],[Stock]])&gt;C_CNT_STOCKS,"",INDEX(_xlfn.ANCHORARRAY(HELP!$G$2),ROW(T_WATCHLIST4[[#This Row],[Stock]])-ROW(T_WATCHLIST4[[#Headers],[Stock]]))),"")</f>
        <v/>
      </c>
      <c r="G43" s="80" t="str" cm="1">
        <f t="array" ref="G43">IFERROR(_xlfn.FIELDVALUE(T_WATCHLIST4[[#This Row],[Stock]],"Ticker Symbol"),"")</f>
        <v/>
      </c>
      <c r="H43" s="117"/>
      <c r="I43" s="81" t="str">
        <f>IF(T_WATCHLIST4[[#This Row],[Stock]]="","",SUMIFS(T_TXN[UNITS],T_TXN[TYPE],"Buy",T_TXN[TICKER],T_WATCHLIST4[[#This Row],[Stock]])-SUMIFS(T_TXN[UNITS],T_TXN[TYPE],"Sell",T_TXN[TICKER],T_WATCHLIST4[[#This Row],[Stock]])+SUMIFS(T_TXN[UNITS],T_TXN[TYPE],"Dividend Reinvestment",T_TXN[TICKER],T_WATCHLIST4[[#This Row],[Stock]]))</f>
        <v/>
      </c>
      <c r="J43" s="75" t="str" cm="1">
        <f t="array" ref="J43">IFERROR(_xlfn.FIELDVALUE(T_WATCHLIST4[[#This Row],[Stock]],"Price"),"")</f>
        <v/>
      </c>
      <c r="K43" s="82" t="str" cm="1">
        <f t="array" ref="K43">IFERROR(_xlfn.FIELDVALUE(T_WATCHLIST4[[#This Row],[Stock]],"Change"),"")</f>
        <v/>
      </c>
      <c r="L43" s="83" t="str" cm="1">
        <f t="array" ref="L43">IFERROR(_xlfn.FIELDVALUE(T_WATCHLIST4[[#This Row],[Stock]],"Change (%)"),"")</f>
        <v/>
      </c>
      <c r="M43" s="84" t="str">
        <f>IF(T_WATCHLIST4[[#This Row],[Stock]]="","",T_WATCHLIST4[[#This Row],[Quantity]]*T_WATCHLIST4[[#This Row],[Last Price]])</f>
        <v/>
      </c>
      <c r="N43" s="85" t="str" cm="1">
        <f t="array" ref="N43">IF(T_WATCHLIST4[[#This Row],[Stock]]="","",T_WATCHLIST4[[#This Row],[Current Value]]-_xlfn.FIELDVALUE(T_WATCHLIST4[[#This Row],[Stock]],"Previous Close")*T_WATCHLIST4[[#This Row],[Quantity]])</f>
        <v/>
      </c>
      <c r="O43" s="86" t="str">
        <f>IFERROR(T_WATCHLIST4[[#This Row],[Today''s Gain/Loss]]/(T_WATCHLIST4[[#This Row],[Current Value]]-T_WATCHLIST4[[#This Row],[Today''s Gain/Loss]]),"")</f>
        <v/>
      </c>
      <c r="P43" s="84" t="str">
        <f>IFERROR(T_WATCHLIST4[[#This Row],[Current Value]]-T_WATCHLIST4[[#This Row],[% Total Gain/Loss9]],"")</f>
        <v/>
      </c>
      <c r="Q43" s="87" t="str">
        <f>IFERROR(T_WATCHLIST4[[#This Row],[Total Gain/Loss]]/T_WATCHLIST4[[#This Row],[% Total Gain/Loss9]],"")</f>
        <v/>
      </c>
      <c r="R43" s="88" t="str" cm="1">
        <f t="array" ref="R43">IFERROR(_xlfn.FIELDVALUE(T_WATCHLIST4[[#This Row],[Stock]],"52 week low"),"")</f>
        <v/>
      </c>
      <c r="S4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3" s="73" t="str" cm="1">
        <f t="array" ref="T43">IFERROR(_xlfn.FIELDVALUE(T_WATCHLIST4[[#This Row],[Stock]],"52 week high"),"")</f>
        <v/>
      </c>
      <c r="U43" s="64" t="str" cm="1">
        <f t="array" ref="U43">IF(T_WATCHLIST4[[#This Row],[Stock]]="","",SUMPRODUCT(T_TXN[UNITS],--(T_TXN[TYPE]="Buy"),--(T_TXN[TICKER]=T_WATCHLIST4[[#This Row],[Stock]])))</f>
        <v/>
      </c>
      <c r="V43" s="67" t="str" cm="1">
        <f t="array" ref="V43">IF(T_WATCHLIST4[[#This Row],[Stock]]="","",SUMPRODUCT(--(T_TXN[TYPE]="Buy"),T_TXN[UNITS],T_TXN[PRICE],--(T_TXN[TICKER]=T_WATCHLIST4[[#This Row],[Stock]])))</f>
        <v/>
      </c>
      <c r="W43" s="64" t="str" cm="1">
        <f t="array" ref="W43">IF(T_WATCHLIST4[[#This Row],[Stock]]="","",SUMPRODUCT(T_TXN[UNITS],--(T_TXN[TYPE]="Sell"),--(T_TXN[TICKER]=T_WATCHLIST4[[#This Row],[Stock]])))</f>
        <v/>
      </c>
      <c r="X43" s="67" t="str" cm="1">
        <f t="array" ref="X43">IF(T_WATCHLIST4[[#This Row],[Stock]]="","",SUMPRODUCT(--(T_TXN[TYPE]="Sell"),T_TXN[UNITS],T_TXN[PRICE],--(T_TXN[TICKER]=T_WATCHLIST4[[#This Row],[Stock]])))</f>
        <v/>
      </c>
      <c r="Y43" s="67" t="str" cm="1">
        <f t="array" ref="Y43">IF(T_WATCHLIST4[[#This Row],[Stock]]="","",SUMPRODUCT(T_TXN[UNITS],T_TXN[PRICE],--(T_TXN[TYPE]="Buy"),--(T_TXN[TICKER]=T_WATCHLIST4[[#This Row],[Stock]])) -SUMPRODUCT(T_TXN[UNITS],T_TXN[PRICE],--(T_TXN[TYPE]="Sell"),--(T_TXN[TICKER]=T_WATCHLIST4[[#This Row],[Stock]])))</f>
        <v/>
      </c>
      <c r="Z43" s="64" t="str" cm="1">
        <f t="array" ref="Z43">IFERROR(IF(ROW(T_WATCHLIST4[[#This Row],[Stock]])-ROW(T_WATCHLIST4[[#Headers],[Stock]])&gt;=C_CNT_STOCKS,"",_FV(T_WATCHLIST4[[#This Row],[Stock]],"Industry",TRUE)),"Not Available")</f>
        <v/>
      </c>
      <c r="AA43" s="64" t="str" cm="1">
        <f t="array" ref="AA43">IFERROR(IF(ROW(T_WATCHLIST4[[#This Row],[Stock]])-ROW(T_WATCHLIST4[[#Headers],[Stock]])&gt;=C_CNT_STOCKS,"",_FV(T_WATCHLIST4[[#This Row],[Stock]],"Instrument type",TRUE)),"Not Available")</f>
        <v/>
      </c>
    </row>
    <row r="44" spans="1:27" ht="22" customHeight="1">
      <c r="E44" s="89"/>
      <c r="F44" s="75" t="str" cm="1">
        <f t="array" ref="F44">IFERROR(IF(ROW(T_WATCHLIST4[[#This Row],[Stock]])-ROW(T_WATCHLIST4[[#Headers],[Stock]])&gt;C_CNT_STOCKS,"",INDEX(_xlfn.ANCHORARRAY(HELP!$G$2),ROW(T_WATCHLIST4[[#This Row],[Stock]])-ROW(T_WATCHLIST4[[#Headers],[Stock]]))),"")</f>
        <v/>
      </c>
      <c r="G44" s="80" t="str" cm="1">
        <f t="array" ref="G44">IFERROR(_xlfn.FIELDVALUE(T_WATCHLIST4[[#This Row],[Stock]],"Ticker Symbol"),"")</f>
        <v/>
      </c>
      <c r="H44" s="117"/>
      <c r="I44" s="81" t="str">
        <f>IF(T_WATCHLIST4[[#This Row],[Stock]]="","",SUMIFS(T_TXN[UNITS],T_TXN[TYPE],"Buy",T_TXN[TICKER],T_WATCHLIST4[[#This Row],[Stock]])-SUMIFS(T_TXN[UNITS],T_TXN[TYPE],"Sell",T_TXN[TICKER],T_WATCHLIST4[[#This Row],[Stock]])+SUMIFS(T_TXN[UNITS],T_TXN[TYPE],"Dividend Reinvestment",T_TXN[TICKER],T_WATCHLIST4[[#This Row],[Stock]]))</f>
        <v/>
      </c>
      <c r="J44" s="75" t="str" cm="1">
        <f t="array" ref="J44">IFERROR(_xlfn.FIELDVALUE(T_WATCHLIST4[[#This Row],[Stock]],"Price"),"")</f>
        <v/>
      </c>
      <c r="K44" s="82" t="str" cm="1">
        <f t="array" ref="K44">IFERROR(_xlfn.FIELDVALUE(T_WATCHLIST4[[#This Row],[Stock]],"Change"),"")</f>
        <v/>
      </c>
      <c r="L44" s="83" t="str" cm="1">
        <f t="array" ref="L44">IFERROR(_xlfn.FIELDVALUE(T_WATCHLIST4[[#This Row],[Stock]],"Change (%)"),"")</f>
        <v/>
      </c>
      <c r="M44" s="84" t="str">
        <f>IF(T_WATCHLIST4[[#This Row],[Stock]]="","",T_WATCHLIST4[[#This Row],[Quantity]]*T_WATCHLIST4[[#This Row],[Last Price]])</f>
        <v/>
      </c>
      <c r="N44" s="85" t="str" cm="1">
        <f t="array" ref="N44">IF(T_WATCHLIST4[[#This Row],[Stock]]="","",T_WATCHLIST4[[#This Row],[Current Value]]-_xlfn.FIELDVALUE(T_WATCHLIST4[[#This Row],[Stock]],"Previous Close")*T_WATCHLIST4[[#This Row],[Quantity]])</f>
        <v/>
      </c>
      <c r="O44" s="86" t="str">
        <f>IFERROR(T_WATCHLIST4[[#This Row],[Today''s Gain/Loss]]/(T_WATCHLIST4[[#This Row],[Current Value]]-T_WATCHLIST4[[#This Row],[Today''s Gain/Loss]]),"")</f>
        <v/>
      </c>
      <c r="P44" s="84" t="str">
        <f>IFERROR(T_WATCHLIST4[[#This Row],[Current Value]]-T_WATCHLIST4[[#This Row],[% Total Gain/Loss9]],"")</f>
        <v/>
      </c>
      <c r="Q44" s="87" t="str">
        <f>IFERROR(T_WATCHLIST4[[#This Row],[Total Gain/Loss]]/T_WATCHLIST4[[#This Row],[% Total Gain/Loss9]],"")</f>
        <v/>
      </c>
      <c r="R44" s="88" t="str" cm="1">
        <f t="array" ref="R44">IFERROR(_xlfn.FIELDVALUE(T_WATCHLIST4[[#This Row],[Stock]],"52 week low"),"")</f>
        <v/>
      </c>
      <c r="S4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4" s="73" t="str" cm="1">
        <f t="array" ref="T44">IFERROR(_xlfn.FIELDVALUE(T_WATCHLIST4[[#This Row],[Stock]],"52 week high"),"")</f>
        <v/>
      </c>
      <c r="U44" s="64" t="str" cm="1">
        <f t="array" ref="U44">IF(T_WATCHLIST4[[#This Row],[Stock]]="","",SUMPRODUCT(T_TXN[UNITS],--(T_TXN[TYPE]="Buy"),--(T_TXN[TICKER]=T_WATCHLIST4[[#This Row],[Stock]])))</f>
        <v/>
      </c>
      <c r="V44" s="67" t="str" cm="1">
        <f t="array" ref="V44">IF(T_WATCHLIST4[[#This Row],[Stock]]="","",SUMPRODUCT(--(T_TXN[TYPE]="Buy"),T_TXN[UNITS],T_TXN[PRICE],--(T_TXN[TICKER]=T_WATCHLIST4[[#This Row],[Stock]])))</f>
        <v/>
      </c>
      <c r="W44" s="64" t="str" cm="1">
        <f t="array" ref="W44">IF(T_WATCHLIST4[[#This Row],[Stock]]="","",SUMPRODUCT(T_TXN[UNITS],--(T_TXN[TYPE]="Sell"),--(T_TXN[TICKER]=T_WATCHLIST4[[#This Row],[Stock]])))</f>
        <v/>
      </c>
      <c r="X44" s="67" t="str" cm="1">
        <f t="array" ref="X44">IF(T_WATCHLIST4[[#This Row],[Stock]]="","",SUMPRODUCT(--(T_TXN[TYPE]="Sell"),T_TXN[UNITS],T_TXN[PRICE],--(T_TXN[TICKER]=T_WATCHLIST4[[#This Row],[Stock]])))</f>
        <v/>
      </c>
      <c r="Y44" s="67" t="str" cm="1">
        <f t="array" ref="Y44">IF(T_WATCHLIST4[[#This Row],[Stock]]="","",SUMPRODUCT(T_TXN[UNITS],T_TXN[PRICE],--(T_TXN[TYPE]="Buy"),--(T_TXN[TICKER]=T_WATCHLIST4[[#This Row],[Stock]])) -SUMPRODUCT(T_TXN[UNITS],T_TXN[PRICE],--(T_TXN[TYPE]="Sell"),--(T_TXN[TICKER]=T_WATCHLIST4[[#This Row],[Stock]])))</f>
        <v/>
      </c>
      <c r="Z44" s="64" t="str" cm="1">
        <f t="array" ref="Z44">IFERROR(IF(ROW(T_WATCHLIST4[[#This Row],[Stock]])-ROW(T_WATCHLIST4[[#Headers],[Stock]])&gt;=C_CNT_STOCKS,"",_FV(T_WATCHLIST4[[#This Row],[Stock]],"Industry",TRUE)),"Not Available")</f>
        <v/>
      </c>
      <c r="AA44" s="64" t="str" cm="1">
        <f t="array" ref="AA44">IFERROR(IF(ROW(T_WATCHLIST4[[#This Row],[Stock]])-ROW(T_WATCHLIST4[[#Headers],[Stock]])&gt;=C_CNT_STOCKS,"",_FV(T_WATCHLIST4[[#This Row],[Stock]],"Instrument type",TRUE)),"Not Available")</f>
        <v/>
      </c>
    </row>
    <row r="45" spans="1:27" ht="22" customHeight="1">
      <c r="E45" s="89"/>
      <c r="F45" s="75" t="str" cm="1">
        <f t="array" ref="F45">IFERROR(IF(ROW(T_WATCHLIST4[[#This Row],[Stock]])-ROW(T_WATCHLIST4[[#Headers],[Stock]])&gt;C_CNT_STOCKS,"",INDEX(_xlfn.ANCHORARRAY(HELP!$G$2),ROW(T_WATCHLIST4[[#This Row],[Stock]])-ROW(T_WATCHLIST4[[#Headers],[Stock]]))),"")</f>
        <v/>
      </c>
      <c r="G45" s="80" t="str" cm="1">
        <f t="array" ref="G45">IFERROR(_xlfn.FIELDVALUE(T_WATCHLIST4[[#This Row],[Stock]],"Ticker Symbol"),"")</f>
        <v/>
      </c>
      <c r="H45" s="117"/>
      <c r="I45" s="81" t="str">
        <f>IF(T_WATCHLIST4[[#This Row],[Stock]]="","",SUMIFS(T_TXN[UNITS],T_TXN[TYPE],"Buy",T_TXN[TICKER],T_WATCHLIST4[[#This Row],[Stock]])-SUMIFS(T_TXN[UNITS],T_TXN[TYPE],"Sell",T_TXN[TICKER],T_WATCHLIST4[[#This Row],[Stock]])+SUMIFS(T_TXN[UNITS],T_TXN[TYPE],"Dividend Reinvestment",T_TXN[TICKER],T_WATCHLIST4[[#This Row],[Stock]]))</f>
        <v/>
      </c>
      <c r="J45" s="75" t="str" cm="1">
        <f t="array" ref="J45">IFERROR(_xlfn.FIELDVALUE(T_WATCHLIST4[[#This Row],[Stock]],"Price"),"")</f>
        <v/>
      </c>
      <c r="K45" s="82" t="str" cm="1">
        <f t="array" ref="K45">IFERROR(_xlfn.FIELDVALUE(T_WATCHLIST4[[#This Row],[Stock]],"Change"),"")</f>
        <v/>
      </c>
      <c r="L45" s="83" t="str" cm="1">
        <f t="array" ref="L45">IFERROR(_xlfn.FIELDVALUE(T_WATCHLIST4[[#This Row],[Stock]],"Change (%)"),"")</f>
        <v/>
      </c>
      <c r="M45" s="84" t="str">
        <f>IF(T_WATCHLIST4[[#This Row],[Stock]]="","",T_WATCHLIST4[[#This Row],[Quantity]]*T_WATCHLIST4[[#This Row],[Last Price]])</f>
        <v/>
      </c>
      <c r="N45" s="85" t="str" cm="1">
        <f t="array" ref="N45">IF(T_WATCHLIST4[[#This Row],[Stock]]="","",T_WATCHLIST4[[#This Row],[Current Value]]-_xlfn.FIELDVALUE(T_WATCHLIST4[[#This Row],[Stock]],"Previous Close")*T_WATCHLIST4[[#This Row],[Quantity]])</f>
        <v/>
      </c>
      <c r="O45" s="86" t="str">
        <f>IFERROR(T_WATCHLIST4[[#This Row],[Today''s Gain/Loss]]/(T_WATCHLIST4[[#This Row],[Current Value]]-T_WATCHLIST4[[#This Row],[Today''s Gain/Loss]]),"")</f>
        <v/>
      </c>
      <c r="P45" s="84" t="str">
        <f>IFERROR(T_WATCHLIST4[[#This Row],[Current Value]]-T_WATCHLIST4[[#This Row],[% Total Gain/Loss9]],"")</f>
        <v/>
      </c>
      <c r="Q45" s="87" t="str">
        <f>IFERROR(T_WATCHLIST4[[#This Row],[Total Gain/Loss]]/T_WATCHLIST4[[#This Row],[% Total Gain/Loss9]],"")</f>
        <v/>
      </c>
      <c r="R45" s="88" t="str" cm="1">
        <f t="array" ref="R45">IFERROR(_xlfn.FIELDVALUE(T_WATCHLIST4[[#This Row],[Stock]],"52 week low"),"")</f>
        <v/>
      </c>
      <c r="S4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5" s="73" t="str" cm="1">
        <f t="array" ref="T45">IFERROR(_xlfn.FIELDVALUE(T_WATCHLIST4[[#This Row],[Stock]],"52 week high"),"")</f>
        <v/>
      </c>
      <c r="U45" s="64" t="str" cm="1">
        <f t="array" ref="U45">IF(T_WATCHLIST4[[#This Row],[Stock]]="","",SUMPRODUCT(T_TXN[UNITS],--(T_TXN[TYPE]="Buy"),--(T_TXN[TICKER]=T_WATCHLIST4[[#This Row],[Stock]])))</f>
        <v/>
      </c>
      <c r="V45" s="67" t="str" cm="1">
        <f t="array" ref="V45">IF(T_WATCHLIST4[[#This Row],[Stock]]="","",SUMPRODUCT(--(T_TXN[TYPE]="Buy"),T_TXN[UNITS],T_TXN[PRICE],--(T_TXN[TICKER]=T_WATCHLIST4[[#This Row],[Stock]])))</f>
        <v/>
      </c>
      <c r="W45" s="64" t="str" cm="1">
        <f t="array" ref="W45">IF(T_WATCHLIST4[[#This Row],[Stock]]="","",SUMPRODUCT(T_TXN[UNITS],--(T_TXN[TYPE]="Sell"),--(T_TXN[TICKER]=T_WATCHLIST4[[#This Row],[Stock]])))</f>
        <v/>
      </c>
      <c r="X45" s="67" t="str" cm="1">
        <f t="array" ref="X45">IF(T_WATCHLIST4[[#This Row],[Stock]]="","",SUMPRODUCT(--(T_TXN[TYPE]="Sell"),T_TXN[UNITS],T_TXN[PRICE],--(T_TXN[TICKER]=T_WATCHLIST4[[#This Row],[Stock]])))</f>
        <v/>
      </c>
      <c r="Y45" s="67" t="str" cm="1">
        <f t="array" ref="Y45">IF(T_WATCHLIST4[[#This Row],[Stock]]="","",SUMPRODUCT(T_TXN[UNITS],T_TXN[PRICE],--(T_TXN[TYPE]="Buy"),--(T_TXN[TICKER]=T_WATCHLIST4[[#This Row],[Stock]])) -SUMPRODUCT(T_TXN[UNITS],T_TXN[PRICE],--(T_TXN[TYPE]="Sell"),--(T_TXN[TICKER]=T_WATCHLIST4[[#This Row],[Stock]])))</f>
        <v/>
      </c>
      <c r="Z45" s="64" t="str" cm="1">
        <f t="array" ref="Z45">IFERROR(IF(ROW(T_WATCHLIST4[[#This Row],[Stock]])-ROW(T_WATCHLIST4[[#Headers],[Stock]])&gt;=C_CNT_STOCKS,"",_FV(T_WATCHLIST4[[#This Row],[Stock]],"Industry",TRUE)),"Not Available")</f>
        <v/>
      </c>
      <c r="AA45" s="64" t="str" cm="1">
        <f t="array" ref="AA45">IFERROR(IF(ROW(T_WATCHLIST4[[#This Row],[Stock]])-ROW(T_WATCHLIST4[[#Headers],[Stock]])&gt;=C_CNT_STOCKS,"",_FV(T_WATCHLIST4[[#This Row],[Stock]],"Instrument type",TRUE)),"Not Available")</f>
        <v/>
      </c>
    </row>
    <row r="46" spans="1:27" ht="22" customHeight="1">
      <c r="E46" s="89"/>
      <c r="F46" s="75" t="str" cm="1">
        <f t="array" ref="F46">IFERROR(IF(ROW(T_WATCHLIST4[[#This Row],[Stock]])-ROW(T_WATCHLIST4[[#Headers],[Stock]])&gt;C_CNT_STOCKS,"",INDEX(_xlfn.ANCHORARRAY(HELP!$G$2),ROW(T_WATCHLIST4[[#This Row],[Stock]])-ROW(T_WATCHLIST4[[#Headers],[Stock]]))),"")</f>
        <v/>
      </c>
      <c r="G46" s="80" t="str" cm="1">
        <f t="array" ref="G46">IFERROR(_xlfn.FIELDVALUE(T_WATCHLIST4[[#This Row],[Stock]],"Ticker Symbol"),"")</f>
        <v/>
      </c>
      <c r="H46" s="117"/>
      <c r="I46" s="81" t="str">
        <f>IF(T_WATCHLIST4[[#This Row],[Stock]]="","",SUMIFS(T_TXN[UNITS],T_TXN[TYPE],"Buy",T_TXN[TICKER],T_WATCHLIST4[[#This Row],[Stock]])-SUMIFS(T_TXN[UNITS],T_TXN[TYPE],"Sell",T_TXN[TICKER],T_WATCHLIST4[[#This Row],[Stock]])+SUMIFS(T_TXN[UNITS],T_TXN[TYPE],"Dividend Reinvestment",T_TXN[TICKER],T_WATCHLIST4[[#This Row],[Stock]]))</f>
        <v/>
      </c>
      <c r="J46" s="75" t="str" cm="1">
        <f t="array" ref="J46">IFERROR(_xlfn.FIELDVALUE(T_WATCHLIST4[[#This Row],[Stock]],"Price"),"")</f>
        <v/>
      </c>
      <c r="K46" s="82" t="str" cm="1">
        <f t="array" ref="K46">IFERROR(_xlfn.FIELDVALUE(T_WATCHLIST4[[#This Row],[Stock]],"Change"),"")</f>
        <v/>
      </c>
      <c r="L46" s="83" t="str" cm="1">
        <f t="array" ref="L46">IFERROR(_xlfn.FIELDVALUE(T_WATCHLIST4[[#This Row],[Stock]],"Change (%)"),"")</f>
        <v/>
      </c>
      <c r="M46" s="84" t="str">
        <f>IF(T_WATCHLIST4[[#This Row],[Stock]]="","",T_WATCHLIST4[[#This Row],[Quantity]]*T_WATCHLIST4[[#This Row],[Last Price]])</f>
        <v/>
      </c>
      <c r="N46" s="85" t="str" cm="1">
        <f t="array" ref="N46">IF(T_WATCHLIST4[[#This Row],[Stock]]="","",T_WATCHLIST4[[#This Row],[Current Value]]-_xlfn.FIELDVALUE(T_WATCHLIST4[[#This Row],[Stock]],"Previous Close")*T_WATCHLIST4[[#This Row],[Quantity]])</f>
        <v/>
      </c>
      <c r="O46" s="86" t="str">
        <f>IFERROR(T_WATCHLIST4[[#This Row],[Today''s Gain/Loss]]/(T_WATCHLIST4[[#This Row],[Current Value]]-T_WATCHLIST4[[#This Row],[Today''s Gain/Loss]]),"")</f>
        <v/>
      </c>
      <c r="P46" s="84" t="str">
        <f>IFERROR(T_WATCHLIST4[[#This Row],[Current Value]]-T_WATCHLIST4[[#This Row],[% Total Gain/Loss9]],"")</f>
        <v/>
      </c>
      <c r="Q46" s="87" t="str">
        <f>IFERROR(T_WATCHLIST4[[#This Row],[Total Gain/Loss]]/T_WATCHLIST4[[#This Row],[% Total Gain/Loss9]],"")</f>
        <v/>
      </c>
      <c r="R46" s="88" t="str" cm="1">
        <f t="array" ref="R46">IFERROR(_xlfn.FIELDVALUE(T_WATCHLIST4[[#This Row],[Stock]],"52 week low"),"")</f>
        <v/>
      </c>
      <c r="S4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6" s="73" t="str" cm="1">
        <f t="array" ref="T46">IFERROR(_xlfn.FIELDVALUE(T_WATCHLIST4[[#This Row],[Stock]],"52 week high"),"")</f>
        <v/>
      </c>
      <c r="U46" s="64" t="str" cm="1">
        <f t="array" ref="U46">IF(T_WATCHLIST4[[#This Row],[Stock]]="","",SUMPRODUCT(T_TXN[UNITS],--(T_TXN[TYPE]="Buy"),--(T_TXN[TICKER]=T_WATCHLIST4[[#This Row],[Stock]])))</f>
        <v/>
      </c>
      <c r="V46" s="67" t="str" cm="1">
        <f t="array" ref="V46">IF(T_WATCHLIST4[[#This Row],[Stock]]="","",SUMPRODUCT(--(T_TXN[TYPE]="Buy"),T_TXN[UNITS],T_TXN[PRICE],--(T_TXN[TICKER]=T_WATCHLIST4[[#This Row],[Stock]])))</f>
        <v/>
      </c>
      <c r="W46" s="64" t="str" cm="1">
        <f t="array" ref="W46">IF(T_WATCHLIST4[[#This Row],[Stock]]="","",SUMPRODUCT(T_TXN[UNITS],--(T_TXN[TYPE]="Sell"),--(T_TXN[TICKER]=T_WATCHLIST4[[#This Row],[Stock]])))</f>
        <v/>
      </c>
      <c r="X46" s="67" t="str" cm="1">
        <f t="array" ref="X46">IF(T_WATCHLIST4[[#This Row],[Stock]]="","",SUMPRODUCT(--(T_TXN[TYPE]="Sell"),T_TXN[UNITS],T_TXN[PRICE],--(T_TXN[TICKER]=T_WATCHLIST4[[#This Row],[Stock]])))</f>
        <v/>
      </c>
      <c r="Y46" s="67" t="str" cm="1">
        <f t="array" ref="Y46">IF(T_WATCHLIST4[[#This Row],[Stock]]="","",SUMPRODUCT(T_TXN[UNITS],T_TXN[PRICE],--(T_TXN[TYPE]="Buy"),--(T_TXN[TICKER]=T_WATCHLIST4[[#This Row],[Stock]])) -SUMPRODUCT(T_TXN[UNITS],T_TXN[PRICE],--(T_TXN[TYPE]="Sell"),--(T_TXN[TICKER]=T_WATCHLIST4[[#This Row],[Stock]])))</f>
        <v/>
      </c>
      <c r="Z46" s="64" t="str" cm="1">
        <f t="array" ref="Z46">IFERROR(IF(ROW(T_WATCHLIST4[[#This Row],[Stock]])-ROW(T_WATCHLIST4[[#Headers],[Stock]])&gt;=C_CNT_STOCKS,"",_FV(T_WATCHLIST4[[#This Row],[Stock]],"Industry",TRUE)),"Not Available")</f>
        <v/>
      </c>
      <c r="AA46" s="64" t="str" cm="1">
        <f t="array" ref="AA46">IFERROR(IF(ROW(T_WATCHLIST4[[#This Row],[Stock]])-ROW(T_WATCHLIST4[[#Headers],[Stock]])&gt;=C_CNT_STOCKS,"",_FV(T_WATCHLIST4[[#This Row],[Stock]],"Instrument type",TRUE)),"Not Available")</f>
        <v/>
      </c>
    </row>
    <row r="47" spans="1:27" ht="22" customHeight="1">
      <c r="E47" s="89"/>
      <c r="F47" s="75" t="str" cm="1">
        <f t="array" ref="F47">IFERROR(IF(ROW(T_WATCHLIST4[[#This Row],[Stock]])-ROW(T_WATCHLIST4[[#Headers],[Stock]])&gt;C_CNT_STOCKS,"",INDEX(_xlfn.ANCHORARRAY(HELP!$G$2),ROW(T_WATCHLIST4[[#This Row],[Stock]])-ROW(T_WATCHLIST4[[#Headers],[Stock]]))),"")</f>
        <v/>
      </c>
      <c r="G47" s="80" t="str" cm="1">
        <f t="array" ref="G47">IFERROR(_xlfn.FIELDVALUE(T_WATCHLIST4[[#This Row],[Stock]],"Ticker Symbol"),"")</f>
        <v/>
      </c>
      <c r="H47" s="117"/>
      <c r="I47" s="81" t="str">
        <f>IF(T_WATCHLIST4[[#This Row],[Stock]]="","",SUMIFS(T_TXN[UNITS],T_TXN[TYPE],"Buy",T_TXN[TICKER],T_WATCHLIST4[[#This Row],[Stock]])-SUMIFS(T_TXN[UNITS],T_TXN[TYPE],"Sell",T_TXN[TICKER],T_WATCHLIST4[[#This Row],[Stock]])+SUMIFS(T_TXN[UNITS],T_TXN[TYPE],"Dividend Reinvestment",T_TXN[TICKER],T_WATCHLIST4[[#This Row],[Stock]]))</f>
        <v/>
      </c>
      <c r="J47" s="75" t="str" cm="1">
        <f t="array" ref="J47">IFERROR(_xlfn.FIELDVALUE(T_WATCHLIST4[[#This Row],[Stock]],"Price"),"")</f>
        <v/>
      </c>
      <c r="K47" s="82" t="str" cm="1">
        <f t="array" ref="K47">IFERROR(_xlfn.FIELDVALUE(T_WATCHLIST4[[#This Row],[Stock]],"Change"),"")</f>
        <v/>
      </c>
      <c r="L47" s="83" t="str" cm="1">
        <f t="array" ref="L47">IFERROR(_xlfn.FIELDVALUE(T_WATCHLIST4[[#This Row],[Stock]],"Change (%)"),"")</f>
        <v/>
      </c>
      <c r="M47" s="84" t="str">
        <f>IF(T_WATCHLIST4[[#This Row],[Stock]]="","",T_WATCHLIST4[[#This Row],[Quantity]]*T_WATCHLIST4[[#This Row],[Last Price]])</f>
        <v/>
      </c>
      <c r="N47" s="85" t="str" cm="1">
        <f t="array" ref="N47">IF(T_WATCHLIST4[[#This Row],[Stock]]="","",T_WATCHLIST4[[#This Row],[Current Value]]-_xlfn.FIELDVALUE(T_WATCHLIST4[[#This Row],[Stock]],"Previous Close")*T_WATCHLIST4[[#This Row],[Quantity]])</f>
        <v/>
      </c>
      <c r="O47" s="86" t="str">
        <f>IFERROR(T_WATCHLIST4[[#This Row],[Today''s Gain/Loss]]/(T_WATCHLIST4[[#This Row],[Current Value]]-T_WATCHLIST4[[#This Row],[Today''s Gain/Loss]]),"")</f>
        <v/>
      </c>
      <c r="P47" s="84" t="str">
        <f>IFERROR(T_WATCHLIST4[[#This Row],[Current Value]]-T_WATCHLIST4[[#This Row],[% Total Gain/Loss9]],"")</f>
        <v/>
      </c>
      <c r="Q47" s="87" t="str">
        <f>IFERROR(T_WATCHLIST4[[#This Row],[Total Gain/Loss]]/T_WATCHLIST4[[#This Row],[% Total Gain/Loss9]],"")</f>
        <v/>
      </c>
      <c r="R47" s="88" t="str" cm="1">
        <f t="array" ref="R47">IFERROR(_xlfn.FIELDVALUE(T_WATCHLIST4[[#This Row],[Stock]],"52 week low"),"")</f>
        <v/>
      </c>
      <c r="S4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7" s="73" t="str" cm="1">
        <f t="array" ref="T47">IFERROR(_xlfn.FIELDVALUE(T_WATCHLIST4[[#This Row],[Stock]],"52 week high"),"")</f>
        <v/>
      </c>
      <c r="U47" s="64" t="str" cm="1">
        <f t="array" ref="U47">IF(T_WATCHLIST4[[#This Row],[Stock]]="","",SUMPRODUCT(T_TXN[UNITS],--(T_TXN[TYPE]="Buy"),--(T_TXN[TICKER]=T_WATCHLIST4[[#This Row],[Stock]])))</f>
        <v/>
      </c>
      <c r="V47" s="67" t="str" cm="1">
        <f t="array" ref="V47">IF(T_WATCHLIST4[[#This Row],[Stock]]="","",SUMPRODUCT(--(T_TXN[TYPE]="Buy"),T_TXN[UNITS],T_TXN[PRICE],--(T_TXN[TICKER]=T_WATCHLIST4[[#This Row],[Stock]])))</f>
        <v/>
      </c>
      <c r="W47" s="64" t="str" cm="1">
        <f t="array" ref="W47">IF(T_WATCHLIST4[[#This Row],[Stock]]="","",SUMPRODUCT(T_TXN[UNITS],--(T_TXN[TYPE]="Sell"),--(T_TXN[TICKER]=T_WATCHLIST4[[#This Row],[Stock]])))</f>
        <v/>
      </c>
      <c r="X47" s="67" t="str" cm="1">
        <f t="array" ref="X47">IF(T_WATCHLIST4[[#This Row],[Stock]]="","",SUMPRODUCT(--(T_TXN[TYPE]="Sell"),T_TXN[UNITS],T_TXN[PRICE],--(T_TXN[TICKER]=T_WATCHLIST4[[#This Row],[Stock]])))</f>
        <v/>
      </c>
      <c r="Y47" s="67" t="str" cm="1">
        <f t="array" ref="Y47">IF(T_WATCHLIST4[[#This Row],[Stock]]="","",SUMPRODUCT(T_TXN[UNITS],T_TXN[PRICE],--(T_TXN[TYPE]="Buy"),--(T_TXN[TICKER]=T_WATCHLIST4[[#This Row],[Stock]])) -SUMPRODUCT(T_TXN[UNITS],T_TXN[PRICE],--(T_TXN[TYPE]="Sell"),--(T_TXN[TICKER]=T_WATCHLIST4[[#This Row],[Stock]])))</f>
        <v/>
      </c>
      <c r="Z47" s="64" t="str" cm="1">
        <f t="array" ref="Z47">IFERROR(IF(ROW(T_WATCHLIST4[[#This Row],[Stock]])-ROW(T_WATCHLIST4[[#Headers],[Stock]])&gt;=C_CNT_STOCKS,"",_FV(T_WATCHLIST4[[#This Row],[Stock]],"Industry",TRUE)),"Not Available")</f>
        <v/>
      </c>
      <c r="AA47" s="64" t="str" cm="1">
        <f t="array" ref="AA47">IFERROR(IF(ROW(T_WATCHLIST4[[#This Row],[Stock]])-ROW(T_WATCHLIST4[[#Headers],[Stock]])&gt;=C_CNT_STOCKS,"",_FV(T_WATCHLIST4[[#This Row],[Stock]],"Instrument type",TRUE)),"Not Available")</f>
        <v/>
      </c>
    </row>
    <row r="48" spans="1:27" ht="22" customHeight="1">
      <c r="E48" s="89"/>
      <c r="F48" s="75" t="str" cm="1">
        <f t="array" ref="F48">IFERROR(IF(ROW(T_WATCHLIST4[[#This Row],[Stock]])-ROW(T_WATCHLIST4[[#Headers],[Stock]])&gt;C_CNT_STOCKS,"",INDEX(_xlfn.ANCHORARRAY(HELP!$G$2),ROW(T_WATCHLIST4[[#This Row],[Stock]])-ROW(T_WATCHLIST4[[#Headers],[Stock]]))),"")</f>
        <v/>
      </c>
      <c r="G48" s="80" t="str" cm="1">
        <f t="array" ref="G48">IFERROR(_xlfn.FIELDVALUE(T_WATCHLIST4[[#This Row],[Stock]],"Ticker Symbol"),"")</f>
        <v/>
      </c>
      <c r="H48" s="117"/>
      <c r="I48" s="81" t="str">
        <f>IF(T_WATCHLIST4[[#This Row],[Stock]]="","",SUMIFS(T_TXN[UNITS],T_TXN[TYPE],"Buy",T_TXN[TICKER],T_WATCHLIST4[[#This Row],[Stock]])-SUMIFS(T_TXN[UNITS],T_TXN[TYPE],"Sell",T_TXN[TICKER],T_WATCHLIST4[[#This Row],[Stock]])+SUMIFS(T_TXN[UNITS],T_TXN[TYPE],"Dividend Reinvestment",T_TXN[TICKER],T_WATCHLIST4[[#This Row],[Stock]]))</f>
        <v/>
      </c>
      <c r="J48" s="75" t="str" cm="1">
        <f t="array" ref="J48">IFERROR(_xlfn.FIELDVALUE(T_WATCHLIST4[[#This Row],[Stock]],"Price"),"")</f>
        <v/>
      </c>
      <c r="K48" s="82" t="str" cm="1">
        <f t="array" ref="K48">IFERROR(_xlfn.FIELDVALUE(T_WATCHLIST4[[#This Row],[Stock]],"Change"),"")</f>
        <v/>
      </c>
      <c r="L48" s="83" t="str" cm="1">
        <f t="array" ref="L48">IFERROR(_xlfn.FIELDVALUE(T_WATCHLIST4[[#This Row],[Stock]],"Change (%)"),"")</f>
        <v/>
      </c>
      <c r="M48" s="84" t="str">
        <f>IF(T_WATCHLIST4[[#This Row],[Stock]]="","",T_WATCHLIST4[[#This Row],[Quantity]]*T_WATCHLIST4[[#This Row],[Last Price]])</f>
        <v/>
      </c>
      <c r="N48" s="85" t="str" cm="1">
        <f t="array" ref="N48">IF(T_WATCHLIST4[[#This Row],[Stock]]="","",T_WATCHLIST4[[#This Row],[Current Value]]-_xlfn.FIELDVALUE(T_WATCHLIST4[[#This Row],[Stock]],"Previous Close")*T_WATCHLIST4[[#This Row],[Quantity]])</f>
        <v/>
      </c>
      <c r="O48" s="86" t="str">
        <f>IFERROR(T_WATCHLIST4[[#This Row],[Today''s Gain/Loss]]/(T_WATCHLIST4[[#This Row],[Current Value]]-T_WATCHLIST4[[#This Row],[Today''s Gain/Loss]]),"")</f>
        <v/>
      </c>
      <c r="P48" s="84" t="str">
        <f>IFERROR(T_WATCHLIST4[[#This Row],[Current Value]]-T_WATCHLIST4[[#This Row],[% Total Gain/Loss9]],"")</f>
        <v/>
      </c>
      <c r="Q48" s="87" t="str">
        <f>IFERROR(T_WATCHLIST4[[#This Row],[Total Gain/Loss]]/T_WATCHLIST4[[#This Row],[% Total Gain/Loss9]],"")</f>
        <v/>
      </c>
      <c r="R48" s="88" t="str" cm="1">
        <f t="array" ref="R48">IFERROR(_xlfn.FIELDVALUE(T_WATCHLIST4[[#This Row],[Stock]],"52 week low"),"")</f>
        <v/>
      </c>
      <c r="S4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8" s="73" t="str" cm="1">
        <f t="array" ref="T48">IFERROR(_xlfn.FIELDVALUE(T_WATCHLIST4[[#This Row],[Stock]],"52 week high"),"")</f>
        <v/>
      </c>
      <c r="U48" s="64" t="str" cm="1">
        <f t="array" ref="U48">IF(T_WATCHLIST4[[#This Row],[Stock]]="","",SUMPRODUCT(T_TXN[UNITS],--(T_TXN[TYPE]="Buy"),--(T_TXN[TICKER]=T_WATCHLIST4[[#This Row],[Stock]])))</f>
        <v/>
      </c>
      <c r="V48" s="67" t="str" cm="1">
        <f t="array" ref="V48">IF(T_WATCHLIST4[[#This Row],[Stock]]="","",SUMPRODUCT(--(T_TXN[TYPE]="Buy"),T_TXN[UNITS],T_TXN[PRICE],--(T_TXN[TICKER]=T_WATCHLIST4[[#This Row],[Stock]])))</f>
        <v/>
      </c>
      <c r="W48" s="64" t="str" cm="1">
        <f t="array" ref="W48">IF(T_WATCHLIST4[[#This Row],[Stock]]="","",SUMPRODUCT(T_TXN[UNITS],--(T_TXN[TYPE]="Sell"),--(T_TXN[TICKER]=T_WATCHLIST4[[#This Row],[Stock]])))</f>
        <v/>
      </c>
      <c r="X48" s="67" t="str" cm="1">
        <f t="array" ref="X48">IF(T_WATCHLIST4[[#This Row],[Stock]]="","",SUMPRODUCT(--(T_TXN[TYPE]="Sell"),T_TXN[UNITS],T_TXN[PRICE],--(T_TXN[TICKER]=T_WATCHLIST4[[#This Row],[Stock]])))</f>
        <v/>
      </c>
      <c r="Y48" s="67" t="str" cm="1">
        <f t="array" ref="Y48">IF(T_WATCHLIST4[[#This Row],[Stock]]="","",SUMPRODUCT(T_TXN[UNITS],T_TXN[PRICE],--(T_TXN[TYPE]="Buy"),--(T_TXN[TICKER]=T_WATCHLIST4[[#This Row],[Stock]])) -SUMPRODUCT(T_TXN[UNITS],T_TXN[PRICE],--(T_TXN[TYPE]="Sell"),--(T_TXN[TICKER]=T_WATCHLIST4[[#This Row],[Stock]])))</f>
        <v/>
      </c>
      <c r="Z48" s="64" t="str" cm="1">
        <f t="array" ref="Z48">IFERROR(IF(ROW(T_WATCHLIST4[[#This Row],[Stock]])-ROW(T_WATCHLIST4[[#Headers],[Stock]])&gt;=C_CNT_STOCKS,"",_FV(T_WATCHLIST4[[#This Row],[Stock]],"Industry",TRUE)),"Not Available")</f>
        <v/>
      </c>
      <c r="AA48" s="64" t="str" cm="1">
        <f t="array" ref="AA48">IFERROR(IF(ROW(T_WATCHLIST4[[#This Row],[Stock]])-ROW(T_WATCHLIST4[[#Headers],[Stock]])&gt;=C_CNT_STOCKS,"",_FV(T_WATCHLIST4[[#This Row],[Stock]],"Instrument type",TRUE)),"Not Available")</f>
        <v/>
      </c>
    </row>
    <row r="49" spans="5:27" ht="22" customHeight="1">
      <c r="E49" s="89"/>
      <c r="F49" s="75" t="str" cm="1">
        <f t="array" ref="F49">IFERROR(IF(ROW(T_WATCHLIST4[[#This Row],[Stock]])-ROW(T_WATCHLIST4[[#Headers],[Stock]])&gt;C_CNT_STOCKS,"",INDEX(_xlfn.ANCHORARRAY(HELP!$G$2),ROW(T_WATCHLIST4[[#This Row],[Stock]])-ROW(T_WATCHLIST4[[#Headers],[Stock]]))),"")</f>
        <v/>
      </c>
      <c r="G49" s="80" t="str" cm="1">
        <f t="array" ref="G49">IFERROR(_xlfn.FIELDVALUE(T_WATCHLIST4[[#This Row],[Stock]],"Ticker Symbol"),"")</f>
        <v/>
      </c>
      <c r="H49" s="117"/>
      <c r="I49" s="81" t="str">
        <f>IF(T_WATCHLIST4[[#This Row],[Stock]]="","",SUMIFS(T_TXN[UNITS],T_TXN[TYPE],"Buy",T_TXN[TICKER],T_WATCHLIST4[[#This Row],[Stock]])-SUMIFS(T_TXN[UNITS],T_TXN[TYPE],"Sell",T_TXN[TICKER],T_WATCHLIST4[[#This Row],[Stock]])+SUMIFS(T_TXN[UNITS],T_TXN[TYPE],"Dividend Reinvestment",T_TXN[TICKER],T_WATCHLIST4[[#This Row],[Stock]]))</f>
        <v/>
      </c>
      <c r="J49" s="75" t="str" cm="1">
        <f t="array" ref="J49">IFERROR(_xlfn.FIELDVALUE(T_WATCHLIST4[[#This Row],[Stock]],"Price"),"")</f>
        <v/>
      </c>
      <c r="K49" s="82" t="str" cm="1">
        <f t="array" ref="K49">IFERROR(_xlfn.FIELDVALUE(T_WATCHLIST4[[#This Row],[Stock]],"Change"),"")</f>
        <v/>
      </c>
      <c r="L49" s="83" t="str" cm="1">
        <f t="array" ref="L49">IFERROR(_xlfn.FIELDVALUE(T_WATCHLIST4[[#This Row],[Stock]],"Change (%)"),"")</f>
        <v/>
      </c>
      <c r="M49" s="84" t="str">
        <f>IF(T_WATCHLIST4[[#This Row],[Stock]]="","",T_WATCHLIST4[[#This Row],[Quantity]]*T_WATCHLIST4[[#This Row],[Last Price]])</f>
        <v/>
      </c>
      <c r="N49" s="85" t="str" cm="1">
        <f t="array" ref="N49">IF(T_WATCHLIST4[[#This Row],[Stock]]="","",T_WATCHLIST4[[#This Row],[Current Value]]-_xlfn.FIELDVALUE(T_WATCHLIST4[[#This Row],[Stock]],"Previous Close")*T_WATCHLIST4[[#This Row],[Quantity]])</f>
        <v/>
      </c>
      <c r="O49" s="86" t="str">
        <f>IFERROR(T_WATCHLIST4[[#This Row],[Today''s Gain/Loss]]/(T_WATCHLIST4[[#This Row],[Current Value]]-T_WATCHLIST4[[#This Row],[Today''s Gain/Loss]]),"")</f>
        <v/>
      </c>
      <c r="P49" s="84" t="str">
        <f>IFERROR(T_WATCHLIST4[[#This Row],[Current Value]]-T_WATCHLIST4[[#This Row],[% Total Gain/Loss9]],"")</f>
        <v/>
      </c>
      <c r="Q49" s="87" t="str">
        <f>IFERROR(T_WATCHLIST4[[#This Row],[Total Gain/Loss]]/T_WATCHLIST4[[#This Row],[% Total Gain/Loss9]],"")</f>
        <v/>
      </c>
      <c r="R49" s="88" t="str" cm="1">
        <f t="array" ref="R49">IFERROR(_xlfn.FIELDVALUE(T_WATCHLIST4[[#This Row],[Stock]],"52 week low"),"")</f>
        <v/>
      </c>
      <c r="S4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49" s="73" t="str" cm="1">
        <f t="array" ref="T49">IFERROR(_xlfn.FIELDVALUE(T_WATCHLIST4[[#This Row],[Stock]],"52 week high"),"")</f>
        <v/>
      </c>
      <c r="U49" s="64" t="str" cm="1">
        <f t="array" ref="U49">IF(T_WATCHLIST4[[#This Row],[Stock]]="","",SUMPRODUCT(T_TXN[UNITS],--(T_TXN[TYPE]="Buy"),--(T_TXN[TICKER]=T_WATCHLIST4[[#This Row],[Stock]])))</f>
        <v/>
      </c>
      <c r="V49" s="67" t="str" cm="1">
        <f t="array" ref="V49">IF(T_WATCHLIST4[[#This Row],[Stock]]="","",SUMPRODUCT(--(T_TXN[TYPE]="Buy"),T_TXN[UNITS],T_TXN[PRICE],--(T_TXN[TICKER]=T_WATCHLIST4[[#This Row],[Stock]])))</f>
        <v/>
      </c>
      <c r="W49" s="64" t="str" cm="1">
        <f t="array" ref="W49">IF(T_WATCHLIST4[[#This Row],[Stock]]="","",SUMPRODUCT(T_TXN[UNITS],--(T_TXN[TYPE]="Sell"),--(T_TXN[TICKER]=T_WATCHLIST4[[#This Row],[Stock]])))</f>
        <v/>
      </c>
      <c r="X49" s="67" t="str" cm="1">
        <f t="array" ref="X49">IF(T_WATCHLIST4[[#This Row],[Stock]]="","",SUMPRODUCT(--(T_TXN[TYPE]="Sell"),T_TXN[UNITS],T_TXN[PRICE],--(T_TXN[TICKER]=T_WATCHLIST4[[#This Row],[Stock]])))</f>
        <v/>
      </c>
      <c r="Y49" s="67" t="str" cm="1">
        <f t="array" ref="Y49">IF(T_WATCHLIST4[[#This Row],[Stock]]="","",SUMPRODUCT(T_TXN[UNITS],T_TXN[PRICE],--(T_TXN[TYPE]="Buy"),--(T_TXN[TICKER]=T_WATCHLIST4[[#This Row],[Stock]])) -SUMPRODUCT(T_TXN[UNITS],T_TXN[PRICE],--(T_TXN[TYPE]="Sell"),--(T_TXN[TICKER]=T_WATCHLIST4[[#This Row],[Stock]])))</f>
        <v/>
      </c>
      <c r="Z49" s="64" t="str" cm="1">
        <f t="array" ref="Z49">IFERROR(IF(ROW(T_WATCHLIST4[[#This Row],[Stock]])-ROW(T_WATCHLIST4[[#Headers],[Stock]])&gt;=C_CNT_STOCKS,"",_FV(T_WATCHLIST4[[#This Row],[Stock]],"Industry",TRUE)),"Not Available")</f>
        <v/>
      </c>
      <c r="AA49" s="64" t="str" cm="1">
        <f t="array" ref="AA49">IFERROR(IF(ROW(T_WATCHLIST4[[#This Row],[Stock]])-ROW(T_WATCHLIST4[[#Headers],[Stock]])&gt;=C_CNT_STOCKS,"",_FV(T_WATCHLIST4[[#This Row],[Stock]],"Instrument type",TRUE)),"Not Available")</f>
        <v/>
      </c>
    </row>
    <row r="50" spans="5:27" ht="22" customHeight="1">
      <c r="E50" s="89"/>
      <c r="F50" s="75" t="str" cm="1">
        <f t="array" ref="F50">IFERROR(IF(ROW(T_WATCHLIST4[[#This Row],[Stock]])-ROW(T_WATCHLIST4[[#Headers],[Stock]])&gt;C_CNT_STOCKS,"",INDEX(_xlfn.ANCHORARRAY(HELP!$G$2),ROW(T_WATCHLIST4[[#This Row],[Stock]])-ROW(T_WATCHLIST4[[#Headers],[Stock]]))),"")</f>
        <v/>
      </c>
      <c r="G50" s="80" t="str" cm="1">
        <f t="array" ref="G50">IFERROR(_xlfn.FIELDVALUE(T_WATCHLIST4[[#This Row],[Stock]],"Ticker Symbol"),"")</f>
        <v/>
      </c>
      <c r="H50" s="117"/>
      <c r="I50" s="81" t="str">
        <f>IF(T_WATCHLIST4[[#This Row],[Stock]]="","",SUMIFS(T_TXN[UNITS],T_TXN[TYPE],"Buy",T_TXN[TICKER],T_WATCHLIST4[[#This Row],[Stock]])-SUMIFS(T_TXN[UNITS],T_TXN[TYPE],"Sell",T_TXN[TICKER],T_WATCHLIST4[[#This Row],[Stock]])+SUMIFS(T_TXN[UNITS],T_TXN[TYPE],"Dividend Reinvestment",T_TXN[TICKER],T_WATCHLIST4[[#This Row],[Stock]]))</f>
        <v/>
      </c>
      <c r="J50" s="75" t="str" cm="1">
        <f t="array" ref="J50">IFERROR(_xlfn.FIELDVALUE(T_WATCHLIST4[[#This Row],[Stock]],"Price"),"")</f>
        <v/>
      </c>
      <c r="K50" s="82" t="str" cm="1">
        <f t="array" ref="K50">IFERROR(_xlfn.FIELDVALUE(T_WATCHLIST4[[#This Row],[Stock]],"Change"),"")</f>
        <v/>
      </c>
      <c r="L50" s="83" t="str" cm="1">
        <f t="array" ref="L50">IFERROR(_xlfn.FIELDVALUE(T_WATCHLIST4[[#This Row],[Stock]],"Change (%)"),"")</f>
        <v/>
      </c>
      <c r="M50" s="84" t="str">
        <f>IF(T_WATCHLIST4[[#This Row],[Stock]]="","",T_WATCHLIST4[[#This Row],[Quantity]]*T_WATCHLIST4[[#This Row],[Last Price]])</f>
        <v/>
      </c>
      <c r="N50" s="85" t="str" cm="1">
        <f t="array" ref="N50">IF(T_WATCHLIST4[[#This Row],[Stock]]="","",T_WATCHLIST4[[#This Row],[Current Value]]-_xlfn.FIELDVALUE(T_WATCHLIST4[[#This Row],[Stock]],"Previous Close")*T_WATCHLIST4[[#This Row],[Quantity]])</f>
        <v/>
      </c>
      <c r="O50" s="86" t="str">
        <f>IFERROR(T_WATCHLIST4[[#This Row],[Today''s Gain/Loss]]/(T_WATCHLIST4[[#This Row],[Current Value]]-T_WATCHLIST4[[#This Row],[Today''s Gain/Loss]]),"")</f>
        <v/>
      </c>
      <c r="P50" s="84" t="str">
        <f>IFERROR(T_WATCHLIST4[[#This Row],[Current Value]]-T_WATCHLIST4[[#This Row],[% Total Gain/Loss9]],"")</f>
        <v/>
      </c>
      <c r="Q50" s="87" t="str">
        <f>IFERROR(T_WATCHLIST4[[#This Row],[Total Gain/Loss]]/T_WATCHLIST4[[#This Row],[% Total Gain/Loss9]],"")</f>
        <v/>
      </c>
      <c r="R50" s="88" t="str" cm="1">
        <f t="array" ref="R50">IFERROR(_xlfn.FIELDVALUE(T_WATCHLIST4[[#This Row],[Stock]],"52 week low"),"")</f>
        <v/>
      </c>
      <c r="S5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0" s="73" t="str" cm="1">
        <f t="array" ref="T50">IFERROR(_xlfn.FIELDVALUE(T_WATCHLIST4[[#This Row],[Stock]],"52 week high"),"")</f>
        <v/>
      </c>
      <c r="U50" s="64" t="str" cm="1">
        <f t="array" ref="U50">IF(T_WATCHLIST4[[#This Row],[Stock]]="","",SUMPRODUCT(T_TXN[UNITS],--(T_TXN[TYPE]="Buy"),--(T_TXN[TICKER]=T_WATCHLIST4[[#This Row],[Stock]])))</f>
        <v/>
      </c>
      <c r="V50" s="67" t="str" cm="1">
        <f t="array" ref="V50">IF(T_WATCHLIST4[[#This Row],[Stock]]="","",SUMPRODUCT(--(T_TXN[TYPE]="Buy"),T_TXN[UNITS],T_TXN[PRICE],--(T_TXN[TICKER]=T_WATCHLIST4[[#This Row],[Stock]])))</f>
        <v/>
      </c>
      <c r="W50" s="64" t="str" cm="1">
        <f t="array" ref="W50">IF(T_WATCHLIST4[[#This Row],[Stock]]="","",SUMPRODUCT(T_TXN[UNITS],--(T_TXN[TYPE]="Sell"),--(T_TXN[TICKER]=T_WATCHLIST4[[#This Row],[Stock]])))</f>
        <v/>
      </c>
      <c r="X50" s="67" t="str" cm="1">
        <f t="array" ref="X50">IF(T_WATCHLIST4[[#This Row],[Stock]]="","",SUMPRODUCT(--(T_TXN[TYPE]="Sell"),T_TXN[UNITS],T_TXN[PRICE],--(T_TXN[TICKER]=T_WATCHLIST4[[#This Row],[Stock]])))</f>
        <v/>
      </c>
      <c r="Y50" s="67" t="str" cm="1">
        <f t="array" ref="Y50">IF(T_WATCHLIST4[[#This Row],[Stock]]="","",SUMPRODUCT(T_TXN[UNITS],T_TXN[PRICE],--(T_TXN[TYPE]="Buy"),--(T_TXN[TICKER]=T_WATCHLIST4[[#This Row],[Stock]])) -SUMPRODUCT(T_TXN[UNITS],T_TXN[PRICE],--(T_TXN[TYPE]="Sell"),--(T_TXN[TICKER]=T_WATCHLIST4[[#This Row],[Stock]])))</f>
        <v/>
      </c>
      <c r="Z50" s="64" t="str" cm="1">
        <f t="array" ref="Z50">IFERROR(IF(ROW(T_WATCHLIST4[[#This Row],[Stock]])-ROW(T_WATCHLIST4[[#Headers],[Stock]])&gt;=C_CNT_STOCKS,"",_FV(T_WATCHLIST4[[#This Row],[Stock]],"Industry",TRUE)),"Not Available")</f>
        <v/>
      </c>
      <c r="AA50" s="64" t="str" cm="1">
        <f t="array" ref="AA50">IFERROR(IF(ROW(T_WATCHLIST4[[#This Row],[Stock]])-ROW(T_WATCHLIST4[[#Headers],[Stock]])&gt;=C_CNT_STOCKS,"",_FV(T_WATCHLIST4[[#This Row],[Stock]],"Instrument type",TRUE)),"Not Available")</f>
        <v/>
      </c>
    </row>
    <row r="51" spans="5:27" ht="22" customHeight="1">
      <c r="E51" s="89"/>
      <c r="F51" s="75" t="str" cm="1">
        <f t="array" ref="F51">IFERROR(IF(ROW(T_WATCHLIST4[[#This Row],[Stock]])-ROW(T_WATCHLIST4[[#Headers],[Stock]])&gt;C_CNT_STOCKS,"",INDEX(_xlfn.ANCHORARRAY(HELP!$G$2),ROW(T_WATCHLIST4[[#This Row],[Stock]])-ROW(T_WATCHLIST4[[#Headers],[Stock]]))),"")</f>
        <v/>
      </c>
      <c r="G51" s="80" t="str" cm="1">
        <f t="array" ref="G51">IFERROR(_xlfn.FIELDVALUE(T_WATCHLIST4[[#This Row],[Stock]],"Ticker Symbol"),"")</f>
        <v/>
      </c>
      <c r="H51" s="117"/>
      <c r="I51" s="81" t="str">
        <f>IF(T_WATCHLIST4[[#This Row],[Stock]]="","",SUMIFS(T_TXN[UNITS],T_TXN[TYPE],"Buy",T_TXN[TICKER],T_WATCHLIST4[[#This Row],[Stock]])-SUMIFS(T_TXN[UNITS],T_TXN[TYPE],"Sell",T_TXN[TICKER],T_WATCHLIST4[[#This Row],[Stock]])+SUMIFS(T_TXN[UNITS],T_TXN[TYPE],"Dividend Reinvestment",T_TXN[TICKER],T_WATCHLIST4[[#This Row],[Stock]]))</f>
        <v/>
      </c>
      <c r="J51" s="75" t="str" cm="1">
        <f t="array" ref="J51">IFERROR(_xlfn.FIELDVALUE(T_WATCHLIST4[[#This Row],[Stock]],"Price"),"")</f>
        <v/>
      </c>
      <c r="K51" s="82" t="str" cm="1">
        <f t="array" ref="K51">IFERROR(_xlfn.FIELDVALUE(T_WATCHLIST4[[#This Row],[Stock]],"Change"),"")</f>
        <v/>
      </c>
      <c r="L51" s="83" t="str" cm="1">
        <f t="array" ref="L51">IFERROR(_xlfn.FIELDVALUE(T_WATCHLIST4[[#This Row],[Stock]],"Change (%)"),"")</f>
        <v/>
      </c>
      <c r="M51" s="84" t="str">
        <f>IF(T_WATCHLIST4[[#This Row],[Stock]]="","",T_WATCHLIST4[[#This Row],[Quantity]]*T_WATCHLIST4[[#This Row],[Last Price]])</f>
        <v/>
      </c>
      <c r="N51" s="85" t="str" cm="1">
        <f t="array" ref="N51">IF(T_WATCHLIST4[[#This Row],[Stock]]="","",T_WATCHLIST4[[#This Row],[Current Value]]-_xlfn.FIELDVALUE(T_WATCHLIST4[[#This Row],[Stock]],"Previous Close")*T_WATCHLIST4[[#This Row],[Quantity]])</f>
        <v/>
      </c>
      <c r="O51" s="86" t="str">
        <f>IFERROR(T_WATCHLIST4[[#This Row],[Today''s Gain/Loss]]/(T_WATCHLIST4[[#This Row],[Current Value]]-T_WATCHLIST4[[#This Row],[Today''s Gain/Loss]]),"")</f>
        <v/>
      </c>
      <c r="P51" s="84" t="str">
        <f>IFERROR(T_WATCHLIST4[[#This Row],[Current Value]]-T_WATCHLIST4[[#This Row],[% Total Gain/Loss9]],"")</f>
        <v/>
      </c>
      <c r="Q51" s="87" t="str">
        <f>IFERROR(T_WATCHLIST4[[#This Row],[Total Gain/Loss]]/T_WATCHLIST4[[#This Row],[% Total Gain/Loss9]],"")</f>
        <v/>
      </c>
      <c r="R51" s="88" t="str" cm="1">
        <f t="array" ref="R51">IFERROR(_xlfn.FIELDVALUE(T_WATCHLIST4[[#This Row],[Stock]],"52 week low"),"")</f>
        <v/>
      </c>
      <c r="S5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1" s="73" t="str" cm="1">
        <f t="array" ref="T51">IFERROR(_xlfn.FIELDVALUE(T_WATCHLIST4[[#This Row],[Stock]],"52 week high"),"")</f>
        <v/>
      </c>
      <c r="U51" s="64" t="str" cm="1">
        <f t="array" ref="U51">IF(T_WATCHLIST4[[#This Row],[Stock]]="","",SUMPRODUCT(T_TXN[UNITS],--(T_TXN[TYPE]="Buy"),--(T_TXN[TICKER]=T_WATCHLIST4[[#This Row],[Stock]])))</f>
        <v/>
      </c>
      <c r="V51" s="67" t="str" cm="1">
        <f t="array" ref="V51">IF(T_WATCHLIST4[[#This Row],[Stock]]="","",SUMPRODUCT(--(T_TXN[TYPE]="Buy"),T_TXN[UNITS],T_TXN[PRICE],--(T_TXN[TICKER]=T_WATCHLIST4[[#This Row],[Stock]])))</f>
        <v/>
      </c>
      <c r="W51" s="64" t="str" cm="1">
        <f t="array" ref="W51">IF(T_WATCHLIST4[[#This Row],[Stock]]="","",SUMPRODUCT(T_TXN[UNITS],--(T_TXN[TYPE]="Sell"),--(T_TXN[TICKER]=T_WATCHLIST4[[#This Row],[Stock]])))</f>
        <v/>
      </c>
      <c r="X51" s="67" t="str" cm="1">
        <f t="array" ref="X51">IF(T_WATCHLIST4[[#This Row],[Stock]]="","",SUMPRODUCT(--(T_TXN[TYPE]="Sell"),T_TXN[UNITS],T_TXN[PRICE],--(T_TXN[TICKER]=T_WATCHLIST4[[#This Row],[Stock]])))</f>
        <v/>
      </c>
      <c r="Y51" s="67" t="str" cm="1">
        <f t="array" ref="Y51">IF(T_WATCHLIST4[[#This Row],[Stock]]="","",SUMPRODUCT(T_TXN[UNITS],T_TXN[PRICE],--(T_TXN[TYPE]="Buy"),--(T_TXN[TICKER]=T_WATCHLIST4[[#This Row],[Stock]])) -SUMPRODUCT(T_TXN[UNITS],T_TXN[PRICE],--(T_TXN[TYPE]="Sell"),--(T_TXN[TICKER]=T_WATCHLIST4[[#This Row],[Stock]])))</f>
        <v/>
      </c>
      <c r="Z51" s="64" t="str" cm="1">
        <f t="array" ref="Z51">IFERROR(IF(ROW(T_WATCHLIST4[[#This Row],[Stock]])-ROW(T_WATCHLIST4[[#Headers],[Stock]])&gt;=C_CNT_STOCKS,"",_FV(T_WATCHLIST4[[#This Row],[Stock]],"Industry",TRUE)),"Not Available")</f>
        <v/>
      </c>
      <c r="AA51" s="64" t="str" cm="1">
        <f t="array" ref="AA51">IFERROR(IF(ROW(T_WATCHLIST4[[#This Row],[Stock]])-ROW(T_WATCHLIST4[[#Headers],[Stock]])&gt;=C_CNT_STOCKS,"",_FV(T_WATCHLIST4[[#This Row],[Stock]],"Instrument type",TRUE)),"Not Available")</f>
        <v/>
      </c>
    </row>
    <row r="52" spans="5:27" ht="22" customHeight="1">
      <c r="E52" s="89"/>
      <c r="F52" s="75" t="str" cm="1">
        <f t="array" ref="F52">IFERROR(IF(ROW(T_WATCHLIST4[[#This Row],[Stock]])-ROW(T_WATCHLIST4[[#Headers],[Stock]])&gt;C_CNT_STOCKS,"",INDEX(_xlfn.ANCHORARRAY(HELP!$G$2),ROW(T_WATCHLIST4[[#This Row],[Stock]])-ROW(T_WATCHLIST4[[#Headers],[Stock]]))),"")</f>
        <v/>
      </c>
      <c r="G52" s="80" t="str" cm="1">
        <f t="array" ref="G52">IFERROR(_xlfn.FIELDVALUE(T_WATCHLIST4[[#This Row],[Stock]],"Ticker Symbol"),"")</f>
        <v/>
      </c>
      <c r="H52" s="117"/>
      <c r="I52" s="81" t="str">
        <f>IF(T_WATCHLIST4[[#This Row],[Stock]]="","",SUMIFS(T_TXN[UNITS],T_TXN[TYPE],"Buy",T_TXN[TICKER],T_WATCHLIST4[[#This Row],[Stock]])-SUMIFS(T_TXN[UNITS],T_TXN[TYPE],"Sell",T_TXN[TICKER],T_WATCHLIST4[[#This Row],[Stock]])+SUMIFS(T_TXN[UNITS],T_TXN[TYPE],"Dividend Reinvestment",T_TXN[TICKER],T_WATCHLIST4[[#This Row],[Stock]]))</f>
        <v/>
      </c>
      <c r="J52" s="75" t="str" cm="1">
        <f t="array" ref="J52">IFERROR(_xlfn.FIELDVALUE(T_WATCHLIST4[[#This Row],[Stock]],"Price"),"")</f>
        <v/>
      </c>
      <c r="K52" s="82" t="str" cm="1">
        <f t="array" ref="K52">IFERROR(_xlfn.FIELDVALUE(T_WATCHLIST4[[#This Row],[Stock]],"Change"),"")</f>
        <v/>
      </c>
      <c r="L52" s="83" t="str" cm="1">
        <f t="array" ref="L52">IFERROR(_xlfn.FIELDVALUE(T_WATCHLIST4[[#This Row],[Stock]],"Change (%)"),"")</f>
        <v/>
      </c>
      <c r="M52" s="84" t="str">
        <f>IF(T_WATCHLIST4[[#This Row],[Stock]]="","",T_WATCHLIST4[[#This Row],[Quantity]]*T_WATCHLIST4[[#This Row],[Last Price]])</f>
        <v/>
      </c>
      <c r="N52" s="85" t="str" cm="1">
        <f t="array" ref="N52">IF(T_WATCHLIST4[[#This Row],[Stock]]="","",T_WATCHLIST4[[#This Row],[Current Value]]-_xlfn.FIELDVALUE(T_WATCHLIST4[[#This Row],[Stock]],"Previous Close")*T_WATCHLIST4[[#This Row],[Quantity]])</f>
        <v/>
      </c>
      <c r="O52" s="86" t="str">
        <f>IFERROR(T_WATCHLIST4[[#This Row],[Today''s Gain/Loss]]/(T_WATCHLIST4[[#This Row],[Current Value]]-T_WATCHLIST4[[#This Row],[Today''s Gain/Loss]]),"")</f>
        <v/>
      </c>
      <c r="P52" s="84" t="str">
        <f>IFERROR(T_WATCHLIST4[[#This Row],[Current Value]]-T_WATCHLIST4[[#This Row],[% Total Gain/Loss9]],"")</f>
        <v/>
      </c>
      <c r="Q52" s="87" t="str">
        <f>IFERROR(T_WATCHLIST4[[#This Row],[Total Gain/Loss]]/T_WATCHLIST4[[#This Row],[% Total Gain/Loss9]],"")</f>
        <v/>
      </c>
      <c r="R52" s="88" t="str" cm="1">
        <f t="array" ref="R52">IFERROR(_xlfn.FIELDVALUE(T_WATCHLIST4[[#This Row],[Stock]],"52 week low"),"")</f>
        <v/>
      </c>
      <c r="S5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2" s="73" t="str" cm="1">
        <f t="array" ref="T52">IFERROR(_xlfn.FIELDVALUE(T_WATCHLIST4[[#This Row],[Stock]],"52 week high"),"")</f>
        <v/>
      </c>
      <c r="U52" s="64" t="str" cm="1">
        <f t="array" ref="U52">IF(T_WATCHLIST4[[#This Row],[Stock]]="","",SUMPRODUCT(T_TXN[UNITS],--(T_TXN[TYPE]="Buy"),--(T_TXN[TICKER]=T_WATCHLIST4[[#This Row],[Stock]])))</f>
        <v/>
      </c>
      <c r="V52" s="67" t="str" cm="1">
        <f t="array" ref="V52">IF(T_WATCHLIST4[[#This Row],[Stock]]="","",SUMPRODUCT(--(T_TXN[TYPE]="Buy"),T_TXN[UNITS],T_TXN[PRICE],--(T_TXN[TICKER]=T_WATCHLIST4[[#This Row],[Stock]])))</f>
        <v/>
      </c>
      <c r="W52" s="64" t="str" cm="1">
        <f t="array" ref="W52">IF(T_WATCHLIST4[[#This Row],[Stock]]="","",SUMPRODUCT(T_TXN[UNITS],--(T_TXN[TYPE]="Sell"),--(T_TXN[TICKER]=T_WATCHLIST4[[#This Row],[Stock]])))</f>
        <v/>
      </c>
      <c r="X52" s="67" t="str" cm="1">
        <f t="array" ref="X52">IF(T_WATCHLIST4[[#This Row],[Stock]]="","",SUMPRODUCT(--(T_TXN[TYPE]="Sell"),T_TXN[UNITS],T_TXN[PRICE],--(T_TXN[TICKER]=T_WATCHLIST4[[#This Row],[Stock]])))</f>
        <v/>
      </c>
      <c r="Y52" s="67" t="str" cm="1">
        <f t="array" ref="Y52">IF(T_WATCHLIST4[[#This Row],[Stock]]="","",SUMPRODUCT(T_TXN[UNITS],T_TXN[PRICE],--(T_TXN[TYPE]="Buy"),--(T_TXN[TICKER]=T_WATCHLIST4[[#This Row],[Stock]])) -SUMPRODUCT(T_TXN[UNITS],T_TXN[PRICE],--(T_TXN[TYPE]="Sell"),--(T_TXN[TICKER]=T_WATCHLIST4[[#This Row],[Stock]])))</f>
        <v/>
      </c>
      <c r="Z52" s="64" t="str" cm="1">
        <f t="array" ref="Z52">IFERROR(IF(ROW(T_WATCHLIST4[[#This Row],[Stock]])-ROW(T_WATCHLIST4[[#Headers],[Stock]])&gt;=C_CNT_STOCKS,"",_FV(T_WATCHLIST4[[#This Row],[Stock]],"Industry",TRUE)),"Not Available")</f>
        <v/>
      </c>
      <c r="AA52" s="64" t="str" cm="1">
        <f t="array" ref="AA52">IFERROR(IF(ROW(T_WATCHLIST4[[#This Row],[Stock]])-ROW(T_WATCHLIST4[[#Headers],[Stock]])&gt;=C_CNT_STOCKS,"",_FV(T_WATCHLIST4[[#This Row],[Stock]],"Instrument type",TRUE)),"Not Available")</f>
        <v/>
      </c>
    </row>
    <row r="53" spans="5:27" ht="22" customHeight="1">
      <c r="E53" s="89"/>
      <c r="F53" s="75" t="str" cm="1">
        <f t="array" ref="F53">IFERROR(IF(ROW(T_WATCHLIST4[[#This Row],[Stock]])-ROW(T_WATCHLIST4[[#Headers],[Stock]])&gt;C_CNT_STOCKS,"",INDEX(_xlfn.ANCHORARRAY(HELP!$G$2),ROW(T_WATCHLIST4[[#This Row],[Stock]])-ROW(T_WATCHLIST4[[#Headers],[Stock]]))),"")</f>
        <v/>
      </c>
      <c r="G53" s="80" t="str" cm="1">
        <f t="array" ref="G53">IFERROR(_xlfn.FIELDVALUE(T_WATCHLIST4[[#This Row],[Stock]],"Ticker Symbol"),"")</f>
        <v/>
      </c>
      <c r="H53" s="117"/>
      <c r="I53" s="81" t="str">
        <f>IF(T_WATCHLIST4[[#This Row],[Stock]]="","",SUMIFS(T_TXN[UNITS],T_TXN[TYPE],"Buy",T_TXN[TICKER],T_WATCHLIST4[[#This Row],[Stock]])-SUMIFS(T_TXN[UNITS],T_TXN[TYPE],"Sell",T_TXN[TICKER],T_WATCHLIST4[[#This Row],[Stock]])+SUMIFS(T_TXN[UNITS],T_TXN[TYPE],"Dividend Reinvestment",T_TXN[TICKER],T_WATCHLIST4[[#This Row],[Stock]]))</f>
        <v/>
      </c>
      <c r="J53" s="75" t="str" cm="1">
        <f t="array" ref="J53">IFERROR(_xlfn.FIELDVALUE(T_WATCHLIST4[[#This Row],[Stock]],"Price"),"")</f>
        <v/>
      </c>
      <c r="K53" s="82" t="str" cm="1">
        <f t="array" ref="K53">IFERROR(_xlfn.FIELDVALUE(T_WATCHLIST4[[#This Row],[Stock]],"Change"),"")</f>
        <v/>
      </c>
      <c r="L53" s="83" t="str" cm="1">
        <f t="array" ref="L53">IFERROR(_xlfn.FIELDVALUE(T_WATCHLIST4[[#This Row],[Stock]],"Change (%)"),"")</f>
        <v/>
      </c>
      <c r="M53" s="84" t="str">
        <f>IF(T_WATCHLIST4[[#This Row],[Stock]]="","",T_WATCHLIST4[[#This Row],[Quantity]]*T_WATCHLIST4[[#This Row],[Last Price]])</f>
        <v/>
      </c>
      <c r="N53" s="85" t="str" cm="1">
        <f t="array" ref="N53">IF(T_WATCHLIST4[[#This Row],[Stock]]="","",T_WATCHLIST4[[#This Row],[Current Value]]-_xlfn.FIELDVALUE(T_WATCHLIST4[[#This Row],[Stock]],"Previous Close")*T_WATCHLIST4[[#This Row],[Quantity]])</f>
        <v/>
      </c>
      <c r="O53" s="86" t="str">
        <f>IFERROR(T_WATCHLIST4[[#This Row],[Today''s Gain/Loss]]/(T_WATCHLIST4[[#This Row],[Current Value]]-T_WATCHLIST4[[#This Row],[Today''s Gain/Loss]]),"")</f>
        <v/>
      </c>
      <c r="P53" s="84" t="str">
        <f>IFERROR(T_WATCHLIST4[[#This Row],[Current Value]]-T_WATCHLIST4[[#This Row],[% Total Gain/Loss9]],"")</f>
        <v/>
      </c>
      <c r="Q53" s="87" t="str">
        <f>IFERROR(T_WATCHLIST4[[#This Row],[Total Gain/Loss]]/T_WATCHLIST4[[#This Row],[% Total Gain/Loss9]],"")</f>
        <v/>
      </c>
      <c r="R53" s="88" t="str" cm="1">
        <f t="array" ref="R53">IFERROR(_xlfn.FIELDVALUE(T_WATCHLIST4[[#This Row],[Stock]],"52 week low"),"")</f>
        <v/>
      </c>
      <c r="S5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3" s="73" t="str" cm="1">
        <f t="array" ref="T53">IFERROR(_xlfn.FIELDVALUE(T_WATCHLIST4[[#This Row],[Stock]],"52 week high"),"")</f>
        <v/>
      </c>
      <c r="U53" s="64" t="str" cm="1">
        <f t="array" ref="U53">IF(T_WATCHLIST4[[#This Row],[Stock]]="","",SUMPRODUCT(T_TXN[UNITS],--(T_TXN[TYPE]="Buy"),--(T_TXN[TICKER]=T_WATCHLIST4[[#This Row],[Stock]])))</f>
        <v/>
      </c>
      <c r="V53" s="67" t="str" cm="1">
        <f t="array" ref="V53">IF(T_WATCHLIST4[[#This Row],[Stock]]="","",SUMPRODUCT(--(T_TXN[TYPE]="Buy"),T_TXN[UNITS],T_TXN[PRICE],--(T_TXN[TICKER]=T_WATCHLIST4[[#This Row],[Stock]])))</f>
        <v/>
      </c>
      <c r="W53" s="64" t="str" cm="1">
        <f t="array" ref="W53">IF(T_WATCHLIST4[[#This Row],[Stock]]="","",SUMPRODUCT(T_TXN[UNITS],--(T_TXN[TYPE]="Sell"),--(T_TXN[TICKER]=T_WATCHLIST4[[#This Row],[Stock]])))</f>
        <v/>
      </c>
      <c r="X53" s="67" t="str" cm="1">
        <f t="array" ref="X53">IF(T_WATCHLIST4[[#This Row],[Stock]]="","",SUMPRODUCT(--(T_TXN[TYPE]="Sell"),T_TXN[UNITS],T_TXN[PRICE],--(T_TXN[TICKER]=T_WATCHLIST4[[#This Row],[Stock]])))</f>
        <v/>
      </c>
      <c r="Y53" s="67" t="str" cm="1">
        <f t="array" ref="Y53">IF(T_WATCHLIST4[[#This Row],[Stock]]="","",SUMPRODUCT(T_TXN[UNITS],T_TXN[PRICE],--(T_TXN[TYPE]="Buy"),--(T_TXN[TICKER]=T_WATCHLIST4[[#This Row],[Stock]])) -SUMPRODUCT(T_TXN[UNITS],T_TXN[PRICE],--(T_TXN[TYPE]="Sell"),--(T_TXN[TICKER]=T_WATCHLIST4[[#This Row],[Stock]])))</f>
        <v/>
      </c>
      <c r="Z53" s="64" t="str" cm="1">
        <f t="array" ref="Z53">IFERROR(IF(ROW(T_WATCHLIST4[[#This Row],[Stock]])-ROW(T_WATCHLIST4[[#Headers],[Stock]])&gt;=C_CNT_STOCKS,"",_FV(T_WATCHLIST4[[#This Row],[Stock]],"Industry",TRUE)),"Not Available")</f>
        <v/>
      </c>
      <c r="AA53" s="64" t="str" cm="1">
        <f t="array" ref="AA53">IFERROR(IF(ROW(T_WATCHLIST4[[#This Row],[Stock]])-ROW(T_WATCHLIST4[[#Headers],[Stock]])&gt;=C_CNT_STOCKS,"",_FV(T_WATCHLIST4[[#This Row],[Stock]],"Instrument type",TRUE)),"Not Available")</f>
        <v/>
      </c>
    </row>
    <row r="54" spans="5:27" ht="22" customHeight="1">
      <c r="E54" s="89"/>
      <c r="F54" s="75" t="str" cm="1">
        <f t="array" ref="F54">IFERROR(IF(ROW(T_WATCHLIST4[[#This Row],[Stock]])-ROW(T_WATCHLIST4[[#Headers],[Stock]])&gt;C_CNT_STOCKS,"",INDEX(_xlfn.ANCHORARRAY(HELP!$G$2),ROW(T_WATCHLIST4[[#This Row],[Stock]])-ROW(T_WATCHLIST4[[#Headers],[Stock]]))),"")</f>
        <v/>
      </c>
      <c r="G54" s="80" t="str" cm="1">
        <f t="array" ref="G54">IFERROR(_xlfn.FIELDVALUE(T_WATCHLIST4[[#This Row],[Stock]],"Ticker Symbol"),"")</f>
        <v/>
      </c>
      <c r="H54" s="117"/>
      <c r="I54" s="81" t="str">
        <f>IF(T_WATCHLIST4[[#This Row],[Stock]]="","",SUMIFS(T_TXN[UNITS],T_TXN[TYPE],"Buy",T_TXN[TICKER],T_WATCHLIST4[[#This Row],[Stock]])-SUMIFS(T_TXN[UNITS],T_TXN[TYPE],"Sell",T_TXN[TICKER],T_WATCHLIST4[[#This Row],[Stock]])+SUMIFS(T_TXN[UNITS],T_TXN[TYPE],"Dividend Reinvestment",T_TXN[TICKER],T_WATCHLIST4[[#This Row],[Stock]]))</f>
        <v/>
      </c>
      <c r="J54" s="75" t="str" cm="1">
        <f t="array" ref="J54">IFERROR(_xlfn.FIELDVALUE(T_WATCHLIST4[[#This Row],[Stock]],"Price"),"")</f>
        <v/>
      </c>
      <c r="K54" s="82" t="str" cm="1">
        <f t="array" ref="K54">IFERROR(_xlfn.FIELDVALUE(T_WATCHLIST4[[#This Row],[Stock]],"Change"),"")</f>
        <v/>
      </c>
      <c r="L54" s="83" t="str" cm="1">
        <f t="array" ref="L54">IFERROR(_xlfn.FIELDVALUE(T_WATCHLIST4[[#This Row],[Stock]],"Change (%)"),"")</f>
        <v/>
      </c>
      <c r="M54" s="84" t="str">
        <f>IF(T_WATCHLIST4[[#This Row],[Stock]]="","",T_WATCHLIST4[[#This Row],[Quantity]]*T_WATCHLIST4[[#This Row],[Last Price]])</f>
        <v/>
      </c>
      <c r="N54" s="85" t="str" cm="1">
        <f t="array" ref="N54">IF(T_WATCHLIST4[[#This Row],[Stock]]="","",T_WATCHLIST4[[#This Row],[Current Value]]-_xlfn.FIELDVALUE(T_WATCHLIST4[[#This Row],[Stock]],"Previous Close")*T_WATCHLIST4[[#This Row],[Quantity]])</f>
        <v/>
      </c>
      <c r="O54" s="86" t="str">
        <f>IFERROR(T_WATCHLIST4[[#This Row],[Today''s Gain/Loss]]/(T_WATCHLIST4[[#This Row],[Current Value]]-T_WATCHLIST4[[#This Row],[Today''s Gain/Loss]]),"")</f>
        <v/>
      </c>
      <c r="P54" s="84" t="str">
        <f>IFERROR(T_WATCHLIST4[[#This Row],[Current Value]]-T_WATCHLIST4[[#This Row],[% Total Gain/Loss9]],"")</f>
        <v/>
      </c>
      <c r="Q54" s="87" t="str">
        <f>IFERROR(T_WATCHLIST4[[#This Row],[Total Gain/Loss]]/T_WATCHLIST4[[#This Row],[% Total Gain/Loss9]],"")</f>
        <v/>
      </c>
      <c r="R54" s="88" t="str" cm="1">
        <f t="array" ref="R54">IFERROR(_xlfn.FIELDVALUE(T_WATCHLIST4[[#This Row],[Stock]],"52 week low"),"")</f>
        <v/>
      </c>
      <c r="S5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4" s="73" t="str" cm="1">
        <f t="array" ref="T54">IFERROR(_xlfn.FIELDVALUE(T_WATCHLIST4[[#This Row],[Stock]],"52 week high"),"")</f>
        <v/>
      </c>
      <c r="U54" s="64" t="str" cm="1">
        <f t="array" ref="U54">IF(T_WATCHLIST4[[#This Row],[Stock]]="","",SUMPRODUCT(T_TXN[UNITS],--(T_TXN[TYPE]="Buy"),--(T_TXN[TICKER]=T_WATCHLIST4[[#This Row],[Stock]])))</f>
        <v/>
      </c>
      <c r="V54" s="67" t="str" cm="1">
        <f t="array" ref="V54">IF(T_WATCHLIST4[[#This Row],[Stock]]="","",SUMPRODUCT(--(T_TXN[TYPE]="Buy"),T_TXN[UNITS],T_TXN[PRICE],--(T_TXN[TICKER]=T_WATCHLIST4[[#This Row],[Stock]])))</f>
        <v/>
      </c>
      <c r="W54" s="64" t="str" cm="1">
        <f t="array" ref="W54">IF(T_WATCHLIST4[[#This Row],[Stock]]="","",SUMPRODUCT(T_TXN[UNITS],--(T_TXN[TYPE]="Sell"),--(T_TXN[TICKER]=T_WATCHLIST4[[#This Row],[Stock]])))</f>
        <v/>
      </c>
      <c r="X54" s="67" t="str" cm="1">
        <f t="array" ref="X54">IF(T_WATCHLIST4[[#This Row],[Stock]]="","",SUMPRODUCT(--(T_TXN[TYPE]="Sell"),T_TXN[UNITS],T_TXN[PRICE],--(T_TXN[TICKER]=T_WATCHLIST4[[#This Row],[Stock]])))</f>
        <v/>
      </c>
      <c r="Y54" s="67" t="str" cm="1">
        <f t="array" ref="Y54">IF(T_WATCHLIST4[[#This Row],[Stock]]="","",SUMPRODUCT(T_TXN[UNITS],T_TXN[PRICE],--(T_TXN[TYPE]="Buy"),--(T_TXN[TICKER]=T_WATCHLIST4[[#This Row],[Stock]])) -SUMPRODUCT(T_TXN[UNITS],T_TXN[PRICE],--(T_TXN[TYPE]="Sell"),--(T_TXN[TICKER]=T_WATCHLIST4[[#This Row],[Stock]])))</f>
        <v/>
      </c>
      <c r="Z54" s="64" t="str" cm="1">
        <f t="array" ref="Z54">IFERROR(IF(ROW(T_WATCHLIST4[[#This Row],[Stock]])-ROW(T_WATCHLIST4[[#Headers],[Stock]])&gt;=C_CNT_STOCKS,"",_FV(T_WATCHLIST4[[#This Row],[Stock]],"Industry",TRUE)),"Not Available")</f>
        <v/>
      </c>
      <c r="AA54" s="64" t="str" cm="1">
        <f t="array" ref="AA54">IFERROR(IF(ROW(T_WATCHLIST4[[#This Row],[Stock]])-ROW(T_WATCHLIST4[[#Headers],[Stock]])&gt;=C_CNT_STOCKS,"",_FV(T_WATCHLIST4[[#This Row],[Stock]],"Instrument type",TRUE)),"Not Available")</f>
        <v/>
      </c>
    </row>
    <row r="55" spans="5:27" ht="22" customHeight="1">
      <c r="E55" s="89"/>
      <c r="F55" s="75" t="str" cm="1">
        <f t="array" ref="F55">IFERROR(IF(ROW(T_WATCHLIST4[[#This Row],[Stock]])-ROW(T_WATCHLIST4[[#Headers],[Stock]])&gt;C_CNT_STOCKS,"",INDEX(_xlfn.ANCHORARRAY(HELP!$G$2),ROW(T_WATCHLIST4[[#This Row],[Stock]])-ROW(T_WATCHLIST4[[#Headers],[Stock]]))),"")</f>
        <v/>
      </c>
      <c r="G55" s="80" t="str" cm="1">
        <f t="array" ref="G55">IFERROR(_xlfn.FIELDVALUE(T_WATCHLIST4[[#This Row],[Stock]],"Ticker Symbol"),"")</f>
        <v/>
      </c>
      <c r="H55" s="117"/>
      <c r="I55" s="81" t="str">
        <f>IF(T_WATCHLIST4[[#This Row],[Stock]]="","",SUMIFS(T_TXN[UNITS],T_TXN[TYPE],"Buy",T_TXN[TICKER],T_WATCHLIST4[[#This Row],[Stock]])-SUMIFS(T_TXN[UNITS],T_TXN[TYPE],"Sell",T_TXN[TICKER],T_WATCHLIST4[[#This Row],[Stock]])+SUMIFS(T_TXN[UNITS],T_TXN[TYPE],"Dividend Reinvestment",T_TXN[TICKER],T_WATCHLIST4[[#This Row],[Stock]]))</f>
        <v/>
      </c>
      <c r="J55" s="75" t="str" cm="1">
        <f t="array" ref="J55">IFERROR(_xlfn.FIELDVALUE(T_WATCHLIST4[[#This Row],[Stock]],"Price"),"")</f>
        <v/>
      </c>
      <c r="K55" s="82" t="str" cm="1">
        <f t="array" ref="K55">IFERROR(_xlfn.FIELDVALUE(T_WATCHLIST4[[#This Row],[Stock]],"Change"),"")</f>
        <v/>
      </c>
      <c r="L55" s="83" t="str" cm="1">
        <f t="array" ref="L55">IFERROR(_xlfn.FIELDVALUE(T_WATCHLIST4[[#This Row],[Stock]],"Change (%)"),"")</f>
        <v/>
      </c>
      <c r="M55" s="84" t="str">
        <f>IF(T_WATCHLIST4[[#This Row],[Stock]]="","",T_WATCHLIST4[[#This Row],[Quantity]]*T_WATCHLIST4[[#This Row],[Last Price]])</f>
        <v/>
      </c>
      <c r="N55" s="85" t="str" cm="1">
        <f t="array" ref="N55">IF(T_WATCHLIST4[[#This Row],[Stock]]="","",T_WATCHLIST4[[#This Row],[Current Value]]-_xlfn.FIELDVALUE(T_WATCHLIST4[[#This Row],[Stock]],"Previous Close")*T_WATCHLIST4[[#This Row],[Quantity]])</f>
        <v/>
      </c>
      <c r="O55" s="86" t="str">
        <f>IFERROR(T_WATCHLIST4[[#This Row],[Today''s Gain/Loss]]/(T_WATCHLIST4[[#This Row],[Current Value]]-T_WATCHLIST4[[#This Row],[Today''s Gain/Loss]]),"")</f>
        <v/>
      </c>
      <c r="P55" s="84" t="str">
        <f>IFERROR(T_WATCHLIST4[[#This Row],[Current Value]]-T_WATCHLIST4[[#This Row],[% Total Gain/Loss9]],"")</f>
        <v/>
      </c>
      <c r="Q55" s="87" t="str">
        <f>IFERROR(T_WATCHLIST4[[#This Row],[Total Gain/Loss]]/T_WATCHLIST4[[#This Row],[% Total Gain/Loss9]],"")</f>
        <v/>
      </c>
      <c r="R55" s="88" t="str" cm="1">
        <f t="array" ref="R55">IFERROR(_xlfn.FIELDVALUE(T_WATCHLIST4[[#This Row],[Stock]],"52 week low"),"")</f>
        <v/>
      </c>
      <c r="S5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5" s="73" t="str" cm="1">
        <f t="array" ref="T55">IFERROR(_xlfn.FIELDVALUE(T_WATCHLIST4[[#This Row],[Stock]],"52 week high"),"")</f>
        <v/>
      </c>
      <c r="U55" s="64" t="str" cm="1">
        <f t="array" ref="U55">IF(T_WATCHLIST4[[#This Row],[Stock]]="","",SUMPRODUCT(T_TXN[UNITS],--(T_TXN[TYPE]="Buy"),--(T_TXN[TICKER]=T_WATCHLIST4[[#This Row],[Stock]])))</f>
        <v/>
      </c>
      <c r="V55" s="67" t="str" cm="1">
        <f t="array" ref="V55">IF(T_WATCHLIST4[[#This Row],[Stock]]="","",SUMPRODUCT(--(T_TXN[TYPE]="Buy"),T_TXN[UNITS],T_TXN[PRICE],--(T_TXN[TICKER]=T_WATCHLIST4[[#This Row],[Stock]])))</f>
        <v/>
      </c>
      <c r="W55" s="64" t="str" cm="1">
        <f t="array" ref="W55">IF(T_WATCHLIST4[[#This Row],[Stock]]="","",SUMPRODUCT(T_TXN[UNITS],--(T_TXN[TYPE]="Sell"),--(T_TXN[TICKER]=T_WATCHLIST4[[#This Row],[Stock]])))</f>
        <v/>
      </c>
      <c r="X55" s="67" t="str" cm="1">
        <f t="array" ref="X55">IF(T_WATCHLIST4[[#This Row],[Stock]]="","",SUMPRODUCT(--(T_TXN[TYPE]="Sell"),T_TXN[UNITS],T_TXN[PRICE],--(T_TXN[TICKER]=T_WATCHLIST4[[#This Row],[Stock]])))</f>
        <v/>
      </c>
      <c r="Y55" s="67" t="str" cm="1">
        <f t="array" ref="Y55">IF(T_WATCHLIST4[[#This Row],[Stock]]="","",SUMPRODUCT(T_TXN[UNITS],T_TXN[PRICE],--(T_TXN[TYPE]="Buy"),--(T_TXN[TICKER]=T_WATCHLIST4[[#This Row],[Stock]])) -SUMPRODUCT(T_TXN[UNITS],T_TXN[PRICE],--(T_TXN[TYPE]="Sell"),--(T_TXN[TICKER]=T_WATCHLIST4[[#This Row],[Stock]])))</f>
        <v/>
      </c>
      <c r="Z55" s="64" t="str" cm="1">
        <f t="array" ref="Z55">IFERROR(IF(ROW(T_WATCHLIST4[[#This Row],[Stock]])-ROW(T_WATCHLIST4[[#Headers],[Stock]])&gt;=C_CNT_STOCKS,"",_FV(T_WATCHLIST4[[#This Row],[Stock]],"Industry",TRUE)),"Not Available")</f>
        <v/>
      </c>
      <c r="AA55" s="64" t="str" cm="1">
        <f t="array" ref="AA55">IFERROR(IF(ROW(T_WATCHLIST4[[#This Row],[Stock]])-ROW(T_WATCHLIST4[[#Headers],[Stock]])&gt;=C_CNT_STOCKS,"",_FV(T_WATCHLIST4[[#This Row],[Stock]],"Instrument type",TRUE)),"Not Available")</f>
        <v/>
      </c>
    </row>
    <row r="56" spans="5:27" ht="22" customHeight="1">
      <c r="E56" s="89"/>
      <c r="F56" s="75" t="str" cm="1">
        <f t="array" ref="F56">IFERROR(IF(ROW(T_WATCHLIST4[[#This Row],[Stock]])-ROW(T_WATCHLIST4[[#Headers],[Stock]])&gt;C_CNT_STOCKS,"",INDEX(_xlfn.ANCHORARRAY(HELP!$G$2),ROW(T_WATCHLIST4[[#This Row],[Stock]])-ROW(T_WATCHLIST4[[#Headers],[Stock]]))),"")</f>
        <v/>
      </c>
      <c r="G56" s="80" t="str" cm="1">
        <f t="array" ref="G56">IFERROR(_xlfn.FIELDVALUE(T_WATCHLIST4[[#This Row],[Stock]],"Ticker Symbol"),"")</f>
        <v/>
      </c>
      <c r="H56" s="117"/>
      <c r="I56" s="81" t="str">
        <f>IF(T_WATCHLIST4[[#This Row],[Stock]]="","",SUMIFS(T_TXN[UNITS],T_TXN[TYPE],"Buy",T_TXN[TICKER],T_WATCHLIST4[[#This Row],[Stock]])-SUMIFS(T_TXN[UNITS],T_TXN[TYPE],"Sell",T_TXN[TICKER],T_WATCHLIST4[[#This Row],[Stock]])+SUMIFS(T_TXN[UNITS],T_TXN[TYPE],"Dividend Reinvestment",T_TXN[TICKER],T_WATCHLIST4[[#This Row],[Stock]]))</f>
        <v/>
      </c>
      <c r="J56" s="75" t="str" cm="1">
        <f t="array" ref="J56">IFERROR(_xlfn.FIELDVALUE(T_WATCHLIST4[[#This Row],[Stock]],"Price"),"")</f>
        <v/>
      </c>
      <c r="K56" s="82" t="str" cm="1">
        <f t="array" ref="K56">IFERROR(_xlfn.FIELDVALUE(T_WATCHLIST4[[#This Row],[Stock]],"Change"),"")</f>
        <v/>
      </c>
      <c r="L56" s="83" t="str" cm="1">
        <f t="array" ref="L56">IFERROR(_xlfn.FIELDVALUE(T_WATCHLIST4[[#This Row],[Stock]],"Change (%)"),"")</f>
        <v/>
      </c>
      <c r="M56" s="84" t="str">
        <f>IF(T_WATCHLIST4[[#This Row],[Stock]]="","",T_WATCHLIST4[[#This Row],[Quantity]]*T_WATCHLIST4[[#This Row],[Last Price]])</f>
        <v/>
      </c>
      <c r="N56" s="85" t="str" cm="1">
        <f t="array" ref="N56">IF(T_WATCHLIST4[[#This Row],[Stock]]="","",T_WATCHLIST4[[#This Row],[Current Value]]-_xlfn.FIELDVALUE(T_WATCHLIST4[[#This Row],[Stock]],"Previous Close")*T_WATCHLIST4[[#This Row],[Quantity]])</f>
        <v/>
      </c>
      <c r="O56" s="86" t="str">
        <f>IFERROR(T_WATCHLIST4[[#This Row],[Today''s Gain/Loss]]/(T_WATCHLIST4[[#This Row],[Current Value]]-T_WATCHLIST4[[#This Row],[Today''s Gain/Loss]]),"")</f>
        <v/>
      </c>
      <c r="P56" s="84" t="str">
        <f>IFERROR(T_WATCHLIST4[[#This Row],[Current Value]]-T_WATCHLIST4[[#This Row],[% Total Gain/Loss9]],"")</f>
        <v/>
      </c>
      <c r="Q56" s="87" t="str">
        <f>IFERROR(T_WATCHLIST4[[#This Row],[Total Gain/Loss]]/T_WATCHLIST4[[#This Row],[% Total Gain/Loss9]],"")</f>
        <v/>
      </c>
      <c r="R56" s="88" t="str" cm="1">
        <f t="array" ref="R56">IFERROR(_xlfn.FIELDVALUE(T_WATCHLIST4[[#This Row],[Stock]],"52 week low"),"")</f>
        <v/>
      </c>
      <c r="S5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6" s="73" t="str" cm="1">
        <f t="array" ref="T56">IFERROR(_xlfn.FIELDVALUE(T_WATCHLIST4[[#This Row],[Stock]],"52 week high"),"")</f>
        <v/>
      </c>
      <c r="U56" s="64" t="str" cm="1">
        <f t="array" ref="U56">IF(T_WATCHLIST4[[#This Row],[Stock]]="","",SUMPRODUCT(T_TXN[UNITS],--(T_TXN[TYPE]="Buy"),--(T_TXN[TICKER]=T_WATCHLIST4[[#This Row],[Stock]])))</f>
        <v/>
      </c>
      <c r="V56" s="67" t="str" cm="1">
        <f t="array" ref="V56">IF(T_WATCHLIST4[[#This Row],[Stock]]="","",SUMPRODUCT(--(T_TXN[TYPE]="Buy"),T_TXN[UNITS],T_TXN[PRICE],--(T_TXN[TICKER]=T_WATCHLIST4[[#This Row],[Stock]])))</f>
        <v/>
      </c>
      <c r="W56" s="64" t="str" cm="1">
        <f t="array" ref="W56">IF(T_WATCHLIST4[[#This Row],[Stock]]="","",SUMPRODUCT(T_TXN[UNITS],--(T_TXN[TYPE]="Sell"),--(T_TXN[TICKER]=T_WATCHLIST4[[#This Row],[Stock]])))</f>
        <v/>
      </c>
      <c r="X56" s="67" t="str" cm="1">
        <f t="array" ref="X56">IF(T_WATCHLIST4[[#This Row],[Stock]]="","",SUMPRODUCT(--(T_TXN[TYPE]="Sell"),T_TXN[UNITS],T_TXN[PRICE],--(T_TXN[TICKER]=T_WATCHLIST4[[#This Row],[Stock]])))</f>
        <v/>
      </c>
      <c r="Y56" s="67" t="str" cm="1">
        <f t="array" ref="Y56">IF(T_WATCHLIST4[[#This Row],[Stock]]="","",SUMPRODUCT(T_TXN[UNITS],T_TXN[PRICE],--(T_TXN[TYPE]="Buy"),--(T_TXN[TICKER]=T_WATCHLIST4[[#This Row],[Stock]])) -SUMPRODUCT(T_TXN[UNITS],T_TXN[PRICE],--(T_TXN[TYPE]="Sell"),--(T_TXN[TICKER]=T_WATCHLIST4[[#This Row],[Stock]])))</f>
        <v/>
      </c>
      <c r="Z56" s="64" t="str" cm="1">
        <f t="array" ref="Z56">IFERROR(IF(ROW(T_WATCHLIST4[[#This Row],[Stock]])-ROW(T_WATCHLIST4[[#Headers],[Stock]])&gt;=C_CNT_STOCKS,"",_FV(T_WATCHLIST4[[#This Row],[Stock]],"Industry",TRUE)),"Not Available")</f>
        <v/>
      </c>
      <c r="AA56" s="64" t="str" cm="1">
        <f t="array" ref="AA56">IFERROR(IF(ROW(T_WATCHLIST4[[#This Row],[Stock]])-ROW(T_WATCHLIST4[[#Headers],[Stock]])&gt;=C_CNT_STOCKS,"",_FV(T_WATCHLIST4[[#This Row],[Stock]],"Instrument type",TRUE)),"Not Available")</f>
        <v/>
      </c>
    </row>
    <row r="57" spans="5:27" ht="22" customHeight="1">
      <c r="E57" s="89"/>
      <c r="F57" s="75" t="str" cm="1">
        <f t="array" ref="F57">IFERROR(IF(ROW(T_WATCHLIST4[[#This Row],[Stock]])-ROW(T_WATCHLIST4[[#Headers],[Stock]])&gt;C_CNT_STOCKS,"",INDEX(_xlfn.ANCHORARRAY(HELP!$G$2),ROW(T_WATCHLIST4[[#This Row],[Stock]])-ROW(T_WATCHLIST4[[#Headers],[Stock]]))),"")</f>
        <v/>
      </c>
      <c r="G57" s="80" t="str" cm="1">
        <f t="array" ref="G57">IFERROR(_xlfn.FIELDVALUE(T_WATCHLIST4[[#This Row],[Stock]],"Ticker Symbol"),"")</f>
        <v/>
      </c>
      <c r="H57" s="117"/>
      <c r="I57" s="81" t="str">
        <f>IF(T_WATCHLIST4[[#This Row],[Stock]]="","",SUMIFS(T_TXN[UNITS],T_TXN[TYPE],"Buy",T_TXN[TICKER],T_WATCHLIST4[[#This Row],[Stock]])-SUMIFS(T_TXN[UNITS],T_TXN[TYPE],"Sell",T_TXN[TICKER],T_WATCHLIST4[[#This Row],[Stock]])+SUMIFS(T_TXN[UNITS],T_TXN[TYPE],"Dividend Reinvestment",T_TXN[TICKER],T_WATCHLIST4[[#This Row],[Stock]]))</f>
        <v/>
      </c>
      <c r="J57" s="75" t="str" cm="1">
        <f t="array" ref="J57">IFERROR(_xlfn.FIELDVALUE(T_WATCHLIST4[[#This Row],[Stock]],"Price"),"")</f>
        <v/>
      </c>
      <c r="K57" s="82" t="str" cm="1">
        <f t="array" ref="K57">IFERROR(_xlfn.FIELDVALUE(T_WATCHLIST4[[#This Row],[Stock]],"Change"),"")</f>
        <v/>
      </c>
      <c r="L57" s="83" t="str" cm="1">
        <f t="array" ref="L57">IFERROR(_xlfn.FIELDVALUE(T_WATCHLIST4[[#This Row],[Stock]],"Change (%)"),"")</f>
        <v/>
      </c>
      <c r="M57" s="84" t="str">
        <f>IF(T_WATCHLIST4[[#This Row],[Stock]]="","",T_WATCHLIST4[[#This Row],[Quantity]]*T_WATCHLIST4[[#This Row],[Last Price]])</f>
        <v/>
      </c>
      <c r="N57" s="85" t="str" cm="1">
        <f t="array" ref="N57">IF(T_WATCHLIST4[[#This Row],[Stock]]="","",T_WATCHLIST4[[#This Row],[Current Value]]-_xlfn.FIELDVALUE(T_WATCHLIST4[[#This Row],[Stock]],"Previous Close")*T_WATCHLIST4[[#This Row],[Quantity]])</f>
        <v/>
      </c>
      <c r="O57" s="86" t="str">
        <f>IFERROR(T_WATCHLIST4[[#This Row],[Today''s Gain/Loss]]/(T_WATCHLIST4[[#This Row],[Current Value]]-T_WATCHLIST4[[#This Row],[Today''s Gain/Loss]]),"")</f>
        <v/>
      </c>
      <c r="P57" s="84" t="str">
        <f>IFERROR(T_WATCHLIST4[[#This Row],[Current Value]]-T_WATCHLIST4[[#This Row],[% Total Gain/Loss9]],"")</f>
        <v/>
      </c>
      <c r="Q57" s="87" t="str">
        <f>IFERROR(T_WATCHLIST4[[#This Row],[Total Gain/Loss]]/T_WATCHLIST4[[#This Row],[% Total Gain/Loss9]],"")</f>
        <v/>
      </c>
      <c r="R57" s="88" t="str" cm="1">
        <f t="array" ref="R57">IFERROR(_xlfn.FIELDVALUE(T_WATCHLIST4[[#This Row],[Stock]],"52 week low"),"")</f>
        <v/>
      </c>
      <c r="S5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7" s="73" t="str" cm="1">
        <f t="array" ref="T57">IFERROR(_xlfn.FIELDVALUE(T_WATCHLIST4[[#This Row],[Stock]],"52 week high"),"")</f>
        <v/>
      </c>
      <c r="U57" s="64" t="str" cm="1">
        <f t="array" ref="U57">IF(T_WATCHLIST4[[#This Row],[Stock]]="","",SUMPRODUCT(T_TXN[UNITS],--(T_TXN[TYPE]="Buy"),--(T_TXN[TICKER]=T_WATCHLIST4[[#This Row],[Stock]])))</f>
        <v/>
      </c>
      <c r="V57" s="67" t="str" cm="1">
        <f t="array" ref="V57">IF(T_WATCHLIST4[[#This Row],[Stock]]="","",SUMPRODUCT(--(T_TXN[TYPE]="Buy"),T_TXN[UNITS],T_TXN[PRICE],--(T_TXN[TICKER]=T_WATCHLIST4[[#This Row],[Stock]])))</f>
        <v/>
      </c>
      <c r="W57" s="64" t="str" cm="1">
        <f t="array" ref="W57">IF(T_WATCHLIST4[[#This Row],[Stock]]="","",SUMPRODUCT(T_TXN[UNITS],--(T_TXN[TYPE]="Sell"),--(T_TXN[TICKER]=T_WATCHLIST4[[#This Row],[Stock]])))</f>
        <v/>
      </c>
      <c r="X57" s="67" t="str" cm="1">
        <f t="array" ref="X57">IF(T_WATCHLIST4[[#This Row],[Stock]]="","",SUMPRODUCT(--(T_TXN[TYPE]="Sell"),T_TXN[UNITS],T_TXN[PRICE],--(T_TXN[TICKER]=T_WATCHLIST4[[#This Row],[Stock]])))</f>
        <v/>
      </c>
      <c r="Y57" s="67" t="str" cm="1">
        <f t="array" ref="Y57">IF(T_WATCHLIST4[[#This Row],[Stock]]="","",SUMPRODUCT(T_TXN[UNITS],T_TXN[PRICE],--(T_TXN[TYPE]="Buy"),--(T_TXN[TICKER]=T_WATCHLIST4[[#This Row],[Stock]])) -SUMPRODUCT(T_TXN[UNITS],T_TXN[PRICE],--(T_TXN[TYPE]="Sell"),--(T_TXN[TICKER]=T_WATCHLIST4[[#This Row],[Stock]])))</f>
        <v/>
      </c>
      <c r="Z57" s="64" t="str" cm="1">
        <f t="array" ref="Z57">IFERROR(IF(ROW(T_WATCHLIST4[[#This Row],[Stock]])-ROW(T_WATCHLIST4[[#Headers],[Stock]])&gt;=C_CNT_STOCKS,"",_FV(T_WATCHLIST4[[#This Row],[Stock]],"Industry",TRUE)),"Not Available")</f>
        <v/>
      </c>
      <c r="AA57" s="64" t="str" cm="1">
        <f t="array" ref="AA57">IFERROR(IF(ROW(T_WATCHLIST4[[#This Row],[Stock]])-ROW(T_WATCHLIST4[[#Headers],[Stock]])&gt;=C_CNT_STOCKS,"",_FV(T_WATCHLIST4[[#This Row],[Stock]],"Instrument type",TRUE)),"Not Available")</f>
        <v/>
      </c>
    </row>
    <row r="58" spans="5:27" ht="22" customHeight="1">
      <c r="E58" s="89"/>
      <c r="F58" s="75" t="str" cm="1">
        <f t="array" ref="F58">IFERROR(IF(ROW(T_WATCHLIST4[[#This Row],[Stock]])-ROW(T_WATCHLIST4[[#Headers],[Stock]])&gt;C_CNT_STOCKS,"",INDEX(_xlfn.ANCHORARRAY(HELP!$G$2),ROW(T_WATCHLIST4[[#This Row],[Stock]])-ROW(T_WATCHLIST4[[#Headers],[Stock]]))),"")</f>
        <v/>
      </c>
      <c r="G58" s="80" t="str" cm="1">
        <f t="array" ref="G58">IFERROR(_xlfn.FIELDVALUE(T_WATCHLIST4[[#This Row],[Stock]],"Ticker Symbol"),"")</f>
        <v/>
      </c>
      <c r="H58" s="117"/>
      <c r="I58" s="81" t="str">
        <f>IF(T_WATCHLIST4[[#This Row],[Stock]]="","",SUMIFS(T_TXN[UNITS],T_TXN[TYPE],"Buy",T_TXN[TICKER],T_WATCHLIST4[[#This Row],[Stock]])-SUMIFS(T_TXN[UNITS],T_TXN[TYPE],"Sell",T_TXN[TICKER],T_WATCHLIST4[[#This Row],[Stock]])+SUMIFS(T_TXN[UNITS],T_TXN[TYPE],"Dividend Reinvestment",T_TXN[TICKER],T_WATCHLIST4[[#This Row],[Stock]]))</f>
        <v/>
      </c>
      <c r="J58" s="75" t="str" cm="1">
        <f t="array" ref="J58">IFERROR(_xlfn.FIELDVALUE(T_WATCHLIST4[[#This Row],[Stock]],"Price"),"")</f>
        <v/>
      </c>
      <c r="K58" s="82" t="str" cm="1">
        <f t="array" ref="K58">IFERROR(_xlfn.FIELDVALUE(T_WATCHLIST4[[#This Row],[Stock]],"Change"),"")</f>
        <v/>
      </c>
      <c r="L58" s="83" t="str" cm="1">
        <f t="array" ref="L58">IFERROR(_xlfn.FIELDVALUE(T_WATCHLIST4[[#This Row],[Stock]],"Change (%)"),"")</f>
        <v/>
      </c>
      <c r="M58" s="84" t="str">
        <f>IF(T_WATCHLIST4[[#This Row],[Stock]]="","",T_WATCHLIST4[[#This Row],[Quantity]]*T_WATCHLIST4[[#This Row],[Last Price]])</f>
        <v/>
      </c>
      <c r="N58" s="85" t="str" cm="1">
        <f t="array" ref="N58">IF(T_WATCHLIST4[[#This Row],[Stock]]="","",T_WATCHLIST4[[#This Row],[Current Value]]-_xlfn.FIELDVALUE(T_WATCHLIST4[[#This Row],[Stock]],"Previous Close")*T_WATCHLIST4[[#This Row],[Quantity]])</f>
        <v/>
      </c>
      <c r="O58" s="86" t="str">
        <f>IFERROR(T_WATCHLIST4[[#This Row],[Today''s Gain/Loss]]/(T_WATCHLIST4[[#This Row],[Current Value]]-T_WATCHLIST4[[#This Row],[Today''s Gain/Loss]]),"")</f>
        <v/>
      </c>
      <c r="P58" s="84" t="str">
        <f>IFERROR(T_WATCHLIST4[[#This Row],[Current Value]]-T_WATCHLIST4[[#This Row],[% Total Gain/Loss9]],"")</f>
        <v/>
      </c>
      <c r="Q58" s="87" t="str">
        <f>IFERROR(T_WATCHLIST4[[#This Row],[Total Gain/Loss]]/T_WATCHLIST4[[#This Row],[% Total Gain/Loss9]],"")</f>
        <v/>
      </c>
      <c r="R58" s="88" t="str" cm="1">
        <f t="array" ref="R58">IFERROR(_xlfn.FIELDVALUE(T_WATCHLIST4[[#This Row],[Stock]],"52 week low"),"")</f>
        <v/>
      </c>
      <c r="S5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8" s="73" t="str" cm="1">
        <f t="array" ref="T58">IFERROR(_xlfn.FIELDVALUE(T_WATCHLIST4[[#This Row],[Stock]],"52 week high"),"")</f>
        <v/>
      </c>
      <c r="U58" s="64" t="str" cm="1">
        <f t="array" ref="U58">IF(T_WATCHLIST4[[#This Row],[Stock]]="","",SUMPRODUCT(T_TXN[UNITS],--(T_TXN[TYPE]="Buy"),--(T_TXN[TICKER]=T_WATCHLIST4[[#This Row],[Stock]])))</f>
        <v/>
      </c>
      <c r="V58" s="67" t="str" cm="1">
        <f t="array" ref="V58">IF(T_WATCHLIST4[[#This Row],[Stock]]="","",SUMPRODUCT(--(T_TXN[TYPE]="Buy"),T_TXN[UNITS],T_TXN[PRICE],--(T_TXN[TICKER]=T_WATCHLIST4[[#This Row],[Stock]])))</f>
        <v/>
      </c>
      <c r="W58" s="64" t="str" cm="1">
        <f t="array" ref="W58">IF(T_WATCHLIST4[[#This Row],[Stock]]="","",SUMPRODUCT(T_TXN[UNITS],--(T_TXN[TYPE]="Sell"),--(T_TXN[TICKER]=T_WATCHLIST4[[#This Row],[Stock]])))</f>
        <v/>
      </c>
      <c r="X58" s="67" t="str" cm="1">
        <f t="array" ref="X58">IF(T_WATCHLIST4[[#This Row],[Stock]]="","",SUMPRODUCT(--(T_TXN[TYPE]="Sell"),T_TXN[UNITS],T_TXN[PRICE],--(T_TXN[TICKER]=T_WATCHLIST4[[#This Row],[Stock]])))</f>
        <v/>
      </c>
      <c r="Y58" s="67" t="str" cm="1">
        <f t="array" ref="Y58">IF(T_WATCHLIST4[[#This Row],[Stock]]="","",SUMPRODUCT(T_TXN[UNITS],T_TXN[PRICE],--(T_TXN[TYPE]="Buy"),--(T_TXN[TICKER]=T_WATCHLIST4[[#This Row],[Stock]])) -SUMPRODUCT(T_TXN[UNITS],T_TXN[PRICE],--(T_TXN[TYPE]="Sell"),--(T_TXN[TICKER]=T_WATCHLIST4[[#This Row],[Stock]])))</f>
        <v/>
      </c>
      <c r="Z58" s="64" t="str" cm="1">
        <f t="array" ref="Z58">IFERROR(IF(ROW(T_WATCHLIST4[[#This Row],[Stock]])-ROW(T_WATCHLIST4[[#Headers],[Stock]])&gt;=C_CNT_STOCKS,"",_FV(T_WATCHLIST4[[#This Row],[Stock]],"Industry",TRUE)),"Not Available")</f>
        <v/>
      </c>
      <c r="AA58" s="64" t="str" cm="1">
        <f t="array" ref="AA58">IFERROR(IF(ROW(T_WATCHLIST4[[#This Row],[Stock]])-ROW(T_WATCHLIST4[[#Headers],[Stock]])&gt;=C_CNT_STOCKS,"",_FV(T_WATCHLIST4[[#This Row],[Stock]],"Instrument type",TRUE)),"Not Available")</f>
        <v/>
      </c>
    </row>
    <row r="59" spans="5:27" ht="22" customHeight="1">
      <c r="E59" s="89"/>
      <c r="F59" s="75" t="str" cm="1">
        <f t="array" ref="F59">IFERROR(IF(ROW(T_WATCHLIST4[[#This Row],[Stock]])-ROW(T_WATCHLIST4[[#Headers],[Stock]])&gt;C_CNT_STOCKS,"",INDEX(_xlfn.ANCHORARRAY(HELP!$G$2),ROW(T_WATCHLIST4[[#This Row],[Stock]])-ROW(T_WATCHLIST4[[#Headers],[Stock]]))),"")</f>
        <v/>
      </c>
      <c r="G59" s="80" t="str" cm="1">
        <f t="array" ref="G59">IFERROR(_xlfn.FIELDVALUE(T_WATCHLIST4[[#This Row],[Stock]],"Ticker Symbol"),"")</f>
        <v/>
      </c>
      <c r="H59" s="117"/>
      <c r="I59" s="81" t="str">
        <f>IF(T_WATCHLIST4[[#This Row],[Stock]]="","",SUMIFS(T_TXN[UNITS],T_TXN[TYPE],"Buy",T_TXN[TICKER],T_WATCHLIST4[[#This Row],[Stock]])-SUMIFS(T_TXN[UNITS],T_TXN[TYPE],"Sell",T_TXN[TICKER],T_WATCHLIST4[[#This Row],[Stock]])+SUMIFS(T_TXN[UNITS],T_TXN[TYPE],"Dividend Reinvestment",T_TXN[TICKER],T_WATCHLIST4[[#This Row],[Stock]]))</f>
        <v/>
      </c>
      <c r="J59" s="75" t="str" cm="1">
        <f t="array" ref="J59">IFERROR(_xlfn.FIELDVALUE(T_WATCHLIST4[[#This Row],[Stock]],"Price"),"")</f>
        <v/>
      </c>
      <c r="K59" s="82" t="str" cm="1">
        <f t="array" ref="K59">IFERROR(_xlfn.FIELDVALUE(T_WATCHLIST4[[#This Row],[Stock]],"Change"),"")</f>
        <v/>
      </c>
      <c r="L59" s="83" t="str" cm="1">
        <f t="array" ref="L59">IFERROR(_xlfn.FIELDVALUE(T_WATCHLIST4[[#This Row],[Stock]],"Change (%)"),"")</f>
        <v/>
      </c>
      <c r="M59" s="84" t="str">
        <f>IF(T_WATCHLIST4[[#This Row],[Stock]]="","",T_WATCHLIST4[[#This Row],[Quantity]]*T_WATCHLIST4[[#This Row],[Last Price]])</f>
        <v/>
      </c>
      <c r="N59" s="85" t="str" cm="1">
        <f t="array" ref="N59">IF(T_WATCHLIST4[[#This Row],[Stock]]="","",T_WATCHLIST4[[#This Row],[Current Value]]-_xlfn.FIELDVALUE(T_WATCHLIST4[[#This Row],[Stock]],"Previous Close")*T_WATCHLIST4[[#This Row],[Quantity]])</f>
        <v/>
      </c>
      <c r="O59" s="86" t="str">
        <f>IFERROR(T_WATCHLIST4[[#This Row],[Today''s Gain/Loss]]/(T_WATCHLIST4[[#This Row],[Current Value]]-T_WATCHLIST4[[#This Row],[Today''s Gain/Loss]]),"")</f>
        <v/>
      </c>
      <c r="P59" s="84" t="str">
        <f>IFERROR(T_WATCHLIST4[[#This Row],[Current Value]]-T_WATCHLIST4[[#This Row],[% Total Gain/Loss9]],"")</f>
        <v/>
      </c>
      <c r="Q59" s="87" t="str">
        <f>IFERROR(T_WATCHLIST4[[#This Row],[Total Gain/Loss]]/T_WATCHLIST4[[#This Row],[% Total Gain/Loss9]],"")</f>
        <v/>
      </c>
      <c r="R59" s="88" t="str" cm="1">
        <f t="array" ref="R59">IFERROR(_xlfn.FIELDVALUE(T_WATCHLIST4[[#This Row],[Stock]],"52 week low"),"")</f>
        <v/>
      </c>
      <c r="S5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59" s="73" t="str" cm="1">
        <f t="array" ref="T59">IFERROR(_xlfn.FIELDVALUE(T_WATCHLIST4[[#This Row],[Stock]],"52 week high"),"")</f>
        <v/>
      </c>
      <c r="U59" s="64" t="str" cm="1">
        <f t="array" ref="U59">IF(T_WATCHLIST4[[#This Row],[Stock]]="","",SUMPRODUCT(T_TXN[UNITS],--(T_TXN[TYPE]="Buy"),--(T_TXN[TICKER]=T_WATCHLIST4[[#This Row],[Stock]])))</f>
        <v/>
      </c>
      <c r="V59" s="67" t="str" cm="1">
        <f t="array" ref="V59">IF(T_WATCHLIST4[[#This Row],[Stock]]="","",SUMPRODUCT(--(T_TXN[TYPE]="Buy"),T_TXN[UNITS],T_TXN[PRICE],--(T_TXN[TICKER]=T_WATCHLIST4[[#This Row],[Stock]])))</f>
        <v/>
      </c>
      <c r="W59" s="64" t="str" cm="1">
        <f t="array" ref="W59">IF(T_WATCHLIST4[[#This Row],[Stock]]="","",SUMPRODUCT(T_TXN[UNITS],--(T_TXN[TYPE]="Sell"),--(T_TXN[TICKER]=T_WATCHLIST4[[#This Row],[Stock]])))</f>
        <v/>
      </c>
      <c r="X59" s="67" t="str" cm="1">
        <f t="array" ref="X59">IF(T_WATCHLIST4[[#This Row],[Stock]]="","",SUMPRODUCT(--(T_TXN[TYPE]="Sell"),T_TXN[UNITS],T_TXN[PRICE],--(T_TXN[TICKER]=T_WATCHLIST4[[#This Row],[Stock]])))</f>
        <v/>
      </c>
      <c r="Y59" s="67" t="str" cm="1">
        <f t="array" ref="Y59">IF(T_WATCHLIST4[[#This Row],[Stock]]="","",SUMPRODUCT(T_TXN[UNITS],T_TXN[PRICE],--(T_TXN[TYPE]="Buy"),--(T_TXN[TICKER]=T_WATCHLIST4[[#This Row],[Stock]])) -SUMPRODUCT(T_TXN[UNITS],T_TXN[PRICE],--(T_TXN[TYPE]="Sell"),--(T_TXN[TICKER]=T_WATCHLIST4[[#This Row],[Stock]])))</f>
        <v/>
      </c>
      <c r="Z59" s="64" t="str" cm="1">
        <f t="array" ref="Z59">IFERROR(IF(ROW(T_WATCHLIST4[[#This Row],[Stock]])-ROW(T_WATCHLIST4[[#Headers],[Stock]])&gt;=C_CNT_STOCKS,"",_FV(T_WATCHLIST4[[#This Row],[Stock]],"Industry",TRUE)),"Not Available")</f>
        <v/>
      </c>
      <c r="AA59" s="64" t="str" cm="1">
        <f t="array" ref="AA59">IFERROR(IF(ROW(T_WATCHLIST4[[#This Row],[Stock]])-ROW(T_WATCHLIST4[[#Headers],[Stock]])&gt;=C_CNT_STOCKS,"",_FV(T_WATCHLIST4[[#This Row],[Stock]],"Instrument type",TRUE)),"Not Available")</f>
        <v/>
      </c>
    </row>
    <row r="60" spans="5:27" ht="22" customHeight="1">
      <c r="E60" s="89"/>
      <c r="F60" s="75" t="str" cm="1">
        <f t="array" ref="F60">IFERROR(IF(ROW(T_WATCHLIST4[[#This Row],[Stock]])-ROW(T_WATCHLIST4[[#Headers],[Stock]])&gt;C_CNT_STOCKS,"",INDEX(_xlfn.ANCHORARRAY(HELP!$G$2),ROW(T_WATCHLIST4[[#This Row],[Stock]])-ROW(T_WATCHLIST4[[#Headers],[Stock]]))),"")</f>
        <v/>
      </c>
      <c r="G60" s="80" t="str" cm="1">
        <f t="array" ref="G60">IFERROR(_xlfn.FIELDVALUE(T_WATCHLIST4[[#This Row],[Stock]],"Ticker Symbol"),"")</f>
        <v/>
      </c>
      <c r="H60" s="117"/>
      <c r="I60" s="81" t="str">
        <f>IF(T_WATCHLIST4[[#This Row],[Stock]]="","",SUMIFS(T_TXN[UNITS],T_TXN[TYPE],"Buy",T_TXN[TICKER],T_WATCHLIST4[[#This Row],[Stock]])-SUMIFS(T_TXN[UNITS],T_TXN[TYPE],"Sell",T_TXN[TICKER],T_WATCHLIST4[[#This Row],[Stock]])+SUMIFS(T_TXN[UNITS],T_TXN[TYPE],"Dividend Reinvestment",T_TXN[TICKER],T_WATCHLIST4[[#This Row],[Stock]]))</f>
        <v/>
      </c>
      <c r="J60" s="75" t="str" cm="1">
        <f t="array" ref="J60">IFERROR(_xlfn.FIELDVALUE(T_WATCHLIST4[[#This Row],[Stock]],"Price"),"")</f>
        <v/>
      </c>
      <c r="K60" s="82" t="str" cm="1">
        <f t="array" ref="K60">IFERROR(_xlfn.FIELDVALUE(T_WATCHLIST4[[#This Row],[Stock]],"Change"),"")</f>
        <v/>
      </c>
      <c r="L60" s="83" t="str" cm="1">
        <f t="array" ref="L60">IFERROR(_xlfn.FIELDVALUE(T_WATCHLIST4[[#This Row],[Stock]],"Change (%)"),"")</f>
        <v/>
      </c>
      <c r="M60" s="84" t="str">
        <f>IF(T_WATCHLIST4[[#This Row],[Stock]]="","",T_WATCHLIST4[[#This Row],[Quantity]]*T_WATCHLIST4[[#This Row],[Last Price]])</f>
        <v/>
      </c>
      <c r="N60" s="85" t="str" cm="1">
        <f t="array" ref="N60">IF(T_WATCHLIST4[[#This Row],[Stock]]="","",T_WATCHLIST4[[#This Row],[Current Value]]-_xlfn.FIELDVALUE(T_WATCHLIST4[[#This Row],[Stock]],"Previous Close")*T_WATCHLIST4[[#This Row],[Quantity]])</f>
        <v/>
      </c>
      <c r="O60" s="86" t="str">
        <f>IFERROR(T_WATCHLIST4[[#This Row],[Today''s Gain/Loss]]/(T_WATCHLIST4[[#This Row],[Current Value]]-T_WATCHLIST4[[#This Row],[Today''s Gain/Loss]]),"")</f>
        <v/>
      </c>
      <c r="P60" s="84" t="str">
        <f>IFERROR(T_WATCHLIST4[[#This Row],[Current Value]]-T_WATCHLIST4[[#This Row],[% Total Gain/Loss9]],"")</f>
        <v/>
      </c>
      <c r="Q60" s="87" t="str">
        <f>IFERROR(T_WATCHLIST4[[#This Row],[Total Gain/Loss]]/T_WATCHLIST4[[#This Row],[% Total Gain/Loss9]],"")</f>
        <v/>
      </c>
      <c r="R60" s="88" t="str" cm="1">
        <f t="array" ref="R60">IFERROR(_xlfn.FIELDVALUE(T_WATCHLIST4[[#This Row],[Stock]],"52 week low"),"")</f>
        <v/>
      </c>
      <c r="S6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0" s="73" t="str" cm="1">
        <f t="array" ref="T60">IFERROR(_xlfn.FIELDVALUE(T_WATCHLIST4[[#This Row],[Stock]],"52 week high"),"")</f>
        <v/>
      </c>
      <c r="U60" s="64" t="str" cm="1">
        <f t="array" ref="U60">IF(T_WATCHLIST4[[#This Row],[Stock]]="","",SUMPRODUCT(T_TXN[UNITS],--(T_TXN[TYPE]="Buy"),--(T_TXN[TICKER]=T_WATCHLIST4[[#This Row],[Stock]])))</f>
        <v/>
      </c>
      <c r="V60" s="67" t="str" cm="1">
        <f t="array" ref="V60">IF(T_WATCHLIST4[[#This Row],[Stock]]="","",SUMPRODUCT(--(T_TXN[TYPE]="Buy"),T_TXN[UNITS],T_TXN[PRICE],--(T_TXN[TICKER]=T_WATCHLIST4[[#This Row],[Stock]])))</f>
        <v/>
      </c>
      <c r="W60" s="64" t="str" cm="1">
        <f t="array" ref="W60">IF(T_WATCHLIST4[[#This Row],[Stock]]="","",SUMPRODUCT(T_TXN[UNITS],--(T_TXN[TYPE]="Sell"),--(T_TXN[TICKER]=T_WATCHLIST4[[#This Row],[Stock]])))</f>
        <v/>
      </c>
      <c r="X60" s="67" t="str" cm="1">
        <f t="array" ref="X60">IF(T_WATCHLIST4[[#This Row],[Stock]]="","",SUMPRODUCT(--(T_TXN[TYPE]="Sell"),T_TXN[UNITS],T_TXN[PRICE],--(T_TXN[TICKER]=T_WATCHLIST4[[#This Row],[Stock]])))</f>
        <v/>
      </c>
      <c r="Y60" s="67" t="str" cm="1">
        <f t="array" ref="Y60">IF(T_WATCHLIST4[[#This Row],[Stock]]="","",SUMPRODUCT(T_TXN[UNITS],T_TXN[PRICE],--(T_TXN[TYPE]="Buy"),--(T_TXN[TICKER]=T_WATCHLIST4[[#This Row],[Stock]])) -SUMPRODUCT(T_TXN[UNITS],T_TXN[PRICE],--(T_TXN[TYPE]="Sell"),--(T_TXN[TICKER]=T_WATCHLIST4[[#This Row],[Stock]])))</f>
        <v/>
      </c>
      <c r="Z60" s="64" t="str" cm="1">
        <f t="array" ref="Z60">IFERROR(IF(ROW(T_WATCHLIST4[[#This Row],[Stock]])-ROW(T_WATCHLIST4[[#Headers],[Stock]])&gt;=C_CNT_STOCKS,"",_FV(T_WATCHLIST4[[#This Row],[Stock]],"Industry",TRUE)),"Not Available")</f>
        <v/>
      </c>
      <c r="AA60" s="64" t="str" cm="1">
        <f t="array" ref="AA60">IFERROR(IF(ROW(T_WATCHLIST4[[#This Row],[Stock]])-ROW(T_WATCHLIST4[[#Headers],[Stock]])&gt;=C_CNT_STOCKS,"",_FV(T_WATCHLIST4[[#This Row],[Stock]],"Instrument type",TRUE)),"Not Available")</f>
        <v/>
      </c>
    </row>
    <row r="61" spans="5:27" ht="22" customHeight="1">
      <c r="E61" s="89"/>
      <c r="F61" s="75" t="str" cm="1">
        <f t="array" ref="F61">IFERROR(IF(ROW(T_WATCHLIST4[[#This Row],[Stock]])-ROW(T_WATCHLIST4[[#Headers],[Stock]])&gt;C_CNT_STOCKS,"",INDEX(_xlfn.ANCHORARRAY(HELP!$G$2),ROW(T_WATCHLIST4[[#This Row],[Stock]])-ROW(T_WATCHLIST4[[#Headers],[Stock]]))),"")</f>
        <v/>
      </c>
      <c r="G61" s="80" t="str" cm="1">
        <f t="array" ref="G61">IFERROR(_xlfn.FIELDVALUE(T_WATCHLIST4[[#This Row],[Stock]],"Ticker Symbol"),"")</f>
        <v/>
      </c>
      <c r="H61" s="117"/>
      <c r="I61" s="81" t="str">
        <f>IF(T_WATCHLIST4[[#This Row],[Stock]]="","",SUMIFS(T_TXN[UNITS],T_TXN[TYPE],"Buy",T_TXN[TICKER],T_WATCHLIST4[[#This Row],[Stock]])-SUMIFS(T_TXN[UNITS],T_TXN[TYPE],"Sell",T_TXN[TICKER],T_WATCHLIST4[[#This Row],[Stock]])+SUMIFS(T_TXN[UNITS],T_TXN[TYPE],"Dividend Reinvestment",T_TXN[TICKER],T_WATCHLIST4[[#This Row],[Stock]]))</f>
        <v/>
      </c>
      <c r="J61" s="75" t="str" cm="1">
        <f t="array" ref="J61">IFERROR(_xlfn.FIELDVALUE(T_WATCHLIST4[[#This Row],[Stock]],"Price"),"")</f>
        <v/>
      </c>
      <c r="K61" s="82" t="str" cm="1">
        <f t="array" ref="K61">IFERROR(_xlfn.FIELDVALUE(T_WATCHLIST4[[#This Row],[Stock]],"Change"),"")</f>
        <v/>
      </c>
      <c r="L61" s="83" t="str" cm="1">
        <f t="array" ref="L61">IFERROR(_xlfn.FIELDVALUE(T_WATCHLIST4[[#This Row],[Stock]],"Change (%)"),"")</f>
        <v/>
      </c>
      <c r="M61" s="84" t="str">
        <f>IF(T_WATCHLIST4[[#This Row],[Stock]]="","",T_WATCHLIST4[[#This Row],[Quantity]]*T_WATCHLIST4[[#This Row],[Last Price]])</f>
        <v/>
      </c>
      <c r="N61" s="85" t="str" cm="1">
        <f t="array" ref="N61">IF(T_WATCHLIST4[[#This Row],[Stock]]="","",T_WATCHLIST4[[#This Row],[Current Value]]-_xlfn.FIELDVALUE(T_WATCHLIST4[[#This Row],[Stock]],"Previous Close")*T_WATCHLIST4[[#This Row],[Quantity]])</f>
        <v/>
      </c>
      <c r="O61" s="86" t="str">
        <f>IFERROR(T_WATCHLIST4[[#This Row],[Today''s Gain/Loss]]/(T_WATCHLIST4[[#This Row],[Current Value]]-T_WATCHLIST4[[#This Row],[Today''s Gain/Loss]]),"")</f>
        <v/>
      </c>
      <c r="P61" s="84" t="str">
        <f>IFERROR(T_WATCHLIST4[[#This Row],[Current Value]]-T_WATCHLIST4[[#This Row],[% Total Gain/Loss9]],"")</f>
        <v/>
      </c>
      <c r="Q61" s="87" t="str">
        <f>IFERROR(T_WATCHLIST4[[#This Row],[Total Gain/Loss]]/T_WATCHLIST4[[#This Row],[% Total Gain/Loss9]],"")</f>
        <v/>
      </c>
      <c r="R61" s="88" t="str" cm="1">
        <f t="array" ref="R61">IFERROR(_xlfn.FIELDVALUE(T_WATCHLIST4[[#This Row],[Stock]],"52 week low"),"")</f>
        <v/>
      </c>
      <c r="S6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1" s="73" t="str" cm="1">
        <f t="array" ref="T61">IFERROR(_xlfn.FIELDVALUE(T_WATCHLIST4[[#This Row],[Stock]],"52 week high"),"")</f>
        <v/>
      </c>
      <c r="U61" s="64" t="str" cm="1">
        <f t="array" ref="U61">IF(T_WATCHLIST4[[#This Row],[Stock]]="","",SUMPRODUCT(T_TXN[UNITS],--(T_TXN[TYPE]="Buy"),--(T_TXN[TICKER]=T_WATCHLIST4[[#This Row],[Stock]])))</f>
        <v/>
      </c>
      <c r="V61" s="67" t="str" cm="1">
        <f t="array" ref="V61">IF(T_WATCHLIST4[[#This Row],[Stock]]="","",SUMPRODUCT(--(T_TXN[TYPE]="Buy"),T_TXN[UNITS],T_TXN[PRICE],--(T_TXN[TICKER]=T_WATCHLIST4[[#This Row],[Stock]])))</f>
        <v/>
      </c>
      <c r="W61" s="64" t="str" cm="1">
        <f t="array" ref="W61">IF(T_WATCHLIST4[[#This Row],[Stock]]="","",SUMPRODUCT(T_TXN[UNITS],--(T_TXN[TYPE]="Sell"),--(T_TXN[TICKER]=T_WATCHLIST4[[#This Row],[Stock]])))</f>
        <v/>
      </c>
      <c r="X61" s="67" t="str" cm="1">
        <f t="array" ref="X61">IF(T_WATCHLIST4[[#This Row],[Stock]]="","",SUMPRODUCT(--(T_TXN[TYPE]="Sell"),T_TXN[UNITS],T_TXN[PRICE],--(T_TXN[TICKER]=T_WATCHLIST4[[#This Row],[Stock]])))</f>
        <v/>
      </c>
      <c r="Y61" s="67" t="str" cm="1">
        <f t="array" ref="Y61">IF(T_WATCHLIST4[[#This Row],[Stock]]="","",SUMPRODUCT(T_TXN[UNITS],T_TXN[PRICE],--(T_TXN[TYPE]="Buy"),--(T_TXN[TICKER]=T_WATCHLIST4[[#This Row],[Stock]])) -SUMPRODUCT(T_TXN[UNITS],T_TXN[PRICE],--(T_TXN[TYPE]="Sell"),--(T_TXN[TICKER]=T_WATCHLIST4[[#This Row],[Stock]])))</f>
        <v/>
      </c>
      <c r="Z61" s="64" t="str" cm="1">
        <f t="array" ref="Z61">IFERROR(IF(ROW(T_WATCHLIST4[[#This Row],[Stock]])-ROW(T_WATCHLIST4[[#Headers],[Stock]])&gt;=C_CNT_STOCKS,"",_FV(T_WATCHLIST4[[#This Row],[Stock]],"Industry",TRUE)),"Not Available")</f>
        <v/>
      </c>
      <c r="AA61" s="64" t="str" cm="1">
        <f t="array" ref="AA61">IFERROR(IF(ROW(T_WATCHLIST4[[#This Row],[Stock]])-ROW(T_WATCHLIST4[[#Headers],[Stock]])&gt;=C_CNT_STOCKS,"",_FV(T_WATCHLIST4[[#This Row],[Stock]],"Instrument type",TRUE)),"Not Available")</f>
        <v/>
      </c>
    </row>
    <row r="62" spans="5:27" ht="22" customHeight="1">
      <c r="E62" s="89"/>
      <c r="F62" s="75" t="str" cm="1">
        <f t="array" ref="F62">IFERROR(IF(ROW(T_WATCHLIST4[[#This Row],[Stock]])-ROW(T_WATCHLIST4[[#Headers],[Stock]])&gt;C_CNT_STOCKS,"",INDEX(_xlfn.ANCHORARRAY(HELP!$G$2),ROW(T_WATCHLIST4[[#This Row],[Stock]])-ROW(T_WATCHLIST4[[#Headers],[Stock]]))),"")</f>
        <v/>
      </c>
      <c r="G62" s="80" t="str" cm="1">
        <f t="array" ref="G62">IFERROR(_xlfn.FIELDVALUE(T_WATCHLIST4[[#This Row],[Stock]],"Ticker Symbol"),"")</f>
        <v/>
      </c>
      <c r="H62" s="117"/>
      <c r="I62" s="81" t="str">
        <f>IF(T_WATCHLIST4[[#This Row],[Stock]]="","",SUMIFS(T_TXN[UNITS],T_TXN[TYPE],"Buy",T_TXN[TICKER],T_WATCHLIST4[[#This Row],[Stock]])-SUMIFS(T_TXN[UNITS],T_TXN[TYPE],"Sell",T_TXN[TICKER],T_WATCHLIST4[[#This Row],[Stock]])+SUMIFS(T_TXN[UNITS],T_TXN[TYPE],"Dividend Reinvestment",T_TXN[TICKER],T_WATCHLIST4[[#This Row],[Stock]]))</f>
        <v/>
      </c>
      <c r="J62" s="75" t="str" cm="1">
        <f t="array" ref="J62">IFERROR(_xlfn.FIELDVALUE(T_WATCHLIST4[[#This Row],[Stock]],"Price"),"")</f>
        <v/>
      </c>
      <c r="K62" s="82" t="str" cm="1">
        <f t="array" ref="K62">IFERROR(_xlfn.FIELDVALUE(T_WATCHLIST4[[#This Row],[Stock]],"Change"),"")</f>
        <v/>
      </c>
      <c r="L62" s="83" t="str" cm="1">
        <f t="array" ref="L62">IFERROR(_xlfn.FIELDVALUE(T_WATCHLIST4[[#This Row],[Stock]],"Change (%)"),"")</f>
        <v/>
      </c>
      <c r="M62" s="84" t="str">
        <f>IF(T_WATCHLIST4[[#This Row],[Stock]]="","",T_WATCHLIST4[[#This Row],[Quantity]]*T_WATCHLIST4[[#This Row],[Last Price]])</f>
        <v/>
      </c>
      <c r="N62" s="85" t="str" cm="1">
        <f t="array" ref="N62">IF(T_WATCHLIST4[[#This Row],[Stock]]="","",T_WATCHLIST4[[#This Row],[Current Value]]-_xlfn.FIELDVALUE(T_WATCHLIST4[[#This Row],[Stock]],"Previous Close")*T_WATCHLIST4[[#This Row],[Quantity]])</f>
        <v/>
      </c>
      <c r="O62" s="86" t="str">
        <f>IFERROR(T_WATCHLIST4[[#This Row],[Today''s Gain/Loss]]/(T_WATCHLIST4[[#This Row],[Current Value]]-T_WATCHLIST4[[#This Row],[Today''s Gain/Loss]]),"")</f>
        <v/>
      </c>
      <c r="P62" s="84" t="str">
        <f>IFERROR(T_WATCHLIST4[[#This Row],[Current Value]]-T_WATCHLIST4[[#This Row],[% Total Gain/Loss9]],"")</f>
        <v/>
      </c>
      <c r="Q62" s="87" t="str">
        <f>IFERROR(T_WATCHLIST4[[#This Row],[Total Gain/Loss]]/T_WATCHLIST4[[#This Row],[% Total Gain/Loss9]],"")</f>
        <v/>
      </c>
      <c r="R62" s="88" t="str" cm="1">
        <f t="array" ref="R62">IFERROR(_xlfn.FIELDVALUE(T_WATCHLIST4[[#This Row],[Stock]],"52 week low"),"")</f>
        <v/>
      </c>
      <c r="S6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2" s="73" t="str" cm="1">
        <f t="array" ref="T62">IFERROR(_xlfn.FIELDVALUE(T_WATCHLIST4[[#This Row],[Stock]],"52 week high"),"")</f>
        <v/>
      </c>
      <c r="U62" s="64" t="str" cm="1">
        <f t="array" ref="U62">IF(T_WATCHLIST4[[#This Row],[Stock]]="","",SUMPRODUCT(T_TXN[UNITS],--(T_TXN[TYPE]="Buy"),--(T_TXN[TICKER]=T_WATCHLIST4[[#This Row],[Stock]])))</f>
        <v/>
      </c>
      <c r="V62" s="67" t="str" cm="1">
        <f t="array" ref="V62">IF(T_WATCHLIST4[[#This Row],[Stock]]="","",SUMPRODUCT(--(T_TXN[TYPE]="Buy"),T_TXN[UNITS],T_TXN[PRICE],--(T_TXN[TICKER]=T_WATCHLIST4[[#This Row],[Stock]])))</f>
        <v/>
      </c>
      <c r="W62" s="64" t="str" cm="1">
        <f t="array" ref="W62">IF(T_WATCHLIST4[[#This Row],[Stock]]="","",SUMPRODUCT(T_TXN[UNITS],--(T_TXN[TYPE]="Sell"),--(T_TXN[TICKER]=T_WATCHLIST4[[#This Row],[Stock]])))</f>
        <v/>
      </c>
      <c r="X62" s="67" t="str" cm="1">
        <f t="array" ref="X62">IF(T_WATCHLIST4[[#This Row],[Stock]]="","",SUMPRODUCT(--(T_TXN[TYPE]="Sell"),T_TXN[UNITS],T_TXN[PRICE],--(T_TXN[TICKER]=T_WATCHLIST4[[#This Row],[Stock]])))</f>
        <v/>
      </c>
      <c r="Y62" s="67" t="str" cm="1">
        <f t="array" ref="Y62">IF(T_WATCHLIST4[[#This Row],[Stock]]="","",SUMPRODUCT(T_TXN[UNITS],T_TXN[PRICE],--(T_TXN[TYPE]="Buy"),--(T_TXN[TICKER]=T_WATCHLIST4[[#This Row],[Stock]])) -SUMPRODUCT(T_TXN[UNITS],T_TXN[PRICE],--(T_TXN[TYPE]="Sell"),--(T_TXN[TICKER]=T_WATCHLIST4[[#This Row],[Stock]])))</f>
        <v/>
      </c>
      <c r="Z62" s="64" t="str" cm="1">
        <f t="array" ref="Z62">IFERROR(IF(ROW(T_WATCHLIST4[[#This Row],[Stock]])-ROW(T_WATCHLIST4[[#Headers],[Stock]])&gt;=C_CNT_STOCKS,"",_FV(T_WATCHLIST4[[#This Row],[Stock]],"Industry",TRUE)),"Not Available")</f>
        <v/>
      </c>
      <c r="AA62" s="64" t="str" cm="1">
        <f t="array" ref="AA62">IFERROR(IF(ROW(T_WATCHLIST4[[#This Row],[Stock]])-ROW(T_WATCHLIST4[[#Headers],[Stock]])&gt;=C_CNT_STOCKS,"",_FV(T_WATCHLIST4[[#This Row],[Stock]],"Instrument type",TRUE)),"Not Available")</f>
        <v/>
      </c>
    </row>
    <row r="63" spans="5:27" ht="22" customHeight="1">
      <c r="E63" s="89"/>
      <c r="F63" s="75" t="str" cm="1">
        <f t="array" ref="F63">IFERROR(IF(ROW(T_WATCHLIST4[[#This Row],[Stock]])-ROW(T_WATCHLIST4[[#Headers],[Stock]])&gt;C_CNT_STOCKS,"",INDEX(_xlfn.ANCHORARRAY(HELP!$G$2),ROW(T_WATCHLIST4[[#This Row],[Stock]])-ROW(T_WATCHLIST4[[#Headers],[Stock]]))),"")</f>
        <v/>
      </c>
      <c r="G63" s="80" t="str" cm="1">
        <f t="array" ref="G63">IFERROR(_xlfn.FIELDVALUE(T_WATCHLIST4[[#This Row],[Stock]],"Ticker Symbol"),"")</f>
        <v/>
      </c>
      <c r="H63" s="117"/>
      <c r="I63" s="81" t="str">
        <f>IF(T_WATCHLIST4[[#This Row],[Stock]]="","",SUMIFS(T_TXN[UNITS],T_TXN[TYPE],"Buy",T_TXN[TICKER],T_WATCHLIST4[[#This Row],[Stock]])-SUMIFS(T_TXN[UNITS],T_TXN[TYPE],"Sell",T_TXN[TICKER],T_WATCHLIST4[[#This Row],[Stock]])+SUMIFS(T_TXN[UNITS],T_TXN[TYPE],"Dividend Reinvestment",T_TXN[TICKER],T_WATCHLIST4[[#This Row],[Stock]]))</f>
        <v/>
      </c>
      <c r="J63" s="75" t="str" cm="1">
        <f t="array" ref="J63">IFERROR(_xlfn.FIELDVALUE(T_WATCHLIST4[[#This Row],[Stock]],"Price"),"")</f>
        <v/>
      </c>
      <c r="K63" s="82" t="str" cm="1">
        <f t="array" ref="K63">IFERROR(_xlfn.FIELDVALUE(T_WATCHLIST4[[#This Row],[Stock]],"Change"),"")</f>
        <v/>
      </c>
      <c r="L63" s="83" t="str" cm="1">
        <f t="array" ref="L63">IFERROR(_xlfn.FIELDVALUE(T_WATCHLIST4[[#This Row],[Stock]],"Change (%)"),"")</f>
        <v/>
      </c>
      <c r="M63" s="84" t="str">
        <f>IF(T_WATCHLIST4[[#This Row],[Stock]]="","",T_WATCHLIST4[[#This Row],[Quantity]]*T_WATCHLIST4[[#This Row],[Last Price]])</f>
        <v/>
      </c>
      <c r="N63" s="85" t="str" cm="1">
        <f t="array" ref="N63">IF(T_WATCHLIST4[[#This Row],[Stock]]="","",T_WATCHLIST4[[#This Row],[Current Value]]-_xlfn.FIELDVALUE(T_WATCHLIST4[[#This Row],[Stock]],"Previous Close")*T_WATCHLIST4[[#This Row],[Quantity]])</f>
        <v/>
      </c>
      <c r="O63" s="86" t="str">
        <f>IFERROR(T_WATCHLIST4[[#This Row],[Today''s Gain/Loss]]/(T_WATCHLIST4[[#This Row],[Current Value]]-T_WATCHLIST4[[#This Row],[Today''s Gain/Loss]]),"")</f>
        <v/>
      </c>
      <c r="P63" s="84" t="str">
        <f>IFERROR(T_WATCHLIST4[[#This Row],[Current Value]]-T_WATCHLIST4[[#This Row],[% Total Gain/Loss9]],"")</f>
        <v/>
      </c>
      <c r="Q63" s="87" t="str">
        <f>IFERROR(T_WATCHLIST4[[#This Row],[Total Gain/Loss]]/T_WATCHLIST4[[#This Row],[% Total Gain/Loss9]],"")</f>
        <v/>
      </c>
      <c r="R63" s="88" t="str" cm="1">
        <f t="array" ref="R63">IFERROR(_xlfn.FIELDVALUE(T_WATCHLIST4[[#This Row],[Stock]],"52 week low"),"")</f>
        <v/>
      </c>
      <c r="S6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3" s="73" t="str" cm="1">
        <f t="array" ref="T63">IFERROR(_xlfn.FIELDVALUE(T_WATCHLIST4[[#This Row],[Stock]],"52 week high"),"")</f>
        <v/>
      </c>
      <c r="U63" s="64" t="str" cm="1">
        <f t="array" ref="U63">IF(T_WATCHLIST4[[#This Row],[Stock]]="","",SUMPRODUCT(T_TXN[UNITS],--(T_TXN[TYPE]="Buy"),--(T_TXN[TICKER]=T_WATCHLIST4[[#This Row],[Stock]])))</f>
        <v/>
      </c>
      <c r="V63" s="67" t="str" cm="1">
        <f t="array" ref="V63">IF(T_WATCHLIST4[[#This Row],[Stock]]="","",SUMPRODUCT(--(T_TXN[TYPE]="Buy"),T_TXN[UNITS],T_TXN[PRICE],--(T_TXN[TICKER]=T_WATCHLIST4[[#This Row],[Stock]])))</f>
        <v/>
      </c>
      <c r="W63" s="64" t="str" cm="1">
        <f t="array" ref="W63">IF(T_WATCHLIST4[[#This Row],[Stock]]="","",SUMPRODUCT(T_TXN[UNITS],--(T_TXN[TYPE]="Sell"),--(T_TXN[TICKER]=T_WATCHLIST4[[#This Row],[Stock]])))</f>
        <v/>
      </c>
      <c r="X63" s="67" t="str" cm="1">
        <f t="array" ref="X63">IF(T_WATCHLIST4[[#This Row],[Stock]]="","",SUMPRODUCT(--(T_TXN[TYPE]="Sell"),T_TXN[UNITS],T_TXN[PRICE],--(T_TXN[TICKER]=T_WATCHLIST4[[#This Row],[Stock]])))</f>
        <v/>
      </c>
      <c r="Y63" s="67" t="str" cm="1">
        <f t="array" ref="Y63">IF(T_WATCHLIST4[[#This Row],[Stock]]="","",SUMPRODUCT(T_TXN[UNITS],T_TXN[PRICE],--(T_TXN[TYPE]="Buy"),--(T_TXN[TICKER]=T_WATCHLIST4[[#This Row],[Stock]])) -SUMPRODUCT(T_TXN[UNITS],T_TXN[PRICE],--(T_TXN[TYPE]="Sell"),--(T_TXN[TICKER]=T_WATCHLIST4[[#This Row],[Stock]])))</f>
        <v/>
      </c>
      <c r="Z63" s="64" t="str" cm="1">
        <f t="array" ref="Z63">IFERROR(IF(ROW(T_WATCHLIST4[[#This Row],[Stock]])-ROW(T_WATCHLIST4[[#Headers],[Stock]])&gt;=C_CNT_STOCKS,"",_FV(T_WATCHLIST4[[#This Row],[Stock]],"Industry",TRUE)),"Not Available")</f>
        <v/>
      </c>
      <c r="AA63" s="64" t="str" cm="1">
        <f t="array" ref="AA63">IFERROR(IF(ROW(T_WATCHLIST4[[#This Row],[Stock]])-ROW(T_WATCHLIST4[[#Headers],[Stock]])&gt;=C_CNT_STOCKS,"",_FV(T_WATCHLIST4[[#This Row],[Stock]],"Instrument type",TRUE)),"Not Available")</f>
        <v/>
      </c>
    </row>
    <row r="64" spans="5:27" ht="22" customHeight="1">
      <c r="E64" s="89"/>
      <c r="F64" s="75" t="str" cm="1">
        <f t="array" ref="F64">IFERROR(IF(ROW(T_WATCHLIST4[[#This Row],[Stock]])-ROW(T_WATCHLIST4[[#Headers],[Stock]])&gt;C_CNT_STOCKS,"",INDEX(_xlfn.ANCHORARRAY(HELP!$G$2),ROW(T_WATCHLIST4[[#This Row],[Stock]])-ROW(T_WATCHLIST4[[#Headers],[Stock]]))),"")</f>
        <v/>
      </c>
      <c r="G64" s="80" t="str" cm="1">
        <f t="array" ref="G64">IFERROR(_xlfn.FIELDVALUE(T_WATCHLIST4[[#This Row],[Stock]],"Ticker Symbol"),"")</f>
        <v/>
      </c>
      <c r="H64" s="117"/>
      <c r="I64" s="81" t="str">
        <f>IF(T_WATCHLIST4[[#This Row],[Stock]]="","",SUMIFS(T_TXN[UNITS],T_TXN[TYPE],"Buy",T_TXN[TICKER],T_WATCHLIST4[[#This Row],[Stock]])-SUMIFS(T_TXN[UNITS],T_TXN[TYPE],"Sell",T_TXN[TICKER],T_WATCHLIST4[[#This Row],[Stock]])+SUMIFS(T_TXN[UNITS],T_TXN[TYPE],"Dividend Reinvestment",T_TXN[TICKER],T_WATCHLIST4[[#This Row],[Stock]]))</f>
        <v/>
      </c>
      <c r="J64" s="75" t="str" cm="1">
        <f t="array" ref="J64">IFERROR(_xlfn.FIELDVALUE(T_WATCHLIST4[[#This Row],[Stock]],"Price"),"")</f>
        <v/>
      </c>
      <c r="K64" s="82" t="str" cm="1">
        <f t="array" ref="K64">IFERROR(_xlfn.FIELDVALUE(T_WATCHLIST4[[#This Row],[Stock]],"Change"),"")</f>
        <v/>
      </c>
      <c r="L64" s="83" t="str" cm="1">
        <f t="array" ref="L64">IFERROR(_xlfn.FIELDVALUE(T_WATCHLIST4[[#This Row],[Stock]],"Change (%)"),"")</f>
        <v/>
      </c>
      <c r="M64" s="84" t="str">
        <f>IF(T_WATCHLIST4[[#This Row],[Stock]]="","",T_WATCHLIST4[[#This Row],[Quantity]]*T_WATCHLIST4[[#This Row],[Last Price]])</f>
        <v/>
      </c>
      <c r="N64" s="85" t="str" cm="1">
        <f t="array" ref="N64">IF(T_WATCHLIST4[[#This Row],[Stock]]="","",T_WATCHLIST4[[#This Row],[Current Value]]-_xlfn.FIELDVALUE(T_WATCHLIST4[[#This Row],[Stock]],"Previous Close")*T_WATCHLIST4[[#This Row],[Quantity]])</f>
        <v/>
      </c>
      <c r="O64" s="86" t="str">
        <f>IFERROR(T_WATCHLIST4[[#This Row],[Today''s Gain/Loss]]/(T_WATCHLIST4[[#This Row],[Current Value]]-T_WATCHLIST4[[#This Row],[Today''s Gain/Loss]]),"")</f>
        <v/>
      </c>
      <c r="P64" s="84" t="str">
        <f>IFERROR(T_WATCHLIST4[[#This Row],[Current Value]]-T_WATCHLIST4[[#This Row],[% Total Gain/Loss9]],"")</f>
        <v/>
      </c>
      <c r="Q64" s="87" t="str">
        <f>IFERROR(T_WATCHLIST4[[#This Row],[Total Gain/Loss]]/T_WATCHLIST4[[#This Row],[% Total Gain/Loss9]],"")</f>
        <v/>
      </c>
      <c r="R64" s="88" t="str" cm="1">
        <f t="array" ref="R64">IFERROR(_xlfn.FIELDVALUE(T_WATCHLIST4[[#This Row],[Stock]],"52 week low"),"")</f>
        <v/>
      </c>
      <c r="S6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4" s="73" t="str" cm="1">
        <f t="array" ref="T64">IFERROR(_xlfn.FIELDVALUE(T_WATCHLIST4[[#This Row],[Stock]],"52 week high"),"")</f>
        <v/>
      </c>
      <c r="U64" s="64" t="str" cm="1">
        <f t="array" ref="U64">IF(T_WATCHLIST4[[#This Row],[Stock]]="","",SUMPRODUCT(T_TXN[UNITS],--(T_TXN[TYPE]="Buy"),--(T_TXN[TICKER]=T_WATCHLIST4[[#This Row],[Stock]])))</f>
        <v/>
      </c>
      <c r="V64" s="67" t="str" cm="1">
        <f t="array" ref="V64">IF(T_WATCHLIST4[[#This Row],[Stock]]="","",SUMPRODUCT(--(T_TXN[TYPE]="Buy"),T_TXN[UNITS],T_TXN[PRICE],--(T_TXN[TICKER]=T_WATCHLIST4[[#This Row],[Stock]])))</f>
        <v/>
      </c>
      <c r="W64" s="64" t="str" cm="1">
        <f t="array" ref="W64">IF(T_WATCHLIST4[[#This Row],[Stock]]="","",SUMPRODUCT(T_TXN[UNITS],--(T_TXN[TYPE]="Sell"),--(T_TXN[TICKER]=T_WATCHLIST4[[#This Row],[Stock]])))</f>
        <v/>
      </c>
      <c r="X64" s="67" t="str" cm="1">
        <f t="array" ref="X64">IF(T_WATCHLIST4[[#This Row],[Stock]]="","",SUMPRODUCT(--(T_TXN[TYPE]="Sell"),T_TXN[UNITS],T_TXN[PRICE],--(T_TXN[TICKER]=T_WATCHLIST4[[#This Row],[Stock]])))</f>
        <v/>
      </c>
      <c r="Y64" s="67" t="str" cm="1">
        <f t="array" ref="Y64">IF(T_WATCHLIST4[[#This Row],[Stock]]="","",SUMPRODUCT(T_TXN[UNITS],T_TXN[PRICE],--(T_TXN[TYPE]="Buy"),--(T_TXN[TICKER]=T_WATCHLIST4[[#This Row],[Stock]])) -SUMPRODUCT(T_TXN[UNITS],T_TXN[PRICE],--(T_TXN[TYPE]="Sell"),--(T_TXN[TICKER]=T_WATCHLIST4[[#This Row],[Stock]])))</f>
        <v/>
      </c>
      <c r="Z64" s="64" t="str" cm="1">
        <f t="array" ref="Z64">IFERROR(IF(ROW(T_WATCHLIST4[[#This Row],[Stock]])-ROW(T_WATCHLIST4[[#Headers],[Stock]])&gt;=C_CNT_STOCKS,"",_FV(T_WATCHLIST4[[#This Row],[Stock]],"Industry",TRUE)),"Not Available")</f>
        <v/>
      </c>
      <c r="AA64" s="64" t="str" cm="1">
        <f t="array" ref="AA64">IFERROR(IF(ROW(T_WATCHLIST4[[#This Row],[Stock]])-ROW(T_WATCHLIST4[[#Headers],[Stock]])&gt;=C_CNT_STOCKS,"",_FV(T_WATCHLIST4[[#This Row],[Stock]],"Instrument type",TRUE)),"Not Available")</f>
        <v/>
      </c>
    </row>
    <row r="65" spans="5:27" ht="22" customHeight="1">
      <c r="E65" s="89"/>
      <c r="F65" s="75" t="str" cm="1">
        <f t="array" ref="F65">IFERROR(IF(ROW(T_WATCHLIST4[[#This Row],[Stock]])-ROW(T_WATCHLIST4[[#Headers],[Stock]])&gt;C_CNT_STOCKS,"",INDEX(_xlfn.ANCHORARRAY(HELP!$G$2),ROW(T_WATCHLIST4[[#This Row],[Stock]])-ROW(T_WATCHLIST4[[#Headers],[Stock]]))),"")</f>
        <v/>
      </c>
      <c r="G65" s="80" t="str" cm="1">
        <f t="array" ref="G65">IFERROR(_xlfn.FIELDVALUE(T_WATCHLIST4[[#This Row],[Stock]],"Ticker Symbol"),"")</f>
        <v/>
      </c>
      <c r="H65" s="117"/>
      <c r="I65" s="81" t="str">
        <f>IF(T_WATCHLIST4[[#This Row],[Stock]]="","",SUMIFS(T_TXN[UNITS],T_TXN[TYPE],"Buy",T_TXN[TICKER],T_WATCHLIST4[[#This Row],[Stock]])-SUMIFS(T_TXN[UNITS],T_TXN[TYPE],"Sell",T_TXN[TICKER],T_WATCHLIST4[[#This Row],[Stock]])+SUMIFS(T_TXN[UNITS],T_TXN[TYPE],"Dividend Reinvestment",T_TXN[TICKER],T_WATCHLIST4[[#This Row],[Stock]]))</f>
        <v/>
      </c>
      <c r="J65" s="75" t="str" cm="1">
        <f t="array" ref="J65">IFERROR(_xlfn.FIELDVALUE(T_WATCHLIST4[[#This Row],[Stock]],"Price"),"")</f>
        <v/>
      </c>
      <c r="K65" s="82" t="str" cm="1">
        <f t="array" ref="K65">IFERROR(_xlfn.FIELDVALUE(T_WATCHLIST4[[#This Row],[Stock]],"Change"),"")</f>
        <v/>
      </c>
      <c r="L65" s="83" t="str" cm="1">
        <f t="array" ref="L65">IFERROR(_xlfn.FIELDVALUE(T_WATCHLIST4[[#This Row],[Stock]],"Change (%)"),"")</f>
        <v/>
      </c>
      <c r="M65" s="84" t="str">
        <f>IF(T_WATCHLIST4[[#This Row],[Stock]]="","",T_WATCHLIST4[[#This Row],[Quantity]]*T_WATCHLIST4[[#This Row],[Last Price]])</f>
        <v/>
      </c>
      <c r="N65" s="85" t="str" cm="1">
        <f t="array" ref="N65">IF(T_WATCHLIST4[[#This Row],[Stock]]="","",T_WATCHLIST4[[#This Row],[Current Value]]-_xlfn.FIELDVALUE(T_WATCHLIST4[[#This Row],[Stock]],"Previous Close")*T_WATCHLIST4[[#This Row],[Quantity]])</f>
        <v/>
      </c>
      <c r="O65" s="86" t="str">
        <f>IFERROR(T_WATCHLIST4[[#This Row],[Today''s Gain/Loss]]/(T_WATCHLIST4[[#This Row],[Current Value]]-T_WATCHLIST4[[#This Row],[Today''s Gain/Loss]]),"")</f>
        <v/>
      </c>
      <c r="P65" s="84" t="str">
        <f>IFERROR(T_WATCHLIST4[[#This Row],[Current Value]]-T_WATCHLIST4[[#This Row],[% Total Gain/Loss9]],"")</f>
        <v/>
      </c>
      <c r="Q65" s="87" t="str">
        <f>IFERROR(T_WATCHLIST4[[#This Row],[Total Gain/Loss]]/T_WATCHLIST4[[#This Row],[% Total Gain/Loss9]],"")</f>
        <v/>
      </c>
      <c r="R65" s="88" t="str" cm="1">
        <f t="array" ref="R65">IFERROR(_xlfn.FIELDVALUE(T_WATCHLIST4[[#This Row],[Stock]],"52 week low"),"")</f>
        <v/>
      </c>
      <c r="S6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5" s="73" t="str" cm="1">
        <f t="array" ref="T65">IFERROR(_xlfn.FIELDVALUE(T_WATCHLIST4[[#This Row],[Stock]],"52 week high"),"")</f>
        <v/>
      </c>
      <c r="U65" s="64" t="str" cm="1">
        <f t="array" ref="U65">IF(T_WATCHLIST4[[#This Row],[Stock]]="","",SUMPRODUCT(T_TXN[UNITS],--(T_TXN[TYPE]="Buy"),--(T_TXN[TICKER]=T_WATCHLIST4[[#This Row],[Stock]])))</f>
        <v/>
      </c>
      <c r="V65" s="67" t="str" cm="1">
        <f t="array" ref="V65">IF(T_WATCHLIST4[[#This Row],[Stock]]="","",SUMPRODUCT(--(T_TXN[TYPE]="Buy"),T_TXN[UNITS],T_TXN[PRICE],--(T_TXN[TICKER]=T_WATCHLIST4[[#This Row],[Stock]])))</f>
        <v/>
      </c>
      <c r="W65" s="64" t="str" cm="1">
        <f t="array" ref="W65">IF(T_WATCHLIST4[[#This Row],[Stock]]="","",SUMPRODUCT(T_TXN[UNITS],--(T_TXN[TYPE]="Sell"),--(T_TXN[TICKER]=T_WATCHLIST4[[#This Row],[Stock]])))</f>
        <v/>
      </c>
      <c r="X65" s="67" t="str" cm="1">
        <f t="array" ref="X65">IF(T_WATCHLIST4[[#This Row],[Stock]]="","",SUMPRODUCT(--(T_TXN[TYPE]="Sell"),T_TXN[UNITS],T_TXN[PRICE],--(T_TXN[TICKER]=T_WATCHLIST4[[#This Row],[Stock]])))</f>
        <v/>
      </c>
      <c r="Y65" s="67" t="str" cm="1">
        <f t="array" ref="Y65">IF(T_WATCHLIST4[[#This Row],[Stock]]="","",SUMPRODUCT(T_TXN[UNITS],T_TXN[PRICE],--(T_TXN[TYPE]="Buy"),--(T_TXN[TICKER]=T_WATCHLIST4[[#This Row],[Stock]])) -SUMPRODUCT(T_TXN[UNITS],T_TXN[PRICE],--(T_TXN[TYPE]="Sell"),--(T_TXN[TICKER]=T_WATCHLIST4[[#This Row],[Stock]])))</f>
        <v/>
      </c>
      <c r="Z65" s="64" t="str" cm="1">
        <f t="array" ref="Z65">IFERROR(IF(ROW(T_WATCHLIST4[[#This Row],[Stock]])-ROW(T_WATCHLIST4[[#Headers],[Stock]])&gt;=C_CNT_STOCKS,"",_FV(T_WATCHLIST4[[#This Row],[Stock]],"Industry",TRUE)),"Not Available")</f>
        <v/>
      </c>
      <c r="AA65" s="64" t="str" cm="1">
        <f t="array" ref="AA65">IFERROR(IF(ROW(T_WATCHLIST4[[#This Row],[Stock]])-ROW(T_WATCHLIST4[[#Headers],[Stock]])&gt;=C_CNT_STOCKS,"",_FV(T_WATCHLIST4[[#This Row],[Stock]],"Instrument type",TRUE)),"Not Available")</f>
        <v/>
      </c>
    </row>
    <row r="66" spans="5:27" ht="22" customHeight="1">
      <c r="E66" s="89"/>
      <c r="F66" s="75" t="str" cm="1">
        <f t="array" ref="F66">IFERROR(IF(ROW(T_WATCHLIST4[[#This Row],[Stock]])-ROW(T_WATCHLIST4[[#Headers],[Stock]])&gt;C_CNT_STOCKS,"",INDEX(_xlfn.ANCHORARRAY(HELP!$G$2),ROW(T_WATCHLIST4[[#This Row],[Stock]])-ROW(T_WATCHLIST4[[#Headers],[Stock]]))),"")</f>
        <v/>
      </c>
      <c r="G66" s="80" t="str" cm="1">
        <f t="array" ref="G66">IFERROR(_xlfn.FIELDVALUE(T_WATCHLIST4[[#This Row],[Stock]],"Ticker Symbol"),"")</f>
        <v/>
      </c>
      <c r="H66" s="117"/>
      <c r="I66" s="81" t="str">
        <f>IF(T_WATCHLIST4[[#This Row],[Stock]]="","",SUMIFS(T_TXN[UNITS],T_TXN[TYPE],"Buy",T_TXN[TICKER],T_WATCHLIST4[[#This Row],[Stock]])-SUMIFS(T_TXN[UNITS],T_TXN[TYPE],"Sell",T_TXN[TICKER],T_WATCHLIST4[[#This Row],[Stock]])+SUMIFS(T_TXN[UNITS],T_TXN[TYPE],"Dividend Reinvestment",T_TXN[TICKER],T_WATCHLIST4[[#This Row],[Stock]]))</f>
        <v/>
      </c>
      <c r="J66" s="75" t="str" cm="1">
        <f t="array" ref="J66">IFERROR(_xlfn.FIELDVALUE(T_WATCHLIST4[[#This Row],[Stock]],"Price"),"")</f>
        <v/>
      </c>
      <c r="K66" s="82" t="str" cm="1">
        <f t="array" ref="K66">IFERROR(_xlfn.FIELDVALUE(T_WATCHLIST4[[#This Row],[Stock]],"Change"),"")</f>
        <v/>
      </c>
      <c r="L66" s="83" t="str" cm="1">
        <f t="array" ref="L66">IFERROR(_xlfn.FIELDVALUE(T_WATCHLIST4[[#This Row],[Stock]],"Change (%)"),"")</f>
        <v/>
      </c>
      <c r="M66" s="84" t="str">
        <f>IF(T_WATCHLIST4[[#This Row],[Stock]]="","",T_WATCHLIST4[[#This Row],[Quantity]]*T_WATCHLIST4[[#This Row],[Last Price]])</f>
        <v/>
      </c>
      <c r="N66" s="85" t="str" cm="1">
        <f t="array" ref="N66">IF(T_WATCHLIST4[[#This Row],[Stock]]="","",T_WATCHLIST4[[#This Row],[Current Value]]-_xlfn.FIELDVALUE(T_WATCHLIST4[[#This Row],[Stock]],"Previous Close")*T_WATCHLIST4[[#This Row],[Quantity]])</f>
        <v/>
      </c>
      <c r="O66" s="86" t="str">
        <f>IFERROR(T_WATCHLIST4[[#This Row],[Today''s Gain/Loss]]/(T_WATCHLIST4[[#This Row],[Current Value]]-T_WATCHLIST4[[#This Row],[Today''s Gain/Loss]]),"")</f>
        <v/>
      </c>
      <c r="P66" s="84" t="str">
        <f>IFERROR(T_WATCHLIST4[[#This Row],[Current Value]]-T_WATCHLIST4[[#This Row],[% Total Gain/Loss9]],"")</f>
        <v/>
      </c>
      <c r="Q66" s="87" t="str">
        <f>IFERROR(T_WATCHLIST4[[#This Row],[Total Gain/Loss]]/T_WATCHLIST4[[#This Row],[% Total Gain/Loss9]],"")</f>
        <v/>
      </c>
      <c r="R66" s="88" t="str" cm="1">
        <f t="array" ref="R66">IFERROR(_xlfn.FIELDVALUE(T_WATCHLIST4[[#This Row],[Stock]],"52 week low"),"")</f>
        <v/>
      </c>
      <c r="S6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6" s="73" t="str" cm="1">
        <f t="array" ref="T66">IFERROR(_xlfn.FIELDVALUE(T_WATCHLIST4[[#This Row],[Stock]],"52 week high"),"")</f>
        <v/>
      </c>
      <c r="U66" s="64" t="str" cm="1">
        <f t="array" ref="U66">IF(T_WATCHLIST4[[#This Row],[Stock]]="","",SUMPRODUCT(T_TXN[UNITS],--(T_TXN[TYPE]="Buy"),--(T_TXN[TICKER]=T_WATCHLIST4[[#This Row],[Stock]])))</f>
        <v/>
      </c>
      <c r="V66" s="67" t="str" cm="1">
        <f t="array" ref="V66">IF(T_WATCHLIST4[[#This Row],[Stock]]="","",SUMPRODUCT(--(T_TXN[TYPE]="Buy"),T_TXN[UNITS],T_TXN[PRICE],--(T_TXN[TICKER]=T_WATCHLIST4[[#This Row],[Stock]])))</f>
        <v/>
      </c>
      <c r="W66" s="64" t="str" cm="1">
        <f t="array" ref="W66">IF(T_WATCHLIST4[[#This Row],[Stock]]="","",SUMPRODUCT(T_TXN[UNITS],--(T_TXN[TYPE]="Sell"),--(T_TXN[TICKER]=T_WATCHLIST4[[#This Row],[Stock]])))</f>
        <v/>
      </c>
      <c r="X66" s="67" t="str" cm="1">
        <f t="array" ref="X66">IF(T_WATCHLIST4[[#This Row],[Stock]]="","",SUMPRODUCT(--(T_TXN[TYPE]="Sell"),T_TXN[UNITS],T_TXN[PRICE],--(T_TXN[TICKER]=T_WATCHLIST4[[#This Row],[Stock]])))</f>
        <v/>
      </c>
      <c r="Y66" s="67" t="str" cm="1">
        <f t="array" ref="Y66">IF(T_WATCHLIST4[[#This Row],[Stock]]="","",SUMPRODUCT(T_TXN[UNITS],T_TXN[PRICE],--(T_TXN[TYPE]="Buy"),--(T_TXN[TICKER]=T_WATCHLIST4[[#This Row],[Stock]])) -SUMPRODUCT(T_TXN[UNITS],T_TXN[PRICE],--(T_TXN[TYPE]="Sell"),--(T_TXN[TICKER]=T_WATCHLIST4[[#This Row],[Stock]])))</f>
        <v/>
      </c>
      <c r="Z66" s="64" t="str" cm="1">
        <f t="array" ref="Z66">IFERROR(IF(ROW(T_WATCHLIST4[[#This Row],[Stock]])-ROW(T_WATCHLIST4[[#Headers],[Stock]])&gt;=C_CNT_STOCKS,"",_FV(T_WATCHLIST4[[#This Row],[Stock]],"Industry",TRUE)),"Not Available")</f>
        <v/>
      </c>
      <c r="AA66" s="64" t="str" cm="1">
        <f t="array" ref="AA66">IFERROR(IF(ROW(T_WATCHLIST4[[#This Row],[Stock]])-ROW(T_WATCHLIST4[[#Headers],[Stock]])&gt;=C_CNT_STOCKS,"",_FV(T_WATCHLIST4[[#This Row],[Stock]],"Instrument type",TRUE)),"Not Available")</f>
        <v/>
      </c>
    </row>
    <row r="67" spans="5:27" ht="22" customHeight="1">
      <c r="E67" s="89"/>
      <c r="F67" s="75" t="str" cm="1">
        <f t="array" ref="F67">IFERROR(IF(ROW(T_WATCHLIST4[[#This Row],[Stock]])-ROW(T_WATCHLIST4[[#Headers],[Stock]])&gt;C_CNT_STOCKS,"",INDEX(_xlfn.ANCHORARRAY(HELP!$G$2),ROW(T_WATCHLIST4[[#This Row],[Stock]])-ROW(T_WATCHLIST4[[#Headers],[Stock]]))),"")</f>
        <v/>
      </c>
      <c r="G67" s="80" t="str" cm="1">
        <f t="array" ref="G67">IFERROR(_xlfn.FIELDVALUE(T_WATCHLIST4[[#This Row],[Stock]],"Ticker Symbol"),"")</f>
        <v/>
      </c>
      <c r="H67" s="117"/>
      <c r="I67" s="81" t="str">
        <f>IF(T_WATCHLIST4[[#This Row],[Stock]]="","",SUMIFS(T_TXN[UNITS],T_TXN[TYPE],"Buy",T_TXN[TICKER],T_WATCHLIST4[[#This Row],[Stock]])-SUMIFS(T_TXN[UNITS],T_TXN[TYPE],"Sell",T_TXN[TICKER],T_WATCHLIST4[[#This Row],[Stock]])+SUMIFS(T_TXN[UNITS],T_TXN[TYPE],"Dividend Reinvestment",T_TXN[TICKER],T_WATCHLIST4[[#This Row],[Stock]]))</f>
        <v/>
      </c>
      <c r="J67" s="75" t="str" cm="1">
        <f t="array" ref="J67">IFERROR(_xlfn.FIELDVALUE(T_WATCHLIST4[[#This Row],[Stock]],"Price"),"")</f>
        <v/>
      </c>
      <c r="K67" s="82" t="str" cm="1">
        <f t="array" ref="K67">IFERROR(_xlfn.FIELDVALUE(T_WATCHLIST4[[#This Row],[Stock]],"Change"),"")</f>
        <v/>
      </c>
      <c r="L67" s="83" t="str" cm="1">
        <f t="array" ref="L67">IFERROR(_xlfn.FIELDVALUE(T_WATCHLIST4[[#This Row],[Stock]],"Change (%)"),"")</f>
        <v/>
      </c>
      <c r="M67" s="84" t="str">
        <f>IF(T_WATCHLIST4[[#This Row],[Stock]]="","",T_WATCHLIST4[[#This Row],[Quantity]]*T_WATCHLIST4[[#This Row],[Last Price]])</f>
        <v/>
      </c>
      <c r="N67" s="85" t="str" cm="1">
        <f t="array" ref="N67">IF(T_WATCHLIST4[[#This Row],[Stock]]="","",T_WATCHLIST4[[#This Row],[Current Value]]-_xlfn.FIELDVALUE(T_WATCHLIST4[[#This Row],[Stock]],"Previous Close")*T_WATCHLIST4[[#This Row],[Quantity]])</f>
        <v/>
      </c>
      <c r="O67" s="86" t="str">
        <f>IFERROR(T_WATCHLIST4[[#This Row],[Today''s Gain/Loss]]/(T_WATCHLIST4[[#This Row],[Current Value]]-T_WATCHLIST4[[#This Row],[Today''s Gain/Loss]]),"")</f>
        <v/>
      </c>
      <c r="P67" s="84" t="str">
        <f>IFERROR(T_WATCHLIST4[[#This Row],[Current Value]]-T_WATCHLIST4[[#This Row],[% Total Gain/Loss9]],"")</f>
        <v/>
      </c>
      <c r="Q67" s="87" t="str">
        <f>IFERROR(T_WATCHLIST4[[#This Row],[Total Gain/Loss]]/T_WATCHLIST4[[#This Row],[% Total Gain/Loss9]],"")</f>
        <v/>
      </c>
      <c r="R67" s="88" t="str" cm="1">
        <f t="array" ref="R67">IFERROR(_xlfn.FIELDVALUE(T_WATCHLIST4[[#This Row],[Stock]],"52 week low"),"")</f>
        <v/>
      </c>
      <c r="S6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7" s="73" t="str" cm="1">
        <f t="array" ref="T67">IFERROR(_xlfn.FIELDVALUE(T_WATCHLIST4[[#This Row],[Stock]],"52 week high"),"")</f>
        <v/>
      </c>
      <c r="U67" s="64" t="str" cm="1">
        <f t="array" ref="U67">IF(T_WATCHLIST4[[#This Row],[Stock]]="","",SUMPRODUCT(T_TXN[UNITS],--(T_TXN[TYPE]="Buy"),--(T_TXN[TICKER]=T_WATCHLIST4[[#This Row],[Stock]])))</f>
        <v/>
      </c>
      <c r="V67" s="67" t="str" cm="1">
        <f t="array" ref="V67">IF(T_WATCHLIST4[[#This Row],[Stock]]="","",SUMPRODUCT(--(T_TXN[TYPE]="Buy"),T_TXN[UNITS],T_TXN[PRICE],--(T_TXN[TICKER]=T_WATCHLIST4[[#This Row],[Stock]])))</f>
        <v/>
      </c>
      <c r="W67" s="64" t="str" cm="1">
        <f t="array" ref="W67">IF(T_WATCHLIST4[[#This Row],[Stock]]="","",SUMPRODUCT(T_TXN[UNITS],--(T_TXN[TYPE]="Sell"),--(T_TXN[TICKER]=T_WATCHLIST4[[#This Row],[Stock]])))</f>
        <v/>
      </c>
      <c r="X67" s="67" t="str" cm="1">
        <f t="array" ref="X67">IF(T_WATCHLIST4[[#This Row],[Stock]]="","",SUMPRODUCT(--(T_TXN[TYPE]="Sell"),T_TXN[UNITS],T_TXN[PRICE],--(T_TXN[TICKER]=T_WATCHLIST4[[#This Row],[Stock]])))</f>
        <v/>
      </c>
      <c r="Y67" s="67" t="str" cm="1">
        <f t="array" ref="Y67">IF(T_WATCHLIST4[[#This Row],[Stock]]="","",SUMPRODUCT(T_TXN[UNITS],T_TXN[PRICE],--(T_TXN[TYPE]="Buy"),--(T_TXN[TICKER]=T_WATCHLIST4[[#This Row],[Stock]])) -SUMPRODUCT(T_TXN[UNITS],T_TXN[PRICE],--(T_TXN[TYPE]="Sell"),--(T_TXN[TICKER]=T_WATCHLIST4[[#This Row],[Stock]])))</f>
        <v/>
      </c>
      <c r="Z67" s="64" t="str" cm="1">
        <f t="array" ref="Z67">IFERROR(IF(ROW(T_WATCHLIST4[[#This Row],[Stock]])-ROW(T_WATCHLIST4[[#Headers],[Stock]])&gt;=C_CNT_STOCKS,"",_FV(T_WATCHLIST4[[#This Row],[Stock]],"Industry",TRUE)),"Not Available")</f>
        <v/>
      </c>
      <c r="AA67" s="64" t="str" cm="1">
        <f t="array" ref="AA67">IFERROR(IF(ROW(T_WATCHLIST4[[#This Row],[Stock]])-ROW(T_WATCHLIST4[[#Headers],[Stock]])&gt;=C_CNT_STOCKS,"",_FV(T_WATCHLIST4[[#This Row],[Stock]],"Instrument type",TRUE)),"Not Available")</f>
        <v/>
      </c>
    </row>
    <row r="68" spans="5:27" ht="22" customHeight="1">
      <c r="E68" s="89"/>
      <c r="F68" s="75" t="str" cm="1">
        <f t="array" ref="F68">IFERROR(IF(ROW(T_WATCHLIST4[[#This Row],[Stock]])-ROW(T_WATCHLIST4[[#Headers],[Stock]])&gt;C_CNT_STOCKS,"",INDEX(_xlfn.ANCHORARRAY(HELP!$G$2),ROW(T_WATCHLIST4[[#This Row],[Stock]])-ROW(T_WATCHLIST4[[#Headers],[Stock]]))),"")</f>
        <v/>
      </c>
      <c r="G68" s="80" t="str" cm="1">
        <f t="array" ref="G68">IFERROR(_xlfn.FIELDVALUE(T_WATCHLIST4[[#This Row],[Stock]],"Ticker Symbol"),"")</f>
        <v/>
      </c>
      <c r="H68" s="117"/>
      <c r="I68" s="81" t="str">
        <f>IF(T_WATCHLIST4[[#This Row],[Stock]]="","",SUMIFS(T_TXN[UNITS],T_TXN[TYPE],"Buy",T_TXN[TICKER],T_WATCHLIST4[[#This Row],[Stock]])-SUMIFS(T_TXN[UNITS],T_TXN[TYPE],"Sell",T_TXN[TICKER],T_WATCHLIST4[[#This Row],[Stock]])+SUMIFS(T_TXN[UNITS],T_TXN[TYPE],"Dividend Reinvestment",T_TXN[TICKER],T_WATCHLIST4[[#This Row],[Stock]]))</f>
        <v/>
      </c>
      <c r="J68" s="75" t="str" cm="1">
        <f t="array" ref="J68">IFERROR(_xlfn.FIELDVALUE(T_WATCHLIST4[[#This Row],[Stock]],"Price"),"")</f>
        <v/>
      </c>
      <c r="K68" s="82" t="str" cm="1">
        <f t="array" ref="K68">IFERROR(_xlfn.FIELDVALUE(T_WATCHLIST4[[#This Row],[Stock]],"Change"),"")</f>
        <v/>
      </c>
      <c r="L68" s="83" t="str" cm="1">
        <f t="array" ref="L68">IFERROR(_xlfn.FIELDVALUE(T_WATCHLIST4[[#This Row],[Stock]],"Change (%)"),"")</f>
        <v/>
      </c>
      <c r="M68" s="84" t="str">
        <f>IF(T_WATCHLIST4[[#This Row],[Stock]]="","",T_WATCHLIST4[[#This Row],[Quantity]]*T_WATCHLIST4[[#This Row],[Last Price]])</f>
        <v/>
      </c>
      <c r="N68" s="85" t="str" cm="1">
        <f t="array" ref="N68">IF(T_WATCHLIST4[[#This Row],[Stock]]="","",T_WATCHLIST4[[#This Row],[Current Value]]-_xlfn.FIELDVALUE(T_WATCHLIST4[[#This Row],[Stock]],"Previous Close")*T_WATCHLIST4[[#This Row],[Quantity]])</f>
        <v/>
      </c>
      <c r="O68" s="86" t="str">
        <f>IFERROR(T_WATCHLIST4[[#This Row],[Today''s Gain/Loss]]/(T_WATCHLIST4[[#This Row],[Current Value]]-T_WATCHLIST4[[#This Row],[Today''s Gain/Loss]]),"")</f>
        <v/>
      </c>
      <c r="P68" s="84" t="str">
        <f>IFERROR(T_WATCHLIST4[[#This Row],[Current Value]]-T_WATCHLIST4[[#This Row],[% Total Gain/Loss9]],"")</f>
        <v/>
      </c>
      <c r="Q68" s="87" t="str">
        <f>IFERROR(T_WATCHLIST4[[#This Row],[Total Gain/Loss]]/T_WATCHLIST4[[#This Row],[% Total Gain/Loss9]],"")</f>
        <v/>
      </c>
      <c r="R68" s="88" t="str" cm="1">
        <f t="array" ref="R68">IFERROR(_xlfn.FIELDVALUE(T_WATCHLIST4[[#This Row],[Stock]],"52 week low"),"")</f>
        <v/>
      </c>
      <c r="S6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8" s="73" t="str" cm="1">
        <f t="array" ref="T68">IFERROR(_xlfn.FIELDVALUE(T_WATCHLIST4[[#This Row],[Stock]],"52 week high"),"")</f>
        <v/>
      </c>
      <c r="U68" s="64" t="str" cm="1">
        <f t="array" ref="U68">IF(T_WATCHLIST4[[#This Row],[Stock]]="","",SUMPRODUCT(T_TXN[UNITS],--(T_TXN[TYPE]="Buy"),--(T_TXN[TICKER]=T_WATCHLIST4[[#This Row],[Stock]])))</f>
        <v/>
      </c>
      <c r="V68" s="67" t="str" cm="1">
        <f t="array" ref="V68">IF(T_WATCHLIST4[[#This Row],[Stock]]="","",SUMPRODUCT(--(T_TXN[TYPE]="Buy"),T_TXN[UNITS],T_TXN[PRICE],--(T_TXN[TICKER]=T_WATCHLIST4[[#This Row],[Stock]])))</f>
        <v/>
      </c>
      <c r="W68" s="64" t="str" cm="1">
        <f t="array" ref="W68">IF(T_WATCHLIST4[[#This Row],[Stock]]="","",SUMPRODUCT(T_TXN[UNITS],--(T_TXN[TYPE]="Sell"),--(T_TXN[TICKER]=T_WATCHLIST4[[#This Row],[Stock]])))</f>
        <v/>
      </c>
      <c r="X68" s="67" t="str" cm="1">
        <f t="array" ref="X68">IF(T_WATCHLIST4[[#This Row],[Stock]]="","",SUMPRODUCT(--(T_TXN[TYPE]="Sell"),T_TXN[UNITS],T_TXN[PRICE],--(T_TXN[TICKER]=T_WATCHLIST4[[#This Row],[Stock]])))</f>
        <v/>
      </c>
      <c r="Y68" s="67" t="str" cm="1">
        <f t="array" ref="Y68">IF(T_WATCHLIST4[[#This Row],[Stock]]="","",SUMPRODUCT(T_TXN[UNITS],T_TXN[PRICE],--(T_TXN[TYPE]="Buy"),--(T_TXN[TICKER]=T_WATCHLIST4[[#This Row],[Stock]])) -SUMPRODUCT(T_TXN[UNITS],T_TXN[PRICE],--(T_TXN[TYPE]="Sell"),--(T_TXN[TICKER]=T_WATCHLIST4[[#This Row],[Stock]])))</f>
        <v/>
      </c>
      <c r="Z68" s="64" t="str" cm="1">
        <f t="array" ref="Z68">IFERROR(IF(ROW(T_WATCHLIST4[[#This Row],[Stock]])-ROW(T_WATCHLIST4[[#Headers],[Stock]])&gt;=C_CNT_STOCKS,"",_FV(T_WATCHLIST4[[#This Row],[Stock]],"Industry",TRUE)),"Not Available")</f>
        <v/>
      </c>
      <c r="AA68" s="64" t="str" cm="1">
        <f t="array" ref="AA68">IFERROR(IF(ROW(T_WATCHLIST4[[#This Row],[Stock]])-ROW(T_WATCHLIST4[[#Headers],[Stock]])&gt;=C_CNT_STOCKS,"",_FV(T_WATCHLIST4[[#This Row],[Stock]],"Instrument type",TRUE)),"Not Available")</f>
        <v/>
      </c>
    </row>
    <row r="69" spans="5:27" ht="22" customHeight="1">
      <c r="E69" s="89"/>
      <c r="F69" s="75" t="str" cm="1">
        <f t="array" ref="F69">IFERROR(IF(ROW(T_WATCHLIST4[[#This Row],[Stock]])-ROW(T_WATCHLIST4[[#Headers],[Stock]])&gt;C_CNT_STOCKS,"",INDEX(_xlfn.ANCHORARRAY(HELP!$G$2),ROW(T_WATCHLIST4[[#This Row],[Stock]])-ROW(T_WATCHLIST4[[#Headers],[Stock]]))),"")</f>
        <v/>
      </c>
      <c r="G69" s="80" t="str" cm="1">
        <f t="array" ref="G69">IFERROR(_xlfn.FIELDVALUE(T_WATCHLIST4[[#This Row],[Stock]],"Ticker Symbol"),"")</f>
        <v/>
      </c>
      <c r="H69" s="117"/>
      <c r="I69" s="81" t="str">
        <f>IF(T_WATCHLIST4[[#This Row],[Stock]]="","",SUMIFS(T_TXN[UNITS],T_TXN[TYPE],"Buy",T_TXN[TICKER],T_WATCHLIST4[[#This Row],[Stock]])-SUMIFS(T_TXN[UNITS],T_TXN[TYPE],"Sell",T_TXN[TICKER],T_WATCHLIST4[[#This Row],[Stock]])+SUMIFS(T_TXN[UNITS],T_TXN[TYPE],"Dividend Reinvestment",T_TXN[TICKER],T_WATCHLIST4[[#This Row],[Stock]]))</f>
        <v/>
      </c>
      <c r="J69" s="75" t="str" cm="1">
        <f t="array" ref="J69">IFERROR(_xlfn.FIELDVALUE(T_WATCHLIST4[[#This Row],[Stock]],"Price"),"")</f>
        <v/>
      </c>
      <c r="K69" s="82" t="str" cm="1">
        <f t="array" ref="K69">IFERROR(_xlfn.FIELDVALUE(T_WATCHLIST4[[#This Row],[Stock]],"Change"),"")</f>
        <v/>
      </c>
      <c r="L69" s="83" t="str" cm="1">
        <f t="array" ref="L69">IFERROR(_xlfn.FIELDVALUE(T_WATCHLIST4[[#This Row],[Stock]],"Change (%)"),"")</f>
        <v/>
      </c>
      <c r="M69" s="84" t="str">
        <f>IF(T_WATCHLIST4[[#This Row],[Stock]]="","",T_WATCHLIST4[[#This Row],[Quantity]]*T_WATCHLIST4[[#This Row],[Last Price]])</f>
        <v/>
      </c>
      <c r="N69" s="85" t="str" cm="1">
        <f t="array" ref="N69">IF(T_WATCHLIST4[[#This Row],[Stock]]="","",T_WATCHLIST4[[#This Row],[Current Value]]-_xlfn.FIELDVALUE(T_WATCHLIST4[[#This Row],[Stock]],"Previous Close")*T_WATCHLIST4[[#This Row],[Quantity]])</f>
        <v/>
      </c>
      <c r="O69" s="86" t="str">
        <f>IFERROR(T_WATCHLIST4[[#This Row],[Today''s Gain/Loss]]/(T_WATCHLIST4[[#This Row],[Current Value]]-T_WATCHLIST4[[#This Row],[Today''s Gain/Loss]]),"")</f>
        <v/>
      </c>
      <c r="P69" s="84" t="str">
        <f>IFERROR(T_WATCHLIST4[[#This Row],[Current Value]]-T_WATCHLIST4[[#This Row],[% Total Gain/Loss9]],"")</f>
        <v/>
      </c>
      <c r="Q69" s="87" t="str">
        <f>IFERROR(T_WATCHLIST4[[#This Row],[Total Gain/Loss]]/T_WATCHLIST4[[#This Row],[% Total Gain/Loss9]],"")</f>
        <v/>
      </c>
      <c r="R69" s="88" t="str" cm="1">
        <f t="array" ref="R69">IFERROR(_xlfn.FIELDVALUE(T_WATCHLIST4[[#This Row],[Stock]],"52 week low"),"")</f>
        <v/>
      </c>
      <c r="S6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69" s="73" t="str" cm="1">
        <f t="array" ref="T69">IFERROR(_xlfn.FIELDVALUE(T_WATCHLIST4[[#This Row],[Stock]],"52 week high"),"")</f>
        <v/>
      </c>
      <c r="U69" s="64" t="str" cm="1">
        <f t="array" ref="U69">IF(T_WATCHLIST4[[#This Row],[Stock]]="","",SUMPRODUCT(T_TXN[UNITS],--(T_TXN[TYPE]="Buy"),--(T_TXN[TICKER]=T_WATCHLIST4[[#This Row],[Stock]])))</f>
        <v/>
      </c>
      <c r="V69" s="67" t="str" cm="1">
        <f t="array" ref="V69">IF(T_WATCHLIST4[[#This Row],[Stock]]="","",SUMPRODUCT(--(T_TXN[TYPE]="Buy"),T_TXN[UNITS],T_TXN[PRICE],--(T_TXN[TICKER]=T_WATCHLIST4[[#This Row],[Stock]])))</f>
        <v/>
      </c>
      <c r="W69" s="64" t="str" cm="1">
        <f t="array" ref="W69">IF(T_WATCHLIST4[[#This Row],[Stock]]="","",SUMPRODUCT(T_TXN[UNITS],--(T_TXN[TYPE]="Sell"),--(T_TXN[TICKER]=T_WATCHLIST4[[#This Row],[Stock]])))</f>
        <v/>
      </c>
      <c r="X69" s="67" t="str" cm="1">
        <f t="array" ref="X69">IF(T_WATCHLIST4[[#This Row],[Stock]]="","",SUMPRODUCT(--(T_TXN[TYPE]="Sell"),T_TXN[UNITS],T_TXN[PRICE],--(T_TXN[TICKER]=T_WATCHLIST4[[#This Row],[Stock]])))</f>
        <v/>
      </c>
      <c r="Y69" s="67" t="str" cm="1">
        <f t="array" ref="Y69">IF(T_WATCHLIST4[[#This Row],[Stock]]="","",SUMPRODUCT(T_TXN[UNITS],T_TXN[PRICE],--(T_TXN[TYPE]="Buy"),--(T_TXN[TICKER]=T_WATCHLIST4[[#This Row],[Stock]])) -SUMPRODUCT(T_TXN[UNITS],T_TXN[PRICE],--(T_TXN[TYPE]="Sell"),--(T_TXN[TICKER]=T_WATCHLIST4[[#This Row],[Stock]])))</f>
        <v/>
      </c>
      <c r="Z69" s="64" t="str" cm="1">
        <f t="array" ref="Z69">IFERROR(IF(ROW(T_WATCHLIST4[[#This Row],[Stock]])-ROW(T_WATCHLIST4[[#Headers],[Stock]])&gt;=C_CNT_STOCKS,"",_FV(T_WATCHLIST4[[#This Row],[Stock]],"Industry",TRUE)),"Not Available")</f>
        <v/>
      </c>
      <c r="AA69" s="64" t="str" cm="1">
        <f t="array" ref="AA69">IFERROR(IF(ROW(T_WATCHLIST4[[#This Row],[Stock]])-ROW(T_WATCHLIST4[[#Headers],[Stock]])&gt;=C_CNT_STOCKS,"",_FV(T_WATCHLIST4[[#This Row],[Stock]],"Instrument type",TRUE)),"Not Available")</f>
        <v/>
      </c>
    </row>
    <row r="70" spans="5:27" ht="22" customHeight="1">
      <c r="E70" s="89"/>
      <c r="F70" s="75" t="str" cm="1">
        <f t="array" ref="F70">IFERROR(IF(ROW(T_WATCHLIST4[[#This Row],[Stock]])-ROW(T_WATCHLIST4[[#Headers],[Stock]])&gt;C_CNT_STOCKS,"",INDEX(_xlfn.ANCHORARRAY(HELP!$G$2),ROW(T_WATCHLIST4[[#This Row],[Stock]])-ROW(T_WATCHLIST4[[#Headers],[Stock]]))),"")</f>
        <v/>
      </c>
      <c r="G70" s="80" t="str" cm="1">
        <f t="array" ref="G70">IFERROR(_xlfn.FIELDVALUE(T_WATCHLIST4[[#This Row],[Stock]],"Ticker Symbol"),"")</f>
        <v/>
      </c>
      <c r="H70" s="117"/>
      <c r="I70" s="81" t="str">
        <f>IF(T_WATCHLIST4[[#This Row],[Stock]]="","",SUMIFS(T_TXN[UNITS],T_TXN[TYPE],"Buy",T_TXN[TICKER],T_WATCHLIST4[[#This Row],[Stock]])-SUMIFS(T_TXN[UNITS],T_TXN[TYPE],"Sell",T_TXN[TICKER],T_WATCHLIST4[[#This Row],[Stock]])+SUMIFS(T_TXN[UNITS],T_TXN[TYPE],"Dividend Reinvestment",T_TXN[TICKER],T_WATCHLIST4[[#This Row],[Stock]]))</f>
        <v/>
      </c>
      <c r="J70" s="75" t="str" cm="1">
        <f t="array" ref="J70">IFERROR(_xlfn.FIELDVALUE(T_WATCHLIST4[[#This Row],[Stock]],"Price"),"")</f>
        <v/>
      </c>
      <c r="K70" s="82" t="str" cm="1">
        <f t="array" ref="K70">IFERROR(_xlfn.FIELDVALUE(T_WATCHLIST4[[#This Row],[Stock]],"Change"),"")</f>
        <v/>
      </c>
      <c r="L70" s="83" t="str" cm="1">
        <f t="array" ref="L70">IFERROR(_xlfn.FIELDVALUE(T_WATCHLIST4[[#This Row],[Stock]],"Change (%)"),"")</f>
        <v/>
      </c>
      <c r="M70" s="84" t="str">
        <f>IF(T_WATCHLIST4[[#This Row],[Stock]]="","",T_WATCHLIST4[[#This Row],[Quantity]]*T_WATCHLIST4[[#This Row],[Last Price]])</f>
        <v/>
      </c>
      <c r="N70" s="85" t="str" cm="1">
        <f t="array" ref="N70">IF(T_WATCHLIST4[[#This Row],[Stock]]="","",T_WATCHLIST4[[#This Row],[Current Value]]-_xlfn.FIELDVALUE(T_WATCHLIST4[[#This Row],[Stock]],"Previous Close")*T_WATCHLIST4[[#This Row],[Quantity]])</f>
        <v/>
      </c>
      <c r="O70" s="86" t="str">
        <f>IFERROR(T_WATCHLIST4[[#This Row],[Today''s Gain/Loss]]/(T_WATCHLIST4[[#This Row],[Current Value]]-T_WATCHLIST4[[#This Row],[Today''s Gain/Loss]]),"")</f>
        <v/>
      </c>
      <c r="P70" s="84" t="str">
        <f>IFERROR(T_WATCHLIST4[[#This Row],[Current Value]]-T_WATCHLIST4[[#This Row],[% Total Gain/Loss9]],"")</f>
        <v/>
      </c>
      <c r="Q70" s="87" t="str">
        <f>IFERROR(T_WATCHLIST4[[#This Row],[Total Gain/Loss]]/T_WATCHLIST4[[#This Row],[% Total Gain/Loss9]],"")</f>
        <v/>
      </c>
      <c r="R70" s="88" t="str" cm="1">
        <f t="array" ref="R70">IFERROR(_xlfn.FIELDVALUE(T_WATCHLIST4[[#This Row],[Stock]],"52 week low"),"")</f>
        <v/>
      </c>
      <c r="S7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0" s="73" t="str" cm="1">
        <f t="array" ref="T70">IFERROR(_xlfn.FIELDVALUE(T_WATCHLIST4[[#This Row],[Stock]],"52 week high"),"")</f>
        <v/>
      </c>
      <c r="U70" s="64" t="str" cm="1">
        <f t="array" ref="U70">IF(T_WATCHLIST4[[#This Row],[Stock]]="","",SUMPRODUCT(T_TXN[UNITS],--(T_TXN[TYPE]="Buy"),--(T_TXN[TICKER]=T_WATCHLIST4[[#This Row],[Stock]])))</f>
        <v/>
      </c>
      <c r="V70" s="67" t="str" cm="1">
        <f t="array" ref="V70">IF(T_WATCHLIST4[[#This Row],[Stock]]="","",SUMPRODUCT(--(T_TXN[TYPE]="Buy"),T_TXN[UNITS],T_TXN[PRICE],--(T_TXN[TICKER]=T_WATCHLIST4[[#This Row],[Stock]])))</f>
        <v/>
      </c>
      <c r="W70" s="64" t="str" cm="1">
        <f t="array" ref="W70">IF(T_WATCHLIST4[[#This Row],[Stock]]="","",SUMPRODUCT(T_TXN[UNITS],--(T_TXN[TYPE]="Sell"),--(T_TXN[TICKER]=T_WATCHLIST4[[#This Row],[Stock]])))</f>
        <v/>
      </c>
      <c r="X70" s="67" t="str" cm="1">
        <f t="array" ref="X70">IF(T_WATCHLIST4[[#This Row],[Stock]]="","",SUMPRODUCT(--(T_TXN[TYPE]="Sell"),T_TXN[UNITS],T_TXN[PRICE],--(T_TXN[TICKER]=T_WATCHLIST4[[#This Row],[Stock]])))</f>
        <v/>
      </c>
      <c r="Y70" s="67" t="str" cm="1">
        <f t="array" ref="Y70">IF(T_WATCHLIST4[[#This Row],[Stock]]="","",SUMPRODUCT(T_TXN[UNITS],T_TXN[PRICE],--(T_TXN[TYPE]="Buy"),--(T_TXN[TICKER]=T_WATCHLIST4[[#This Row],[Stock]])) -SUMPRODUCT(T_TXN[UNITS],T_TXN[PRICE],--(T_TXN[TYPE]="Sell"),--(T_TXN[TICKER]=T_WATCHLIST4[[#This Row],[Stock]])))</f>
        <v/>
      </c>
      <c r="Z70" s="64" t="str" cm="1">
        <f t="array" ref="Z70">IFERROR(IF(ROW(T_WATCHLIST4[[#This Row],[Stock]])-ROW(T_WATCHLIST4[[#Headers],[Stock]])&gt;=C_CNT_STOCKS,"",_FV(T_WATCHLIST4[[#This Row],[Stock]],"Industry",TRUE)),"Not Available")</f>
        <v/>
      </c>
      <c r="AA70" s="64" t="str" cm="1">
        <f t="array" ref="AA70">IFERROR(IF(ROW(T_WATCHLIST4[[#This Row],[Stock]])-ROW(T_WATCHLIST4[[#Headers],[Stock]])&gt;=C_CNT_STOCKS,"",_FV(T_WATCHLIST4[[#This Row],[Stock]],"Instrument type",TRUE)),"Not Available")</f>
        <v/>
      </c>
    </row>
    <row r="71" spans="5:27" ht="22" customHeight="1">
      <c r="E71" s="89"/>
      <c r="F71" s="75" t="str" cm="1">
        <f t="array" ref="F71">IFERROR(IF(ROW(T_WATCHLIST4[[#This Row],[Stock]])-ROW(T_WATCHLIST4[[#Headers],[Stock]])&gt;C_CNT_STOCKS,"",INDEX(_xlfn.ANCHORARRAY(HELP!$G$2),ROW(T_WATCHLIST4[[#This Row],[Stock]])-ROW(T_WATCHLIST4[[#Headers],[Stock]]))),"")</f>
        <v/>
      </c>
      <c r="G71" s="80" t="str" cm="1">
        <f t="array" ref="G71">IFERROR(_xlfn.FIELDVALUE(T_WATCHLIST4[[#This Row],[Stock]],"Ticker Symbol"),"")</f>
        <v/>
      </c>
      <c r="H71" s="117"/>
      <c r="I71" s="81" t="str">
        <f>IF(T_WATCHLIST4[[#This Row],[Stock]]="","",SUMIFS(T_TXN[UNITS],T_TXN[TYPE],"Buy",T_TXN[TICKER],T_WATCHLIST4[[#This Row],[Stock]])-SUMIFS(T_TXN[UNITS],T_TXN[TYPE],"Sell",T_TXN[TICKER],T_WATCHLIST4[[#This Row],[Stock]])+SUMIFS(T_TXN[UNITS],T_TXN[TYPE],"Dividend Reinvestment",T_TXN[TICKER],T_WATCHLIST4[[#This Row],[Stock]]))</f>
        <v/>
      </c>
      <c r="J71" s="75" t="str" cm="1">
        <f t="array" ref="J71">IFERROR(_xlfn.FIELDVALUE(T_WATCHLIST4[[#This Row],[Stock]],"Price"),"")</f>
        <v/>
      </c>
      <c r="K71" s="82" t="str" cm="1">
        <f t="array" ref="K71">IFERROR(_xlfn.FIELDVALUE(T_WATCHLIST4[[#This Row],[Stock]],"Change"),"")</f>
        <v/>
      </c>
      <c r="L71" s="83" t="str" cm="1">
        <f t="array" ref="L71">IFERROR(_xlfn.FIELDVALUE(T_WATCHLIST4[[#This Row],[Stock]],"Change (%)"),"")</f>
        <v/>
      </c>
      <c r="M71" s="84" t="str">
        <f>IF(T_WATCHLIST4[[#This Row],[Stock]]="","",T_WATCHLIST4[[#This Row],[Quantity]]*T_WATCHLIST4[[#This Row],[Last Price]])</f>
        <v/>
      </c>
      <c r="N71" s="85" t="str" cm="1">
        <f t="array" ref="N71">IF(T_WATCHLIST4[[#This Row],[Stock]]="","",T_WATCHLIST4[[#This Row],[Current Value]]-_xlfn.FIELDVALUE(T_WATCHLIST4[[#This Row],[Stock]],"Previous Close")*T_WATCHLIST4[[#This Row],[Quantity]])</f>
        <v/>
      </c>
      <c r="O71" s="86" t="str">
        <f>IFERROR(T_WATCHLIST4[[#This Row],[Today''s Gain/Loss]]/(T_WATCHLIST4[[#This Row],[Current Value]]-T_WATCHLIST4[[#This Row],[Today''s Gain/Loss]]),"")</f>
        <v/>
      </c>
      <c r="P71" s="84" t="str">
        <f>IFERROR(T_WATCHLIST4[[#This Row],[Current Value]]-T_WATCHLIST4[[#This Row],[% Total Gain/Loss9]],"")</f>
        <v/>
      </c>
      <c r="Q71" s="87" t="str">
        <f>IFERROR(T_WATCHLIST4[[#This Row],[Total Gain/Loss]]/T_WATCHLIST4[[#This Row],[% Total Gain/Loss9]],"")</f>
        <v/>
      </c>
      <c r="R71" s="88" t="str" cm="1">
        <f t="array" ref="R71">IFERROR(_xlfn.FIELDVALUE(T_WATCHLIST4[[#This Row],[Stock]],"52 week low"),"")</f>
        <v/>
      </c>
      <c r="S7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1" s="73" t="str" cm="1">
        <f t="array" ref="T71">IFERROR(_xlfn.FIELDVALUE(T_WATCHLIST4[[#This Row],[Stock]],"52 week high"),"")</f>
        <v/>
      </c>
      <c r="U71" s="64" t="str" cm="1">
        <f t="array" ref="U71">IF(T_WATCHLIST4[[#This Row],[Stock]]="","",SUMPRODUCT(T_TXN[UNITS],--(T_TXN[TYPE]="Buy"),--(T_TXN[TICKER]=T_WATCHLIST4[[#This Row],[Stock]])))</f>
        <v/>
      </c>
      <c r="V71" s="67" t="str" cm="1">
        <f t="array" ref="V71">IF(T_WATCHLIST4[[#This Row],[Stock]]="","",SUMPRODUCT(--(T_TXN[TYPE]="Buy"),T_TXN[UNITS],T_TXN[PRICE],--(T_TXN[TICKER]=T_WATCHLIST4[[#This Row],[Stock]])))</f>
        <v/>
      </c>
      <c r="W71" s="64" t="str" cm="1">
        <f t="array" ref="W71">IF(T_WATCHLIST4[[#This Row],[Stock]]="","",SUMPRODUCT(T_TXN[UNITS],--(T_TXN[TYPE]="Sell"),--(T_TXN[TICKER]=T_WATCHLIST4[[#This Row],[Stock]])))</f>
        <v/>
      </c>
      <c r="X71" s="67" t="str" cm="1">
        <f t="array" ref="X71">IF(T_WATCHLIST4[[#This Row],[Stock]]="","",SUMPRODUCT(--(T_TXN[TYPE]="Sell"),T_TXN[UNITS],T_TXN[PRICE],--(T_TXN[TICKER]=T_WATCHLIST4[[#This Row],[Stock]])))</f>
        <v/>
      </c>
      <c r="Y71" s="67" t="str" cm="1">
        <f t="array" ref="Y71">IF(T_WATCHLIST4[[#This Row],[Stock]]="","",SUMPRODUCT(T_TXN[UNITS],T_TXN[PRICE],--(T_TXN[TYPE]="Buy"),--(T_TXN[TICKER]=T_WATCHLIST4[[#This Row],[Stock]])) -SUMPRODUCT(T_TXN[UNITS],T_TXN[PRICE],--(T_TXN[TYPE]="Sell"),--(T_TXN[TICKER]=T_WATCHLIST4[[#This Row],[Stock]])))</f>
        <v/>
      </c>
      <c r="Z71" s="64" t="str" cm="1">
        <f t="array" ref="Z71">IFERROR(IF(ROW(T_WATCHLIST4[[#This Row],[Stock]])-ROW(T_WATCHLIST4[[#Headers],[Stock]])&gt;=C_CNT_STOCKS,"",_FV(T_WATCHLIST4[[#This Row],[Stock]],"Industry",TRUE)),"Not Available")</f>
        <v/>
      </c>
      <c r="AA71" s="64" t="str" cm="1">
        <f t="array" ref="AA71">IFERROR(IF(ROW(T_WATCHLIST4[[#This Row],[Stock]])-ROW(T_WATCHLIST4[[#Headers],[Stock]])&gt;=C_CNT_STOCKS,"",_FV(T_WATCHLIST4[[#This Row],[Stock]],"Instrument type",TRUE)),"Not Available")</f>
        <v/>
      </c>
    </row>
    <row r="72" spans="5:27" ht="22" customHeight="1">
      <c r="E72" s="89"/>
      <c r="F72" s="75" t="str" cm="1">
        <f t="array" ref="F72">IFERROR(IF(ROW(T_WATCHLIST4[[#This Row],[Stock]])-ROW(T_WATCHLIST4[[#Headers],[Stock]])&gt;C_CNT_STOCKS,"",INDEX(_xlfn.ANCHORARRAY(HELP!$G$2),ROW(T_WATCHLIST4[[#This Row],[Stock]])-ROW(T_WATCHLIST4[[#Headers],[Stock]]))),"")</f>
        <v/>
      </c>
      <c r="G72" s="80" t="str" cm="1">
        <f t="array" ref="G72">IFERROR(_xlfn.FIELDVALUE(T_WATCHLIST4[[#This Row],[Stock]],"Ticker Symbol"),"")</f>
        <v/>
      </c>
      <c r="H72" s="117"/>
      <c r="I72" s="81" t="str">
        <f>IF(T_WATCHLIST4[[#This Row],[Stock]]="","",SUMIFS(T_TXN[UNITS],T_TXN[TYPE],"Buy",T_TXN[TICKER],T_WATCHLIST4[[#This Row],[Stock]])-SUMIFS(T_TXN[UNITS],T_TXN[TYPE],"Sell",T_TXN[TICKER],T_WATCHLIST4[[#This Row],[Stock]])+SUMIFS(T_TXN[UNITS],T_TXN[TYPE],"Dividend Reinvestment",T_TXN[TICKER],T_WATCHLIST4[[#This Row],[Stock]]))</f>
        <v/>
      </c>
      <c r="J72" s="75" t="str" cm="1">
        <f t="array" ref="J72">IFERROR(_xlfn.FIELDVALUE(T_WATCHLIST4[[#This Row],[Stock]],"Price"),"")</f>
        <v/>
      </c>
      <c r="K72" s="82" t="str" cm="1">
        <f t="array" ref="K72">IFERROR(_xlfn.FIELDVALUE(T_WATCHLIST4[[#This Row],[Stock]],"Change"),"")</f>
        <v/>
      </c>
      <c r="L72" s="83" t="str" cm="1">
        <f t="array" ref="L72">IFERROR(_xlfn.FIELDVALUE(T_WATCHLIST4[[#This Row],[Stock]],"Change (%)"),"")</f>
        <v/>
      </c>
      <c r="M72" s="84" t="str">
        <f>IF(T_WATCHLIST4[[#This Row],[Stock]]="","",T_WATCHLIST4[[#This Row],[Quantity]]*T_WATCHLIST4[[#This Row],[Last Price]])</f>
        <v/>
      </c>
      <c r="N72" s="85" t="str" cm="1">
        <f t="array" ref="N72">IF(T_WATCHLIST4[[#This Row],[Stock]]="","",T_WATCHLIST4[[#This Row],[Current Value]]-_xlfn.FIELDVALUE(T_WATCHLIST4[[#This Row],[Stock]],"Previous Close")*T_WATCHLIST4[[#This Row],[Quantity]])</f>
        <v/>
      </c>
      <c r="O72" s="86" t="str">
        <f>IFERROR(T_WATCHLIST4[[#This Row],[Today''s Gain/Loss]]/(T_WATCHLIST4[[#This Row],[Current Value]]-T_WATCHLIST4[[#This Row],[Today''s Gain/Loss]]),"")</f>
        <v/>
      </c>
      <c r="P72" s="84" t="str">
        <f>IFERROR(T_WATCHLIST4[[#This Row],[Current Value]]-T_WATCHLIST4[[#This Row],[% Total Gain/Loss9]],"")</f>
        <v/>
      </c>
      <c r="Q72" s="87" t="str">
        <f>IFERROR(T_WATCHLIST4[[#This Row],[Total Gain/Loss]]/T_WATCHLIST4[[#This Row],[% Total Gain/Loss9]],"")</f>
        <v/>
      </c>
      <c r="R72" s="88" t="str" cm="1">
        <f t="array" ref="R72">IFERROR(_xlfn.FIELDVALUE(T_WATCHLIST4[[#This Row],[Stock]],"52 week low"),"")</f>
        <v/>
      </c>
      <c r="S7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2" s="73" t="str" cm="1">
        <f t="array" ref="T72">IFERROR(_xlfn.FIELDVALUE(T_WATCHLIST4[[#This Row],[Stock]],"52 week high"),"")</f>
        <v/>
      </c>
      <c r="U72" s="64" t="str" cm="1">
        <f t="array" ref="U72">IF(T_WATCHLIST4[[#This Row],[Stock]]="","",SUMPRODUCT(T_TXN[UNITS],--(T_TXN[TYPE]="Buy"),--(T_TXN[TICKER]=T_WATCHLIST4[[#This Row],[Stock]])))</f>
        <v/>
      </c>
      <c r="V72" s="67" t="str" cm="1">
        <f t="array" ref="V72">IF(T_WATCHLIST4[[#This Row],[Stock]]="","",SUMPRODUCT(--(T_TXN[TYPE]="Buy"),T_TXN[UNITS],T_TXN[PRICE],--(T_TXN[TICKER]=T_WATCHLIST4[[#This Row],[Stock]])))</f>
        <v/>
      </c>
      <c r="W72" s="64" t="str" cm="1">
        <f t="array" ref="W72">IF(T_WATCHLIST4[[#This Row],[Stock]]="","",SUMPRODUCT(T_TXN[UNITS],--(T_TXN[TYPE]="Sell"),--(T_TXN[TICKER]=T_WATCHLIST4[[#This Row],[Stock]])))</f>
        <v/>
      </c>
      <c r="X72" s="67" t="str" cm="1">
        <f t="array" ref="X72">IF(T_WATCHLIST4[[#This Row],[Stock]]="","",SUMPRODUCT(--(T_TXN[TYPE]="Sell"),T_TXN[UNITS],T_TXN[PRICE],--(T_TXN[TICKER]=T_WATCHLIST4[[#This Row],[Stock]])))</f>
        <v/>
      </c>
      <c r="Y72" s="67" t="str" cm="1">
        <f t="array" ref="Y72">IF(T_WATCHLIST4[[#This Row],[Stock]]="","",SUMPRODUCT(T_TXN[UNITS],T_TXN[PRICE],--(T_TXN[TYPE]="Buy"),--(T_TXN[TICKER]=T_WATCHLIST4[[#This Row],[Stock]])) -SUMPRODUCT(T_TXN[UNITS],T_TXN[PRICE],--(T_TXN[TYPE]="Sell"),--(T_TXN[TICKER]=T_WATCHLIST4[[#This Row],[Stock]])))</f>
        <v/>
      </c>
      <c r="Z72" s="64" t="str" cm="1">
        <f t="array" ref="Z72">IFERROR(IF(ROW(T_WATCHLIST4[[#This Row],[Stock]])-ROW(T_WATCHLIST4[[#Headers],[Stock]])&gt;=C_CNT_STOCKS,"",_FV(T_WATCHLIST4[[#This Row],[Stock]],"Industry",TRUE)),"Not Available")</f>
        <v/>
      </c>
      <c r="AA72" s="64" t="str" cm="1">
        <f t="array" ref="AA72">IFERROR(IF(ROW(T_WATCHLIST4[[#This Row],[Stock]])-ROW(T_WATCHLIST4[[#Headers],[Stock]])&gt;=C_CNT_STOCKS,"",_FV(T_WATCHLIST4[[#This Row],[Stock]],"Instrument type",TRUE)),"Not Available")</f>
        <v/>
      </c>
    </row>
    <row r="73" spans="5:27" ht="22" customHeight="1">
      <c r="E73" s="89"/>
      <c r="F73" s="75" t="str" cm="1">
        <f t="array" ref="F73">IFERROR(IF(ROW(T_WATCHLIST4[[#This Row],[Stock]])-ROW(T_WATCHLIST4[[#Headers],[Stock]])&gt;C_CNT_STOCKS,"",INDEX(_xlfn.ANCHORARRAY(HELP!$G$2),ROW(T_WATCHLIST4[[#This Row],[Stock]])-ROW(T_WATCHLIST4[[#Headers],[Stock]]))),"")</f>
        <v/>
      </c>
      <c r="G73" s="80" t="str" cm="1">
        <f t="array" ref="G73">IFERROR(_xlfn.FIELDVALUE(T_WATCHLIST4[[#This Row],[Stock]],"Ticker Symbol"),"")</f>
        <v/>
      </c>
      <c r="H73" s="117"/>
      <c r="I73" s="81" t="str">
        <f>IF(T_WATCHLIST4[[#This Row],[Stock]]="","",SUMIFS(T_TXN[UNITS],T_TXN[TYPE],"Buy",T_TXN[TICKER],T_WATCHLIST4[[#This Row],[Stock]])-SUMIFS(T_TXN[UNITS],T_TXN[TYPE],"Sell",T_TXN[TICKER],T_WATCHLIST4[[#This Row],[Stock]])+SUMIFS(T_TXN[UNITS],T_TXN[TYPE],"Dividend Reinvestment",T_TXN[TICKER],T_WATCHLIST4[[#This Row],[Stock]]))</f>
        <v/>
      </c>
      <c r="J73" s="75" t="str" cm="1">
        <f t="array" ref="J73">IFERROR(_xlfn.FIELDVALUE(T_WATCHLIST4[[#This Row],[Stock]],"Price"),"")</f>
        <v/>
      </c>
      <c r="K73" s="82" t="str" cm="1">
        <f t="array" ref="K73">IFERROR(_xlfn.FIELDVALUE(T_WATCHLIST4[[#This Row],[Stock]],"Change"),"")</f>
        <v/>
      </c>
      <c r="L73" s="83" t="str" cm="1">
        <f t="array" ref="L73">IFERROR(_xlfn.FIELDVALUE(T_WATCHLIST4[[#This Row],[Stock]],"Change (%)"),"")</f>
        <v/>
      </c>
      <c r="M73" s="84" t="str">
        <f>IF(T_WATCHLIST4[[#This Row],[Stock]]="","",T_WATCHLIST4[[#This Row],[Quantity]]*T_WATCHLIST4[[#This Row],[Last Price]])</f>
        <v/>
      </c>
      <c r="N73" s="85" t="str" cm="1">
        <f t="array" ref="N73">IF(T_WATCHLIST4[[#This Row],[Stock]]="","",T_WATCHLIST4[[#This Row],[Current Value]]-_xlfn.FIELDVALUE(T_WATCHLIST4[[#This Row],[Stock]],"Previous Close")*T_WATCHLIST4[[#This Row],[Quantity]])</f>
        <v/>
      </c>
      <c r="O73" s="86" t="str">
        <f>IFERROR(T_WATCHLIST4[[#This Row],[Today''s Gain/Loss]]/(T_WATCHLIST4[[#This Row],[Current Value]]-T_WATCHLIST4[[#This Row],[Today''s Gain/Loss]]),"")</f>
        <v/>
      </c>
      <c r="P73" s="84" t="str">
        <f>IFERROR(T_WATCHLIST4[[#This Row],[Current Value]]-T_WATCHLIST4[[#This Row],[% Total Gain/Loss9]],"")</f>
        <v/>
      </c>
      <c r="Q73" s="87" t="str">
        <f>IFERROR(T_WATCHLIST4[[#This Row],[Total Gain/Loss]]/T_WATCHLIST4[[#This Row],[% Total Gain/Loss9]],"")</f>
        <v/>
      </c>
      <c r="R73" s="88" t="str" cm="1">
        <f t="array" ref="R73">IFERROR(_xlfn.FIELDVALUE(T_WATCHLIST4[[#This Row],[Stock]],"52 week low"),"")</f>
        <v/>
      </c>
      <c r="S7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3" s="73" t="str" cm="1">
        <f t="array" ref="T73">IFERROR(_xlfn.FIELDVALUE(T_WATCHLIST4[[#This Row],[Stock]],"52 week high"),"")</f>
        <v/>
      </c>
      <c r="U73" s="64" t="str" cm="1">
        <f t="array" ref="U73">IF(T_WATCHLIST4[[#This Row],[Stock]]="","",SUMPRODUCT(T_TXN[UNITS],--(T_TXN[TYPE]="Buy"),--(T_TXN[TICKER]=T_WATCHLIST4[[#This Row],[Stock]])))</f>
        <v/>
      </c>
      <c r="V73" s="67" t="str" cm="1">
        <f t="array" ref="V73">IF(T_WATCHLIST4[[#This Row],[Stock]]="","",SUMPRODUCT(--(T_TXN[TYPE]="Buy"),T_TXN[UNITS],T_TXN[PRICE],--(T_TXN[TICKER]=T_WATCHLIST4[[#This Row],[Stock]])))</f>
        <v/>
      </c>
      <c r="W73" s="64" t="str" cm="1">
        <f t="array" ref="W73">IF(T_WATCHLIST4[[#This Row],[Stock]]="","",SUMPRODUCT(T_TXN[UNITS],--(T_TXN[TYPE]="Sell"),--(T_TXN[TICKER]=T_WATCHLIST4[[#This Row],[Stock]])))</f>
        <v/>
      </c>
      <c r="X73" s="67" t="str" cm="1">
        <f t="array" ref="X73">IF(T_WATCHLIST4[[#This Row],[Stock]]="","",SUMPRODUCT(--(T_TXN[TYPE]="Sell"),T_TXN[UNITS],T_TXN[PRICE],--(T_TXN[TICKER]=T_WATCHLIST4[[#This Row],[Stock]])))</f>
        <v/>
      </c>
      <c r="Y73" s="67" t="str" cm="1">
        <f t="array" ref="Y73">IF(T_WATCHLIST4[[#This Row],[Stock]]="","",SUMPRODUCT(T_TXN[UNITS],T_TXN[PRICE],--(T_TXN[TYPE]="Buy"),--(T_TXN[TICKER]=T_WATCHLIST4[[#This Row],[Stock]])) -SUMPRODUCT(T_TXN[UNITS],T_TXN[PRICE],--(T_TXN[TYPE]="Sell"),--(T_TXN[TICKER]=T_WATCHLIST4[[#This Row],[Stock]])))</f>
        <v/>
      </c>
      <c r="Z73" s="64" t="str" cm="1">
        <f t="array" ref="Z73">IFERROR(IF(ROW(T_WATCHLIST4[[#This Row],[Stock]])-ROW(T_WATCHLIST4[[#Headers],[Stock]])&gt;=C_CNT_STOCKS,"",_FV(T_WATCHLIST4[[#This Row],[Stock]],"Industry",TRUE)),"Not Available")</f>
        <v/>
      </c>
      <c r="AA73" s="64" t="str" cm="1">
        <f t="array" ref="AA73">IFERROR(IF(ROW(T_WATCHLIST4[[#This Row],[Stock]])-ROW(T_WATCHLIST4[[#Headers],[Stock]])&gt;=C_CNT_STOCKS,"",_FV(T_WATCHLIST4[[#This Row],[Stock]],"Instrument type",TRUE)),"Not Available")</f>
        <v/>
      </c>
    </row>
    <row r="74" spans="5:27" ht="22" customHeight="1">
      <c r="E74" s="89"/>
      <c r="F74" s="75" t="str" cm="1">
        <f t="array" ref="F74">IFERROR(IF(ROW(T_WATCHLIST4[[#This Row],[Stock]])-ROW(T_WATCHLIST4[[#Headers],[Stock]])&gt;C_CNT_STOCKS,"",INDEX(_xlfn.ANCHORARRAY(HELP!$G$2),ROW(T_WATCHLIST4[[#This Row],[Stock]])-ROW(T_WATCHLIST4[[#Headers],[Stock]]))),"")</f>
        <v/>
      </c>
      <c r="G74" s="80" t="str" cm="1">
        <f t="array" ref="G74">IFERROR(_xlfn.FIELDVALUE(T_WATCHLIST4[[#This Row],[Stock]],"Ticker Symbol"),"")</f>
        <v/>
      </c>
      <c r="H74" s="117"/>
      <c r="I74" s="81" t="str">
        <f>IF(T_WATCHLIST4[[#This Row],[Stock]]="","",SUMIFS(T_TXN[UNITS],T_TXN[TYPE],"Buy",T_TXN[TICKER],T_WATCHLIST4[[#This Row],[Stock]])-SUMIFS(T_TXN[UNITS],T_TXN[TYPE],"Sell",T_TXN[TICKER],T_WATCHLIST4[[#This Row],[Stock]])+SUMIFS(T_TXN[UNITS],T_TXN[TYPE],"Dividend Reinvestment",T_TXN[TICKER],T_WATCHLIST4[[#This Row],[Stock]]))</f>
        <v/>
      </c>
      <c r="J74" s="75" t="str" cm="1">
        <f t="array" ref="J74">IFERROR(_xlfn.FIELDVALUE(T_WATCHLIST4[[#This Row],[Stock]],"Price"),"")</f>
        <v/>
      </c>
      <c r="K74" s="82" t="str" cm="1">
        <f t="array" ref="K74">IFERROR(_xlfn.FIELDVALUE(T_WATCHLIST4[[#This Row],[Stock]],"Change"),"")</f>
        <v/>
      </c>
      <c r="L74" s="83" t="str" cm="1">
        <f t="array" ref="L74">IFERROR(_xlfn.FIELDVALUE(T_WATCHLIST4[[#This Row],[Stock]],"Change (%)"),"")</f>
        <v/>
      </c>
      <c r="M74" s="84" t="str">
        <f>IF(T_WATCHLIST4[[#This Row],[Stock]]="","",T_WATCHLIST4[[#This Row],[Quantity]]*T_WATCHLIST4[[#This Row],[Last Price]])</f>
        <v/>
      </c>
      <c r="N74" s="85" t="str" cm="1">
        <f t="array" ref="N74">IF(T_WATCHLIST4[[#This Row],[Stock]]="","",T_WATCHLIST4[[#This Row],[Current Value]]-_xlfn.FIELDVALUE(T_WATCHLIST4[[#This Row],[Stock]],"Previous Close")*T_WATCHLIST4[[#This Row],[Quantity]])</f>
        <v/>
      </c>
      <c r="O74" s="86" t="str">
        <f>IFERROR(T_WATCHLIST4[[#This Row],[Today''s Gain/Loss]]/(T_WATCHLIST4[[#This Row],[Current Value]]-T_WATCHLIST4[[#This Row],[Today''s Gain/Loss]]),"")</f>
        <v/>
      </c>
      <c r="P74" s="84" t="str">
        <f>IFERROR(T_WATCHLIST4[[#This Row],[Current Value]]-T_WATCHLIST4[[#This Row],[% Total Gain/Loss9]],"")</f>
        <v/>
      </c>
      <c r="Q74" s="87" t="str">
        <f>IFERROR(T_WATCHLIST4[[#This Row],[Total Gain/Loss]]/T_WATCHLIST4[[#This Row],[% Total Gain/Loss9]],"")</f>
        <v/>
      </c>
      <c r="R74" s="88" t="str" cm="1">
        <f t="array" ref="R74">IFERROR(_xlfn.FIELDVALUE(T_WATCHLIST4[[#This Row],[Stock]],"52 week low"),"")</f>
        <v/>
      </c>
      <c r="S7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4" s="73" t="str" cm="1">
        <f t="array" ref="T74">IFERROR(_xlfn.FIELDVALUE(T_WATCHLIST4[[#This Row],[Stock]],"52 week high"),"")</f>
        <v/>
      </c>
      <c r="U74" s="64" t="str" cm="1">
        <f t="array" ref="U74">IF(T_WATCHLIST4[[#This Row],[Stock]]="","",SUMPRODUCT(T_TXN[UNITS],--(T_TXN[TYPE]="Buy"),--(T_TXN[TICKER]=T_WATCHLIST4[[#This Row],[Stock]])))</f>
        <v/>
      </c>
      <c r="V74" s="67" t="str" cm="1">
        <f t="array" ref="V74">IF(T_WATCHLIST4[[#This Row],[Stock]]="","",SUMPRODUCT(--(T_TXN[TYPE]="Buy"),T_TXN[UNITS],T_TXN[PRICE],--(T_TXN[TICKER]=T_WATCHLIST4[[#This Row],[Stock]])))</f>
        <v/>
      </c>
      <c r="W74" s="64" t="str" cm="1">
        <f t="array" ref="W74">IF(T_WATCHLIST4[[#This Row],[Stock]]="","",SUMPRODUCT(T_TXN[UNITS],--(T_TXN[TYPE]="Sell"),--(T_TXN[TICKER]=T_WATCHLIST4[[#This Row],[Stock]])))</f>
        <v/>
      </c>
      <c r="X74" s="67" t="str" cm="1">
        <f t="array" ref="X74">IF(T_WATCHLIST4[[#This Row],[Stock]]="","",SUMPRODUCT(--(T_TXN[TYPE]="Sell"),T_TXN[UNITS],T_TXN[PRICE],--(T_TXN[TICKER]=T_WATCHLIST4[[#This Row],[Stock]])))</f>
        <v/>
      </c>
      <c r="Y74" s="67" t="str" cm="1">
        <f t="array" ref="Y74">IF(T_WATCHLIST4[[#This Row],[Stock]]="","",SUMPRODUCT(T_TXN[UNITS],T_TXN[PRICE],--(T_TXN[TYPE]="Buy"),--(T_TXN[TICKER]=T_WATCHLIST4[[#This Row],[Stock]])) -SUMPRODUCT(T_TXN[UNITS],T_TXN[PRICE],--(T_TXN[TYPE]="Sell"),--(T_TXN[TICKER]=T_WATCHLIST4[[#This Row],[Stock]])))</f>
        <v/>
      </c>
      <c r="Z74" s="64" t="str" cm="1">
        <f t="array" ref="Z74">IFERROR(IF(ROW(T_WATCHLIST4[[#This Row],[Stock]])-ROW(T_WATCHLIST4[[#Headers],[Stock]])&gt;=C_CNT_STOCKS,"",_FV(T_WATCHLIST4[[#This Row],[Stock]],"Industry",TRUE)),"Not Available")</f>
        <v/>
      </c>
      <c r="AA74" s="64" t="str" cm="1">
        <f t="array" ref="AA74">IFERROR(IF(ROW(T_WATCHLIST4[[#This Row],[Stock]])-ROW(T_WATCHLIST4[[#Headers],[Stock]])&gt;=C_CNT_STOCKS,"",_FV(T_WATCHLIST4[[#This Row],[Stock]],"Instrument type",TRUE)),"Not Available")</f>
        <v/>
      </c>
    </row>
    <row r="75" spans="5:27" ht="22" customHeight="1">
      <c r="E75" s="89"/>
      <c r="F75" s="75" t="str" cm="1">
        <f t="array" ref="F75">IFERROR(IF(ROW(T_WATCHLIST4[[#This Row],[Stock]])-ROW(T_WATCHLIST4[[#Headers],[Stock]])&gt;C_CNT_STOCKS,"",INDEX(_xlfn.ANCHORARRAY(HELP!$G$2),ROW(T_WATCHLIST4[[#This Row],[Stock]])-ROW(T_WATCHLIST4[[#Headers],[Stock]]))),"")</f>
        <v/>
      </c>
      <c r="G75" s="80" t="str" cm="1">
        <f t="array" ref="G75">IFERROR(_xlfn.FIELDVALUE(T_WATCHLIST4[[#This Row],[Stock]],"Ticker Symbol"),"")</f>
        <v/>
      </c>
      <c r="H75" s="117"/>
      <c r="I75" s="81" t="str">
        <f>IF(T_WATCHLIST4[[#This Row],[Stock]]="","",SUMIFS(T_TXN[UNITS],T_TXN[TYPE],"Buy",T_TXN[TICKER],T_WATCHLIST4[[#This Row],[Stock]])-SUMIFS(T_TXN[UNITS],T_TXN[TYPE],"Sell",T_TXN[TICKER],T_WATCHLIST4[[#This Row],[Stock]])+SUMIFS(T_TXN[UNITS],T_TXN[TYPE],"Dividend Reinvestment",T_TXN[TICKER],T_WATCHLIST4[[#This Row],[Stock]]))</f>
        <v/>
      </c>
      <c r="J75" s="75" t="str" cm="1">
        <f t="array" ref="J75">IFERROR(_xlfn.FIELDVALUE(T_WATCHLIST4[[#This Row],[Stock]],"Price"),"")</f>
        <v/>
      </c>
      <c r="K75" s="82" t="str" cm="1">
        <f t="array" ref="K75">IFERROR(_xlfn.FIELDVALUE(T_WATCHLIST4[[#This Row],[Stock]],"Change"),"")</f>
        <v/>
      </c>
      <c r="L75" s="83" t="str" cm="1">
        <f t="array" ref="L75">IFERROR(_xlfn.FIELDVALUE(T_WATCHLIST4[[#This Row],[Stock]],"Change (%)"),"")</f>
        <v/>
      </c>
      <c r="M75" s="84" t="str">
        <f>IF(T_WATCHLIST4[[#This Row],[Stock]]="","",T_WATCHLIST4[[#This Row],[Quantity]]*T_WATCHLIST4[[#This Row],[Last Price]])</f>
        <v/>
      </c>
      <c r="N75" s="85" t="str" cm="1">
        <f t="array" ref="N75">IF(T_WATCHLIST4[[#This Row],[Stock]]="","",T_WATCHLIST4[[#This Row],[Current Value]]-_xlfn.FIELDVALUE(T_WATCHLIST4[[#This Row],[Stock]],"Previous Close")*T_WATCHLIST4[[#This Row],[Quantity]])</f>
        <v/>
      </c>
      <c r="O75" s="86" t="str">
        <f>IFERROR(T_WATCHLIST4[[#This Row],[Today''s Gain/Loss]]/(T_WATCHLIST4[[#This Row],[Current Value]]-T_WATCHLIST4[[#This Row],[Today''s Gain/Loss]]),"")</f>
        <v/>
      </c>
      <c r="P75" s="84" t="str">
        <f>IFERROR(T_WATCHLIST4[[#This Row],[Current Value]]-T_WATCHLIST4[[#This Row],[% Total Gain/Loss9]],"")</f>
        <v/>
      </c>
      <c r="Q75" s="87" t="str">
        <f>IFERROR(T_WATCHLIST4[[#This Row],[Total Gain/Loss]]/T_WATCHLIST4[[#This Row],[% Total Gain/Loss9]],"")</f>
        <v/>
      </c>
      <c r="R75" s="88" t="str" cm="1">
        <f t="array" ref="R75">IFERROR(_xlfn.FIELDVALUE(T_WATCHLIST4[[#This Row],[Stock]],"52 week low"),"")</f>
        <v/>
      </c>
      <c r="S7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5" s="73" t="str" cm="1">
        <f t="array" ref="T75">IFERROR(_xlfn.FIELDVALUE(T_WATCHLIST4[[#This Row],[Stock]],"52 week high"),"")</f>
        <v/>
      </c>
      <c r="U75" s="64" t="str" cm="1">
        <f t="array" ref="U75">IF(T_WATCHLIST4[[#This Row],[Stock]]="","",SUMPRODUCT(T_TXN[UNITS],--(T_TXN[TYPE]="Buy"),--(T_TXN[TICKER]=T_WATCHLIST4[[#This Row],[Stock]])))</f>
        <v/>
      </c>
      <c r="V75" s="67" t="str" cm="1">
        <f t="array" ref="V75">IF(T_WATCHLIST4[[#This Row],[Stock]]="","",SUMPRODUCT(--(T_TXN[TYPE]="Buy"),T_TXN[UNITS],T_TXN[PRICE],--(T_TXN[TICKER]=T_WATCHLIST4[[#This Row],[Stock]])))</f>
        <v/>
      </c>
      <c r="W75" s="64" t="str" cm="1">
        <f t="array" ref="W75">IF(T_WATCHLIST4[[#This Row],[Stock]]="","",SUMPRODUCT(T_TXN[UNITS],--(T_TXN[TYPE]="Sell"),--(T_TXN[TICKER]=T_WATCHLIST4[[#This Row],[Stock]])))</f>
        <v/>
      </c>
      <c r="X75" s="67" t="str" cm="1">
        <f t="array" ref="X75">IF(T_WATCHLIST4[[#This Row],[Stock]]="","",SUMPRODUCT(--(T_TXN[TYPE]="Sell"),T_TXN[UNITS],T_TXN[PRICE],--(T_TXN[TICKER]=T_WATCHLIST4[[#This Row],[Stock]])))</f>
        <v/>
      </c>
      <c r="Y75" s="67" t="str" cm="1">
        <f t="array" ref="Y75">IF(T_WATCHLIST4[[#This Row],[Stock]]="","",SUMPRODUCT(T_TXN[UNITS],T_TXN[PRICE],--(T_TXN[TYPE]="Buy"),--(T_TXN[TICKER]=T_WATCHLIST4[[#This Row],[Stock]])) -SUMPRODUCT(T_TXN[UNITS],T_TXN[PRICE],--(T_TXN[TYPE]="Sell"),--(T_TXN[TICKER]=T_WATCHLIST4[[#This Row],[Stock]])))</f>
        <v/>
      </c>
      <c r="Z75" s="64" t="str" cm="1">
        <f t="array" ref="Z75">IFERROR(IF(ROW(T_WATCHLIST4[[#This Row],[Stock]])-ROW(T_WATCHLIST4[[#Headers],[Stock]])&gt;=C_CNT_STOCKS,"",_FV(T_WATCHLIST4[[#This Row],[Stock]],"Industry",TRUE)),"Not Available")</f>
        <v/>
      </c>
      <c r="AA75" s="64" t="str" cm="1">
        <f t="array" ref="AA75">IFERROR(IF(ROW(T_WATCHLIST4[[#This Row],[Stock]])-ROW(T_WATCHLIST4[[#Headers],[Stock]])&gt;=C_CNT_STOCKS,"",_FV(T_WATCHLIST4[[#This Row],[Stock]],"Instrument type",TRUE)),"Not Available")</f>
        <v/>
      </c>
    </row>
    <row r="76" spans="5:27" ht="22" customHeight="1">
      <c r="E76" s="89"/>
      <c r="F76" s="75" t="str" cm="1">
        <f t="array" ref="F76">IFERROR(IF(ROW(T_WATCHLIST4[[#This Row],[Stock]])-ROW(T_WATCHLIST4[[#Headers],[Stock]])&gt;C_CNT_STOCKS,"",INDEX(_xlfn.ANCHORARRAY(HELP!$G$2),ROW(T_WATCHLIST4[[#This Row],[Stock]])-ROW(T_WATCHLIST4[[#Headers],[Stock]]))),"")</f>
        <v/>
      </c>
      <c r="G76" s="80" t="str" cm="1">
        <f t="array" ref="G76">IFERROR(_xlfn.FIELDVALUE(T_WATCHLIST4[[#This Row],[Stock]],"Ticker Symbol"),"")</f>
        <v/>
      </c>
      <c r="H76" s="117"/>
      <c r="I76" s="81" t="str">
        <f>IF(T_WATCHLIST4[[#This Row],[Stock]]="","",SUMIFS(T_TXN[UNITS],T_TXN[TYPE],"Buy",T_TXN[TICKER],T_WATCHLIST4[[#This Row],[Stock]])-SUMIFS(T_TXN[UNITS],T_TXN[TYPE],"Sell",T_TXN[TICKER],T_WATCHLIST4[[#This Row],[Stock]])+SUMIFS(T_TXN[UNITS],T_TXN[TYPE],"Dividend Reinvestment",T_TXN[TICKER],T_WATCHLIST4[[#This Row],[Stock]]))</f>
        <v/>
      </c>
      <c r="J76" s="75" t="str" cm="1">
        <f t="array" ref="J76">IFERROR(_xlfn.FIELDVALUE(T_WATCHLIST4[[#This Row],[Stock]],"Price"),"")</f>
        <v/>
      </c>
      <c r="K76" s="82" t="str" cm="1">
        <f t="array" ref="K76">IFERROR(_xlfn.FIELDVALUE(T_WATCHLIST4[[#This Row],[Stock]],"Change"),"")</f>
        <v/>
      </c>
      <c r="L76" s="83" t="str" cm="1">
        <f t="array" ref="L76">IFERROR(_xlfn.FIELDVALUE(T_WATCHLIST4[[#This Row],[Stock]],"Change (%)"),"")</f>
        <v/>
      </c>
      <c r="M76" s="84" t="str">
        <f>IF(T_WATCHLIST4[[#This Row],[Stock]]="","",T_WATCHLIST4[[#This Row],[Quantity]]*T_WATCHLIST4[[#This Row],[Last Price]])</f>
        <v/>
      </c>
      <c r="N76" s="85" t="str" cm="1">
        <f t="array" ref="N76">IF(T_WATCHLIST4[[#This Row],[Stock]]="","",T_WATCHLIST4[[#This Row],[Current Value]]-_xlfn.FIELDVALUE(T_WATCHLIST4[[#This Row],[Stock]],"Previous Close")*T_WATCHLIST4[[#This Row],[Quantity]])</f>
        <v/>
      </c>
      <c r="O76" s="86" t="str">
        <f>IFERROR(T_WATCHLIST4[[#This Row],[Today''s Gain/Loss]]/(T_WATCHLIST4[[#This Row],[Current Value]]-T_WATCHLIST4[[#This Row],[Today''s Gain/Loss]]),"")</f>
        <v/>
      </c>
      <c r="P76" s="84" t="str">
        <f>IFERROR(T_WATCHLIST4[[#This Row],[Current Value]]-T_WATCHLIST4[[#This Row],[% Total Gain/Loss9]],"")</f>
        <v/>
      </c>
      <c r="Q76" s="87" t="str">
        <f>IFERROR(T_WATCHLIST4[[#This Row],[Total Gain/Loss]]/T_WATCHLIST4[[#This Row],[% Total Gain/Loss9]],"")</f>
        <v/>
      </c>
      <c r="R76" s="88" t="str" cm="1">
        <f t="array" ref="R76">IFERROR(_xlfn.FIELDVALUE(T_WATCHLIST4[[#This Row],[Stock]],"52 week low"),"")</f>
        <v/>
      </c>
      <c r="S7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6" s="73" t="str" cm="1">
        <f t="array" ref="T76">IFERROR(_xlfn.FIELDVALUE(T_WATCHLIST4[[#This Row],[Stock]],"52 week high"),"")</f>
        <v/>
      </c>
      <c r="U76" s="64" t="str" cm="1">
        <f t="array" ref="U76">IF(T_WATCHLIST4[[#This Row],[Stock]]="","",SUMPRODUCT(T_TXN[UNITS],--(T_TXN[TYPE]="Buy"),--(T_TXN[TICKER]=T_WATCHLIST4[[#This Row],[Stock]])))</f>
        <v/>
      </c>
      <c r="V76" s="67" t="str" cm="1">
        <f t="array" ref="V76">IF(T_WATCHLIST4[[#This Row],[Stock]]="","",SUMPRODUCT(--(T_TXN[TYPE]="Buy"),T_TXN[UNITS],T_TXN[PRICE],--(T_TXN[TICKER]=T_WATCHLIST4[[#This Row],[Stock]])))</f>
        <v/>
      </c>
      <c r="W76" s="64" t="str" cm="1">
        <f t="array" ref="W76">IF(T_WATCHLIST4[[#This Row],[Stock]]="","",SUMPRODUCT(T_TXN[UNITS],--(T_TXN[TYPE]="Sell"),--(T_TXN[TICKER]=T_WATCHLIST4[[#This Row],[Stock]])))</f>
        <v/>
      </c>
      <c r="X76" s="67" t="str" cm="1">
        <f t="array" ref="X76">IF(T_WATCHLIST4[[#This Row],[Stock]]="","",SUMPRODUCT(--(T_TXN[TYPE]="Sell"),T_TXN[UNITS],T_TXN[PRICE],--(T_TXN[TICKER]=T_WATCHLIST4[[#This Row],[Stock]])))</f>
        <v/>
      </c>
      <c r="Y76" s="67" t="str" cm="1">
        <f t="array" ref="Y76">IF(T_WATCHLIST4[[#This Row],[Stock]]="","",SUMPRODUCT(T_TXN[UNITS],T_TXN[PRICE],--(T_TXN[TYPE]="Buy"),--(T_TXN[TICKER]=T_WATCHLIST4[[#This Row],[Stock]])) -SUMPRODUCT(T_TXN[UNITS],T_TXN[PRICE],--(T_TXN[TYPE]="Sell"),--(T_TXN[TICKER]=T_WATCHLIST4[[#This Row],[Stock]])))</f>
        <v/>
      </c>
      <c r="Z76" s="64" t="str" cm="1">
        <f t="array" ref="Z76">IFERROR(IF(ROW(T_WATCHLIST4[[#This Row],[Stock]])-ROW(T_WATCHLIST4[[#Headers],[Stock]])&gt;=C_CNT_STOCKS,"",_FV(T_WATCHLIST4[[#This Row],[Stock]],"Industry",TRUE)),"Not Available")</f>
        <v/>
      </c>
      <c r="AA76" s="64" t="str" cm="1">
        <f t="array" ref="AA76">IFERROR(IF(ROW(T_WATCHLIST4[[#This Row],[Stock]])-ROW(T_WATCHLIST4[[#Headers],[Stock]])&gt;=C_CNT_STOCKS,"",_FV(T_WATCHLIST4[[#This Row],[Stock]],"Instrument type",TRUE)),"Not Available")</f>
        <v/>
      </c>
    </row>
    <row r="77" spans="5:27" ht="22" customHeight="1">
      <c r="E77" s="89"/>
      <c r="F77" s="75" t="str" cm="1">
        <f t="array" ref="F77">IFERROR(IF(ROW(T_WATCHLIST4[[#This Row],[Stock]])-ROW(T_WATCHLIST4[[#Headers],[Stock]])&gt;C_CNT_STOCKS,"",INDEX(_xlfn.ANCHORARRAY(HELP!$G$2),ROW(T_WATCHLIST4[[#This Row],[Stock]])-ROW(T_WATCHLIST4[[#Headers],[Stock]]))),"")</f>
        <v/>
      </c>
      <c r="G77" s="80" t="str" cm="1">
        <f t="array" ref="G77">IFERROR(_xlfn.FIELDVALUE(T_WATCHLIST4[[#This Row],[Stock]],"Ticker Symbol"),"")</f>
        <v/>
      </c>
      <c r="H77" s="117"/>
      <c r="I77" s="81" t="str">
        <f>IF(T_WATCHLIST4[[#This Row],[Stock]]="","",SUMIFS(T_TXN[UNITS],T_TXN[TYPE],"Buy",T_TXN[TICKER],T_WATCHLIST4[[#This Row],[Stock]])-SUMIFS(T_TXN[UNITS],T_TXN[TYPE],"Sell",T_TXN[TICKER],T_WATCHLIST4[[#This Row],[Stock]])+SUMIFS(T_TXN[UNITS],T_TXN[TYPE],"Dividend Reinvestment",T_TXN[TICKER],T_WATCHLIST4[[#This Row],[Stock]]))</f>
        <v/>
      </c>
      <c r="J77" s="75" t="str" cm="1">
        <f t="array" ref="J77">IFERROR(_xlfn.FIELDVALUE(T_WATCHLIST4[[#This Row],[Stock]],"Price"),"")</f>
        <v/>
      </c>
      <c r="K77" s="82" t="str" cm="1">
        <f t="array" ref="K77">IFERROR(_xlfn.FIELDVALUE(T_WATCHLIST4[[#This Row],[Stock]],"Change"),"")</f>
        <v/>
      </c>
      <c r="L77" s="83" t="str" cm="1">
        <f t="array" ref="L77">IFERROR(_xlfn.FIELDVALUE(T_WATCHLIST4[[#This Row],[Stock]],"Change (%)"),"")</f>
        <v/>
      </c>
      <c r="M77" s="84" t="str">
        <f>IF(T_WATCHLIST4[[#This Row],[Stock]]="","",T_WATCHLIST4[[#This Row],[Quantity]]*T_WATCHLIST4[[#This Row],[Last Price]])</f>
        <v/>
      </c>
      <c r="N77" s="85" t="str" cm="1">
        <f t="array" ref="N77">IF(T_WATCHLIST4[[#This Row],[Stock]]="","",T_WATCHLIST4[[#This Row],[Current Value]]-_xlfn.FIELDVALUE(T_WATCHLIST4[[#This Row],[Stock]],"Previous Close")*T_WATCHLIST4[[#This Row],[Quantity]])</f>
        <v/>
      </c>
      <c r="O77" s="86" t="str">
        <f>IFERROR(T_WATCHLIST4[[#This Row],[Today''s Gain/Loss]]/(T_WATCHLIST4[[#This Row],[Current Value]]-T_WATCHLIST4[[#This Row],[Today''s Gain/Loss]]),"")</f>
        <v/>
      </c>
      <c r="P77" s="84" t="str">
        <f>IFERROR(T_WATCHLIST4[[#This Row],[Current Value]]-T_WATCHLIST4[[#This Row],[% Total Gain/Loss9]],"")</f>
        <v/>
      </c>
      <c r="Q77" s="87" t="str">
        <f>IFERROR(T_WATCHLIST4[[#This Row],[Total Gain/Loss]]/T_WATCHLIST4[[#This Row],[% Total Gain/Loss9]],"")</f>
        <v/>
      </c>
      <c r="R77" s="88" t="str" cm="1">
        <f t="array" ref="R77">IFERROR(_xlfn.FIELDVALUE(T_WATCHLIST4[[#This Row],[Stock]],"52 week low"),"")</f>
        <v/>
      </c>
      <c r="S7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7" s="73" t="str" cm="1">
        <f t="array" ref="T77">IFERROR(_xlfn.FIELDVALUE(T_WATCHLIST4[[#This Row],[Stock]],"52 week high"),"")</f>
        <v/>
      </c>
      <c r="U77" s="64" t="str" cm="1">
        <f t="array" ref="U77">IF(T_WATCHLIST4[[#This Row],[Stock]]="","",SUMPRODUCT(T_TXN[UNITS],--(T_TXN[TYPE]="Buy"),--(T_TXN[TICKER]=T_WATCHLIST4[[#This Row],[Stock]])))</f>
        <v/>
      </c>
      <c r="V77" s="67" t="str" cm="1">
        <f t="array" ref="V77">IF(T_WATCHLIST4[[#This Row],[Stock]]="","",SUMPRODUCT(--(T_TXN[TYPE]="Buy"),T_TXN[UNITS],T_TXN[PRICE],--(T_TXN[TICKER]=T_WATCHLIST4[[#This Row],[Stock]])))</f>
        <v/>
      </c>
      <c r="W77" s="64" t="str" cm="1">
        <f t="array" ref="W77">IF(T_WATCHLIST4[[#This Row],[Stock]]="","",SUMPRODUCT(T_TXN[UNITS],--(T_TXN[TYPE]="Sell"),--(T_TXN[TICKER]=T_WATCHLIST4[[#This Row],[Stock]])))</f>
        <v/>
      </c>
      <c r="X77" s="67" t="str" cm="1">
        <f t="array" ref="X77">IF(T_WATCHLIST4[[#This Row],[Stock]]="","",SUMPRODUCT(--(T_TXN[TYPE]="Sell"),T_TXN[UNITS],T_TXN[PRICE],--(T_TXN[TICKER]=T_WATCHLIST4[[#This Row],[Stock]])))</f>
        <v/>
      </c>
      <c r="Y77" s="67" t="str" cm="1">
        <f t="array" ref="Y77">IF(T_WATCHLIST4[[#This Row],[Stock]]="","",SUMPRODUCT(T_TXN[UNITS],T_TXN[PRICE],--(T_TXN[TYPE]="Buy"),--(T_TXN[TICKER]=T_WATCHLIST4[[#This Row],[Stock]])) -SUMPRODUCT(T_TXN[UNITS],T_TXN[PRICE],--(T_TXN[TYPE]="Sell"),--(T_TXN[TICKER]=T_WATCHLIST4[[#This Row],[Stock]])))</f>
        <v/>
      </c>
      <c r="Z77" s="64" t="str" cm="1">
        <f t="array" ref="Z77">IFERROR(IF(ROW(T_WATCHLIST4[[#This Row],[Stock]])-ROW(T_WATCHLIST4[[#Headers],[Stock]])&gt;=C_CNT_STOCKS,"",_FV(T_WATCHLIST4[[#This Row],[Stock]],"Industry",TRUE)),"Not Available")</f>
        <v/>
      </c>
      <c r="AA77" s="64" t="str" cm="1">
        <f t="array" ref="AA77">IFERROR(IF(ROW(T_WATCHLIST4[[#This Row],[Stock]])-ROW(T_WATCHLIST4[[#Headers],[Stock]])&gt;=C_CNT_STOCKS,"",_FV(T_WATCHLIST4[[#This Row],[Stock]],"Instrument type",TRUE)),"Not Available")</f>
        <v/>
      </c>
    </row>
    <row r="78" spans="5:27" ht="22" customHeight="1">
      <c r="E78" s="89"/>
      <c r="F78" s="75" t="str" cm="1">
        <f t="array" ref="F78">IFERROR(IF(ROW(T_WATCHLIST4[[#This Row],[Stock]])-ROW(T_WATCHLIST4[[#Headers],[Stock]])&gt;C_CNT_STOCKS,"",INDEX(_xlfn.ANCHORARRAY(HELP!$G$2),ROW(T_WATCHLIST4[[#This Row],[Stock]])-ROW(T_WATCHLIST4[[#Headers],[Stock]]))),"")</f>
        <v/>
      </c>
      <c r="G78" s="80" t="str" cm="1">
        <f t="array" ref="G78">IFERROR(_xlfn.FIELDVALUE(T_WATCHLIST4[[#This Row],[Stock]],"Ticker Symbol"),"")</f>
        <v/>
      </c>
      <c r="H78" s="117"/>
      <c r="I78" s="81" t="str">
        <f>IF(T_WATCHLIST4[[#This Row],[Stock]]="","",SUMIFS(T_TXN[UNITS],T_TXN[TYPE],"Buy",T_TXN[TICKER],T_WATCHLIST4[[#This Row],[Stock]])-SUMIFS(T_TXN[UNITS],T_TXN[TYPE],"Sell",T_TXN[TICKER],T_WATCHLIST4[[#This Row],[Stock]])+SUMIFS(T_TXN[UNITS],T_TXN[TYPE],"Dividend Reinvestment",T_TXN[TICKER],T_WATCHLIST4[[#This Row],[Stock]]))</f>
        <v/>
      </c>
      <c r="J78" s="75" t="str" cm="1">
        <f t="array" ref="J78">IFERROR(_xlfn.FIELDVALUE(T_WATCHLIST4[[#This Row],[Stock]],"Price"),"")</f>
        <v/>
      </c>
      <c r="K78" s="82" t="str" cm="1">
        <f t="array" ref="K78">IFERROR(_xlfn.FIELDVALUE(T_WATCHLIST4[[#This Row],[Stock]],"Change"),"")</f>
        <v/>
      </c>
      <c r="L78" s="83" t="str" cm="1">
        <f t="array" ref="L78">IFERROR(_xlfn.FIELDVALUE(T_WATCHLIST4[[#This Row],[Stock]],"Change (%)"),"")</f>
        <v/>
      </c>
      <c r="M78" s="84" t="str">
        <f>IF(T_WATCHLIST4[[#This Row],[Stock]]="","",T_WATCHLIST4[[#This Row],[Quantity]]*T_WATCHLIST4[[#This Row],[Last Price]])</f>
        <v/>
      </c>
      <c r="N78" s="85" t="str" cm="1">
        <f t="array" ref="N78">IF(T_WATCHLIST4[[#This Row],[Stock]]="","",T_WATCHLIST4[[#This Row],[Current Value]]-_xlfn.FIELDVALUE(T_WATCHLIST4[[#This Row],[Stock]],"Previous Close")*T_WATCHLIST4[[#This Row],[Quantity]])</f>
        <v/>
      </c>
      <c r="O78" s="86" t="str">
        <f>IFERROR(T_WATCHLIST4[[#This Row],[Today''s Gain/Loss]]/(T_WATCHLIST4[[#This Row],[Current Value]]-T_WATCHLIST4[[#This Row],[Today''s Gain/Loss]]),"")</f>
        <v/>
      </c>
      <c r="P78" s="84" t="str">
        <f>IFERROR(T_WATCHLIST4[[#This Row],[Current Value]]-T_WATCHLIST4[[#This Row],[% Total Gain/Loss9]],"")</f>
        <v/>
      </c>
      <c r="Q78" s="87" t="str">
        <f>IFERROR(T_WATCHLIST4[[#This Row],[Total Gain/Loss]]/T_WATCHLIST4[[#This Row],[% Total Gain/Loss9]],"")</f>
        <v/>
      </c>
      <c r="R78" s="88" t="str" cm="1">
        <f t="array" ref="R78">IFERROR(_xlfn.FIELDVALUE(T_WATCHLIST4[[#This Row],[Stock]],"52 week low"),"")</f>
        <v/>
      </c>
      <c r="S7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8" s="73" t="str" cm="1">
        <f t="array" ref="T78">IFERROR(_xlfn.FIELDVALUE(T_WATCHLIST4[[#This Row],[Stock]],"52 week high"),"")</f>
        <v/>
      </c>
      <c r="U78" s="64" t="str" cm="1">
        <f t="array" ref="U78">IF(T_WATCHLIST4[[#This Row],[Stock]]="","",SUMPRODUCT(T_TXN[UNITS],--(T_TXN[TYPE]="Buy"),--(T_TXN[TICKER]=T_WATCHLIST4[[#This Row],[Stock]])))</f>
        <v/>
      </c>
      <c r="V78" s="67" t="str" cm="1">
        <f t="array" ref="V78">IF(T_WATCHLIST4[[#This Row],[Stock]]="","",SUMPRODUCT(--(T_TXN[TYPE]="Buy"),T_TXN[UNITS],T_TXN[PRICE],--(T_TXN[TICKER]=T_WATCHLIST4[[#This Row],[Stock]])))</f>
        <v/>
      </c>
      <c r="W78" s="64" t="str" cm="1">
        <f t="array" ref="W78">IF(T_WATCHLIST4[[#This Row],[Stock]]="","",SUMPRODUCT(T_TXN[UNITS],--(T_TXN[TYPE]="Sell"),--(T_TXN[TICKER]=T_WATCHLIST4[[#This Row],[Stock]])))</f>
        <v/>
      </c>
      <c r="X78" s="67" t="str" cm="1">
        <f t="array" ref="X78">IF(T_WATCHLIST4[[#This Row],[Stock]]="","",SUMPRODUCT(--(T_TXN[TYPE]="Sell"),T_TXN[UNITS],T_TXN[PRICE],--(T_TXN[TICKER]=T_WATCHLIST4[[#This Row],[Stock]])))</f>
        <v/>
      </c>
      <c r="Y78" s="67" t="str" cm="1">
        <f t="array" ref="Y78">IF(T_WATCHLIST4[[#This Row],[Stock]]="","",SUMPRODUCT(T_TXN[UNITS],T_TXN[PRICE],--(T_TXN[TYPE]="Buy"),--(T_TXN[TICKER]=T_WATCHLIST4[[#This Row],[Stock]])) -SUMPRODUCT(T_TXN[UNITS],T_TXN[PRICE],--(T_TXN[TYPE]="Sell"),--(T_TXN[TICKER]=T_WATCHLIST4[[#This Row],[Stock]])))</f>
        <v/>
      </c>
      <c r="Z78" s="64" t="str" cm="1">
        <f t="array" ref="Z78">IFERROR(IF(ROW(T_WATCHLIST4[[#This Row],[Stock]])-ROW(T_WATCHLIST4[[#Headers],[Stock]])&gt;=C_CNT_STOCKS,"",_FV(T_WATCHLIST4[[#This Row],[Stock]],"Industry",TRUE)),"Not Available")</f>
        <v/>
      </c>
      <c r="AA78" s="64" t="str" cm="1">
        <f t="array" ref="AA78">IFERROR(IF(ROW(T_WATCHLIST4[[#This Row],[Stock]])-ROW(T_WATCHLIST4[[#Headers],[Stock]])&gt;=C_CNT_STOCKS,"",_FV(T_WATCHLIST4[[#This Row],[Stock]],"Instrument type",TRUE)),"Not Available")</f>
        <v/>
      </c>
    </row>
    <row r="79" spans="5:27" ht="22" customHeight="1">
      <c r="E79" s="89"/>
      <c r="F79" s="75" t="str" cm="1">
        <f t="array" ref="F79">IFERROR(IF(ROW(T_WATCHLIST4[[#This Row],[Stock]])-ROW(T_WATCHLIST4[[#Headers],[Stock]])&gt;C_CNT_STOCKS,"",INDEX(_xlfn.ANCHORARRAY(HELP!$G$2),ROW(T_WATCHLIST4[[#This Row],[Stock]])-ROW(T_WATCHLIST4[[#Headers],[Stock]]))),"")</f>
        <v/>
      </c>
      <c r="G79" s="80" t="str" cm="1">
        <f t="array" ref="G79">IFERROR(_xlfn.FIELDVALUE(T_WATCHLIST4[[#This Row],[Stock]],"Ticker Symbol"),"")</f>
        <v/>
      </c>
      <c r="H79" s="117"/>
      <c r="I79" s="81" t="str">
        <f>IF(T_WATCHLIST4[[#This Row],[Stock]]="","",SUMIFS(T_TXN[UNITS],T_TXN[TYPE],"Buy",T_TXN[TICKER],T_WATCHLIST4[[#This Row],[Stock]])-SUMIFS(T_TXN[UNITS],T_TXN[TYPE],"Sell",T_TXN[TICKER],T_WATCHLIST4[[#This Row],[Stock]])+SUMIFS(T_TXN[UNITS],T_TXN[TYPE],"Dividend Reinvestment",T_TXN[TICKER],T_WATCHLIST4[[#This Row],[Stock]]))</f>
        <v/>
      </c>
      <c r="J79" s="75" t="str" cm="1">
        <f t="array" ref="J79">IFERROR(_xlfn.FIELDVALUE(T_WATCHLIST4[[#This Row],[Stock]],"Price"),"")</f>
        <v/>
      </c>
      <c r="K79" s="82" t="str" cm="1">
        <f t="array" ref="K79">IFERROR(_xlfn.FIELDVALUE(T_WATCHLIST4[[#This Row],[Stock]],"Change"),"")</f>
        <v/>
      </c>
      <c r="L79" s="83" t="str" cm="1">
        <f t="array" ref="L79">IFERROR(_xlfn.FIELDVALUE(T_WATCHLIST4[[#This Row],[Stock]],"Change (%)"),"")</f>
        <v/>
      </c>
      <c r="M79" s="84" t="str">
        <f>IF(T_WATCHLIST4[[#This Row],[Stock]]="","",T_WATCHLIST4[[#This Row],[Quantity]]*T_WATCHLIST4[[#This Row],[Last Price]])</f>
        <v/>
      </c>
      <c r="N79" s="85" t="str" cm="1">
        <f t="array" ref="N79">IF(T_WATCHLIST4[[#This Row],[Stock]]="","",T_WATCHLIST4[[#This Row],[Current Value]]-_xlfn.FIELDVALUE(T_WATCHLIST4[[#This Row],[Stock]],"Previous Close")*T_WATCHLIST4[[#This Row],[Quantity]])</f>
        <v/>
      </c>
      <c r="O79" s="86" t="str">
        <f>IFERROR(T_WATCHLIST4[[#This Row],[Today''s Gain/Loss]]/(T_WATCHLIST4[[#This Row],[Current Value]]-T_WATCHLIST4[[#This Row],[Today''s Gain/Loss]]),"")</f>
        <v/>
      </c>
      <c r="P79" s="84" t="str">
        <f>IFERROR(T_WATCHLIST4[[#This Row],[Current Value]]-T_WATCHLIST4[[#This Row],[% Total Gain/Loss9]],"")</f>
        <v/>
      </c>
      <c r="Q79" s="87" t="str">
        <f>IFERROR(T_WATCHLIST4[[#This Row],[Total Gain/Loss]]/T_WATCHLIST4[[#This Row],[% Total Gain/Loss9]],"")</f>
        <v/>
      </c>
      <c r="R79" s="88" t="str" cm="1">
        <f t="array" ref="R79">IFERROR(_xlfn.FIELDVALUE(T_WATCHLIST4[[#This Row],[Stock]],"52 week low"),"")</f>
        <v/>
      </c>
      <c r="S7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79" s="73" t="str" cm="1">
        <f t="array" ref="T79">IFERROR(_xlfn.FIELDVALUE(T_WATCHLIST4[[#This Row],[Stock]],"52 week high"),"")</f>
        <v/>
      </c>
      <c r="U79" s="64" t="str" cm="1">
        <f t="array" ref="U79">IF(T_WATCHLIST4[[#This Row],[Stock]]="","",SUMPRODUCT(T_TXN[UNITS],--(T_TXN[TYPE]="Buy"),--(T_TXN[TICKER]=T_WATCHLIST4[[#This Row],[Stock]])))</f>
        <v/>
      </c>
      <c r="V79" s="67" t="str" cm="1">
        <f t="array" ref="V79">IF(T_WATCHLIST4[[#This Row],[Stock]]="","",SUMPRODUCT(--(T_TXN[TYPE]="Buy"),T_TXN[UNITS],T_TXN[PRICE],--(T_TXN[TICKER]=T_WATCHLIST4[[#This Row],[Stock]])))</f>
        <v/>
      </c>
      <c r="W79" s="64" t="str" cm="1">
        <f t="array" ref="W79">IF(T_WATCHLIST4[[#This Row],[Stock]]="","",SUMPRODUCT(T_TXN[UNITS],--(T_TXN[TYPE]="Sell"),--(T_TXN[TICKER]=T_WATCHLIST4[[#This Row],[Stock]])))</f>
        <v/>
      </c>
      <c r="X79" s="67" t="str" cm="1">
        <f t="array" ref="X79">IF(T_WATCHLIST4[[#This Row],[Stock]]="","",SUMPRODUCT(--(T_TXN[TYPE]="Sell"),T_TXN[UNITS],T_TXN[PRICE],--(T_TXN[TICKER]=T_WATCHLIST4[[#This Row],[Stock]])))</f>
        <v/>
      </c>
      <c r="Y79" s="67" t="str" cm="1">
        <f t="array" ref="Y79">IF(T_WATCHLIST4[[#This Row],[Stock]]="","",SUMPRODUCT(T_TXN[UNITS],T_TXN[PRICE],--(T_TXN[TYPE]="Buy"),--(T_TXN[TICKER]=T_WATCHLIST4[[#This Row],[Stock]])) -SUMPRODUCT(T_TXN[UNITS],T_TXN[PRICE],--(T_TXN[TYPE]="Sell"),--(T_TXN[TICKER]=T_WATCHLIST4[[#This Row],[Stock]])))</f>
        <v/>
      </c>
      <c r="Z79" s="64" t="str" cm="1">
        <f t="array" ref="Z79">IFERROR(IF(ROW(T_WATCHLIST4[[#This Row],[Stock]])-ROW(T_WATCHLIST4[[#Headers],[Stock]])&gt;=C_CNT_STOCKS,"",_FV(T_WATCHLIST4[[#This Row],[Stock]],"Industry",TRUE)),"Not Available")</f>
        <v/>
      </c>
      <c r="AA79" s="64" t="str" cm="1">
        <f t="array" ref="AA79">IFERROR(IF(ROW(T_WATCHLIST4[[#This Row],[Stock]])-ROW(T_WATCHLIST4[[#Headers],[Stock]])&gt;=C_CNT_STOCKS,"",_FV(T_WATCHLIST4[[#This Row],[Stock]],"Instrument type",TRUE)),"Not Available")</f>
        <v/>
      </c>
    </row>
    <row r="80" spans="5:27" ht="22" customHeight="1">
      <c r="E80" s="89"/>
      <c r="F80" s="75" t="str" cm="1">
        <f t="array" ref="F80">IFERROR(IF(ROW(T_WATCHLIST4[[#This Row],[Stock]])-ROW(T_WATCHLIST4[[#Headers],[Stock]])&gt;C_CNT_STOCKS,"",INDEX(_xlfn.ANCHORARRAY(HELP!$G$2),ROW(T_WATCHLIST4[[#This Row],[Stock]])-ROW(T_WATCHLIST4[[#Headers],[Stock]]))),"")</f>
        <v/>
      </c>
      <c r="G80" s="80" t="str" cm="1">
        <f t="array" ref="G80">IFERROR(_xlfn.FIELDVALUE(T_WATCHLIST4[[#This Row],[Stock]],"Ticker Symbol"),"")</f>
        <v/>
      </c>
      <c r="H80" s="117"/>
      <c r="I80" s="81" t="str">
        <f>IF(T_WATCHLIST4[[#This Row],[Stock]]="","",SUMIFS(T_TXN[UNITS],T_TXN[TYPE],"Buy",T_TXN[TICKER],T_WATCHLIST4[[#This Row],[Stock]])-SUMIFS(T_TXN[UNITS],T_TXN[TYPE],"Sell",T_TXN[TICKER],T_WATCHLIST4[[#This Row],[Stock]])+SUMIFS(T_TXN[UNITS],T_TXN[TYPE],"Dividend Reinvestment",T_TXN[TICKER],T_WATCHLIST4[[#This Row],[Stock]]))</f>
        <v/>
      </c>
      <c r="J80" s="75" t="str" cm="1">
        <f t="array" ref="J80">IFERROR(_xlfn.FIELDVALUE(T_WATCHLIST4[[#This Row],[Stock]],"Price"),"")</f>
        <v/>
      </c>
      <c r="K80" s="82" t="str" cm="1">
        <f t="array" ref="K80">IFERROR(_xlfn.FIELDVALUE(T_WATCHLIST4[[#This Row],[Stock]],"Change"),"")</f>
        <v/>
      </c>
      <c r="L80" s="83" t="str" cm="1">
        <f t="array" ref="L80">IFERROR(_xlfn.FIELDVALUE(T_WATCHLIST4[[#This Row],[Stock]],"Change (%)"),"")</f>
        <v/>
      </c>
      <c r="M80" s="84" t="str">
        <f>IF(T_WATCHLIST4[[#This Row],[Stock]]="","",T_WATCHLIST4[[#This Row],[Quantity]]*T_WATCHLIST4[[#This Row],[Last Price]])</f>
        <v/>
      </c>
      <c r="N80" s="85" t="str" cm="1">
        <f t="array" ref="N80">IF(T_WATCHLIST4[[#This Row],[Stock]]="","",T_WATCHLIST4[[#This Row],[Current Value]]-_xlfn.FIELDVALUE(T_WATCHLIST4[[#This Row],[Stock]],"Previous Close")*T_WATCHLIST4[[#This Row],[Quantity]])</f>
        <v/>
      </c>
      <c r="O80" s="86" t="str">
        <f>IFERROR(T_WATCHLIST4[[#This Row],[Today''s Gain/Loss]]/(T_WATCHLIST4[[#This Row],[Current Value]]-T_WATCHLIST4[[#This Row],[Today''s Gain/Loss]]),"")</f>
        <v/>
      </c>
      <c r="P80" s="84" t="str">
        <f>IFERROR(T_WATCHLIST4[[#This Row],[Current Value]]-T_WATCHLIST4[[#This Row],[% Total Gain/Loss9]],"")</f>
        <v/>
      </c>
      <c r="Q80" s="87" t="str">
        <f>IFERROR(T_WATCHLIST4[[#This Row],[Total Gain/Loss]]/T_WATCHLIST4[[#This Row],[% Total Gain/Loss9]],"")</f>
        <v/>
      </c>
      <c r="R80" s="88" t="str" cm="1">
        <f t="array" ref="R80">IFERROR(_xlfn.FIELDVALUE(T_WATCHLIST4[[#This Row],[Stock]],"52 week low"),"")</f>
        <v/>
      </c>
      <c r="S8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0" s="73" t="str" cm="1">
        <f t="array" ref="T80">IFERROR(_xlfn.FIELDVALUE(T_WATCHLIST4[[#This Row],[Stock]],"52 week high"),"")</f>
        <v/>
      </c>
      <c r="U80" s="64" t="str" cm="1">
        <f t="array" ref="U80">IF(T_WATCHLIST4[[#This Row],[Stock]]="","",SUMPRODUCT(T_TXN[UNITS],--(T_TXN[TYPE]="Buy"),--(T_TXN[TICKER]=T_WATCHLIST4[[#This Row],[Stock]])))</f>
        <v/>
      </c>
      <c r="V80" s="67" t="str" cm="1">
        <f t="array" ref="V80">IF(T_WATCHLIST4[[#This Row],[Stock]]="","",SUMPRODUCT(--(T_TXN[TYPE]="Buy"),T_TXN[UNITS],T_TXN[PRICE],--(T_TXN[TICKER]=T_WATCHLIST4[[#This Row],[Stock]])))</f>
        <v/>
      </c>
      <c r="W80" s="64" t="str" cm="1">
        <f t="array" ref="W80">IF(T_WATCHLIST4[[#This Row],[Stock]]="","",SUMPRODUCT(T_TXN[UNITS],--(T_TXN[TYPE]="Sell"),--(T_TXN[TICKER]=T_WATCHLIST4[[#This Row],[Stock]])))</f>
        <v/>
      </c>
      <c r="X80" s="67" t="str" cm="1">
        <f t="array" ref="X80">IF(T_WATCHLIST4[[#This Row],[Stock]]="","",SUMPRODUCT(--(T_TXN[TYPE]="Sell"),T_TXN[UNITS],T_TXN[PRICE],--(T_TXN[TICKER]=T_WATCHLIST4[[#This Row],[Stock]])))</f>
        <v/>
      </c>
      <c r="Y80" s="67" t="str" cm="1">
        <f t="array" ref="Y80">IF(T_WATCHLIST4[[#This Row],[Stock]]="","",SUMPRODUCT(T_TXN[UNITS],T_TXN[PRICE],--(T_TXN[TYPE]="Buy"),--(T_TXN[TICKER]=T_WATCHLIST4[[#This Row],[Stock]])) -SUMPRODUCT(T_TXN[UNITS],T_TXN[PRICE],--(T_TXN[TYPE]="Sell"),--(T_TXN[TICKER]=T_WATCHLIST4[[#This Row],[Stock]])))</f>
        <v/>
      </c>
      <c r="Z80" s="64" t="str" cm="1">
        <f t="array" ref="Z80">IFERROR(IF(ROW(T_WATCHLIST4[[#This Row],[Stock]])-ROW(T_WATCHLIST4[[#Headers],[Stock]])&gt;=C_CNT_STOCKS,"",_FV(T_WATCHLIST4[[#This Row],[Stock]],"Industry",TRUE)),"Not Available")</f>
        <v/>
      </c>
      <c r="AA80" s="64" t="str" cm="1">
        <f t="array" ref="AA80">IFERROR(IF(ROW(T_WATCHLIST4[[#This Row],[Stock]])-ROW(T_WATCHLIST4[[#Headers],[Stock]])&gt;=C_CNT_STOCKS,"",_FV(T_WATCHLIST4[[#This Row],[Stock]],"Instrument type",TRUE)),"Not Available")</f>
        <v/>
      </c>
    </row>
    <row r="81" spans="5:27" ht="22" customHeight="1">
      <c r="E81" s="89"/>
      <c r="F81" s="75" t="str" cm="1">
        <f t="array" ref="F81">IFERROR(IF(ROW(T_WATCHLIST4[[#This Row],[Stock]])-ROW(T_WATCHLIST4[[#Headers],[Stock]])&gt;C_CNT_STOCKS,"",INDEX(_xlfn.ANCHORARRAY(HELP!$G$2),ROW(T_WATCHLIST4[[#This Row],[Stock]])-ROW(T_WATCHLIST4[[#Headers],[Stock]]))),"")</f>
        <v/>
      </c>
      <c r="G81" s="80" t="str" cm="1">
        <f t="array" ref="G81">IFERROR(_xlfn.FIELDVALUE(T_WATCHLIST4[[#This Row],[Stock]],"Ticker Symbol"),"")</f>
        <v/>
      </c>
      <c r="H81" s="117"/>
      <c r="I81" s="81" t="str">
        <f>IF(T_WATCHLIST4[[#This Row],[Stock]]="","",SUMIFS(T_TXN[UNITS],T_TXN[TYPE],"Buy",T_TXN[TICKER],T_WATCHLIST4[[#This Row],[Stock]])-SUMIFS(T_TXN[UNITS],T_TXN[TYPE],"Sell",T_TXN[TICKER],T_WATCHLIST4[[#This Row],[Stock]])+SUMIFS(T_TXN[UNITS],T_TXN[TYPE],"Dividend Reinvestment",T_TXN[TICKER],T_WATCHLIST4[[#This Row],[Stock]]))</f>
        <v/>
      </c>
      <c r="J81" s="75" t="str" cm="1">
        <f t="array" ref="J81">IFERROR(_xlfn.FIELDVALUE(T_WATCHLIST4[[#This Row],[Stock]],"Price"),"")</f>
        <v/>
      </c>
      <c r="K81" s="82" t="str" cm="1">
        <f t="array" ref="K81">IFERROR(_xlfn.FIELDVALUE(T_WATCHLIST4[[#This Row],[Stock]],"Change"),"")</f>
        <v/>
      </c>
      <c r="L81" s="83" t="str" cm="1">
        <f t="array" ref="L81">IFERROR(_xlfn.FIELDVALUE(T_WATCHLIST4[[#This Row],[Stock]],"Change (%)"),"")</f>
        <v/>
      </c>
      <c r="M81" s="84" t="str">
        <f>IF(T_WATCHLIST4[[#This Row],[Stock]]="","",T_WATCHLIST4[[#This Row],[Quantity]]*T_WATCHLIST4[[#This Row],[Last Price]])</f>
        <v/>
      </c>
      <c r="N81" s="85" t="str" cm="1">
        <f t="array" ref="N81">IF(T_WATCHLIST4[[#This Row],[Stock]]="","",T_WATCHLIST4[[#This Row],[Current Value]]-_xlfn.FIELDVALUE(T_WATCHLIST4[[#This Row],[Stock]],"Previous Close")*T_WATCHLIST4[[#This Row],[Quantity]])</f>
        <v/>
      </c>
      <c r="O81" s="86" t="str">
        <f>IFERROR(T_WATCHLIST4[[#This Row],[Today''s Gain/Loss]]/(T_WATCHLIST4[[#This Row],[Current Value]]-T_WATCHLIST4[[#This Row],[Today''s Gain/Loss]]),"")</f>
        <v/>
      </c>
      <c r="P81" s="84" t="str">
        <f>IFERROR(T_WATCHLIST4[[#This Row],[Current Value]]-T_WATCHLIST4[[#This Row],[% Total Gain/Loss9]],"")</f>
        <v/>
      </c>
      <c r="Q81" s="87" t="str">
        <f>IFERROR(T_WATCHLIST4[[#This Row],[Total Gain/Loss]]/T_WATCHLIST4[[#This Row],[% Total Gain/Loss9]],"")</f>
        <v/>
      </c>
      <c r="R81" s="88" t="str" cm="1">
        <f t="array" ref="R81">IFERROR(_xlfn.FIELDVALUE(T_WATCHLIST4[[#This Row],[Stock]],"52 week low"),"")</f>
        <v/>
      </c>
      <c r="S8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1" s="73" t="str" cm="1">
        <f t="array" ref="T81">IFERROR(_xlfn.FIELDVALUE(T_WATCHLIST4[[#This Row],[Stock]],"52 week high"),"")</f>
        <v/>
      </c>
      <c r="U81" s="64" t="str" cm="1">
        <f t="array" ref="U81">IF(T_WATCHLIST4[[#This Row],[Stock]]="","",SUMPRODUCT(T_TXN[UNITS],--(T_TXN[TYPE]="Buy"),--(T_TXN[TICKER]=T_WATCHLIST4[[#This Row],[Stock]])))</f>
        <v/>
      </c>
      <c r="V81" s="67" t="str" cm="1">
        <f t="array" ref="V81">IF(T_WATCHLIST4[[#This Row],[Stock]]="","",SUMPRODUCT(--(T_TXN[TYPE]="Buy"),T_TXN[UNITS],T_TXN[PRICE],--(T_TXN[TICKER]=T_WATCHLIST4[[#This Row],[Stock]])))</f>
        <v/>
      </c>
      <c r="W81" s="64" t="str" cm="1">
        <f t="array" ref="W81">IF(T_WATCHLIST4[[#This Row],[Stock]]="","",SUMPRODUCT(T_TXN[UNITS],--(T_TXN[TYPE]="Sell"),--(T_TXN[TICKER]=T_WATCHLIST4[[#This Row],[Stock]])))</f>
        <v/>
      </c>
      <c r="X81" s="67" t="str" cm="1">
        <f t="array" ref="X81">IF(T_WATCHLIST4[[#This Row],[Stock]]="","",SUMPRODUCT(--(T_TXN[TYPE]="Sell"),T_TXN[UNITS],T_TXN[PRICE],--(T_TXN[TICKER]=T_WATCHLIST4[[#This Row],[Stock]])))</f>
        <v/>
      </c>
      <c r="Y81" s="67" t="str" cm="1">
        <f t="array" ref="Y81">IF(T_WATCHLIST4[[#This Row],[Stock]]="","",SUMPRODUCT(T_TXN[UNITS],T_TXN[PRICE],--(T_TXN[TYPE]="Buy"),--(T_TXN[TICKER]=T_WATCHLIST4[[#This Row],[Stock]])) -SUMPRODUCT(T_TXN[UNITS],T_TXN[PRICE],--(T_TXN[TYPE]="Sell"),--(T_TXN[TICKER]=T_WATCHLIST4[[#This Row],[Stock]])))</f>
        <v/>
      </c>
      <c r="Z81" s="64" t="str" cm="1">
        <f t="array" ref="Z81">IFERROR(IF(ROW(T_WATCHLIST4[[#This Row],[Stock]])-ROW(T_WATCHLIST4[[#Headers],[Stock]])&gt;=C_CNT_STOCKS,"",_FV(T_WATCHLIST4[[#This Row],[Stock]],"Industry",TRUE)),"Not Available")</f>
        <v/>
      </c>
      <c r="AA81" s="64" t="str" cm="1">
        <f t="array" ref="AA81">IFERROR(IF(ROW(T_WATCHLIST4[[#This Row],[Stock]])-ROW(T_WATCHLIST4[[#Headers],[Stock]])&gt;=C_CNT_STOCKS,"",_FV(T_WATCHLIST4[[#This Row],[Stock]],"Instrument type",TRUE)),"Not Available")</f>
        <v/>
      </c>
    </row>
    <row r="82" spans="5:27" ht="22" customHeight="1">
      <c r="E82" s="89"/>
      <c r="F82" s="75" t="str" cm="1">
        <f t="array" ref="F82">IFERROR(IF(ROW(T_WATCHLIST4[[#This Row],[Stock]])-ROW(T_WATCHLIST4[[#Headers],[Stock]])&gt;C_CNT_STOCKS,"",INDEX(_xlfn.ANCHORARRAY(HELP!$G$2),ROW(T_WATCHLIST4[[#This Row],[Stock]])-ROW(T_WATCHLIST4[[#Headers],[Stock]]))),"")</f>
        <v/>
      </c>
      <c r="G82" s="80" t="str" cm="1">
        <f t="array" ref="G82">IFERROR(_xlfn.FIELDVALUE(T_WATCHLIST4[[#This Row],[Stock]],"Ticker Symbol"),"")</f>
        <v/>
      </c>
      <c r="H82" s="117"/>
      <c r="I82" s="81" t="str">
        <f>IF(T_WATCHLIST4[[#This Row],[Stock]]="","",SUMIFS(T_TXN[UNITS],T_TXN[TYPE],"Buy",T_TXN[TICKER],T_WATCHLIST4[[#This Row],[Stock]])-SUMIFS(T_TXN[UNITS],T_TXN[TYPE],"Sell",T_TXN[TICKER],T_WATCHLIST4[[#This Row],[Stock]])+SUMIFS(T_TXN[UNITS],T_TXN[TYPE],"Dividend Reinvestment",T_TXN[TICKER],T_WATCHLIST4[[#This Row],[Stock]]))</f>
        <v/>
      </c>
      <c r="J82" s="75" t="str" cm="1">
        <f t="array" ref="J82">IFERROR(_xlfn.FIELDVALUE(T_WATCHLIST4[[#This Row],[Stock]],"Price"),"")</f>
        <v/>
      </c>
      <c r="K82" s="82" t="str" cm="1">
        <f t="array" ref="K82">IFERROR(_xlfn.FIELDVALUE(T_WATCHLIST4[[#This Row],[Stock]],"Change"),"")</f>
        <v/>
      </c>
      <c r="L82" s="83" t="str" cm="1">
        <f t="array" ref="L82">IFERROR(_xlfn.FIELDVALUE(T_WATCHLIST4[[#This Row],[Stock]],"Change (%)"),"")</f>
        <v/>
      </c>
      <c r="M82" s="84" t="str">
        <f>IF(T_WATCHLIST4[[#This Row],[Stock]]="","",T_WATCHLIST4[[#This Row],[Quantity]]*T_WATCHLIST4[[#This Row],[Last Price]])</f>
        <v/>
      </c>
      <c r="N82" s="85" t="str" cm="1">
        <f t="array" ref="N82">IF(T_WATCHLIST4[[#This Row],[Stock]]="","",T_WATCHLIST4[[#This Row],[Current Value]]-_xlfn.FIELDVALUE(T_WATCHLIST4[[#This Row],[Stock]],"Previous Close")*T_WATCHLIST4[[#This Row],[Quantity]])</f>
        <v/>
      </c>
      <c r="O82" s="86" t="str">
        <f>IFERROR(T_WATCHLIST4[[#This Row],[Today''s Gain/Loss]]/(T_WATCHLIST4[[#This Row],[Current Value]]-T_WATCHLIST4[[#This Row],[Today''s Gain/Loss]]),"")</f>
        <v/>
      </c>
      <c r="P82" s="84" t="str">
        <f>IFERROR(T_WATCHLIST4[[#This Row],[Current Value]]-T_WATCHLIST4[[#This Row],[% Total Gain/Loss9]],"")</f>
        <v/>
      </c>
      <c r="Q82" s="87" t="str">
        <f>IFERROR(T_WATCHLIST4[[#This Row],[Total Gain/Loss]]/T_WATCHLIST4[[#This Row],[% Total Gain/Loss9]],"")</f>
        <v/>
      </c>
      <c r="R82" s="88" t="str" cm="1">
        <f t="array" ref="R82">IFERROR(_xlfn.FIELDVALUE(T_WATCHLIST4[[#This Row],[Stock]],"52 week low"),"")</f>
        <v/>
      </c>
      <c r="S8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2" s="73" t="str" cm="1">
        <f t="array" ref="T82">IFERROR(_xlfn.FIELDVALUE(T_WATCHLIST4[[#This Row],[Stock]],"52 week high"),"")</f>
        <v/>
      </c>
      <c r="U82" s="64" t="str" cm="1">
        <f t="array" ref="U82">IF(T_WATCHLIST4[[#This Row],[Stock]]="","",SUMPRODUCT(T_TXN[UNITS],--(T_TXN[TYPE]="Buy"),--(T_TXN[TICKER]=T_WATCHLIST4[[#This Row],[Stock]])))</f>
        <v/>
      </c>
      <c r="V82" s="67" t="str" cm="1">
        <f t="array" ref="V82">IF(T_WATCHLIST4[[#This Row],[Stock]]="","",SUMPRODUCT(--(T_TXN[TYPE]="Buy"),T_TXN[UNITS],T_TXN[PRICE],--(T_TXN[TICKER]=T_WATCHLIST4[[#This Row],[Stock]])))</f>
        <v/>
      </c>
      <c r="W82" s="64" t="str" cm="1">
        <f t="array" ref="W82">IF(T_WATCHLIST4[[#This Row],[Stock]]="","",SUMPRODUCT(T_TXN[UNITS],--(T_TXN[TYPE]="Sell"),--(T_TXN[TICKER]=T_WATCHLIST4[[#This Row],[Stock]])))</f>
        <v/>
      </c>
      <c r="X82" s="67" t="str" cm="1">
        <f t="array" ref="X82">IF(T_WATCHLIST4[[#This Row],[Stock]]="","",SUMPRODUCT(--(T_TXN[TYPE]="Sell"),T_TXN[UNITS],T_TXN[PRICE],--(T_TXN[TICKER]=T_WATCHLIST4[[#This Row],[Stock]])))</f>
        <v/>
      </c>
      <c r="Y82" s="67" t="str" cm="1">
        <f t="array" ref="Y82">IF(T_WATCHLIST4[[#This Row],[Stock]]="","",SUMPRODUCT(T_TXN[UNITS],T_TXN[PRICE],--(T_TXN[TYPE]="Buy"),--(T_TXN[TICKER]=T_WATCHLIST4[[#This Row],[Stock]])) -SUMPRODUCT(T_TXN[UNITS],T_TXN[PRICE],--(T_TXN[TYPE]="Sell"),--(T_TXN[TICKER]=T_WATCHLIST4[[#This Row],[Stock]])))</f>
        <v/>
      </c>
      <c r="Z82" s="64" t="str" cm="1">
        <f t="array" ref="Z82">IFERROR(IF(ROW(T_WATCHLIST4[[#This Row],[Stock]])-ROW(T_WATCHLIST4[[#Headers],[Stock]])&gt;=C_CNT_STOCKS,"",_FV(T_WATCHLIST4[[#This Row],[Stock]],"Industry",TRUE)),"Not Available")</f>
        <v/>
      </c>
      <c r="AA82" s="64" t="str" cm="1">
        <f t="array" ref="AA82">IFERROR(IF(ROW(T_WATCHLIST4[[#This Row],[Stock]])-ROW(T_WATCHLIST4[[#Headers],[Stock]])&gt;=C_CNT_STOCKS,"",_FV(T_WATCHLIST4[[#This Row],[Stock]],"Instrument type",TRUE)),"Not Available")</f>
        <v/>
      </c>
    </row>
    <row r="83" spans="5:27" ht="22" customHeight="1">
      <c r="E83" s="89"/>
      <c r="F83" s="75" t="str" cm="1">
        <f t="array" ref="F83">IFERROR(IF(ROW(T_WATCHLIST4[[#This Row],[Stock]])-ROW(T_WATCHLIST4[[#Headers],[Stock]])&gt;C_CNT_STOCKS,"",INDEX(_xlfn.ANCHORARRAY(HELP!$G$2),ROW(T_WATCHLIST4[[#This Row],[Stock]])-ROW(T_WATCHLIST4[[#Headers],[Stock]]))),"")</f>
        <v/>
      </c>
      <c r="G83" s="80" t="str" cm="1">
        <f t="array" ref="G83">IFERROR(_xlfn.FIELDVALUE(T_WATCHLIST4[[#This Row],[Stock]],"Ticker Symbol"),"")</f>
        <v/>
      </c>
      <c r="H83" s="117"/>
      <c r="I83" s="81" t="str">
        <f>IF(T_WATCHLIST4[[#This Row],[Stock]]="","",SUMIFS(T_TXN[UNITS],T_TXN[TYPE],"Buy",T_TXN[TICKER],T_WATCHLIST4[[#This Row],[Stock]])-SUMIFS(T_TXN[UNITS],T_TXN[TYPE],"Sell",T_TXN[TICKER],T_WATCHLIST4[[#This Row],[Stock]])+SUMIFS(T_TXN[UNITS],T_TXN[TYPE],"Dividend Reinvestment",T_TXN[TICKER],T_WATCHLIST4[[#This Row],[Stock]]))</f>
        <v/>
      </c>
      <c r="J83" s="75" t="str" cm="1">
        <f t="array" ref="J83">IFERROR(_xlfn.FIELDVALUE(T_WATCHLIST4[[#This Row],[Stock]],"Price"),"")</f>
        <v/>
      </c>
      <c r="K83" s="82" t="str" cm="1">
        <f t="array" ref="K83">IFERROR(_xlfn.FIELDVALUE(T_WATCHLIST4[[#This Row],[Stock]],"Change"),"")</f>
        <v/>
      </c>
      <c r="L83" s="83" t="str" cm="1">
        <f t="array" ref="L83">IFERROR(_xlfn.FIELDVALUE(T_WATCHLIST4[[#This Row],[Stock]],"Change (%)"),"")</f>
        <v/>
      </c>
      <c r="M83" s="84" t="str">
        <f>IF(T_WATCHLIST4[[#This Row],[Stock]]="","",T_WATCHLIST4[[#This Row],[Quantity]]*T_WATCHLIST4[[#This Row],[Last Price]])</f>
        <v/>
      </c>
      <c r="N83" s="85" t="str" cm="1">
        <f t="array" ref="N83">IF(T_WATCHLIST4[[#This Row],[Stock]]="","",T_WATCHLIST4[[#This Row],[Current Value]]-_xlfn.FIELDVALUE(T_WATCHLIST4[[#This Row],[Stock]],"Previous Close")*T_WATCHLIST4[[#This Row],[Quantity]])</f>
        <v/>
      </c>
      <c r="O83" s="86" t="str">
        <f>IFERROR(T_WATCHLIST4[[#This Row],[Today''s Gain/Loss]]/(T_WATCHLIST4[[#This Row],[Current Value]]-T_WATCHLIST4[[#This Row],[Today''s Gain/Loss]]),"")</f>
        <v/>
      </c>
      <c r="P83" s="84" t="str">
        <f>IFERROR(T_WATCHLIST4[[#This Row],[Current Value]]-T_WATCHLIST4[[#This Row],[% Total Gain/Loss9]],"")</f>
        <v/>
      </c>
      <c r="Q83" s="87" t="str">
        <f>IFERROR(T_WATCHLIST4[[#This Row],[Total Gain/Loss]]/T_WATCHLIST4[[#This Row],[% Total Gain/Loss9]],"")</f>
        <v/>
      </c>
      <c r="R83" s="88" t="str" cm="1">
        <f t="array" ref="R83">IFERROR(_xlfn.FIELDVALUE(T_WATCHLIST4[[#This Row],[Stock]],"52 week low"),"")</f>
        <v/>
      </c>
      <c r="S8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3" s="73" t="str" cm="1">
        <f t="array" ref="T83">IFERROR(_xlfn.FIELDVALUE(T_WATCHLIST4[[#This Row],[Stock]],"52 week high"),"")</f>
        <v/>
      </c>
      <c r="U83" s="64" t="str" cm="1">
        <f t="array" ref="U83">IF(T_WATCHLIST4[[#This Row],[Stock]]="","",SUMPRODUCT(T_TXN[UNITS],--(T_TXN[TYPE]="Buy"),--(T_TXN[TICKER]=T_WATCHLIST4[[#This Row],[Stock]])))</f>
        <v/>
      </c>
      <c r="V83" s="67" t="str" cm="1">
        <f t="array" ref="V83">IF(T_WATCHLIST4[[#This Row],[Stock]]="","",SUMPRODUCT(--(T_TXN[TYPE]="Buy"),T_TXN[UNITS],T_TXN[PRICE],--(T_TXN[TICKER]=T_WATCHLIST4[[#This Row],[Stock]])))</f>
        <v/>
      </c>
      <c r="W83" s="64" t="str" cm="1">
        <f t="array" ref="W83">IF(T_WATCHLIST4[[#This Row],[Stock]]="","",SUMPRODUCT(T_TXN[UNITS],--(T_TXN[TYPE]="Sell"),--(T_TXN[TICKER]=T_WATCHLIST4[[#This Row],[Stock]])))</f>
        <v/>
      </c>
      <c r="X83" s="67" t="str" cm="1">
        <f t="array" ref="X83">IF(T_WATCHLIST4[[#This Row],[Stock]]="","",SUMPRODUCT(--(T_TXN[TYPE]="Sell"),T_TXN[UNITS],T_TXN[PRICE],--(T_TXN[TICKER]=T_WATCHLIST4[[#This Row],[Stock]])))</f>
        <v/>
      </c>
      <c r="Y83" s="67" t="str" cm="1">
        <f t="array" ref="Y83">IF(T_WATCHLIST4[[#This Row],[Stock]]="","",SUMPRODUCT(T_TXN[UNITS],T_TXN[PRICE],--(T_TXN[TYPE]="Buy"),--(T_TXN[TICKER]=T_WATCHLIST4[[#This Row],[Stock]])) -SUMPRODUCT(T_TXN[UNITS],T_TXN[PRICE],--(T_TXN[TYPE]="Sell"),--(T_TXN[TICKER]=T_WATCHLIST4[[#This Row],[Stock]])))</f>
        <v/>
      </c>
      <c r="Z83" s="64" t="str" cm="1">
        <f t="array" ref="Z83">IFERROR(IF(ROW(T_WATCHLIST4[[#This Row],[Stock]])-ROW(T_WATCHLIST4[[#Headers],[Stock]])&gt;=C_CNT_STOCKS,"",_FV(T_WATCHLIST4[[#This Row],[Stock]],"Industry",TRUE)),"Not Available")</f>
        <v/>
      </c>
      <c r="AA83" s="64" t="str" cm="1">
        <f t="array" ref="AA83">IFERROR(IF(ROW(T_WATCHLIST4[[#This Row],[Stock]])-ROW(T_WATCHLIST4[[#Headers],[Stock]])&gt;=C_CNT_STOCKS,"",_FV(T_WATCHLIST4[[#This Row],[Stock]],"Instrument type",TRUE)),"Not Available")</f>
        <v/>
      </c>
    </row>
    <row r="84" spans="5:27" ht="22" customHeight="1">
      <c r="E84" s="89"/>
      <c r="F84" s="75" t="str" cm="1">
        <f t="array" ref="F84">IFERROR(IF(ROW(T_WATCHLIST4[[#This Row],[Stock]])-ROW(T_WATCHLIST4[[#Headers],[Stock]])&gt;C_CNT_STOCKS,"",INDEX(_xlfn.ANCHORARRAY(HELP!$G$2),ROW(T_WATCHLIST4[[#This Row],[Stock]])-ROW(T_WATCHLIST4[[#Headers],[Stock]]))),"")</f>
        <v/>
      </c>
      <c r="G84" s="80" t="str" cm="1">
        <f t="array" ref="G84">IFERROR(_xlfn.FIELDVALUE(T_WATCHLIST4[[#This Row],[Stock]],"Ticker Symbol"),"")</f>
        <v/>
      </c>
      <c r="H84" s="117"/>
      <c r="I84" s="81" t="str">
        <f>IF(T_WATCHLIST4[[#This Row],[Stock]]="","",SUMIFS(T_TXN[UNITS],T_TXN[TYPE],"Buy",T_TXN[TICKER],T_WATCHLIST4[[#This Row],[Stock]])-SUMIFS(T_TXN[UNITS],T_TXN[TYPE],"Sell",T_TXN[TICKER],T_WATCHLIST4[[#This Row],[Stock]])+SUMIFS(T_TXN[UNITS],T_TXN[TYPE],"Dividend Reinvestment",T_TXN[TICKER],T_WATCHLIST4[[#This Row],[Stock]]))</f>
        <v/>
      </c>
      <c r="J84" s="75" t="str" cm="1">
        <f t="array" ref="J84">IFERROR(_xlfn.FIELDVALUE(T_WATCHLIST4[[#This Row],[Stock]],"Price"),"")</f>
        <v/>
      </c>
      <c r="K84" s="82" t="str" cm="1">
        <f t="array" ref="K84">IFERROR(_xlfn.FIELDVALUE(T_WATCHLIST4[[#This Row],[Stock]],"Change"),"")</f>
        <v/>
      </c>
      <c r="L84" s="83" t="str" cm="1">
        <f t="array" ref="L84">IFERROR(_xlfn.FIELDVALUE(T_WATCHLIST4[[#This Row],[Stock]],"Change (%)"),"")</f>
        <v/>
      </c>
      <c r="M84" s="84" t="str">
        <f>IF(T_WATCHLIST4[[#This Row],[Stock]]="","",T_WATCHLIST4[[#This Row],[Quantity]]*T_WATCHLIST4[[#This Row],[Last Price]])</f>
        <v/>
      </c>
      <c r="N84" s="85" t="str" cm="1">
        <f t="array" ref="N84">IF(T_WATCHLIST4[[#This Row],[Stock]]="","",T_WATCHLIST4[[#This Row],[Current Value]]-_xlfn.FIELDVALUE(T_WATCHLIST4[[#This Row],[Stock]],"Previous Close")*T_WATCHLIST4[[#This Row],[Quantity]])</f>
        <v/>
      </c>
      <c r="O84" s="86" t="str">
        <f>IFERROR(T_WATCHLIST4[[#This Row],[Today''s Gain/Loss]]/(T_WATCHLIST4[[#This Row],[Current Value]]-T_WATCHLIST4[[#This Row],[Today''s Gain/Loss]]),"")</f>
        <v/>
      </c>
      <c r="P84" s="84" t="str">
        <f>IFERROR(T_WATCHLIST4[[#This Row],[Current Value]]-T_WATCHLIST4[[#This Row],[% Total Gain/Loss9]],"")</f>
        <v/>
      </c>
      <c r="Q84" s="87" t="str">
        <f>IFERROR(T_WATCHLIST4[[#This Row],[Total Gain/Loss]]/T_WATCHLIST4[[#This Row],[% Total Gain/Loss9]],"")</f>
        <v/>
      </c>
      <c r="R84" s="88" t="str" cm="1">
        <f t="array" ref="R84">IFERROR(_xlfn.FIELDVALUE(T_WATCHLIST4[[#This Row],[Stock]],"52 week low"),"")</f>
        <v/>
      </c>
      <c r="S8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4" s="73" t="str" cm="1">
        <f t="array" ref="T84">IFERROR(_xlfn.FIELDVALUE(T_WATCHLIST4[[#This Row],[Stock]],"52 week high"),"")</f>
        <v/>
      </c>
      <c r="U84" s="64" t="str" cm="1">
        <f t="array" ref="U84">IF(T_WATCHLIST4[[#This Row],[Stock]]="","",SUMPRODUCT(T_TXN[UNITS],--(T_TXN[TYPE]="Buy"),--(T_TXN[TICKER]=T_WATCHLIST4[[#This Row],[Stock]])))</f>
        <v/>
      </c>
      <c r="V84" s="67" t="str" cm="1">
        <f t="array" ref="V84">IF(T_WATCHLIST4[[#This Row],[Stock]]="","",SUMPRODUCT(--(T_TXN[TYPE]="Buy"),T_TXN[UNITS],T_TXN[PRICE],--(T_TXN[TICKER]=T_WATCHLIST4[[#This Row],[Stock]])))</f>
        <v/>
      </c>
      <c r="W84" s="64" t="str" cm="1">
        <f t="array" ref="W84">IF(T_WATCHLIST4[[#This Row],[Stock]]="","",SUMPRODUCT(T_TXN[UNITS],--(T_TXN[TYPE]="Sell"),--(T_TXN[TICKER]=T_WATCHLIST4[[#This Row],[Stock]])))</f>
        <v/>
      </c>
      <c r="X84" s="67" t="str" cm="1">
        <f t="array" ref="X84">IF(T_WATCHLIST4[[#This Row],[Stock]]="","",SUMPRODUCT(--(T_TXN[TYPE]="Sell"),T_TXN[UNITS],T_TXN[PRICE],--(T_TXN[TICKER]=T_WATCHLIST4[[#This Row],[Stock]])))</f>
        <v/>
      </c>
      <c r="Y84" s="67" t="str" cm="1">
        <f t="array" ref="Y84">IF(T_WATCHLIST4[[#This Row],[Stock]]="","",SUMPRODUCT(T_TXN[UNITS],T_TXN[PRICE],--(T_TXN[TYPE]="Buy"),--(T_TXN[TICKER]=T_WATCHLIST4[[#This Row],[Stock]])) -SUMPRODUCT(T_TXN[UNITS],T_TXN[PRICE],--(T_TXN[TYPE]="Sell"),--(T_TXN[TICKER]=T_WATCHLIST4[[#This Row],[Stock]])))</f>
        <v/>
      </c>
      <c r="Z84" s="64" t="str" cm="1">
        <f t="array" ref="Z84">IFERROR(IF(ROW(T_WATCHLIST4[[#This Row],[Stock]])-ROW(T_WATCHLIST4[[#Headers],[Stock]])&gt;=C_CNT_STOCKS,"",_FV(T_WATCHLIST4[[#This Row],[Stock]],"Industry",TRUE)),"Not Available")</f>
        <v/>
      </c>
      <c r="AA84" s="64" t="str" cm="1">
        <f t="array" ref="AA84">IFERROR(IF(ROW(T_WATCHLIST4[[#This Row],[Stock]])-ROW(T_WATCHLIST4[[#Headers],[Stock]])&gt;=C_CNT_STOCKS,"",_FV(T_WATCHLIST4[[#This Row],[Stock]],"Instrument type",TRUE)),"Not Available")</f>
        <v/>
      </c>
    </row>
    <row r="85" spans="5:27" ht="22" customHeight="1">
      <c r="E85" s="89"/>
      <c r="F85" s="75" t="str" cm="1">
        <f t="array" ref="F85">IFERROR(IF(ROW(T_WATCHLIST4[[#This Row],[Stock]])-ROW(T_WATCHLIST4[[#Headers],[Stock]])&gt;C_CNT_STOCKS,"",INDEX(_xlfn.ANCHORARRAY(HELP!$G$2),ROW(T_WATCHLIST4[[#This Row],[Stock]])-ROW(T_WATCHLIST4[[#Headers],[Stock]]))),"")</f>
        <v/>
      </c>
      <c r="G85" s="80" t="str" cm="1">
        <f t="array" ref="G85">IFERROR(_xlfn.FIELDVALUE(T_WATCHLIST4[[#This Row],[Stock]],"Ticker Symbol"),"")</f>
        <v/>
      </c>
      <c r="H85" s="117"/>
      <c r="I85" s="81" t="str">
        <f>IF(T_WATCHLIST4[[#This Row],[Stock]]="","",SUMIFS(T_TXN[UNITS],T_TXN[TYPE],"Buy",T_TXN[TICKER],T_WATCHLIST4[[#This Row],[Stock]])-SUMIFS(T_TXN[UNITS],T_TXN[TYPE],"Sell",T_TXN[TICKER],T_WATCHLIST4[[#This Row],[Stock]])+SUMIFS(T_TXN[UNITS],T_TXN[TYPE],"Dividend Reinvestment",T_TXN[TICKER],T_WATCHLIST4[[#This Row],[Stock]]))</f>
        <v/>
      </c>
      <c r="J85" s="75" t="str" cm="1">
        <f t="array" ref="J85">IFERROR(_xlfn.FIELDVALUE(T_WATCHLIST4[[#This Row],[Stock]],"Price"),"")</f>
        <v/>
      </c>
      <c r="K85" s="82" t="str" cm="1">
        <f t="array" ref="K85">IFERROR(_xlfn.FIELDVALUE(T_WATCHLIST4[[#This Row],[Stock]],"Change"),"")</f>
        <v/>
      </c>
      <c r="L85" s="83" t="str" cm="1">
        <f t="array" ref="L85">IFERROR(_xlfn.FIELDVALUE(T_WATCHLIST4[[#This Row],[Stock]],"Change (%)"),"")</f>
        <v/>
      </c>
      <c r="M85" s="84" t="str">
        <f>IF(T_WATCHLIST4[[#This Row],[Stock]]="","",T_WATCHLIST4[[#This Row],[Quantity]]*T_WATCHLIST4[[#This Row],[Last Price]])</f>
        <v/>
      </c>
      <c r="N85" s="85" t="str" cm="1">
        <f t="array" ref="N85">IF(T_WATCHLIST4[[#This Row],[Stock]]="","",T_WATCHLIST4[[#This Row],[Current Value]]-_xlfn.FIELDVALUE(T_WATCHLIST4[[#This Row],[Stock]],"Previous Close")*T_WATCHLIST4[[#This Row],[Quantity]])</f>
        <v/>
      </c>
      <c r="O85" s="86" t="str">
        <f>IFERROR(T_WATCHLIST4[[#This Row],[Today''s Gain/Loss]]/(T_WATCHLIST4[[#This Row],[Current Value]]-T_WATCHLIST4[[#This Row],[Today''s Gain/Loss]]),"")</f>
        <v/>
      </c>
      <c r="P85" s="84" t="str">
        <f>IFERROR(T_WATCHLIST4[[#This Row],[Current Value]]-T_WATCHLIST4[[#This Row],[% Total Gain/Loss9]],"")</f>
        <v/>
      </c>
      <c r="Q85" s="87" t="str">
        <f>IFERROR(T_WATCHLIST4[[#This Row],[Total Gain/Loss]]/T_WATCHLIST4[[#This Row],[% Total Gain/Loss9]],"")</f>
        <v/>
      </c>
      <c r="R85" s="88" t="str" cm="1">
        <f t="array" ref="R85">IFERROR(_xlfn.FIELDVALUE(T_WATCHLIST4[[#This Row],[Stock]],"52 week low"),"")</f>
        <v/>
      </c>
      <c r="S8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5" s="73" t="str" cm="1">
        <f t="array" ref="T85">IFERROR(_xlfn.FIELDVALUE(T_WATCHLIST4[[#This Row],[Stock]],"52 week high"),"")</f>
        <v/>
      </c>
      <c r="U85" s="64" t="str" cm="1">
        <f t="array" ref="U85">IF(T_WATCHLIST4[[#This Row],[Stock]]="","",SUMPRODUCT(T_TXN[UNITS],--(T_TXN[TYPE]="Buy"),--(T_TXN[TICKER]=T_WATCHLIST4[[#This Row],[Stock]])))</f>
        <v/>
      </c>
      <c r="V85" s="67" t="str" cm="1">
        <f t="array" ref="V85">IF(T_WATCHLIST4[[#This Row],[Stock]]="","",SUMPRODUCT(--(T_TXN[TYPE]="Buy"),T_TXN[UNITS],T_TXN[PRICE],--(T_TXN[TICKER]=T_WATCHLIST4[[#This Row],[Stock]])))</f>
        <v/>
      </c>
      <c r="W85" s="64" t="str" cm="1">
        <f t="array" ref="W85">IF(T_WATCHLIST4[[#This Row],[Stock]]="","",SUMPRODUCT(T_TXN[UNITS],--(T_TXN[TYPE]="Sell"),--(T_TXN[TICKER]=T_WATCHLIST4[[#This Row],[Stock]])))</f>
        <v/>
      </c>
      <c r="X85" s="67" t="str" cm="1">
        <f t="array" ref="X85">IF(T_WATCHLIST4[[#This Row],[Stock]]="","",SUMPRODUCT(--(T_TXN[TYPE]="Sell"),T_TXN[UNITS],T_TXN[PRICE],--(T_TXN[TICKER]=T_WATCHLIST4[[#This Row],[Stock]])))</f>
        <v/>
      </c>
      <c r="Y85" s="67" t="str" cm="1">
        <f t="array" ref="Y85">IF(T_WATCHLIST4[[#This Row],[Stock]]="","",SUMPRODUCT(T_TXN[UNITS],T_TXN[PRICE],--(T_TXN[TYPE]="Buy"),--(T_TXN[TICKER]=T_WATCHLIST4[[#This Row],[Stock]])) -SUMPRODUCT(T_TXN[UNITS],T_TXN[PRICE],--(T_TXN[TYPE]="Sell"),--(T_TXN[TICKER]=T_WATCHLIST4[[#This Row],[Stock]])))</f>
        <v/>
      </c>
      <c r="Z85" s="64" t="str" cm="1">
        <f t="array" ref="Z85">IFERROR(IF(ROW(T_WATCHLIST4[[#This Row],[Stock]])-ROW(T_WATCHLIST4[[#Headers],[Stock]])&gt;=C_CNT_STOCKS,"",_FV(T_WATCHLIST4[[#This Row],[Stock]],"Industry",TRUE)),"Not Available")</f>
        <v/>
      </c>
      <c r="AA85" s="64" t="str" cm="1">
        <f t="array" ref="AA85">IFERROR(IF(ROW(T_WATCHLIST4[[#This Row],[Stock]])-ROW(T_WATCHLIST4[[#Headers],[Stock]])&gt;=C_CNT_STOCKS,"",_FV(T_WATCHLIST4[[#This Row],[Stock]],"Instrument type",TRUE)),"Not Available")</f>
        <v/>
      </c>
    </row>
    <row r="86" spans="5:27" ht="22" customHeight="1">
      <c r="E86" s="89"/>
      <c r="F86" s="75" t="str" cm="1">
        <f t="array" ref="F86">IFERROR(IF(ROW(T_WATCHLIST4[[#This Row],[Stock]])-ROW(T_WATCHLIST4[[#Headers],[Stock]])&gt;C_CNT_STOCKS,"",INDEX(_xlfn.ANCHORARRAY(HELP!$G$2),ROW(T_WATCHLIST4[[#This Row],[Stock]])-ROW(T_WATCHLIST4[[#Headers],[Stock]]))),"")</f>
        <v/>
      </c>
      <c r="G86" s="80" t="str" cm="1">
        <f t="array" ref="G86">IFERROR(_xlfn.FIELDVALUE(T_WATCHLIST4[[#This Row],[Stock]],"Ticker Symbol"),"")</f>
        <v/>
      </c>
      <c r="H86" s="117"/>
      <c r="I86" s="81" t="str">
        <f>IF(T_WATCHLIST4[[#This Row],[Stock]]="","",SUMIFS(T_TXN[UNITS],T_TXN[TYPE],"Buy",T_TXN[TICKER],T_WATCHLIST4[[#This Row],[Stock]])-SUMIFS(T_TXN[UNITS],T_TXN[TYPE],"Sell",T_TXN[TICKER],T_WATCHLIST4[[#This Row],[Stock]])+SUMIFS(T_TXN[UNITS],T_TXN[TYPE],"Dividend Reinvestment",T_TXN[TICKER],T_WATCHLIST4[[#This Row],[Stock]]))</f>
        <v/>
      </c>
      <c r="J86" s="75" t="str" cm="1">
        <f t="array" ref="J86">IFERROR(_xlfn.FIELDVALUE(T_WATCHLIST4[[#This Row],[Stock]],"Price"),"")</f>
        <v/>
      </c>
      <c r="K86" s="82" t="str" cm="1">
        <f t="array" ref="K86">IFERROR(_xlfn.FIELDVALUE(T_WATCHLIST4[[#This Row],[Stock]],"Change"),"")</f>
        <v/>
      </c>
      <c r="L86" s="83" t="str" cm="1">
        <f t="array" ref="L86">IFERROR(_xlfn.FIELDVALUE(T_WATCHLIST4[[#This Row],[Stock]],"Change (%)"),"")</f>
        <v/>
      </c>
      <c r="M86" s="84" t="str">
        <f>IF(T_WATCHLIST4[[#This Row],[Stock]]="","",T_WATCHLIST4[[#This Row],[Quantity]]*T_WATCHLIST4[[#This Row],[Last Price]])</f>
        <v/>
      </c>
      <c r="N86" s="85" t="str" cm="1">
        <f t="array" ref="N86">IF(T_WATCHLIST4[[#This Row],[Stock]]="","",T_WATCHLIST4[[#This Row],[Current Value]]-_xlfn.FIELDVALUE(T_WATCHLIST4[[#This Row],[Stock]],"Previous Close")*T_WATCHLIST4[[#This Row],[Quantity]])</f>
        <v/>
      </c>
      <c r="O86" s="86" t="str">
        <f>IFERROR(T_WATCHLIST4[[#This Row],[Today''s Gain/Loss]]/(T_WATCHLIST4[[#This Row],[Current Value]]-T_WATCHLIST4[[#This Row],[Today''s Gain/Loss]]),"")</f>
        <v/>
      </c>
      <c r="P86" s="84" t="str">
        <f>IFERROR(T_WATCHLIST4[[#This Row],[Current Value]]-T_WATCHLIST4[[#This Row],[% Total Gain/Loss9]],"")</f>
        <v/>
      </c>
      <c r="Q86" s="87" t="str">
        <f>IFERROR(T_WATCHLIST4[[#This Row],[Total Gain/Loss]]/T_WATCHLIST4[[#This Row],[% Total Gain/Loss9]],"")</f>
        <v/>
      </c>
      <c r="R86" s="88" t="str" cm="1">
        <f t="array" ref="R86">IFERROR(_xlfn.FIELDVALUE(T_WATCHLIST4[[#This Row],[Stock]],"52 week low"),"")</f>
        <v/>
      </c>
      <c r="S8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6" s="73" t="str" cm="1">
        <f t="array" ref="T86">IFERROR(_xlfn.FIELDVALUE(T_WATCHLIST4[[#This Row],[Stock]],"52 week high"),"")</f>
        <v/>
      </c>
      <c r="U86" s="64" t="str" cm="1">
        <f t="array" ref="U86">IF(T_WATCHLIST4[[#This Row],[Stock]]="","",SUMPRODUCT(T_TXN[UNITS],--(T_TXN[TYPE]="Buy"),--(T_TXN[TICKER]=T_WATCHLIST4[[#This Row],[Stock]])))</f>
        <v/>
      </c>
      <c r="V86" s="67" t="str" cm="1">
        <f t="array" ref="V86">IF(T_WATCHLIST4[[#This Row],[Stock]]="","",SUMPRODUCT(--(T_TXN[TYPE]="Buy"),T_TXN[UNITS],T_TXN[PRICE],--(T_TXN[TICKER]=T_WATCHLIST4[[#This Row],[Stock]])))</f>
        <v/>
      </c>
      <c r="W86" s="64" t="str" cm="1">
        <f t="array" ref="W86">IF(T_WATCHLIST4[[#This Row],[Stock]]="","",SUMPRODUCT(T_TXN[UNITS],--(T_TXN[TYPE]="Sell"),--(T_TXN[TICKER]=T_WATCHLIST4[[#This Row],[Stock]])))</f>
        <v/>
      </c>
      <c r="X86" s="67" t="str" cm="1">
        <f t="array" ref="X86">IF(T_WATCHLIST4[[#This Row],[Stock]]="","",SUMPRODUCT(--(T_TXN[TYPE]="Sell"),T_TXN[UNITS],T_TXN[PRICE],--(T_TXN[TICKER]=T_WATCHLIST4[[#This Row],[Stock]])))</f>
        <v/>
      </c>
      <c r="Y86" s="67" t="str" cm="1">
        <f t="array" ref="Y86">IF(T_WATCHLIST4[[#This Row],[Stock]]="","",SUMPRODUCT(T_TXN[UNITS],T_TXN[PRICE],--(T_TXN[TYPE]="Buy"),--(T_TXN[TICKER]=T_WATCHLIST4[[#This Row],[Stock]])) -SUMPRODUCT(T_TXN[UNITS],T_TXN[PRICE],--(T_TXN[TYPE]="Sell"),--(T_TXN[TICKER]=T_WATCHLIST4[[#This Row],[Stock]])))</f>
        <v/>
      </c>
      <c r="Z86" s="64" t="str" cm="1">
        <f t="array" ref="Z86">IFERROR(IF(ROW(T_WATCHLIST4[[#This Row],[Stock]])-ROW(T_WATCHLIST4[[#Headers],[Stock]])&gt;=C_CNT_STOCKS,"",_FV(T_WATCHLIST4[[#This Row],[Stock]],"Industry",TRUE)),"Not Available")</f>
        <v/>
      </c>
      <c r="AA86" s="64" t="str" cm="1">
        <f t="array" ref="AA86">IFERROR(IF(ROW(T_WATCHLIST4[[#This Row],[Stock]])-ROW(T_WATCHLIST4[[#Headers],[Stock]])&gt;=C_CNT_STOCKS,"",_FV(T_WATCHLIST4[[#This Row],[Stock]],"Instrument type",TRUE)),"Not Available")</f>
        <v/>
      </c>
    </row>
    <row r="87" spans="5:27" ht="22" customHeight="1">
      <c r="E87" s="89"/>
      <c r="F87" s="75" t="str" cm="1">
        <f t="array" ref="F87">IFERROR(IF(ROW(T_WATCHLIST4[[#This Row],[Stock]])-ROW(T_WATCHLIST4[[#Headers],[Stock]])&gt;C_CNT_STOCKS,"",INDEX(_xlfn.ANCHORARRAY(HELP!$G$2),ROW(T_WATCHLIST4[[#This Row],[Stock]])-ROW(T_WATCHLIST4[[#Headers],[Stock]]))),"")</f>
        <v/>
      </c>
      <c r="G87" s="80" t="str" cm="1">
        <f t="array" ref="G87">IFERROR(_xlfn.FIELDVALUE(T_WATCHLIST4[[#This Row],[Stock]],"Ticker Symbol"),"")</f>
        <v/>
      </c>
      <c r="H87" s="117"/>
      <c r="I87" s="81" t="str">
        <f>IF(T_WATCHLIST4[[#This Row],[Stock]]="","",SUMIFS(T_TXN[UNITS],T_TXN[TYPE],"Buy",T_TXN[TICKER],T_WATCHLIST4[[#This Row],[Stock]])-SUMIFS(T_TXN[UNITS],T_TXN[TYPE],"Sell",T_TXN[TICKER],T_WATCHLIST4[[#This Row],[Stock]])+SUMIFS(T_TXN[UNITS],T_TXN[TYPE],"Dividend Reinvestment",T_TXN[TICKER],T_WATCHLIST4[[#This Row],[Stock]]))</f>
        <v/>
      </c>
      <c r="J87" s="75" t="str" cm="1">
        <f t="array" ref="J87">IFERROR(_xlfn.FIELDVALUE(T_WATCHLIST4[[#This Row],[Stock]],"Price"),"")</f>
        <v/>
      </c>
      <c r="K87" s="82" t="str" cm="1">
        <f t="array" ref="K87">IFERROR(_xlfn.FIELDVALUE(T_WATCHLIST4[[#This Row],[Stock]],"Change"),"")</f>
        <v/>
      </c>
      <c r="L87" s="83" t="str" cm="1">
        <f t="array" ref="L87">IFERROR(_xlfn.FIELDVALUE(T_WATCHLIST4[[#This Row],[Stock]],"Change (%)"),"")</f>
        <v/>
      </c>
      <c r="M87" s="84" t="str">
        <f>IF(T_WATCHLIST4[[#This Row],[Stock]]="","",T_WATCHLIST4[[#This Row],[Quantity]]*T_WATCHLIST4[[#This Row],[Last Price]])</f>
        <v/>
      </c>
      <c r="N87" s="85" t="str" cm="1">
        <f t="array" ref="N87">IF(T_WATCHLIST4[[#This Row],[Stock]]="","",T_WATCHLIST4[[#This Row],[Current Value]]-_xlfn.FIELDVALUE(T_WATCHLIST4[[#This Row],[Stock]],"Previous Close")*T_WATCHLIST4[[#This Row],[Quantity]])</f>
        <v/>
      </c>
      <c r="O87" s="86" t="str">
        <f>IFERROR(T_WATCHLIST4[[#This Row],[Today''s Gain/Loss]]/(T_WATCHLIST4[[#This Row],[Current Value]]-T_WATCHLIST4[[#This Row],[Today''s Gain/Loss]]),"")</f>
        <v/>
      </c>
      <c r="P87" s="84" t="str">
        <f>IFERROR(T_WATCHLIST4[[#This Row],[Current Value]]-T_WATCHLIST4[[#This Row],[% Total Gain/Loss9]],"")</f>
        <v/>
      </c>
      <c r="Q87" s="87" t="str">
        <f>IFERROR(T_WATCHLIST4[[#This Row],[Total Gain/Loss]]/T_WATCHLIST4[[#This Row],[% Total Gain/Loss9]],"")</f>
        <v/>
      </c>
      <c r="R87" s="88" t="str" cm="1">
        <f t="array" ref="R87">IFERROR(_xlfn.FIELDVALUE(T_WATCHLIST4[[#This Row],[Stock]],"52 week low"),"")</f>
        <v/>
      </c>
      <c r="S87"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7" s="73" t="str" cm="1">
        <f t="array" ref="T87">IFERROR(_xlfn.FIELDVALUE(T_WATCHLIST4[[#This Row],[Stock]],"52 week high"),"")</f>
        <v/>
      </c>
      <c r="U87" s="64" t="str" cm="1">
        <f t="array" ref="U87">IF(T_WATCHLIST4[[#This Row],[Stock]]="","",SUMPRODUCT(T_TXN[UNITS],--(T_TXN[TYPE]="Buy"),--(T_TXN[TICKER]=T_WATCHLIST4[[#This Row],[Stock]])))</f>
        <v/>
      </c>
      <c r="V87" s="67" t="str" cm="1">
        <f t="array" ref="V87">IF(T_WATCHLIST4[[#This Row],[Stock]]="","",SUMPRODUCT(--(T_TXN[TYPE]="Buy"),T_TXN[UNITS],T_TXN[PRICE],--(T_TXN[TICKER]=T_WATCHLIST4[[#This Row],[Stock]])))</f>
        <v/>
      </c>
      <c r="W87" s="64" t="str" cm="1">
        <f t="array" ref="W87">IF(T_WATCHLIST4[[#This Row],[Stock]]="","",SUMPRODUCT(T_TXN[UNITS],--(T_TXN[TYPE]="Sell"),--(T_TXN[TICKER]=T_WATCHLIST4[[#This Row],[Stock]])))</f>
        <v/>
      </c>
      <c r="X87" s="67" t="str" cm="1">
        <f t="array" ref="X87">IF(T_WATCHLIST4[[#This Row],[Stock]]="","",SUMPRODUCT(--(T_TXN[TYPE]="Sell"),T_TXN[UNITS],T_TXN[PRICE],--(T_TXN[TICKER]=T_WATCHLIST4[[#This Row],[Stock]])))</f>
        <v/>
      </c>
      <c r="Y87" s="67" t="str" cm="1">
        <f t="array" ref="Y87">IF(T_WATCHLIST4[[#This Row],[Stock]]="","",SUMPRODUCT(T_TXN[UNITS],T_TXN[PRICE],--(T_TXN[TYPE]="Buy"),--(T_TXN[TICKER]=T_WATCHLIST4[[#This Row],[Stock]])) -SUMPRODUCT(T_TXN[UNITS],T_TXN[PRICE],--(T_TXN[TYPE]="Sell"),--(T_TXN[TICKER]=T_WATCHLIST4[[#This Row],[Stock]])))</f>
        <v/>
      </c>
      <c r="Z87" s="64" t="str" cm="1">
        <f t="array" ref="Z87">IFERROR(IF(ROW(T_WATCHLIST4[[#This Row],[Stock]])-ROW(T_WATCHLIST4[[#Headers],[Stock]])&gt;=C_CNT_STOCKS,"",_FV(T_WATCHLIST4[[#This Row],[Stock]],"Industry",TRUE)),"Not Available")</f>
        <v/>
      </c>
      <c r="AA87" s="64" t="str" cm="1">
        <f t="array" ref="AA87">IFERROR(IF(ROW(T_WATCHLIST4[[#This Row],[Stock]])-ROW(T_WATCHLIST4[[#Headers],[Stock]])&gt;=C_CNT_STOCKS,"",_FV(T_WATCHLIST4[[#This Row],[Stock]],"Instrument type",TRUE)),"Not Available")</f>
        <v/>
      </c>
    </row>
    <row r="88" spans="5:27" ht="22" customHeight="1">
      <c r="E88" s="89"/>
      <c r="F88" s="75" t="str" cm="1">
        <f t="array" ref="F88">IFERROR(IF(ROW(T_WATCHLIST4[[#This Row],[Stock]])-ROW(T_WATCHLIST4[[#Headers],[Stock]])&gt;C_CNT_STOCKS,"",INDEX(_xlfn.ANCHORARRAY(HELP!$G$2),ROW(T_WATCHLIST4[[#This Row],[Stock]])-ROW(T_WATCHLIST4[[#Headers],[Stock]]))),"")</f>
        <v/>
      </c>
      <c r="G88" s="80" t="str" cm="1">
        <f t="array" ref="G88">IFERROR(_xlfn.FIELDVALUE(T_WATCHLIST4[[#This Row],[Stock]],"Ticker Symbol"),"")</f>
        <v/>
      </c>
      <c r="H88" s="117"/>
      <c r="I88" s="81" t="str">
        <f>IF(T_WATCHLIST4[[#This Row],[Stock]]="","",SUMIFS(T_TXN[UNITS],T_TXN[TYPE],"Buy",T_TXN[TICKER],T_WATCHLIST4[[#This Row],[Stock]])-SUMIFS(T_TXN[UNITS],T_TXN[TYPE],"Sell",T_TXN[TICKER],T_WATCHLIST4[[#This Row],[Stock]])+SUMIFS(T_TXN[UNITS],T_TXN[TYPE],"Dividend Reinvestment",T_TXN[TICKER],T_WATCHLIST4[[#This Row],[Stock]]))</f>
        <v/>
      </c>
      <c r="J88" s="75" t="str" cm="1">
        <f t="array" ref="J88">IFERROR(_xlfn.FIELDVALUE(T_WATCHLIST4[[#This Row],[Stock]],"Price"),"")</f>
        <v/>
      </c>
      <c r="K88" s="82" t="str" cm="1">
        <f t="array" ref="K88">IFERROR(_xlfn.FIELDVALUE(T_WATCHLIST4[[#This Row],[Stock]],"Change"),"")</f>
        <v/>
      </c>
      <c r="L88" s="83" t="str" cm="1">
        <f t="array" ref="L88">IFERROR(_xlfn.FIELDVALUE(T_WATCHLIST4[[#This Row],[Stock]],"Change (%)"),"")</f>
        <v/>
      </c>
      <c r="M88" s="84" t="str">
        <f>IF(T_WATCHLIST4[[#This Row],[Stock]]="","",T_WATCHLIST4[[#This Row],[Quantity]]*T_WATCHLIST4[[#This Row],[Last Price]])</f>
        <v/>
      </c>
      <c r="N88" s="85" t="str" cm="1">
        <f t="array" ref="N88">IF(T_WATCHLIST4[[#This Row],[Stock]]="","",T_WATCHLIST4[[#This Row],[Current Value]]-_xlfn.FIELDVALUE(T_WATCHLIST4[[#This Row],[Stock]],"Previous Close")*T_WATCHLIST4[[#This Row],[Quantity]])</f>
        <v/>
      </c>
      <c r="O88" s="86" t="str">
        <f>IFERROR(T_WATCHLIST4[[#This Row],[Today''s Gain/Loss]]/(T_WATCHLIST4[[#This Row],[Current Value]]-T_WATCHLIST4[[#This Row],[Today''s Gain/Loss]]),"")</f>
        <v/>
      </c>
      <c r="P88" s="84" t="str">
        <f>IFERROR(T_WATCHLIST4[[#This Row],[Current Value]]-T_WATCHLIST4[[#This Row],[% Total Gain/Loss9]],"")</f>
        <v/>
      </c>
      <c r="Q88" s="87" t="str">
        <f>IFERROR(T_WATCHLIST4[[#This Row],[Total Gain/Loss]]/T_WATCHLIST4[[#This Row],[% Total Gain/Loss9]],"")</f>
        <v/>
      </c>
      <c r="R88" s="88" t="str" cm="1">
        <f t="array" ref="R88">IFERROR(_xlfn.FIELDVALUE(T_WATCHLIST4[[#This Row],[Stock]],"52 week low"),"")</f>
        <v/>
      </c>
      <c r="S88"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8" s="73" t="str" cm="1">
        <f t="array" ref="T88">IFERROR(_xlfn.FIELDVALUE(T_WATCHLIST4[[#This Row],[Stock]],"52 week high"),"")</f>
        <v/>
      </c>
      <c r="U88" s="64" t="str" cm="1">
        <f t="array" ref="U88">IF(T_WATCHLIST4[[#This Row],[Stock]]="","",SUMPRODUCT(T_TXN[UNITS],--(T_TXN[TYPE]="Buy"),--(T_TXN[TICKER]=T_WATCHLIST4[[#This Row],[Stock]])))</f>
        <v/>
      </c>
      <c r="V88" s="67" t="str" cm="1">
        <f t="array" ref="V88">IF(T_WATCHLIST4[[#This Row],[Stock]]="","",SUMPRODUCT(--(T_TXN[TYPE]="Buy"),T_TXN[UNITS],T_TXN[PRICE],--(T_TXN[TICKER]=T_WATCHLIST4[[#This Row],[Stock]])))</f>
        <v/>
      </c>
      <c r="W88" s="64" t="str" cm="1">
        <f t="array" ref="W88">IF(T_WATCHLIST4[[#This Row],[Stock]]="","",SUMPRODUCT(T_TXN[UNITS],--(T_TXN[TYPE]="Sell"),--(T_TXN[TICKER]=T_WATCHLIST4[[#This Row],[Stock]])))</f>
        <v/>
      </c>
      <c r="X88" s="67" t="str" cm="1">
        <f t="array" ref="X88">IF(T_WATCHLIST4[[#This Row],[Stock]]="","",SUMPRODUCT(--(T_TXN[TYPE]="Sell"),T_TXN[UNITS],T_TXN[PRICE],--(T_TXN[TICKER]=T_WATCHLIST4[[#This Row],[Stock]])))</f>
        <v/>
      </c>
      <c r="Y88" s="67" t="str" cm="1">
        <f t="array" ref="Y88">IF(T_WATCHLIST4[[#This Row],[Stock]]="","",SUMPRODUCT(T_TXN[UNITS],T_TXN[PRICE],--(T_TXN[TYPE]="Buy"),--(T_TXN[TICKER]=T_WATCHLIST4[[#This Row],[Stock]])) -SUMPRODUCT(T_TXN[UNITS],T_TXN[PRICE],--(T_TXN[TYPE]="Sell"),--(T_TXN[TICKER]=T_WATCHLIST4[[#This Row],[Stock]])))</f>
        <v/>
      </c>
      <c r="Z88" s="64" t="str" cm="1">
        <f t="array" ref="Z88">IFERROR(IF(ROW(T_WATCHLIST4[[#This Row],[Stock]])-ROW(T_WATCHLIST4[[#Headers],[Stock]])&gt;=C_CNT_STOCKS,"",_FV(T_WATCHLIST4[[#This Row],[Stock]],"Industry",TRUE)),"Not Available")</f>
        <v/>
      </c>
      <c r="AA88" s="64" t="str" cm="1">
        <f t="array" ref="AA88">IFERROR(IF(ROW(T_WATCHLIST4[[#This Row],[Stock]])-ROW(T_WATCHLIST4[[#Headers],[Stock]])&gt;=C_CNT_STOCKS,"",_FV(T_WATCHLIST4[[#This Row],[Stock]],"Instrument type",TRUE)),"Not Available")</f>
        <v/>
      </c>
    </row>
    <row r="89" spans="5:27" ht="22" customHeight="1">
      <c r="E89" s="89"/>
      <c r="F89" s="75" t="str" cm="1">
        <f t="array" ref="F89">IFERROR(IF(ROW(T_WATCHLIST4[[#This Row],[Stock]])-ROW(T_WATCHLIST4[[#Headers],[Stock]])&gt;C_CNT_STOCKS,"",INDEX(_xlfn.ANCHORARRAY(HELP!$G$2),ROW(T_WATCHLIST4[[#This Row],[Stock]])-ROW(T_WATCHLIST4[[#Headers],[Stock]]))),"")</f>
        <v/>
      </c>
      <c r="G89" s="80" t="str" cm="1">
        <f t="array" ref="G89">IFERROR(_xlfn.FIELDVALUE(T_WATCHLIST4[[#This Row],[Stock]],"Ticker Symbol"),"")</f>
        <v/>
      </c>
      <c r="H89" s="117"/>
      <c r="I89" s="81" t="str">
        <f>IF(T_WATCHLIST4[[#This Row],[Stock]]="","",SUMIFS(T_TXN[UNITS],T_TXN[TYPE],"Buy",T_TXN[TICKER],T_WATCHLIST4[[#This Row],[Stock]])-SUMIFS(T_TXN[UNITS],T_TXN[TYPE],"Sell",T_TXN[TICKER],T_WATCHLIST4[[#This Row],[Stock]])+SUMIFS(T_TXN[UNITS],T_TXN[TYPE],"Dividend Reinvestment",T_TXN[TICKER],T_WATCHLIST4[[#This Row],[Stock]]))</f>
        <v/>
      </c>
      <c r="J89" s="75" t="str" cm="1">
        <f t="array" ref="J89">IFERROR(_xlfn.FIELDVALUE(T_WATCHLIST4[[#This Row],[Stock]],"Price"),"")</f>
        <v/>
      </c>
      <c r="K89" s="82" t="str" cm="1">
        <f t="array" ref="K89">IFERROR(_xlfn.FIELDVALUE(T_WATCHLIST4[[#This Row],[Stock]],"Change"),"")</f>
        <v/>
      </c>
      <c r="L89" s="83" t="str" cm="1">
        <f t="array" ref="L89">IFERROR(_xlfn.FIELDVALUE(T_WATCHLIST4[[#This Row],[Stock]],"Change (%)"),"")</f>
        <v/>
      </c>
      <c r="M89" s="84" t="str">
        <f>IF(T_WATCHLIST4[[#This Row],[Stock]]="","",T_WATCHLIST4[[#This Row],[Quantity]]*T_WATCHLIST4[[#This Row],[Last Price]])</f>
        <v/>
      </c>
      <c r="N89" s="85" t="str" cm="1">
        <f t="array" ref="N89">IF(T_WATCHLIST4[[#This Row],[Stock]]="","",T_WATCHLIST4[[#This Row],[Current Value]]-_xlfn.FIELDVALUE(T_WATCHLIST4[[#This Row],[Stock]],"Previous Close")*T_WATCHLIST4[[#This Row],[Quantity]])</f>
        <v/>
      </c>
      <c r="O89" s="86" t="str">
        <f>IFERROR(T_WATCHLIST4[[#This Row],[Today''s Gain/Loss]]/(T_WATCHLIST4[[#This Row],[Current Value]]-T_WATCHLIST4[[#This Row],[Today''s Gain/Loss]]),"")</f>
        <v/>
      </c>
      <c r="P89" s="84" t="str">
        <f>IFERROR(T_WATCHLIST4[[#This Row],[Current Value]]-T_WATCHLIST4[[#This Row],[% Total Gain/Loss9]],"")</f>
        <v/>
      </c>
      <c r="Q89" s="87" t="str">
        <f>IFERROR(T_WATCHLIST4[[#This Row],[Total Gain/Loss]]/T_WATCHLIST4[[#This Row],[% Total Gain/Loss9]],"")</f>
        <v/>
      </c>
      <c r="R89" s="88" t="str" cm="1">
        <f t="array" ref="R89">IFERROR(_xlfn.FIELDVALUE(T_WATCHLIST4[[#This Row],[Stock]],"52 week low"),"")</f>
        <v/>
      </c>
      <c r="S89"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89" s="73" t="str" cm="1">
        <f t="array" ref="T89">IFERROR(_xlfn.FIELDVALUE(T_WATCHLIST4[[#This Row],[Stock]],"52 week high"),"")</f>
        <v/>
      </c>
      <c r="U89" s="64" t="str" cm="1">
        <f t="array" ref="U89">IF(T_WATCHLIST4[[#This Row],[Stock]]="","",SUMPRODUCT(T_TXN[UNITS],--(T_TXN[TYPE]="Buy"),--(T_TXN[TICKER]=T_WATCHLIST4[[#This Row],[Stock]])))</f>
        <v/>
      </c>
      <c r="V89" s="67" t="str" cm="1">
        <f t="array" ref="V89">IF(T_WATCHLIST4[[#This Row],[Stock]]="","",SUMPRODUCT(--(T_TXN[TYPE]="Buy"),T_TXN[UNITS],T_TXN[PRICE],--(T_TXN[TICKER]=T_WATCHLIST4[[#This Row],[Stock]])))</f>
        <v/>
      </c>
      <c r="W89" s="64" t="str" cm="1">
        <f t="array" ref="W89">IF(T_WATCHLIST4[[#This Row],[Stock]]="","",SUMPRODUCT(T_TXN[UNITS],--(T_TXN[TYPE]="Sell"),--(T_TXN[TICKER]=T_WATCHLIST4[[#This Row],[Stock]])))</f>
        <v/>
      </c>
      <c r="X89" s="67" t="str" cm="1">
        <f t="array" ref="X89">IF(T_WATCHLIST4[[#This Row],[Stock]]="","",SUMPRODUCT(--(T_TXN[TYPE]="Sell"),T_TXN[UNITS],T_TXN[PRICE],--(T_TXN[TICKER]=T_WATCHLIST4[[#This Row],[Stock]])))</f>
        <v/>
      </c>
      <c r="Y89" s="67" t="str" cm="1">
        <f t="array" ref="Y89">IF(T_WATCHLIST4[[#This Row],[Stock]]="","",SUMPRODUCT(T_TXN[UNITS],T_TXN[PRICE],--(T_TXN[TYPE]="Buy"),--(T_TXN[TICKER]=T_WATCHLIST4[[#This Row],[Stock]])) -SUMPRODUCT(T_TXN[UNITS],T_TXN[PRICE],--(T_TXN[TYPE]="Sell"),--(T_TXN[TICKER]=T_WATCHLIST4[[#This Row],[Stock]])))</f>
        <v/>
      </c>
      <c r="Z89" s="64" t="str" cm="1">
        <f t="array" ref="Z89">IFERROR(IF(ROW(T_WATCHLIST4[[#This Row],[Stock]])-ROW(T_WATCHLIST4[[#Headers],[Stock]])&gt;=C_CNT_STOCKS,"",_FV(T_WATCHLIST4[[#This Row],[Stock]],"Industry",TRUE)),"Not Available")</f>
        <v/>
      </c>
      <c r="AA89" s="64" t="str" cm="1">
        <f t="array" ref="AA89">IFERROR(IF(ROW(T_WATCHLIST4[[#This Row],[Stock]])-ROW(T_WATCHLIST4[[#Headers],[Stock]])&gt;=C_CNT_STOCKS,"",_FV(T_WATCHLIST4[[#This Row],[Stock]],"Instrument type",TRUE)),"Not Available")</f>
        <v/>
      </c>
    </row>
    <row r="90" spans="5:27" ht="22" customHeight="1">
      <c r="E90" s="89"/>
      <c r="F90" s="75" t="str" cm="1">
        <f t="array" ref="F90">IFERROR(IF(ROW(T_WATCHLIST4[[#This Row],[Stock]])-ROW(T_WATCHLIST4[[#Headers],[Stock]])&gt;C_CNT_STOCKS,"",INDEX(_xlfn.ANCHORARRAY(HELP!$G$2),ROW(T_WATCHLIST4[[#This Row],[Stock]])-ROW(T_WATCHLIST4[[#Headers],[Stock]]))),"")</f>
        <v/>
      </c>
      <c r="G90" s="80" t="str" cm="1">
        <f t="array" ref="G90">IFERROR(_xlfn.FIELDVALUE(T_WATCHLIST4[[#This Row],[Stock]],"Ticker Symbol"),"")</f>
        <v/>
      </c>
      <c r="H90" s="117"/>
      <c r="I90" s="81" t="str">
        <f>IF(T_WATCHLIST4[[#This Row],[Stock]]="","",SUMIFS(T_TXN[UNITS],T_TXN[TYPE],"Buy",T_TXN[TICKER],T_WATCHLIST4[[#This Row],[Stock]])-SUMIFS(T_TXN[UNITS],T_TXN[TYPE],"Sell",T_TXN[TICKER],T_WATCHLIST4[[#This Row],[Stock]])+SUMIFS(T_TXN[UNITS],T_TXN[TYPE],"Dividend Reinvestment",T_TXN[TICKER],T_WATCHLIST4[[#This Row],[Stock]]))</f>
        <v/>
      </c>
      <c r="J90" s="75" t="str" cm="1">
        <f t="array" ref="J90">IFERROR(_xlfn.FIELDVALUE(T_WATCHLIST4[[#This Row],[Stock]],"Price"),"")</f>
        <v/>
      </c>
      <c r="K90" s="82" t="str" cm="1">
        <f t="array" ref="K90">IFERROR(_xlfn.FIELDVALUE(T_WATCHLIST4[[#This Row],[Stock]],"Change"),"")</f>
        <v/>
      </c>
      <c r="L90" s="83" t="str" cm="1">
        <f t="array" ref="L90">IFERROR(_xlfn.FIELDVALUE(T_WATCHLIST4[[#This Row],[Stock]],"Change (%)"),"")</f>
        <v/>
      </c>
      <c r="M90" s="84" t="str">
        <f>IF(T_WATCHLIST4[[#This Row],[Stock]]="","",T_WATCHLIST4[[#This Row],[Quantity]]*T_WATCHLIST4[[#This Row],[Last Price]])</f>
        <v/>
      </c>
      <c r="N90" s="85" t="str" cm="1">
        <f t="array" ref="N90">IF(T_WATCHLIST4[[#This Row],[Stock]]="","",T_WATCHLIST4[[#This Row],[Current Value]]-_xlfn.FIELDVALUE(T_WATCHLIST4[[#This Row],[Stock]],"Previous Close")*T_WATCHLIST4[[#This Row],[Quantity]])</f>
        <v/>
      </c>
      <c r="O90" s="86" t="str">
        <f>IFERROR(T_WATCHLIST4[[#This Row],[Today''s Gain/Loss]]/(T_WATCHLIST4[[#This Row],[Current Value]]-T_WATCHLIST4[[#This Row],[Today''s Gain/Loss]]),"")</f>
        <v/>
      </c>
      <c r="P90" s="84" t="str">
        <f>IFERROR(T_WATCHLIST4[[#This Row],[Current Value]]-T_WATCHLIST4[[#This Row],[% Total Gain/Loss9]],"")</f>
        <v/>
      </c>
      <c r="Q90" s="87" t="str">
        <f>IFERROR(T_WATCHLIST4[[#This Row],[Total Gain/Loss]]/T_WATCHLIST4[[#This Row],[% Total Gain/Loss9]],"")</f>
        <v/>
      </c>
      <c r="R90" s="88" t="str" cm="1">
        <f t="array" ref="R90">IFERROR(_xlfn.FIELDVALUE(T_WATCHLIST4[[#This Row],[Stock]],"52 week low"),"")</f>
        <v/>
      </c>
      <c r="S90"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0" s="73" t="str" cm="1">
        <f t="array" ref="T90">IFERROR(_xlfn.FIELDVALUE(T_WATCHLIST4[[#This Row],[Stock]],"52 week high"),"")</f>
        <v/>
      </c>
      <c r="U90" s="64" t="str" cm="1">
        <f t="array" ref="U90">IF(T_WATCHLIST4[[#This Row],[Stock]]="","",SUMPRODUCT(T_TXN[UNITS],--(T_TXN[TYPE]="Buy"),--(T_TXN[TICKER]=T_WATCHLIST4[[#This Row],[Stock]])))</f>
        <v/>
      </c>
      <c r="V90" s="67" t="str" cm="1">
        <f t="array" ref="V90">IF(T_WATCHLIST4[[#This Row],[Stock]]="","",SUMPRODUCT(--(T_TXN[TYPE]="Buy"),T_TXN[UNITS],T_TXN[PRICE],--(T_TXN[TICKER]=T_WATCHLIST4[[#This Row],[Stock]])))</f>
        <v/>
      </c>
      <c r="W90" s="64" t="str" cm="1">
        <f t="array" ref="W90">IF(T_WATCHLIST4[[#This Row],[Stock]]="","",SUMPRODUCT(T_TXN[UNITS],--(T_TXN[TYPE]="Sell"),--(T_TXN[TICKER]=T_WATCHLIST4[[#This Row],[Stock]])))</f>
        <v/>
      </c>
      <c r="X90" s="67" t="str" cm="1">
        <f t="array" ref="X90">IF(T_WATCHLIST4[[#This Row],[Stock]]="","",SUMPRODUCT(--(T_TXN[TYPE]="Sell"),T_TXN[UNITS],T_TXN[PRICE],--(T_TXN[TICKER]=T_WATCHLIST4[[#This Row],[Stock]])))</f>
        <v/>
      </c>
      <c r="Y90" s="67" t="str" cm="1">
        <f t="array" ref="Y90">IF(T_WATCHLIST4[[#This Row],[Stock]]="","",SUMPRODUCT(T_TXN[UNITS],T_TXN[PRICE],--(T_TXN[TYPE]="Buy"),--(T_TXN[TICKER]=T_WATCHLIST4[[#This Row],[Stock]])) -SUMPRODUCT(T_TXN[UNITS],T_TXN[PRICE],--(T_TXN[TYPE]="Sell"),--(T_TXN[TICKER]=T_WATCHLIST4[[#This Row],[Stock]])))</f>
        <v/>
      </c>
      <c r="Z90" s="64" t="str" cm="1">
        <f t="array" ref="Z90">IFERROR(IF(ROW(T_WATCHLIST4[[#This Row],[Stock]])-ROW(T_WATCHLIST4[[#Headers],[Stock]])&gt;=C_CNT_STOCKS,"",_FV(T_WATCHLIST4[[#This Row],[Stock]],"Industry",TRUE)),"Not Available")</f>
        <v/>
      </c>
      <c r="AA90" s="64" t="str" cm="1">
        <f t="array" ref="AA90">IFERROR(IF(ROW(T_WATCHLIST4[[#This Row],[Stock]])-ROW(T_WATCHLIST4[[#Headers],[Stock]])&gt;=C_CNT_STOCKS,"",_FV(T_WATCHLIST4[[#This Row],[Stock]],"Instrument type",TRUE)),"Not Available")</f>
        <v/>
      </c>
    </row>
    <row r="91" spans="5:27" ht="22" customHeight="1">
      <c r="E91" s="89"/>
      <c r="F91" s="75" t="str" cm="1">
        <f t="array" ref="F91">IFERROR(IF(ROW(T_WATCHLIST4[[#This Row],[Stock]])-ROW(T_WATCHLIST4[[#Headers],[Stock]])&gt;C_CNT_STOCKS,"",INDEX(_xlfn.ANCHORARRAY(HELP!$G$2),ROW(T_WATCHLIST4[[#This Row],[Stock]])-ROW(T_WATCHLIST4[[#Headers],[Stock]]))),"")</f>
        <v/>
      </c>
      <c r="G91" s="80" t="str" cm="1">
        <f t="array" ref="G91">IFERROR(_xlfn.FIELDVALUE(T_WATCHLIST4[[#This Row],[Stock]],"Ticker Symbol"),"")</f>
        <v/>
      </c>
      <c r="H91" s="117"/>
      <c r="I91" s="81" t="str">
        <f>IF(T_WATCHLIST4[[#This Row],[Stock]]="","",SUMIFS(T_TXN[UNITS],T_TXN[TYPE],"Buy",T_TXN[TICKER],T_WATCHLIST4[[#This Row],[Stock]])-SUMIFS(T_TXN[UNITS],T_TXN[TYPE],"Sell",T_TXN[TICKER],T_WATCHLIST4[[#This Row],[Stock]])+SUMIFS(T_TXN[UNITS],T_TXN[TYPE],"Dividend Reinvestment",T_TXN[TICKER],T_WATCHLIST4[[#This Row],[Stock]]))</f>
        <v/>
      </c>
      <c r="J91" s="75" t="str" cm="1">
        <f t="array" ref="J91">IFERROR(_xlfn.FIELDVALUE(T_WATCHLIST4[[#This Row],[Stock]],"Price"),"")</f>
        <v/>
      </c>
      <c r="K91" s="82" t="str" cm="1">
        <f t="array" ref="K91">IFERROR(_xlfn.FIELDVALUE(T_WATCHLIST4[[#This Row],[Stock]],"Change"),"")</f>
        <v/>
      </c>
      <c r="L91" s="83" t="str" cm="1">
        <f t="array" ref="L91">IFERROR(_xlfn.FIELDVALUE(T_WATCHLIST4[[#This Row],[Stock]],"Change (%)"),"")</f>
        <v/>
      </c>
      <c r="M91" s="84" t="str">
        <f>IF(T_WATCHLIST4[[#This Row],[Stock]]="","",T_WATCHLIST4[[#This Row],[Quantity]]*T_WATCHLIST4[[#This Row],[Last Price]])</f>
        <v/>
      </c>
      <c r="N91" s="85" t="str" cm="1">
        <f t="array" ref="N91">IF(T_WATCHLIST4[[#This Row],[Stock]]="","",T_WATCHLIST4[[#This Row],[Current Value]]-_xlfn.FIELDVALUE(T_WATCHLIST4[[#This Row],[Stock]],"Previous Close")*T_WATCHLIST4[[#This Row],[Quantity]])</f>
        <v/>
      </c>
      <c r="O91" s="86" t="str">
        <f>IFERROR(T_WATCHLIST4[[#This Row],[Today''s Gain/Loss]]/(T_WATCHLIST4[[#This Row],[Current Value]]-T_WATCHLIST4[[#This Row],[Today''s Gain/Loss]]),"")</f>
        <v/>
      </c>
      <c r="P91" s="84" t="str">
        <f>IFERROR(T_WATCHLIST4[[#This Row],[Current Value]]-T_WATCHLIST4[[#This Row],[% Total Gain/Loss9]],"")</f>
        <v/>
      </c>
      <c r="Q91" s="87" t="str">
        <f>IFERROR(T_WATCHLIST4[[#This Row],[Total Gain/Loss]]/T_WATCHLIST4[[#This Row],[% Total Gain/Loss9]],"")</f>
        <v/>
      </c>
      <c r="R91" s="88" t="str" cm="1">
        <f t="array" ref="R91">IFERROR(_xlfn.FIELDVALUE(T_WATCHLIST4[[#This Row],[Stock]],"52 week low"),"")</f>
        <v/>
      </c>
      <c r="S91"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1" s="73" t="str" cm="1">
        <f t="array" ref="T91">IFERROR(_xlfn.FIELDVALUE(T_WATCHLIST4[[#This Row],[Stock]],"52 week high"),"")</f>
        <v/>
      </c>
      <c r="U91" s="64" t="str" cm="1">
        <f t="array" ref="U91">IF(T_WATCHLIST4[[#This Row],[Stock]]="","",SUMPRODUCT(T_TXN[UNITS],--(T_TXN[TYPE]="Buy"),--(T_TXN[TICKER]=T_WATCHLIST4[[#This Row],[Stock]])))</f>
        <v/>
      </c>
      <c r="V91" s="67" t="str" cm="1">
        <f t="array" ref="V91">IF(T_WATCHLIST4[[#This Row],[Stock]]="","",SUMPRODUCT(--(T_TXN[TYPE]="Buy"),T_TXN[UNITS],T_TXN[PRICE],--(T_TXN[TICKER]=T_WATCHLIST4[[#This Row],[Stock]])))</f>
        <v/>
      </c>
      <c r="W91" s="64" t="str" cm="1">
        <f t="array" ref="W91">IF(T_WATCHLIST4[[#This Row],[Stock]]="","",SUMPRODUCT(T_TXN[UNITS],--(T_TXN[TYPE]="Sell"),--(T_TXN[TICKER]=T_WATCHLIST4[[#This Row],[Stock]])))</f>
        <v/>
      </c>
      <c r="X91" s="67" t="str" cm="1">
        <f t="array" ref="X91">IF(T_WATCHLIST4[[#This Row],[Stock]]="","",SUMPRODUCT(--(T_TXN[TYPE]="Sell"),T_TXN[UNITS],T_TXN[PRICE],--(T_TXN[TICKER]=T_WATCHLIST4[[#This Row],[Stock]])))</f>
        <v/>
      </c>
      <c r="Y91" s="67" t="str" cm="1">
        <f t="array" ref="Y91">IF(T_WATCHLIST4[[#This Row],[Stock]]="","",SUMPRODUCT(T_TXN[UNITS],T_TXN[PRICE],--(T_TXN[TYPE]="Buy"),--(T_TXN[TICKER]=T_WATCHLIST4[[#This Row],[Stock]])) -SUMPRODUCT(T_TXN[UNITS],T_TXN[PRICE],--(T_TXN[TYPE]="Sell"),--(T_TXN[TICKER]=T_WATCHLIST4[[#This Row],[Stock]])))</f>
        <v/>
      </c>
      <c r="Z91" s="64" t="str" cm="1">
        <f t="array" ref="Z91">IFERROR(IF(ROW(T_WATCHLIST4[[#This Row],[Stock]])-ROW(T_WATCHLIST4[[#Headers],[Stock]])&gt;=C_CNT_STOCKS,"",_FV(T_WATCHLIST4[[#This Row],[Stock]],"Industry",TRUE)),"Not Available")</f>
        <v/>
      </c>
      <c r="AA91" s="64" t="str" cm="1">
        <f t="array" ref="AA91">IFERROR(IF(ROW(T_WATCHLIST4[[#This Row],[Stock]])-ROW(T_WATCHLIST4[[#Headers],[Stock]])&gt;=C_CNT_STOCKS,"",_FV(T_WATCHLIST4[[#This Row],[Stock]],"Instrument type",TRUE)),"Not Available")</f>
        <v/>
      </c>
    </row>
    <row r="92" spans="5:27" ht="22" customHeight="1">
      <c r="E92" s="89"/>
      <c r="F92" s="75" t="str" cm="1">
        <f t="array" ref="F92">IFERROR(IF(ROW(T_WATCHLIST4[[#This Row],[Stock]])-ROW(T_WATCHLIST4[[#Headers],[Stock]])&gt;C_CNT_STOCKS,"",INDEX(_xlfn.ANCHORARRAY(HELP!$G$2),ROW(T_WATCHLIST4[[#This Row],[Stock]])-ROW(T_WATCHLIST4[[#Headers],[Stock]]))),"")</f>
        <v/>
      </c>
      <c r="G92" s="80" t="str" cm="1">
        <f t="array" ref="G92">IFERROR(_xlfn.FIELDVALUE(T_WATCHLIST4[[#This Row],[Stock]],"Ticker Symbol"),"")</f>
        <v/>
      </c>
      <c r="H92" s="117"/>
      <c r="I92" s="81" t="str">
        <f>IF(T_WATCHLIST4[[#This Row],[Stock]]="","",SUMIFS(T_TXN[UNITS],T_TXN[TYPE],"Buy",T_TXN[TICKER],T_WATCHLIST4[[#This Row],[Stock]])-SUMIFS(T_TXN[UNITS],T_TXN[TYPE],"Sell",T_TXN[TICKER],T_WATCHLIST4[[#This Row],[Stock]])+SUMIFS(T_TXN[UNITS],T_TXN[TYPE],"Dividend Reinvestment",T_TXN[TICKER],T_WATCHLIST4[[#This Row],[Stock]]))</f>
        <v/>
      </c>
      <c r="J92" s="75" t="str" cm="1">
        <f t="array" ref="J92">IFERROR(_xlfn.FIELDVALUE(T_WATCHLIST4[[#This Row],[Stock]],"Price"),"")</f>
        <v/>
      </c>
      <c r="K92" s="82" t="str" cm="1">
        <f t="array" ref="K92">IFERROR(_xlfn.FIELDVALUE(T_WATCHLIST4[[#This Row],[Stock]],"Change"),"")</f>
        <v/>
      </c>
      <c r="L92" s="83" t="str" cm="1">
        <f t="array" ref="L92">IFERROR(_xlfn.FIELDVALUE(T_WATCHLIST4[[#This Row],[Stock]],"Change (%)"),"")</f>
        <v/>
      </c>
      <c r="M92" s="84" t="str">
        <f>IF(T_WATCHLIST4[[#This Row],[Stock]]="","",T_WATCHLIST4[[#This Row],[Quantity]]*T_WATCHLIST4[[#This Row],[Last Price]])</f>
        <v/>
      </c>
      <c r="N92" s="85" t="str" cm="1">
        <f t="array" ref="N92">IF(T_WATCHLIST4[[#This Row],[Stock]]="","",T_WATCHLIST4[[#This Row],[Current Value]]-_xlfn.FIELDVALUE(T_WATCHLIST4[[#This Row],[Stock]],"Previous Close")*T_WATCHLIST4[[#This Row],[Quantity]])</f>
        <v/>
      </c>
      <c r="O92" s="86" t="str">
        <f>IFERROR(T_WATCHLIST4[[#This Row],[Today''s Gain/Loss]]/(T_WATCHLIST4[[#This Row],[Current Value]]-T_WATCHLIST4[[#This Row],[Today''s Gain/Loss]]),"")</f>
        <v/>
      </c>
      <c r="P92" s="84" t="str">
        <f>IFERROR(T_WATCHLIST4[[#This Row],[Current Value]]-T_WATCHLIST4[[#This Row],[% Total Gain/Loss9]],"")</f>
        <v/>
      </c>
      <c r="Q92" s="87" t="str">
        <f>IFERROR(T_WATCHLIST4[[#This Row],[Total Gain/Loss]]/T_WATCHLIST4[[#This Row],[% Total Gain/Loss9]],"")</f>
        <v/>
      </c>
      <c r="R92" s="88" t="str" cm="1">
        <f t="array" ref="R92">IFERROR(_xlfn.FIELDVALUE(T_WATCHLIST4[[#This Row],[Stock]],"52 week low"),"")</f>
        <v/>
      </c>
      <c r="S92"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2" s="73" t="str" cm="1">
        <f t="array" ref="T92">IFERROR(_xlfn.FIELDVALUE(T_WATCHLIST4[[#This Row],[Stock]],"52 week high"),"")</f>
        <v/>
      </c>
      <c r="U92" s="64" t="str" cm="1">
        <f t="array" ref="U92">IF(T_WATCHLIST4[[#This Row],[Stock]]="","",SUMPRODUCT(T_TXN[UNITS],--(T_TXN[TYPE]="Buy"),--(T_TXN[TICKER]=T_WATCHLIST4[[#This Row],[Stock]])))</f>
        <v/>
      </c>
      <c r="V92" s="67" t="str" cm="1">
        <f t="array" ref="V92">IF(T_WATCHLIST4[[#This Row],[Stock]]="","",SUMPRODUCT(--(T_TXN[TYPE]="Buy"),T_TXN[UNITS],T_TXN[PRICE],--(T_TXN[TICKER]=T_WATCHLIST4[[#This Row],[Stock]])))</f>
        <v/>
      </c>
      <c r="W92" s="64" t="str" cm="1">
        <f t="array" ref="W92">IF(T_WATCHLIST4[[#This Row],[Stock]]="","",SUMPRODUCT(T_TXN[UNITS],--(T_TXN[TYPE]="Sell"),--(T_TXN[TICKER]=T_WATCHLIST4[[#This Row],[Stock]])))</f>
        <v/>
      </c>
      <c r="X92" s="67" t="str" cm="1">
        <f t="array" ref="X92">IF(T_WATCHLIST4[[#This Row],[Stock]]="","",SUMPRODUCT(--(T_TXN[TYPE]="Sell"),T_TXN[UNITS],T_TXN[PRICE],--(T_TXN[TICKER]=T_WATCHLIST4[[#This Row],[Stock]])))</f>
        <v/>
      </c>
      <c r="Y92" s="67" t="str" cm="1">
        <f t="array" ref="Y92">IF(T_WATCHLIST4[[#This Row],[Stock]]="","",SUMPRODUCT(T_TXN[UNITS],T_TXN[PRICE],--(T_TXN[TYPE]="Buy"),--(T_TXN[TICKER]=T_WATCHLIST4[[#This Row],[Stock]])) -SUMPRODUCT(T_TXN[UNITS],T_TXN[PRICE],--(T_TXN[TYPE]="Sell"),--(T_TXN[TICKER]=T_WATCHLIST4[[#This Row],[Stock]])))</f>
        <v/>
      </c>
      <c r="Z92" s="64" t="str" cm="1">
        <f t="array" ref="Z92">IFERROR(IF(ROW(T_WATCHLIST4[[#This Row],[Stock]])-ROW(T_WATCHLIST4[[#Headers],[Stock]])&gt;=C_CNT_STOCKS,"",_FV(T_WATCHLIST4[[#This Row],[Stock]],"Industry",TRUE)),"Not Available")</f>
        <v/>
      </c>
      <c r="AA92" s="64" t="str" cm="1">
        <f t="array" ref="AA92">IFERROR(IF(ROW(T_WATCHLIST4[[#This Row],[Stock]])-ROW(T_WATCHLIST4[[#Headers],[Stock]])&gt;=C_CNT_STOCKS,"",_FV(T_WATCHLIST4[[#This Row],[Stock]],"Instrument type",TRUE)),"Not Available")</f>
        <v/>
      </c>
    </row>
    <row r="93" spans="5:27" ht="22" customHeight="1">
      <c r="E93" s="89"/>
      <c r="F93" s="75" t="str" cm="1">
        <f t="array" ref="F93">IFERROR(IF(ROW(T_WATCHLIST4[[#This Row],[Stock]])-ROW(T_WATCHLIST4[[#Headers],[Stock]])&gt;C_CNT_STOCKS,"",INDEX(_xlfn.ANCHORARRAY(HELP!$G$2),ROW(T_WATCHLIST4[[#This Row],[Stock]])-ROW(T_WATCHLIST4[[#Headers],[Stock]]))),"")</f>
        <v/>
      </c>
      <c r="G93" s="80" t="str" cm="1">
        <f t="array" ref="G93">IFERROR(_xlfn.FIELDVALUE(T_WATCHLIST4[[#This Row],[Stock]],"Ticker Symbol"),"")</f>
        <v/>
      </c>
      <c r="H93" s="117"/>
      <c r="I93" s="81" t="str">
        <f>IF(T_WATCHLIST4[[#This Row],[Stock]]="","",SUMIFS(T_TXN[UNITS],T_TXN[TYPE],"Buy",T_TXN[TICKER],T_WATCHLIST4[[#This Row],[Stock]])-SUMIFS(T_TXN[UNITS],T_TXN[TYPE],"Sell",T_TXN[TICKER],T_WATCHLIST4[[#This Row],[Stock]])+SUMIFS(T_TXN[UNITS],T_TXN[TYPE],"Dividend Reinvestment",T_TXN[TICKER],T_WATCHLIST4[[#This Row],[Stock]]))</f>
        <v/>
      </c>
      <c r="J93" s="75" t="str" cm="1">
        <f t="array" ref="J93">IFERROR(_xlfn.FIELDVALUE(T_WATCHLIST4[[#This Row],[Stock]],"Price"),"")</f>
        <v/>
      </c>
      <c r="K93" s="82" t="str" cm="1">
        <f t="array" ref="K93">IFERROR(_xlfn.FIELDVALUE(T_WATCHLIST4[[#This Row],[Stock]],"Change"),"")</f>
        <v/>
      </c>
      <c r="L93" s="83" t="str" cm="1">
        <f t="array" ref="L93">IFERROR(_xlfn.FIELDVALUE(T_WATCHLIST4[[#This Row],[Stock]],"Change (%)"),"")</f>
        <v/>
      </c>
      <c r="M93" s="84" t="str">
        <f>IF(T_WATCHLIST4[[#This Row],[Stock]]="","",T_WATCHLIST4[[#This Row],[Quantity]]*T_WATCHLIST4[[#This Row],[Last Price]])</f>
        <v/>
      </c>
      <c r="N93" s="85" t="str" cm="1">
        <f t="array" ref="N93">IF(T_WATCHLIST4[[#This Row],[Stock]]="","",T_WATCHLIST4[[#This Row],[Current Value]]-_xlfn.FIELDVALUE(T_WATCHLIST4[[#This Row],[Stock]],"Previous Close")*T_WATCHLIST4[[#This Row],[Quantity]])</f>
        <v/>
      </c>
      <c r="O93" s="86" t="str">
        <f>IFERROR(T_WATCHLIST4[[#This Row],[Today''s Gain/Loss]]/(T_WATCHLIST4[[#This Row],[Current Value]]-T_WATCHLIST4[[#This Row],[Today''s Gain/Loss]]),"")</f>
        <v/>
      </c>
      <c r="P93" s="84" t="str">
        <f>IFERROR(T_WATCHLIST4[[#This Row],[Current Value]]-T_WATCHLIST4[[#This Row],[% Total Gain/Loss9]],"")</f>
        <v/>
      </c>
      <c r="Q93" s="87" t="str">
        <f>IFERROR(T_WATCHLIST4[[#This Row],[Total Gain/Loss]]/T_WATCHLIST4[[#This Row],[% Total Gain/Loss9]],"")</f>
        <v/>
      </c>
      <c r="R93" s="88" t="str" cm="1">
        <f t="array" ref="R93">IFERROR(_xlfn.FIELDVALUE(T_WATCHLIST4[[#This Row],[Stock]],"52 week low"),"")</f>
        <v/>
      </c>
      <c r="S93"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3" s="73" t="str" cm="1">
        <f t="array" ref="T93">IFERROR(_xlfn.FIELDVALUE(T_WATCHLIST4[[#This Row],[Stock]],"52 week high"),"")</f>
        <v/>
      </c>
      <c r="U93" s="64" t="str" cm="1">
        <f t="array" ref="U93">IF(T_WATCHLIST4[[#This Row],[Stock]]="","",SUMPRODUCT(T_TXN[UNITS],--(T_TXN[TYPE]="Buy"),--(T_TXN[TICKER]=T_WATCHLIST4[[#This Row],[Stock]])))</f>
        <v/>
      </c>
      <c r="V93" s="67" t="str" cm="1">
        <f t="array" ref="V93">IF(T_WATCHLIST4[[#This Row],[Stock]]="","",SUMPRODUCT(--(T_TXN[TYPE]="Buy"),T_TXN[UNITS],T_TXN[PRICE],--(T_TXN[TICKER]=T_WATCHLIST4[[#This Row],[Stock]])))</f>
        <v/>
      </c>
      <c r="W93" s="64" t="str" cm="1">
        <f t="array" ref="W93">IF(T_WATCHLIST4[[#This Row],[Stock]]="","",SUMPRODUCT(T_TXN[UNITS],--(T_TXN[TYPE]="Sell"),--(T_TXN[TICKER]=T_WATCHLIST4[[#This Row],[Stock]])))</f>
        <v/>
      </c>
      <c r="X93" s="67" t="str" cm="1">
        <f t="array" ref="X93">IF(T_WATCHLIST4[[#This Row],[Stock]]="","",SUMPRODUCT(--(T_TXN[TYPE]="Sell"),T_TXN[UNITS],T_TXN[PRICE],--(T_TXN[TICKER]=T_WATCHLIST4[[#This Row],[Stock]])))</f>
        <v/>
      </c>
      <c r="Y93" s="67" t="str" cm="1">
        <f t="array" ref="Y93">IF(T_WATCHLIST4[[#This Row],[Stock]]="","",SUMPRODUCT(T_TXN[UNITS],T_TXN[PRICE],--(T_TXN[TYPE]="Buy"),--(T_TXN[TICKER]=T_WATCHLIST4[[#This Row],[Stock]])) -SUMPRODUCT(T_TXN[UNITS],T_TXN[PRICE],--(T_TXN[TYPE]="Sell"),--(T_TXN[TICKER]=T_WATCHLIST4[[#This Row],[Stock]])))</f>
        <v/>
      </c>
      <c r="Z93" s="64" t="str" cm="1">
        <f t="array" ref="Z93">IFERROR(IF(ROW(T_WATCHLIST4[[#This Row],[Stock]])-ROW(T_WATCHLIST4[[#Headers],[Stock]])&gt;=C_CNT_STOCKS,"",_FV(T_WATCHLIST4[[#This Row],[Stock]],"Industry",TRUE)),"Not Available")</f>
        <v/>
      </c>
      <c r="AA93" s="64" t="str" cm="1">
        <f t="array" ref="AA93">IFERROR(IF(ROW(T_WATCHLIST4[[#This Row],[Stock]])-ROW(T_WATCHLIST4[[#Headers],[Stock]])&gt;=C_CNT_STOCKS,"",_FV(T_WATCHLIST4[[#This Row],[Stock]],"Instrument type",TRUE)),"Not Available")</f>
        <v/>
      </c>
    </row>
    <row r="94" spans="5:27" ht="22" customHeight="1">
      <c r="E94" s="89"/>
      <c r="F94" s="75" t="str" cm="1">
        <f t="array" ref="F94">IFERROR(IF(ROW(T_WATCHLIST4[[#This Row],[Stock]])-ROW(T_WATCHLIST4[[#Headers],[Stock]])&gt;C_CNT_STOCKS,"",INDEX(_xlfn.ANCHORARRAY(HELP!$G$2),ROW(T_WATCHLIST4[[#This Row],[Stock]])-ROW(T_WATCHLIST4[[#Headers],[Stock]]))),"")</f>
        <v/>
      </c>
      <c r="G94" s="80" t="str" cm="1">
        <f t="array" ref="G94">IFERROR(_xlfn.FIELDVALUE(T_WATCHLIST4[[#This Row],[Stock]],"Ticker Symbol"),"")</f>
        <v/>
      </c>
      <c r="H94" s="117"/>
      <c r="I94" s="81" t="str">
        <f>IF(T_WATCHLIST4[[#This Row],[Stock]]="","",SUMIFS(T_TXN[UNITS],T_TXN[TYPE],"Buy",T_TXN[TICKER],T_WATCHLIST4[[#This Row],[Stock]])-SUMIFS(T_TXN[UNITS],T_TXN[TYPE],"Sell",T_TXN[TICKER],T_WATCHLIST4[[#This Row],[Stock]])+SUMIFS(T_TXN[UNITS],T_TXN[TYPE],"Dividend Reinvestment",T_TXN[TICKER],T_WATCHLIST4[[#This Row],[Stock]]))</f>
        <v/>
      </c>
      <c r="J94" s="75" t="str" cm="1">
        <f t="array" ref="J94">IFERROR(_xlfn.FIELDVALUE(T_WATCHLIST4[[#This Row],[Stock]],"Price"),"")</f>
        <v/>
      </c>
      <c r="K94" s="82" t="str" cm="1">
        <f t="array" ref="K94">IFERROR(_xlfn.FIELDVALUE(T_WATCHLIST4[[#This Row],[Stock]],"Change"),"")</f>
        <v/>
      </c>
      <c r="L94" s="83" t="str" cm="1">
        <f t="array" ref="L94">IFERROR(_xlfn.FIELDVALUE(T_WATCHLIST4[[#This Row],[Stock]],"Change (%)"),"")</f>
        <v/>
      </c>
      <c r="M94" s="84" t="str">
        <f>IF(T_WATCHLIST4[[#This Row],[Stock]]="","",T_WATCHLIST4[[#This Row],[Quantity]]*T_WATCHLIST4[[#This Row],[Last Price]])</f>
        <v/>
      </c>
      <c r="N94" s="85" t="str" cm="1">
        <f t="array" ref="N94">IF(T_WATCHLIST4[[#This Row],[Stock]]="","",T_WATCHLIST4[[#This Row],[Current Value]]-_xlfn.FIELDVALUE(T_WATCHLIST4[[#This Row],[Stock]],"Previous Close")*T_WATCHLIST4[[#This Row],[Quantity]])</f>
        <v/>
      </c>
      <c r="O94" s="86" t="str">
        <f>IFERROR(T_WATCHLIST4[[#This Row],[Today''s Gain/Loss]]/(T_WATCHLIST4[[#This Row],[Current Value]]-T_WATCHLIST4[[#This Row],[Today''s Gain/Loss]]),"")</f>
        <v/>
      </c>
      <c r="P94" s="84" t="str">
        <f>IFERROR(T_WATCHLIST4[[#This Row],[Current Value]]-T_WATCHLIST4[[#This Row],[% Total Gain/Loss9]],"")</f>
        <v/>
      </c>
      <c r="Q94" s="87" t="str">
        <f>IFERROR(T_WATCHLIST4[[#This Row],[Total Gain/Loss]]/T_WATCHLIST4[[#This Row],[% Total Gain/Loss9]],"")</f>
        <v/>
      </c>
      <c r="R94" s="88" t="str" cm="1">
        <f t="array" ref="R94">IFERROR(_xlfn.FIELDVALUE(T_WATCHLIST4[[#This Row],[Stock]],"52 week low"),"")</f>
        <v/>
      </c>
      <c r="S94"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4" s="73" t="str" cm="1">
        <f t="array" ref="T94">IFERROR(_xlfn.FIELDVALUE(T_WATCHLIST4[[#This Row],[Stock]],"52 week high"),"")</f>
        <v/>
      </c>
      <c r="U94" s="64" t="str" cm="1">
        <f t="array" ref="U94">IF(T_WATCHLIST4[[#This Row],[Stock]]="","",SUMPRODUCT(T_TXN[UNITS],--(T_TXN[TYPE]="Buy"),--(T_TXN[TICKER]=T_WATCHLIST4[[#This Row],[Stock]])))</f>
        <v/>
      </c>
      <c r="V94" s="67" t="str" cm="1">
        <f t="array" ref="V94">IF(T_WATCHLIST4[[#This Row],[Stock]]="","",SUMPRODUCT(--(T_TXN[TYPE]="Buy"),T_TXN[UNITS],T_TXN[PRICE],--(T_TXN[TICKER]=T_WATCHLIST4[[#This Row],[Stock]])))</f>
        <v/>
      </c>
      <c r="W94" s="64" t="str" cm="1">
        <f t="array" ref="W94">IF(T_WATCHLIST4[[#This Row],[Stock]]="","",SUMPRODUCT(T_TXN[UNITS],--(T_TXN[TYPE]="Sell"),--(T_TXN[TICKER]=T_WATCHLIST4[[#This Row],[Stock]])))</f>
        <v/>
      </c>
      <c r="X94" s="67" t="str" cm="1">
        <f t="array" ref="X94">IF(T_WATCHLIST4[[#This Row],[Stock]]="","",SUMPRODUCT(--(T_TXN[TYPE]="Sell"),T_TXN[UNITS],T_TXN[PRICE],--(T_TXN[TICKER]=T_WATCHLIST4[[#This Row],[Stock]])))</f>
        <v/>
      </c>
      <c r="Y94" s="67" t="str" cm="1">
        <f t="array" ref="Y94">IF(T_WATCHLIST4[[#This Row],[Stock]]="","",SUMPRODUCT(T_TXN[UNITS],T_TXN[PRICE],--(T_TXN[TYPE]="Buy"),--(T_TXN[TICKER]=T_WATCHLIST4[[#This Row],[Stock]])) -SUMPRODUCT(T_TXN[UNITS],T_TXN[PRICE],--(T_TXN[TYPE]="Sell"),--(T_TXN[TICKER]=T_WATCHLIST4[[#This Row],[Stock]])))</f>
        <v/>
      </c>
      <c r="Z94" s="64" t="str" cm="1">
        <f t="array" ref="Z94">IFERROR(IF(ROW(T_WATCHLIST4[[#This Row],[Stock]])-ROW(T_WATCHLIST4[[#Headers],[Stock]])&gt;=C_CNT_STOCKS,"",_FV(T_WATCHLIST4[[#This Row],[Stock]],"Industry",TRUE)),"Not Available")</f>
        <v/>
      </c>
      <c r="AA94" s="64" t="str" cm="1">
        <f t="array" ref="AA94">IFERROR(IF(ROW(T_WATCHLIST4[[#This Row],[Stock]])-ROW(T_WATCHLIST4[[#Headers],[Stock]])&gt;=C_CNT_STOCKS,"",_FV(T_WATCHLIST4[[#This Row],[Stock]],"Instrument type",TRUE)),"Not Available")</f>
        <v/>
      </c>
    </row>
    <row r="95" spans="5:27" ht="22" customHeight="1">
      <c r="E95" s="89"/>
      <c r="F95" s="75" t="str" cm="1">
        <f t="array" ref="F95">IFERROR(IF(ROW(T_WATCHLIST4[[#This Row],[Stock]])-ROW(T_WATCHLIST4[[#Headers],[Stock]])&gt;C_CNT_STOCKS,"",INDEX(_xlfn.ANCHORARRAY(HELP!$G$2),ROW(T_WATCHLIST4[[#This Row],[Stock]])-ROW(T_WATCHLIST4[[#Headers],[Stock]]))),"")</f>
        <v/>
      </c>
      <c r="G95" s="80" t="str" cm="1">
        <f t="array" ref="G95">IFERROR(_xlfn.FIELDVALUE(T_WATCHLIST4[[#This Row],[Stock]],"Ticker Symbol"),"")</f>
        <v/>
      </c>
      <c r="H95" s="117"/>
      <c r="I95" s="81" t="str">
        <f>IF(T_WATCHLIST4[[#This Row],[Stock]]="","",SUMIFS(T_TXN[UNITS],T_TXN[TYPE],"Buy",T_TXN[TICKER],T_WATCHLIST4[[#This Row],[Stock]])-SUMIFS(T_TXN[UNITS],T_TXN[TYPE],"Sell",T_TXN[TICKER],T_WATCHLIST4[[#This Row],[Stock]])+SUMIFS(T_TXN[UNITS],T_TXN[TYPE],"Dividend Reinvestment",T_TXN[TICKER],T_WATCHLIST4[[#This Row],[Stock]]))</f>
        <v/>
      </c>
      <c r="J95" s="75" t="str" cm="1">
        <f t="array" ref="J95">IFERROR(_xlfn.FIELDVALUE(T_WATCHLIST4[[#This Row],[Stock]],"Price"),"")</f>
        <v/>
      </c>
      <c r="K95" s="82" t="str" cm="1">
        <f t="array" ref="K95">IFERROR(_xlfn.FIELDVALUE(T_WATCHLIST4[[#This Row],[Stock]],"Change"),"")</f>
        <v/>
      </c>
      <c r="L95" s="83" t="str" cm="1">
        <f t="array" ref="L95">IFERROR(_xlfn.FIELDVALUE(T_WATCHLIST4[[#This Row],[Stock]],"Change (%)"),"")</f>
        <v/>
      </c>
      <c r="M95" s="84" t="str">
        <f>IF(T_WATCHLIST4[[#This Row],[Stock]]="","",T_WATCHLIST4[[#This Row],[Quantity]]*T_WATCHLIST4[[#This Row],[Last Price]])</f>
        <v/>
      </c>
      <c r="N95" s="85" t="str" cm="1">
        <f t="array" ref="N95">IF(T_WATCHLIST4[[#This Row],[Stock]]="","",T_WATCHLIST4[[#This Row],[Current Value]]-_xlfn.FIELDVALUE(T_WATCHLIST4[[#This Row],[Stock]],"Previous Close")*T_WATCHLIST4[[#This Row],[Quantity]])</f>
        <v/>
      </c>
      <c r="O95" s="86" t="str">
        <f>IFERROR(T_WATCHLIST4[[#This Row],[Today''s Gain/Loss]]/(T_WATCHLIST4[[#This Row],[Current Value]]-T_WATCHLIST4[[#This Row],[Today''s Gain/Loss]]),"")</f>
        <v/>
      </c>
      <c r="P95" s="84" t="str">
        <f>IFERROR(T_WATCHLIST4[[#This Row],[Current Value]]-T_WATCHLIST4[[#This Row],[% Total Gain/Loss9]],"")</f>
        <v/>
      </c>
      <c r="Q95" s="87" t="str">
        <f>IFERROR(T_WATCHLIST4[[#This Row],[Total Gain/Loss]]/T_WATCHLIST4[[#This Row],[% Total Gain/Loss9]],"")</f>
        <v/>
      </c>
      <c r="R95" s="88" t="str" cm="1">
        <f t="array" ref="R95">IFERROR(_xlfn.FIELDVALUE(T_WATCHLIST4[[#This Row],[Stock]],"52 week low"),"")</f>
        <v/>
      </c>
      <c r="S95"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5" s="73" t="str" cm="1">
        <f t="array" ref="T95">IFERROR(_xlfn.FIELDVALUE(T_WATCHLIST4[[#This Row],[Stock]],"52 week high"),"")</f>
        <v/>
      </c>
      <c r="U95" s="64" t="str" cm="1">
        <f t="array" ref="U95">IF(T_WATCHLIST4[[#This Row],[Stock]]="","",SUMPRODUCT(T_TXN[UNITS],--(T_TXN[TYPE]="Buy"),--(T_TXN[TICKER]=T_WATCHLIST4[[#This Row],[Stock]])))</f>
        <v/>
      </c>
      <c r="V95" s="67" t="str" cm="1">
        <f t="array" ref="V95">IF(T_WATCHLIST4[[#This Row],[Stock]]="","",SUMPRODUCT(--(T_TXN[TYPE]="Buy"),T_TXN[UNITS],T_TXN[PRICE],--(T_TXN[TICKER]=T_WATCHLIST4[[#This Row],[Stock]])))</f>
        <v/>
      </c>
      <c r="W95" s="64" t="str" cm="1">
        <f t="array" ref="W95">IF(T_WATCHLIST4[[#This Row],[Stock]]="","",SUMPRODUCT(T_TXN[UNITS],--(T_TXN[TYPE]="Sell"),--(T_TXN[TICKER]=T_WATCHLIST4[[#This Row],[Stock]])))</f>
        <v/>
      </c>
      <c r="X95" s="67" t="str" cm="1">
        <f t="array" ref="X95">IF(T_WATCHLIST4[[#This Row],[Stock]]="","",SUMPRODUCT(--(T_TXN[TYPE]="Sell"),T_TXN[UNITS],T_TXN[PRICE],--(T_TXN[TICKER]=T_WATCHLIST4[[#This Row],[Stock]])))</f>
        <v/>
      </c>
      <c r="Y95" s="67" t="str" cm="1">
        <f t="array" ref="Y95">IF(T_WATCHLIST4[[#This Row],[Stock]]="","",SUMPRODUCT(T_TXN[UNITS],T_TXN[PRICE],--(T_TXN[TYPE]="Buy"),--(T_TXN[TICKER]=T_WATCHLIST4[[#This Row],[Stock]])) -SUMPRODUCT(T_TXN[UNITS],T_TXN[PRICE],--(T_TXN[TYPE]="Sell"),--(T_TXN[TICKER]=T_WATCHLIST4[[#This Row],[Stock]])))</f>
        <v/>
      </c>
      <c r="Z95" s="64" t="str" cm="1">
        <f t="array" ref="Z95">IFERROR(IF(ROW(T_WATCHLIST4[[#This Row],[Stock]])-ROW(T_WATCHLIST4[[#Headers],[Stock]])&gt;=C_CNT_STOCKS,"",_FV(T_WATCHLIST4[[#This Row],[Stock]],"Industry",TRUE)),"Not Available")</f>
        <v/>
      </c>
      <c r="AA95" s="64" t="str" cm="1">
        <f t="array" ref="AA95">IFERROR(IF(ROW(T_WATCHLIST4[[#This Row],[Stock]])-ROW(T_WATCHLIST4[[#Headers],[Stock]])&gt;=C_CNT_STOCKS,"",_FV(T_WATCHLIST4[[#This Row],[Stock]],"Instrument type",TRUE)),"Not Available")</f>
        <v/>
      </c>
    </row>
    <row r="96" spans="5:27" ht="22" customHeight="1">
      <c r="E96" s="89"/>
      <c r="F96" s="75" t="str" cm="1">
        <f t="array" ref="F96">IFERROR(IF(ROW(T_WATCHLIST4[[#This Row],[Stock]])-ROW(T_WATCHLIST4[[#Headers],[Stock]])&gt;C_CNT_STOCKS,"",INDEX(_xlfn.ANCHORARRAY(HELP!$G$2),ROW(T_WATCHLIST4[[#This Row],[Stock]])-ROW(T_WATCHLIST4[[#Headers],[Stock]]))),"")</f>
        <v/>
      </c>
      <c r="G96" s="80" t="str" cm="1">
        <f t="array" ref="G96">IFERROR(_xlfn.FIELDVALUE(T_WATCHLIST4[[#This Row],[Stock]],"Ticker Symbol"),"")</f>
        <v/>
      </c>
      <c r="H96" s="117"/>
      <c r="I96" s="81" t="str">
        <f>IF(T_WATCHLIST4[[#This Row],[Stock]]="","",SUMIFS(T_TXN[UNITS],T_TXN[TYPE],"Buy",T_TXN[TICKER],T_WATCHLIST4[[#This Row],[Stock]])-SUMIFS(T_TXN[UNITS],T_TXN[TYPE],"Sell",T_TXN[TICKER],T_WATCHLIST4[[#This Row],[Stock]])+SUMIFS(T_TXN[UNITS],T_TXN[TYPE],"Dividend Reinvestment",T_TXN[TICKER],T_WATCHLIST4[[#This Row],[Stock]]))</f>
        <v/>
      </c>
      <c r="J96" s="75" t="str" cm="1">
        <f t="array" ref="J96">IFERROR(_xlfn.FIELDVALUE(T_WATCHLIST4[[#This Row],[Stock]],"Price"),"")</f>
        <v/>
      </c>
      <c r="K96" s="82" t="str" cm="1">
        <f t="array" ref="K96">IFERROR(_xlfn.FIELDVALUE(T_WATCHLIST4[[#This Row],[Stock]],"Change"),"")</f>
        <v/>
      </c>
      <c r="L96" s="83" t="str" cm="1">
        <f t="array" ref="L96">IFERROR(_xlfn.FIELDVALUE(T_WATCHLIST4[[#This Row],[Stock]],"Change (%)"),"")</f>
        <v/>
      </c>
      <c r="M96" s="84" t="str">
        <f>IF(T_WATCHLIST4[[#This Row],[Stock]]="","",T_WATCHLIST4[[#This Row],[Quantity]]*T_WATCHLIST4[[#This Row],[Last Price]])</f>
        <v/>
      </c>
      <c r="N96" s="85" t="str" cm="1">
        <f t="array" ref="N96">IF(T_WATCHLIST4[[#This Row],[Stock]]="","",T_WATCHLIST4[[#This Row],[Current Value]]-_xlfn.FIELDVALUE(T_WATCHLIST4[[#This Row],[Stock]],"Previous Close")*T_WATCHLIST4[[#This Row],[Quantity]])</f>
        <v/>
      </c>
      <c r="O96" s="86" t="str">
        <f>IFERROR(T_WATCHLIST4[[#This Row],[Today''s Gain/Loss]]/(T_WATCHLIST4[[#This Row],[Current Value]]-T_WATCHLIST4[[#This Row],[Today''s Gain/Loss]]),"")</f>
        <v/>
      </c>
      <c r="P96" s="84" t="str">
        <f>IFERROR(T_WATCHLIST4[[#This Row],[Current Value]]-T_WATCHLIST4[[#This Row],[% Total Gain/Loss9]],"")</f>
        <v/>
      </c>
      <c r="Q96" s="87" t="str">
        <f>IFERROR(T_WATCHLIST4[[#This Row],[Total Gain/Loss]]/T_WATCHLIST4[[#This Row],[% Total Gain/Loss9]],"")</f>
        <v/>
      </c>
      <c r="R96" s="88" t="str" cm="1">
        <f t="array" ref="R96">IFERROR(_xlfn.FIELDVALUE(T_WATCHLIST4[[#This Row],[Stock]],"52 week low"),"")</f>
        <v/>
      </c>
      <c r="S96" s="72" t="str">
        <f>IFERROR(REPT("0",ROUND((T_WATCHLIST4[[#This Row],[Last Price]] -T_WATCHLIST4[[#This Row],[% Total Gain/Loss2]])/(T_WATCHLIST4[[#This Row],[% Total Gain/Loss4]]-T_WATCHLIST4[[#This Row],[% Total Gain/Loss2]])*10,0))&amp;"6"&amp;REPT("0",10-ROUND((T_WATCHLIST4[[#This Row],[Last Price]] -T_WATCHLIST4[[#This Row],[% Total Gain/Loss2]])/(T_WATCHLIST4[[#This Row],[% Total Gain/Loss4]]-T_WATCHLIST4[[#This Row],[% Total Gain/Loss2]])*10,0)),"")</f>
        <v/>
      </c>
      <c r="T96" s="73" t="str" cm="1">
        <f t="array" ref="T96">IFERROR(_xlfn.FIELDVALUE(T_WATCHLIST4[[#This Row],[Stock]],"52 week high"),"")</f>
        <v/>
      </c>
      <c r="U96" s="64" t="str" cm="1">
        <f t="array" ref="U96">IF(T_WATCHLIST4[[#This Row],[Stock]]="","",SUMPRODUCT(T_TXN[UNITS],--(T_TXN[TYPE]="Buy"),--(T_TXN[TICKER]=T_WATCHLIST4[[#This Row],[Stock]])))</f>
        <v/>
      </c>
      <c r="V96" s="67" t="str" cm="1">
        <f t="array" ref="V96">IF(T_WATCHLIST4[[#This Row],[Stock]]="","",SUMPRODUCT(--(T_TXN[TYPE]="Buy"),T_TXN[UNITS],T_TXN[PRICE],--(T_TXN[TICKER]=T_WATCHLIST4[[#This Row],[Stock]])))</f>
        <v/>
      </c>
      <c r="W96" s="64" t="str" cm="1">
        <f t="array" ref="W96">IF(T_WATCHLIST4[[#This Row],[Stock]]="","",SUMPRODUCT(T_TXN[UNITS],--(T_TXN[TYPE]="Sell"),--(T_TXN[TICKER]=T_WATCHLIST4[[#This Row],[Stock]])))</f>
        <v/>
      </c>
      <c r="X96" s="67" t="str" cm="1">
        <f t="array" ref="X96">IF(T_WATCHLIST4[[#This Row],[Stock]]="","",SUMPRODUCT(--(T_TXN[TYPE]="Sell"),T_TXN[UNITS],T_TXN[PRICE],--(T_TXN[TICKER]=T_WATCHLIST4[[#This Row],[Stock]])))</f>
        <v/>
      </c>
      <c r="Y96" s="67" t="str" cm="1">
        <f t="array" ref="Y96">IF(T_WATCHLIST4[[#This Row],[Stock]]="","",SUMPRODUCT(T_TXN[UNITS],T_TXN[PRICE],--(T_TXN[TYPE]="Buy"),--(T_TXN[TICKER]=T_WATCHLIST4[[#This Row],[Stock]])) -SUMPRODUCT(T_TXN[UNITS],T_TXN[PRICE],--(T_TXN[TYPE]="Sell"),--(T_TXN[TICKER]=T_WATCHLIST4[[#This Row],[Stock]])))</f>
        <v/>
      </c>
      <c r="Z96" s="64" t="str" cm="1">
        <f t="array" ref="Z96">IFERROR(IF(ROW(T_WATCHLIST4[[#This Row],[Stock]])-ROW(T_WATCHLIST4[[#Headers],[Stock]])&gt;=C_CNT_STOCKS,"",_FV(T_WATCHLIST4[[#This Row],[Stock]],"Industry",TRUE)),"Not Available")</f>
        <v/>
      </c>
      <c r="AA96" s="64" t="str" cm="1">
        <f t="array" ref="AA96">IFERROR(IF(ROW(T_WATCHLIST4[[#This Row],[Stock]])-ROW(T_WATCHLIST4[[#Headers],[Stock]])&gt;=C_CNT_STOCKS,"",_FV(T_WATCHLIST4[[#This Row],[Stock]],"Instrument type",TRUE)),"Not Available")</f>
        <v/>
      </c>
    </row>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sheetData>
  <mergeCells count="2">
    <mergeCell ref="M1:N1"/>
    <mergeCell ref="A2:E2"/>
  </mergeCells>
  <conditionalFormatting sqref="B4:B6">
    <cfRule type="iconSet" priority="2">
      <iconSet iconSet="3Arrows">
        <cfvo type="percent" val="0"/>
        <cfvo type="num" val="0"/>
        <cfvo type="num" val="0"/>
      </iconSet>
    </cfRule>
  </conditionalFormatting>
  <conditionalFormatting sqref="B9:B10">
    <cfRule type="iconSet" priority="1">
      <iconSet iconSet="3Arrows">
        <cfvo type="percent" val="0"/>
        <cfvo type="num" val="0"/>
        <cfvo type="num" val="0"/>
      </iconSet>
    </cfRule>
  </conditionalFormatting>
  <conditionalFormatting sqref="N3:Q96">
    <cfRule type="expression" dxfId="3" priority="3">
      <formula>N3&lt;0</formula>
    </cfRule>
    <cfRule type="expression" dxfId="2" priority="4">
      <formula>N3&gt;0</formula>
    </cfRule>
  </conditionalFormatting>
  <pageMargins left="0.25" right="0.25" top="0.75" bottom="0.75" header="0.3" footer="0.3"/>
  <pageSetup scale="99" orientation="landscape"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9" id="{F48A7E0D-D84F-45DB-B7D0-55239554D094}">
            <x14:iconSet iconSet="3Arrows">
              <x14:cfvo type="percent">
                <xm:f>0</xm:f>
              </x14:cfvo>
              <x14:cfvo type="num">
                <xm:f>HELP!$E$3</xm:f>
              </x14:cfvo>
              <x14:cfvo type="num">
                <xm:f>HELP!$E$2</xm:f>
              </x14:cfvo>
            </x14:iconSet>
          </x14:cfRule>
          <xm:sqref>L3:L96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C041-08C6-4458-97F1-305C4BE1410C}">
  <dimension ref="A1:G9"/>
  <sheetViews>
    <sheetView workbookViewId="0"/>
  </sheetViews>
  <sheetFormatPr baseColWidth="10" defaultColWidth="8.83203125" defaultRowHeight="15"/>
  <cols>
    <col min="1" max="1" width="41.1640625" bestFit="1" customWidth="1"/>
    <col min="2" max="2" width="20.1640625" bestFit="1" customWidth="1"/>
    <col min="6" max="6" width="13.1640625" bestFit="1" customWidth="1"/>
    <col min="7" max="7" width="20.1640625" bestFit="1" customWidth="1"/>
  </cols>
  <sheetData>
    <row r="1" spans="1:7">
      <c r="A1" s="17" t="s">
        <v>18</v>
      </c>
      <c r="B1" t="s">
        <v>61</v>
      </c>
    </row>
    <row r="3" spans="1:7">
      <c r="A3" s="17" t="s">
        <v>54</v>
      </c>
      <c r="B3" t="s">
        <v>53</v>
      </c>
      <c r="F3" s="17" t="s">
        <v>54</v>
      </c>
      <c r="G3" t="s">
        <v>53</v>
      </c>
    </row>
    <row r="4" spans="1:7">
      <c r="A4" s="18" t="s">
        <v>58</v>
      </c>
      <c r="B4" s="19">
        <v>473.84999999999997</v>
      </c>
      <c r="F4" s="18"/>
      <c r="G4" s="19">
        <v>0</v>
      </c>
    </row>
    <row r="5" spans="1:7">
      <c r="A5" s="18" t="s">
        <v>56</v>
      </c>
      <c r="B5" s="19">
        <v>676.78000000000009</v>
      </c>
      <c r="F5" s="18" t="s">
        <v>62</v>
      </c>
      <c r="G5" s="19">
        <v>5434.7550000000001</v>
      </c>
    </row>
    <row r="6" spans="1:7">
      <c r="A6" s="18" t="s">
        <v>55</v>
      </c>
      <c r="B6" s="19">
        <v>840.1</v>
      </c>
      <c r="F6" s="18" t="s">
        <v>61</v>
      </c>
      <c r="G6" s="19">
        <v>6725.6500000000015</v>
      </c>
    </row>
    <row r="7" spans="1:7">
      <c r="A7" s="18" t="s">
        <v>59</v>
      </c>
      <c r="B7" s="19">
        <v>1589.8400000000001</v>
      </c>
      <c r="F7" s="18" t="s">
        <v>60</v>
      </c>
      <c r="G7" s="19">
        <v>12160.405000000002</v>
      </c>
    </row>
    <row r="8" spans="1:7">
      <c r="A8" s="18" t="s">
        <v>57</v>
      </c>
      <c r="B8" s="19">
        <v>3145.08</v>
      </c>
    </row>
    <row r="9" spans="1:7">
      <c r="A9" s="18" t="s">
        <v>60</v>
      </c>
      <c r="B9" s="19">
        <v>6725.6500000000005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CB49-B3A7-43D6-AC7E-D8D44909349B}">
  <dimension ref="A1:M26"/>
  <sheetViews>
    <sheetView showGridLines="0" zoomScaleNormal="100" workbookViewId="0">
      <pane ySplit="3" topLeftCell="A4" activePane="bottomLeft" state="frozen"/>
      <selection pane="bottomLeft" activeCell="G13" sqref="G13"/>
    </sheetView>
  </sheetViews>
  <sheetFormatPr baseColWidth="10" defaultColWidth="8.83203125" defaultRowHeight="15"/>
  <cols>
    <col min="1" max="1" width="11.6640625" customWidth="1"/>
    <col min="2" max="2" width="45" bestFit="1" customWidth="1"/>
    <col min="3" max="3" width="13.83203125" bestFit="1" customWidth="1"/>
    <col min="4" max="4" width="13.1640625" customWidth="1"/>
    <col min="6" max="6" width="10.33203125" customWidth="1"/>
    <col min="7" max="7" width="10.6640625" customWidth="1"/>
    <col min="8" max="8" width="14.1640625" customWidth="1"/>
    <col min="9" max="9" width="12.83203125" customWidth="1"/>
    <col min="10" max="10" width="15.5" bestFit="1" customWidth="1"/>
    <col min="11" max="11" width="17.83203125" customWidth="1"/>
  </cols>
  <sheetData>
    <row r="1" spans="1:13" ht="25">
      <c r="A1" s="13" t="s">
        <v>50</v>
      </c>
      <c r="C1" s="29" t="s">
        <v>51</v>
      </c>
      <c r="D1" s="36">
        <v>10000</v>
      </c>
      <c r="F1" s="41" t="s">
        <v>83</v>
      </c>
      <c r="G1" s="10"/>
      <c r="L1" s="39" t="s">
        <v>41</v>
      </c>
      <c r="M1" s="40" t="s">
        <v>48</v>
      </c>
    </row>
    <row r="2" spans="1:13" ht="34.75" customHeight="1">
      <c r="A2" s="22" t="s">
        <v>64</v>
      </c>
      <c r="F2" s="30" t="s">
        <v>75</v>
      </c>
      <c r="G2" s="30" t="s">
        <v>76</v>
      </c>
      <c r="H2" s="31" t="s">
        <v>77</v>
      </c>
      <c r="I2" s="31" t="s">
        <v>81</v>
      </c>
      <c r="J2" s="31" t="s">
        <v>82</v>
      </c>
    </row>
    <row r="3" spans="1:13">
      <c r="A3" s="35" t="s">
        <v>37</v>
      </c>
      <c r="B3" s="35" t="s">
        <v>38</v>
      </c>
      <c r="C3" s="35" t="s">
        <v>39</v>
      </c>
      <c r="D3" s="35" t="s">
        <v>40</v>
      </c>
      <c r="E3" s="35" t="s">
        <v>32</v>
      </c>
      <c r="F3" s="11" t="s">
        <v>21</v>
      </c>
      <c r="G3" s="11" t="s">
        <v>16</v>
      </c>
      <c r="H3" s="37" t="s">
        <v>42</v>
      </c>
      <c r="I3" s="11" t="s">
        <v>43</v>
      </c>
      <c r="J3" s="11" t="s">
        <v>52</v>
      </c>
      <c r="K3" s="11" t="s">
        <v>91</v>
      </c>
    </row>
    <row r="4" spans="1:13">
      <c r="A4" s="12">
        <v>43921</v>
      </c>
      <c r="B4" s="10" t="e" vm="1">
        <v>#VALUE!</v>
      </c>
      <c r="C4" s="10" t="s">
        <v>41</v>
      </c>
      <c r="D4" s="10">
        <v>7</v>
      </c>
      <c r="E4" s="33">
        <v>119.99</v>
      </c>
      <c r="F4" s="10" cm="1" vm="5">
        <f t="array" aca="1" ref="F4" ca="1">IFERROR(_xlfn.STOCKHISTORY(T_TXN[[#This Row],[TICKER]],T_TXN[[#This Row],[TXN DATE]],T_TXN[[#This Row],[TXN DATE]],0,0,4),"")</f>
        <v>119.2619</v>
      </c>
      <c r="G4" s="10" cm="1" vm="6">
        <f t="array" aca="1" ref="G4" ca="1">IFERROR(_xlfn.STOCKHISTORY(T_TXN[[#This Row],[TICKER]],T_TXN[[#This Row],[TXN DATE]],T_TXN[[#This Row],[TXN DATE]],0,0,3),"")</f>
        <v>124.85</v>
      </c>
      <c r="H4" s="32" t="str">
        <f ca="1">IFERROR(
IF(OR(T_TXN[[#This Row],[TYPE]]="Cash Deposit",T_TXN[[#This Row],[TYPE]]="Cash Withdrawal",T_TXN[[#This Row],[TYPE]]="Fees",T_TXN[[#This Row],[TYPE]]="Dividend Payout"),IF(T_TXN[[#This Row],[PRICE]]="","Invalid","Valid"),
IF(T_TXN[[#This Row],[TICKER]]="","Invalid",IF(AND(T_TXN[[#This Row],[PRICE]]&gt;=T_TXN[[#This Row],[Low]],T_TXN[[#This Row],[PRICE]]&lt;=T_TXN[[#This Row],[High]]),"Valid","Invalid"))),"Not Available")</f>
        <v>Valid</v>
      </c>
      <c r="I4" s="33">
        <f>IF(OR(T_TXN[[#This Row],[TYPE]]="Cash Deposit",T_TXN[[#This Row],[TYPE]]="Cash Withdrawal",T_TXN[[#This Row],[TYPE]]="Fees",T_TXN[[#This Row],[TYPE]]="Dividend Payout"),T_TXN[[#This Row],[PRICE]],T_TXN[[#This Row],[PRICE]]*T_TXN[[#This Row],[UNITS]])</f>
        <v>839.93</v>
      </c>
      <c r="J4" s="15">
        <f ca="1">ROUND(
IF(ROW(T_TXN[[#This Row],[TXN DATE]])-ROW(T_TXN[[#Headers],[TXN DATE]])=1,I_ST_CASH,OFFSET(T_TXN[[#This Row],[Cash Balance]],-1,0))
+(IF(T_TXN[[#This Row],[TYPE]]="Buy",-1,IF(T_TXN[[#This Row],[TYPE]]="Sell",1,0))*T_TXN[[#This Row],[AMOUNT]])
+(IF(T_TXN[[#This Row],[TYPE]]="Cash Deposit",1,IF(T_TXN[[#This Row],[TYPE]]="Cash Withdrawal",-1,0))*T_TXN[[#This Row],[AMOUNT]])
+(IF(T_TXN[[#This Row],[TYPE]]="Dividend Payout",1,IF(T_TXN[[#This Row],[TYPE]]="Fees",-1,0))*T_TXN[[#This Row],[AMOUNT]]),2)</f>
        <v>9160.07</v>
      </c>
      <c r="K4" s="45">
        <f>'Max average portfolio return'!M3/TRANSACTIONS!$B$26</f>
        <v>0.50924234827090797</v>
      </c>
    </row>
    <row r="5" spans="1:13">
      <c r="A5" s="12">
        <v>43923</v>
      </c>
      <c r="B5" s="14" t="e" vm="2">
        <v>#VALUE!</v>
      </c>
      <c r="C5" s="14" t="s">
        <v>41</v>
      </c>
      <c r="D5" s="14">
        <v>10</v>
      </c>
      <c r="E5" s="34">
        <v>4.5</v>
      </c>
      <c r="F5" s="10" cm="1" vm="7">
        <f t="array" aca="1" ref="F5" ca="1">IFERROR(_xlfn.STOCKHISTORY(T_TXN[[#This Row],[TICKER]],T_TXN[[#This Row],[TXN DATE]],T_TXN[[#This Row],[TXN DATE]],0,0,4),"")</f>
        <v>4.25</v>
      </c>
      <c r="G5" s="14" cm="1" vm="8">
        <f t="array" aca="1" ref="G5" ca="1">IFERROR(_xlfn.STOCKHISTORY(T_TXN[[#This Row],[TICKER]],T_TXN[[#This Row],[TXN DATE]],T_TXN[[#This Row],[TXN DATE]],0,0,3),"")</f>
        <v>4.57</v>
      </c>
      <c r="H5" s="32" t="str">
        <f ca="1">IFERROR(
IF(OR(T_TXN[[#This Row],[TYPE]]="Cash Deposit",T_TXN[[#This Row],[TYPE]]="Cash Withdrawal",T_TXN[[#This Row],[TYPE]]="Fees",T_TXN[[#This Row],[TYPE]]="Dividend Payout"),IF(T_TXN[[#This Row],[PRICE]]="","Invalid","Valid"),
IF(T_TXN[[#This Row],[TICKER]]="","Invalid",IF(AND(T_TXN[[#This Row],[PRICE]]&gt;=T_TXN[[#This Row],[Low]],T_TXN[[#This Row],[PRICE]]&lt;=T_TXN[[#This Row],[High]]),"Valid","Invalid"))),"Not Available")</f>
        <v>Valid</v>
      </c>
      <c r="I5" s="34">
        <f>IF(OR(T_TXN[[#This Row],[TYPE]]="Cash Deposit",T_TXN[[#This Row],[TYPE]]="Cash Withdrawal",T_TXN[[#This Row],[TYPE]]="Fees",T_TXN[[#This Row],[TYPE]]="Dividend Payout"),T_TXN[[#This Row],[PRICE]],T_TXN[[#This Row],[PRICE]]*T_TXN[[#This Row],[UNITS]])</f>
        <v>45</v>
      </c>
      <c r="J5" s="15">
        <f ca="1">ROUND(
IF(ROW(T_TXN[[#This Row],[TXN DATE]])-ROW(T_TXN[[#Headers],[TXN DATE]])=1,I_ST_CASH,OFFSET(T_TXN[[#This Row],[Cash Balance]],-1,0))
+(IF(T_TXN[[#This Row],[TYPE]]="Buy",-1,IF(T_TXN[[#This Row],[TYPE]]="Sell",1,0))*T_TXN[[#This Row],[AMOUNT]])
+(IF(T_TXN[[#This Row],[TYPE]]="Cash Deposit",1,IF(T_TXN[[#This Row],[TYPE]]="Cash Withdrawal",-1,0))*T_TXN[[#This Row],[AMOUNT]])
+(IF(T_TXN[[#This Row],[TYPE]]="Dividend Payout",1,IF(T_TXN[[#This Row],[TYPE]]="Fees",-1,0))*T_TXN[[#This Row],[AMOUNT]]),2)</f>
        <v>9115.07</v>
      </c>
      <c r="K5" s="45">
        <f>'Max average portfolio return'!M4/TRANSACTIONS!$B$26</f>
        <v>2.9071504469841233E-2</v>
      </c>
    </row>
    <row r="6" spans="1:13">
      <c r="A6" s="12">
        <v>43943</v>
      </c>
      <c r="B6" s="10" t="e" vm="3">
        <v>#VALUE!</v>
      </c>
      <c r="C6" s="10" t="s">
        <v>41</v>
      </c>
      <c r="D6" s="10">
        <v>12</v>
      </c>
      <c r="E6" s="33">
        <v>21.98</v>
      </c>
      <c r="F6" s="10" cm="1" vm="9">
        <f t="array" aca="1" ref="F6" ca="1">IFERROR(_xlfn.STOCKHISTORY(T_TXN[[#This Row],[TICKER]],T_TXN[[#This Row],[TXN DATE]],T_TXN[[#This Row],[TXN DATE]],0,0,4),"")</f>
        <v>21.71</v>
      </c>
      <c r="G6" s="10" cm="1" vm="10">
        <f t="array" aca="1" ref="G6" ca="1">IFERROR(_xlfn.STOCKHISTORY(T_TXN[[#This Row],[TICKER]],T_TXN[[#This Row],[TXN DATE]],T_TXN[[#This Row],[TXN DATE]],0,0,3),"")</f>
        <v>22.024999999999999</v>
      </c>
      <c r="H6" s="32" t="str">
        <f ca="1">IFERROR(
IF(OR(T_TXN[[#This Row],[TYPE]]="Cash Deposit",T_TXN[[#This Row],[TYPE]]="Cash Withdrawal",T_TXN[[#This Row],[TYPE]]="Fees",T_TXN[[#This Row],[TYPE]]="Dividend Payout"),IF(T_TXN[[#This Row],[PRICE]]="","Invalid","Valid"),
IF(T_TXN[[#This Row],[TICKER]]="","Invalid",IF(AND(T_TXN[[#This Row],[PRICE]]&gt;=T_TXN[[#This Row],[Low]],T_TXN[[#This Row],[PRICE]]&lt;=T_TXN[[#This Row],[High]]),"Valid","Invalid"))),"Not Available")</f>
        <v>Valid</v>
      </c>
      <c r="I6" s="33">
        <f>IF(OR(T_TXN[[#This Row],[TYPE]]="Cash Deposit",T_TXN[[#This Row],[TYPE]]="Cash Withdrawal",T_TXN[[#This Row],[TYPE]]="Fees",T_TXN[[#This Row],[TYPE]]="Dividend Payout"),T_TXN[[#This Row],[PRICE]],T_TXN[[#This Row],[PRICE]]*T_TXN[[#This Row],[UNITS]])</f>
        <v>263.76</v>
      </c>
      <c r="J6" s="15">
        <f ca="1">ROUND(
IF(ROW(T_TXN[[#This Row],[TXN DATE]])-ROW(T_TXN[[#Headers],[TXN DATE]])=1,I_ST_CASH,OFFSET(T_TXN[[#This Row],[Cash Balance]],-1,0))
+(IF(T_TXN[[#This Row],[TYPE]]="Buy",-1,IF(T_TXN[[#This Row],[TYPE]]="Sell",1,0))*T_TXN[[#This Row],[AMOUNT]])
+(IF(T_TXN[[#This Row],[TYPE]]="Cash Deposit",1,IF(T_TXN[[#This Row],[TYPE]]="Cash Withdrawal",-1,0))*T_TXN[[#This Row],[AMOUNT]])
+(IF(T_TXN[[#This Row],[TYPE]]="Dividend Payout",1,IF(T_TXN[[#This Row],[TYPE]]="Fees",-1,0))*T_TXN[[#This Row],[AMOUNT]]),2)</f>
        <v>8851.31</v>
      </c>
      <c r="K6" s="45">
        <f>'Max average portfolio return'!M5/TRANSACTIONS!$B$26</f>
        <v>8.6887166710399491E-2</v>
      </c>
    </row>
    <row r="7" spans="1:13">
      <c r="A7" s="12">
        <v>43945</v>
      </c>
      <c r="B7" s="10" t="e" vm="4">
        <v>#VALUE!</v>
      </c>
      <c r="C7" s="10" t="s">
        <v>41</v>
      </c>
      <c r="D7" s="10">
        <v>5</v>
      </c>
      <c r="E7" s="33">
        <v>47</v>
      </c>
      <c r="F7" s="10" cm="1" vm="11">
        <f t="array" aca="1" ref="F7" ca="1">IFERROR(_xlfn.STOCKHISTORY(T_TXN[[#This Row],[TICKER]],T_TXN[[#This Row],[TXN DATE]],T_TXN[[#This Row],[TXN DATE]],0,0,4),"")</f>
        <v>46.544899999999998</v>
      </c>
      <c r="G7" s="10" cm="1" vm="12">
        <f t="array" aca="1" ref="G7" ca="1">IFERROR(_xlfn.STOCKHISTORY(T_TXN[[#This Row],[TICKER]],T_TXN[[#This Row],[TXN DATE]],T_TXN[[#This Row],[TXN DATE]],0,0,3),"")</f>
        <v>48.714799999999997</v>
      </c>
      <c r="H7" s="32" t="str">
        <f ca="1">IFERROR(
IF(OR(T_TXN[[#This Row],[TYPE]]="Cash Deposit",T_TXN[[#This Row],[TYPE]]="Cash Withdrawal",T_TXN[[#This Row],[TYPE]]="Fees",T_TXN[[#This Row],[TYPE]]="Dividend Payout"),IF(T_TXN[[#This Row],[PRICE]]="","Invalid","Valid"),
IF(T_TXN[[#This Row],[TICKER]]="","Invalid",IF(AND(T_TXN[[#This Row],[PRICE]]&gt;=T_TXN[[#This Row],[Low]],T_TXN[[#This Row],[PRICE]]&lt;=T_TXN[[#This Row],[High]]),"Valid","Invalid"))),"Not Available")</f>
        <v>Valid</v>
      </c>
      <c r="I7" s="33">
        <f>IF(OR(T_TXN[[#This Row],[TYPE]]="Cash Deposit",T_TXN[[#This Row],[TYPE]]="Cash Withdrawal",T_TXN[[#This Row],[TYPE]]="Fees",T_TXN[[#This Row],[TYPE]]="Dividend Payout"),T_TXN[[#This Row],[PRICE]],T_TXN[[#This Row],[PRICE]]*T_TXN[[#This Row],[UNITS]])</f>
        <v>235</v>
      </c>
      <c r="J7" s="15">
        <f ca="1">ROUND(
IF(ROW(T_TXN[[#This Row],[TXN DATE]])-ROW(T_TXN[[#Headers],[TXN DATE]])=1,I_ST_CASH,OFFSET(T_TXN[[#This Row],[Cash Balance]],-1,0))
+(IF(T_TXN[[#This Row],[TYPE]]="Buy",-1,IF(T_TXN[[#This Row],[TYPE]]="Sell",1,0))*T_TXN[[#This Row],[AMOUNT]])
+(IF(T_TXN[[#This Row],[TYPE]]="Cash Deposit",1,IF(T_TXN[[#This Row],[TYPE]]="Cash Withdrawal",-1,0))*T_TXN[[#This Row],[AMOUNT]])
+(IF(T_TXN[[#This Row],[TYPE]]="Dividend Payout",1,IF(T_TXN[[#This Row],[TYPE]]="Fees",-1,0))*T_TXN[[#This Row],[AMOUNT]]),2)</f>
        <v>8616.31</v>
      </c>
      <c r="K7" s="45">
        <f>'Max average portfolio return'!M6/TRANSACTIONS!$B$26</f>
        <v>0.37479898054885125</v>
      </c>
    </row>
    <row r="10" spans="1:13">
      <c r="I10" s="44">
        <f>E4*D4</f>
        <v>839.93</v>
      </c>
    </row>
    <row r="24" spans="1:2" ht="16" thickBot="1"/>
    <row r="25" spans="1:2" ht="16" thickBot="1">
      <c r="A25" s="48" t="s">
        <v>89</v>
      </c>
      <c r="B25" s="49"/>
    </row>
    <row r="26" spans="1:2">
      <c r="A26" s="46" t="s">
        <v>90</v>
      </c>
      <c r="B26" s="47">
        <f>SUM('Max average portfolio return'!M3:M17)</f>
        <v>3849.13</v>
      </c>
    </row>
  </sheetData>
  <phoneticPr fontId="2" type="noConversion"/>
  <conditionalFormatting sqref="A4:J7">
    <cfRule type="expression" dxfId="1" priority="1">
      <formula>$C4="Sell"</formula>
    </cfRule>
    <cfRule type="expression" dxfId="0" priority="2">
      <formula>$C4="Buy"</formula>
    </cfRule>
  </conditionalFormatting>
  <dataValidations count="1">
    <dataValidation type="list" allowBlank="1" showInputMessage="1" showErrorMessage="1" sqref="C4:C7" xr:uid="{14214937-EDD5-4D98-B816-09127D24122C}">
      <formula1>"Buy, Sell, Cash Deposit, Cash Withdrawal, Fees, Dividend Payout, Dividend Reinvestment"</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BAD4-DD47-F843-A5CC-19A11B3DC05B}">
  <dimension ref="A1"/>
  <sheetViews>
    <sheetView workbookViewId="0"/>
  </sheetViews>
  <sheetFormatPr baseColWidth="10" defaultColWidth="11.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1D6F4-5BA1-4654-A2CD-3D7CC5AC8129}">
  <dimension ref="A2:AL42"/>
  <sheetViews>
    <sheetView workbookViewId="0">
      <selection activeCell="B3" sqref="B3:Z3"/>
    </sheetView>
  </sheetViews>
  <sheetFormatPr baseColWidth="10" defaultColWidth="8.83203125" defaultRowHeight="15"/>
  <cols>
    <col min="1" max="1" width="28.33203125" customWidth="1"/>
    <col min="2" max="2" width="24.6640625" customWidth="1"/>
    <col min="6" max="25" width="17.6640625" customWidth="1"/>
    <col min="26" max="26" width="17.6640625" style="123" customWidth="1"/>
    <col min="27" max="38" width="17.6640625" customWidth="1"/>
  </cols>
  <sheetData>
    <row r="2" spans="1:38">
      <c r="F2" t="s">
        <v>118</v>
      </c>
      <c r="L2" t="s">
        <v>119</v>
      </c>
      <c r="P2" t="s">
        <v>120</v>
      </c>
      <c r="U2" t="s">
        <v>121</v>
      </c>
    </row>
    <row r="3" spans="1:38" s="122" customFormat="1" ht="55.75" customHeight="1">
      <c r="A3" s="122" t="s">
        <v>158</v>
      </c>
      <c r="B3" t="s">
        <v>80</v>
      </c>
      <c r="C3" s="122" t="s">
        <v>122</v>
      </c>
      <c r="D3" s="122" t="s">
        <v>123</v>
      </c>
      <c r="E3" s="122" t="s">
        <v>124</v>
      </c>
      <c r="F3" s="122" t="s">
        <v>125</v>
      </c>
      <c r="G3" s="122" t="s">
        <v>126</v>
      </c>
      <c r="H3" s="122" t="s">
        <v>127</v>
      </c>
      <c r="I3" s="122" t="s">
        <v>128</v>
      </c>
      <c r="J3" s="122" t="s">
        <v>129</v>
      </c>
      <c r="K3" s="122" t="s">
        <v>130</v>
      </c>
      <c r="L3" s="122" t="s">
        <v>131</v>
      </c>
      <c r="M3" s="122" t="s">
        <v>132</v>
      </c>
      <c r="N3" s="122" t="s">
        <v>133</v>
      </c>
      <c r="O3" s="122" t="s">
        <v>134</v>
      </c>
      <c r="P3" s="122" t="s">
        <v>135</v>
      </c>
      <c r="Q3" s="122" t="s">
        <v>136</v>
      </c>
      <c r="R3" s="122" t="s">
        <v>137</v>
      </c>
      <c r="S3" s="122" t="s">
        <v>138</v>
      </c>
      <c r="T3" s="122" t="s">
        <v>139</v>
      </c>
      <c r="U3" s="122" t="s">
        <v>140</v>
      </c>
      <c r="V3" s="122" t="s">
        <v>141</v>
      </c>
      <c r="W3" s="122" t="s">
        <v>142</v>
      </c>
      <c r="X3" s="122" t="s">
        <v>143</v>
      </c>
      <c r="Y3" s="122" t="s">
        <v>144</v>
      </c>
      <c r="Z3" s="124" t="s">
        <v>145</v>
      </c>
      <c r="AA3" s="122" t="s">
        <v>146</v>
      </c>
      <c r="AB3" s="122" t="s">
        <v>147</v>
      </c>
      <c r="AC3" s="122" t="s">
        <v>148</v>
      </c>
      <c r="AD3" s="122" t="s">
        <v>149</v>
      </c>
      <c r="AE3" s="122" t="s">
        <v>150</v>
      </c>
      <c r="AF3" s="122" t="s">
        <v>151</v>
      </c>
      <c r="AG3" s="122" t="s">
        <v>152</v>
      </c>
      <c r="AH3" s="122" t="s">
        <v>153</v>
      </c>
      <c r="AI3" s="122" t="s">
        <v>154</v>
      </c>
      <c r="AJ3" s="122" t="s">
        <v>155</v>
      </c>
      <c r="AK3" s="122" t="s">
        <v>156</v>
      </c>
      <c r="AL3" s="122" t="s">
        <v>157</v>
      </c>
    </row>
    <row r="4" spans="1:38" s="120" customFormat="1" ht="55.75" customHeight="1">
      <c r="B4"/>
      <c r="F4" s="120" t="s">
        <v>159</v>
      </c>
      <c r="I4" s="120" t="s">
        <v>160</v>
      </c>
      <c r="J4" s="120" t="s">
        <v>161</v>
      </c>
      <c r="L4" s="120" t="s">
        <v>162</v>
      </c>
      <c r="M4" s="120" t="s">
        <v>163</v>
      </c>
      <c r="N4" s="120" t="s">
        <v>164</v>
      </c>
      <c r="P4" s="120" t="s">
        <v>165</v>
      </c>
      <c r="R4" s="120" t="s">
        <v>166</v>
      </c>
      <c r="Z4" s="125"/>
    </row>
    <row r="5" spans="1:38">
      <c r="A5" t="s">
        <v>167</v>
      </c>
      <c r="B5" t="s">
        <v>168</v>
      </c>
      <c r="C5" t="s">
        <v>169</v>
      </c>
      <c r="D5" t="s">
        <v>170</v>
      </c>
      <c r="E5" t="s">
        <v>171</v>
      </c>
      <c r="F5">
        <v>100</v>
      </c>
      <c r="G5">
        <v>14.2</v>
      </c>
      <c r="H5">
        <v>35.00434783</v>
      </c>
      <c r="I5">
        <v>72</v>
      </c>
      <c r="J5">
        <v>95</v>
      </c>
      <c r="K5">
        <v>202.00434780000001</v>
      </c>
      <c r="L5">
        <v>95</v>
      </c>
      <c r="M5">
        <v>20</v>
      </c>
      <c r="N5">
        <v>100</v>
      </c>
      <c r="O5">
        <v>215</v>
      </c>
      <c r="P5">
        <v>78</v>
      </c>
      <c r="Q5">
        <v>100</v>
      </c>
      <c r="R5">
        <v>81</v>
      </c>
      <c r="S5">
        <v>100</v>
      </c>
      <c r="T5">
        <v>359</v>
      </c>
      <c r="U5">
        <v>3</v>
      </c>
      <c r="V5">
        <v>2</v>
      </c>
      <c r="W5">
        <v>2</v>
      </c>
      <c r="X5">
        <v>7</v>
      </c>
      <c r="Y5">
        <v>4.17</v>
      </c>
      <c r="Z5" s="123">
        <v>83.5</v>
      </c>
      <c r="AA5" s="121">
        <v>0.36859999999999998</v>
      </c>
      <c r="AB5" s="121">
        <v>0.1983</v>
      </c>
      <c r="AC5" s="121">
        <v>0.17269999999999999</v>
      </c>
      <c r="AD5" s="121">
        <v>0.26950000000000002</v>
      </c>
      <c r="AE5" s="121">
        <v>0.68899999999999995</v>
      </c>
      <c r="AF5" s="121">
        <v>0.4425</v>
      </c>
      <c r="AG5" s="121">
        <v>0.26219999999999999</v>
      </c>
      <c r="AH5" s="121">
        <v>0.25019999999999998</v>
      </c>
      <c r="AI5" s="121">
        <v>2.875</v>
      </c>
      <c r="AJ5" s="121">
        <v>0.12139999999999999</v>
      </c>
      <c r="AK5" s="121">
        <v>0.1051</v>
      </c>
      <c r="AL5" s="121">
        <v>0.15260000000000001</v>
      </c>
    </row>
    <row r="6" spans="1:38">
      <c r="A6" t="s">
        <v>172</v>
      </c>
      <c r="B6" t="s">
        <v>173</v>
      </c>
      <c r="C6" t="s">
        <v>169</v>
      </c>
      <c r="D6" t="s">
        <v>174</v>
      </c>
      <c r="F6">
        <v>100</v>
      </c>
      <c r="G6">
        <v>15</v>
      </c>
      <c r="H6">
        <v>38.44782609</v>
      </c>
      <c r="I6">
        <v>82</v>
      </c>
      <c r="J6">
        <v>79</v>
      </c>
      <c r="K6">
        <v>199.44782609999999</v>
      </c>
      <c r="L6">
        <v>56</v>
      </c>
      <c r="M6">
        <v>46</v>
      </c>
      <c r="N6">
        <v>100</v>
      </c>
      <c r="O6">
        <v>202</v>
      </c>
      <c r="P6">
        <v>91</v>
      </c>
      <c r="Q6">
        <v>100</v>
      </c>
      <c r="R6">
        <v>95</v>
      </c>
      <c r="S6">
        <v>100</v>
      </c>
      <c r="T6">
        <v>386</v>
      </c>
      <c r="U6">
        <v>3</v>
      </c>
      <c r="V6">
        <v>2</v>
      </c>
      <c r="W6">
        <v>2</v>
      </c>
      <c r="X6">
        <v>7</v>
      </c>
      <c r="Y6">
        <v>4.17</v>
      </c>
      <c r="Z6" s="123">
        <v>83.5</v>
      </c>
      <c r="AA6" s="121">
        <v>0.20169999999999999</v>
      </c>
      <c r="AB6" s="121">
        <v>0.1983</v>
      </c>
      <c r="AC6" s="121">
        <v>0.17269999999999999</v>
      </c>
      <c r="AD6" s="121">
        <v>0.26950000000000002</v>
      </c>
      <c r="AE6" s="121">
        <v>0.20169999999999999</v>
      </c>
      <c r="AF6" s="121">
        <v>0.4425</v>
      </c>
      <c r="AG6" s="121">
        <v>0.26219999999999999</v>
      </c>
      <c r="AH6" s="121">
        <v>0.25019999999999998</v>
      </c>
      <c r="AI6" s="121">
        <v>1.9430000000000001</v>
      </c>
      <c r="AJ6" s="121">
        <v>0.12139999999999999</v>
      </c>
      <c r="AK6" s="121">
        <v>0.1051</v>
      </c>
      <c r="AL6" s="121">
        <v>0.15260000000000001</v>
      </c>
    </row>
    <row r="7" spans="1:38">
      <c r="A7" t="s">
        <v>175</v>
      </c>
      <c r="B7" t="s">
        <v>176</v>
      </c>
      <c r="C7" t="s">
        <v>177</v>
      </c>
      <c r="D7" t="s">
        <v>178</v>
      </c>
      <c r="F7">
        <v>100</v>
      </c>
      <c r="G7">
        <v>18.3</v>
      </c>
      <c r="H7">
        <v>52.652173910000002</v>
      </c>
      <c r="I7">
        <v>97</v>
      </c>
      <c r="J7">
        <v>100</v>
      </c>
      <c r="K7">
        <v>249.65217390000001</v>
      </c>
      <c r="L7">
        <v>94</v>
      </c>
      <c r="M7">
        <v>78</v>
      </c>
      <c r="N7">
        <v>100</v>
      </c>
      <c r="O7">
        <v>272</v>
      </c>
      <c r="P7">
        <v>93</v>
      </c>
      <c r="Q7">
        <v>100</v>
      </c>
      <c r="R7">
        <v>100</v>
      </c>
      <c r="S7">
        <v>100</v>
      </c>
      <c r="T7">
        <v>393</v>
      </c>
      <c r="U7">
        <v>1</v>
      </c>
      <c r="V7">
        <v>2</v>
      </c>
      <c r="W7">
        <v>2</v>
      </c>
      <c r="X7">
        <v>5</v>
      </c>
      <c r="Y7">
        <v>1.67</v>
      </c>
      <c r="Z7" s="123">
        <v>34</v>
      </c>
      <c r="AA7" s="121">
        <v>0.18429999999999999</v>
      </c>
      <c r="AB7" s="121">
        <v>0.1983</v>
      </c>
      <c r="AC7" s="121">
        <v>0.17269999999999999</v>
      </c>
      <c r="AD7" s="121">
        <v>0.26950000000000002</v>
      </c>
      <c r="AE7" s="121">
        <v>0.18429999999999999</v>
      </c>
      <c r="AF7" s="121">
        <v>0.4425</v>
      </c>
      <c r="AG7" s="121">
        <v>0.26219999999999999</v>
      </c>
      <c r="AH7" s="121">
        <v>0.25019999999999998</v>
      </c>
      <c r="AI7" s="121">
        <v>1.732</v>
      </c>
      <c r="AJ7" s="121">
        <v>0.12139999999999999</v>
      </c>
      <c r="AK7" s="121">
        <v>0.1051</v>
      </c>
      <c r="AL7" s="121">
        <v>0.15260000000000001</v>
      </c>
    </row>
    <row r="8" spans="1:38">
      <c r="A8" t="s">
        <v>179</v>
      </c>
      <c r="B8" t="s">
        <v>180</v>
      </c>
      <c r="C8" t="s">
        <v>181</v>
      </c>
      <c r="D8" t="s">
        <v>182</v>
      </c>
      <c r="F8">
        <v>50</v>
      </c>
      <c r="G8">
        <v>16.3</v>
      </c>
      <c r="H8">
        <v>44.043478260000001</v>
      </c>
      <c r="I8">
        <v>76</v>
      </c>
      <c r="J8">
        <v>70</v>
      </c>
      <c r="K8">
        <v>190.0434783</v>
      </c>
      <c r="L8">
        <v>95</v>
      </c>
      <c r="M8">
        <v>-2</v>
      </c>
      <c r="N8" t="s">
        <v>183</v>
      </c>
      <c r="O8">
        <v>93</v>
      </c>
      <c r="P8">
        <v>60</v>
      </c>
      <c r="Q8">
        <v>60</v>
      </c>
      <c r="R8">
        <v>41</v>
      </c>
      <c r="S8">
        <v>50</v>
      </c>
      <c r="T8">
        <v>211</v>
      </c>
      <c r="U8">
        <v>1</v>
      </c>
      <c r="V8">
        <v>2</v>
      </c>
      <c r="W8">
        <v>2</v>
      </c>
      <c r="X8">
        <v>5</v>
      </c>
      <c r="Y8">
        <v>1.67</v>
      </c>
      <c r="Z8" s="123">
        <v>34</v>
      </c>
      <c r="AA8" s="121">
        <v>0.51470000000000005</v>
      </c>
      <c r="AB8" s="121">
        <v>0.1983</v>
      </c>
      <c r="AC8" s="121">
        <v>0.17269999999999999</v>
      </c>
      <c r="AD8" s="121">
        <v>0.26950000000000002</v>
      </c>
      <c r="AE8" s="121">
        <v>0.51470000000000005</v>
      </c>
      <c r="AF8" s="121">
        <v>0.4425</v>
      </c>
      <c r="AG8" s="121">
        <v>0.26219999999999999</v>
      </c>
      <c r="AH8" s="121">
        <v>0.25019999999999998</v>
      </c>
      <c r="AI8" s="121">
        <v>2.3210000000000002</v>
      </c>
      <c r="AJ8" s="121">
        <v>0.12139999999999999</v>
      </c>
      <c r="AK8" s="121">
        <v>0.1051</v>
      </c>
      <c r="AL8" s="121">
        <v>0.15260000000000001</v>
      </c>
    </row>
    <row r="9" spans="1:38">
      <c r="A9" t="s">
        <v>184</v>
      </c>
      <c r="B9" t="s">
        <v>185</v>
      </c>
      <c r="C9" t="s">
        <v>169</v>
      </c>
      <c r="D9" t="s">
        <v>174</v>
      </c>
      <c r="F9">
        <v>100</v>
      </c>
      <c r="G9">
        <v>18.899999999999999</v>
      </c>
      <c r="H9">
        <v>55.234782610000003</v>
      </c>
      <c r="I9">
        <v>68</v>
      </c>
      <c r="J9">
        <v>70</v>
      </c>
      <c r="K9">
        <v>193.23478259999999</v>
      </c>
      <c r="L9">
        <v>89</v>
      </c>
      <c r="M9">
        <v>-8</v>
      </c>
      <c r="N9">
        <v>100</v>
      </c>
      <c r="O9">
        <v>181</v>
      </c>
      <c r="P9">
        <v>47</v>
      </c>
      <c r="Q9">
        <v>20</v>
      </c>
      <c r="R9">
        <v>37</v>
      </c>
      <c r="S9">
        <v>40</v>
      </c>
      <c r="T9">
        <v>144</v>
      </c>
      <c r="U9">
        <v>3</v>
      </c>
      <c r="V9">
        <v>2</v>
      </c>
      <c r="W9">
        <v>2</v>
      </c>
      <c r="X9">
        <v>7</v>
      </c>
      <c r="Y9">
        <v>4.17</v>
      </c>
      <c r="Z9" s="123">
        <v>83.5</v>
      </c>
      <c r="AA9" s="121">
        <v>0.45229999999999998</v>
      </c>
      <c r="AB9" s="121">
        <v>0.1983</v>
      </c>
      <c r="AC9" s="121">
        <v>0.17269999999999999</v>
      </c>
      <c r="AD9" s="121">
        <v>0.26950000000000002</v>
      </c>
      <c r="AE9" s="121">
        <v>0.45229999999999998</v>
      </c>
      <c r="AF9" s="121">
        <v>0.4425</v>
      </c>
      <c r="AG9" s="121">
        <v>0.26219999999999999</v>
      </c>
      <c r="AH9" s="121">
        <v>0.25019999999999998</v>
      </c>
      <c r="AI9" s="121">
        <v>2.1469999999999998</v>
      </c>
      <c r="AJ9" s="121">
        <v>0.12139999999999999</v>
      </c>
      <c r="AK9" s="121">
        <v>0.1051</v>
      </c>
      <c r="AL9" s="121">
        <v>0.15260000000000001</v>
      </c>
    </row>
    <row r="10" spans="1:38">
      <c r="A10" t="s">
        <v>186</v>
      </c>
      <c r="B10" t="s">
        <v>187</v>
      </c>
      <c r="C10" t="s">
        <v>181</v>
      </c>
      <c r="D10" t="s">
        <v>188</v>
      </c>
      <c r="F10">
        <v>75</v>
      </c>
      <c r="G10">
        <v>29.3</v>
      </c>
      <c r="H10">
        <v>100</v>
      </c>
      <c r="I10">
        <v>85</v>
      </c>
      <c r="J10">
        <v>77</v>
      </c>
      <c r="K10">
        <v>262</v>
      </c>
      <c r="L10">
        <v>93</v>
      </c>
      <c r="M10">
        <v>-42</v>
      </c>
      <c r="N10">
        <v>100</v>
      </c>
      <c r="O10">
        <v>151</v>
      </c>
      <c r="P10">
        <v>57</v>
      </c>
      <c r="Q10">
        <v>80</v>
      </c>
      <c r="R10">
        <v>26</v>
      </c>
      <c r="S10">
        <v>40</v>
      </c>
      <c r="T10">
        <v>203</v>
      </c>
      <c r="U10">
        <v>3</v>
      </c>
      <c r="V10">
        <v>2</v>
      </c>
      <c r="W10">
        <v>2</v>
      </c>
      <c r="X10">
        <v>7</v>
      </c>
      <c r="Y10">
        <v>1.67</v>
      </c>
      <c r="Z10" s="123">
        <v>34</v>
      </c>
      <c r="AA10" s="121">
        <v>0.27339999999999998</v>
      </c>
      <c r="AB10" s="121">
        <v>0.1983</v>
      </c>
      <c r="AC10" s="121">
        <v>0.17269999999999999</v>
      </c>
      <c r="AD10" s="121">
        <v>0.26950000000000002</v>
      </c>
      <c r="AE10" s="121">
        <v>0.43319999999999997</v>
      </c>
      <c r="AF10" s="121">
        <v>0.4425</v>
      </c>
      <c r="AG10" s="121">
        <v>0.26219999999999999</v>
      </c>
      <c r="AH10" s="121">
        <v>0.25019999999999998</v>
      </c>
      <c r="AI10" s="121">
        <v>1.1040000000000001</v>
      </c>
      <c r="AJ10" s="121">
        <v>0.12139999999999999</v>
      </c>
      <c r="AK10" s="121">
        <v>0.1051</v>
      </c>
      <c r="AL10" s="121">
        <v>0.15260000000000001</v>
      </c>
    </row>
    <row r="11" spans="1:38">
      <c r="A11" t="s">
        <v>189</v>
      </c>
      <c r="B11" t="s">
        <v>190</v>
      </c>
      <c r="C11" t="s">
        <v>191</v>
      </c>
      <c r="D11" t="s">
        <v>192</v>
      </c>
      <c r="F11">
        <v>75</v>
      </c>
      <c r="G11">
        <v>24.8</v>
      </c>
      <c r="H11">
        <v>80.630434780000002</v>
      </c>
      <c r="I11">
        <v>82</v>
      </c>
      <c r="J11">
        <v>86</v>
      </c>
      <c r="K11">
        <v>248.63043479999999</v>
      </c>
      <c r="L11">
        <v>85</v>
      </c>
      <c r="M11">
        <v>-5</v>
      </c>
      <c r="N11">
        <v>100</v>
      </c>
      <c r="O11">
        <v>180</v>
      </c>
      <c r="P11">
        <v>83</v>
      </c>
      <c r="Q11">
        <v>100</v>
      </c>
      <c r="R11">
        <v>84</v>
      </c>
      <c r="S11">
        <v>100</v>
      </c>
      <c r="T11">
        <v>367</v>
      </c>
      <c r="U11">
        <v>3</v>
      </c>
      <c r="V11">
        <v>2</v>
      </c>
      <c r="W11">
        <v>2</v>
      </c>
      <c r="X11">
        <v>7</v>
      </c>
      <c r="Y11">
        <v>3.33</v>
      </c>
      <c r="Z11" s="123">
        <v>67</v>
      </c>
      <c r="AA11" s="121">
        <v>0.17649999999999999</v>
      </c>
      <c r="AB11" s="121">
        <v>0.1983</v>
      </c>
      <c r="AC11" s="121">
        <v>0.17269999999999999</v>
      </c>
      <c r="AD11" s="121">
        <v>0.26950000000000002</v>
      </c>
      <c r="AE11" s="121">
        <v>0.17649999999999999</v>
      </c>
      <c r="AF11" s="121">
        <v>0.4425</v>
      </c>
      <c r="AG11" s="121">
        <v>0.26219999999999999</v>
      </c>
      <c r="AH11" s="121">
        <v>0.25019999999999998</v>
      </c>
      <c r="AI11" s="121">
        <v>1.478</v>
      </c>
      <c r="AJ11" s="121">
        <v>0.12139999999999999</v>
      </c>
      <c r="AK11" s="121">
        <v>0.1051</v>
      </c>
      <c r="AL11" s="121">
        <v>0.15260000000000001</v>
      </c>
    </row>
    <row r="12" spans="1:38">
      <c r="A12" t="s">
        <v>193</v>
      </c>
      <c r="B12" t="s">
        <v>194</v>
      </c>
      <c r="C12" t="s">
        <v>195</v>
      </c>
      <c r="D12" t="s">
        <v>196</v>
      </c>
      <c r="F12">
        <v>100</v>
      </c>
      <c r="G12">
        <v>15</v>
      </c>
      <c r="H12">
        <v>38.44782609</v>
      </c>
      <c r="I12">
        <v>97</v>
      </c>
      <c r="J12">
        <v>86</v>
      </c>
      <c r="K12">
        <v>221.44782609999999</v>
      </c>
      <c r="L12">
        <v>78</v>
      </c>
      <c r="M12">
        <v>45</v>
      </c>
      <c r="N12">
        <v>100</v>
      </c>
      <c r="O12">
        <v>223</v>
      </c>
      <c r="P12">
        <v>89</v>
      </c>
      <c r="Q12">
        <v>100</v>
      </c>
      <c r="R12">
        <v>88</v>
      </c>
      <c r="S12">
        <v>100</v>
      </c>
      <c r="T12">
        <v>377</v>
      </c>
      <c r="U12">
        <v>1</v>
      </c>
      <c r="V12">
        <v>1</v>
      </c>
      <c r="W12">
        <v>2</v>
      </c>
      <c r="X12">
        <v>4</v>
      </c>
      <c r="Y12">
        <v>0.83</v>
      </c>
      <c r="Z12" s="123">
        <v>17.5</v>
      </c>
      <c r="AA12" s="121">
        <v>0.1429</v>
      </c>
      <c r="AB12" s="121">
        <v>0.1983</v>
      </c>
      <c r="AC12" s="121">
        <v>0.17269999999999999</v>
      </c>
      <c r="AD12" s="121">
        <v>0.26950000000000002</v>
      </c>
      <c r="AE12" s="121">
        <v>0.1429</v>
      </c>
      <c r="AF12" s="121">
        <v>0.4425</v>
      </c>
      <c r="AG12" s="121">
        <v>0.26219999999999999</v>
      </c>
      <c r="AH12" s="121">
        <v>0.25019999999999998</v>
      </c>
      <c r="AI12" s="121">
        <v>1.246</v>
      </c>
      <c r="AJ12" s="121">
        <v>0.12139999999999999</v>
      </c>
      <c r="AK12" s="121">
        <v>0.1051</v>
      </c>
      <c r="AL12" s="121">
        <v>0.15260000000000001</v>
      </c>
    </row>
    <row r="13" spans="1:38">
      <c r="A13" t="s">
        <v>197</v>
      </c>
      <c r="B13" t="s">
        <v>198</v>
      </c>
      <c r="C13" t="s">
        <v>169</v>
      </c>
      <c r="D13" t="s">
        <v>199</v>
      </c>
      <c r="F13">
        <v>100</v>
      </c>
      <c r="G13">
        <v>16.8</v>
      </c>
      <c r="H13">
        <v>46.195652170000002</v>
      </c>
      <c r="I13">
        <v>61</v>
      </c>
      <c r="J13">
        <v>86</v>
      </c>
      <c r="K13">
        <v>193.19565220000001</v>
      </c>
      <c r="L13">
        <v>89</v>
      </c>
      <c r="M13">
        <v>26</v>
      </c>
      <c r="N13">
        <v>100</v>
      </c>
      <c r="O13">
        <v>215</v>
      </c>
      <c r="P13">
        <v>82</v>
      </c>
      <c r="Q13">
        <v>100</v>
      </c>
      <c r="R13">
        <v>52</v>
      </c>
      <c r="S13">
        <v>80</v>
      </c>
      <c r="T13">
        <v>314</v>
      </c>
      <c r="U13">
        <v>3</v>
      </c>
      <c r="V13">
        <v>2</v>
      </c>
      <c r="W13">
        <v>2</v>
      </c>
      <c r="X13">
        <v>7</v>
      </c>
      <c r="Y13">
        <v>4.17</v>
      </c>
      <c r="Z13" s="123">
        <v>83.5</v>
      </c>
      <c r="AA13" s="121">
        <v>0.27539999999999998</v>
      </c>
      <c r="AB13" s="121">
        <v>0.1983</v>
      </c>
      <c r="AC13" s="121">
        <v>0.17269999999999999</v>
      </c>
      <c r="AD13" s="121">
        <v>0.26950000000000002</v>
      </c>
      <c r="AE13" s="121">
        <v>0.27539999999999998</v>
      </c>
      <c r="AF13" s="121">
        <v>0.4425</v>
      </c>
      <c r="AG13" s="121">
        <v>0.26219999999999999</v>
      </c>
      <c r="AH13" s="121">
        <v>0.25019999999999998</v>
      </c>
      <c r="AI13" s="121">
        <v>2.6120000000000001</v>
      </c>
      <c r="AJ13" s="121">
        <v>0.12139999999999999</v>
      </c>
      <c r="AK13" s="121">
        <v>0.1051</v>
      </c>
      <c r="AL13" s="121">
        <v>0.15260000000000001</v>
      </c>
    </row>
    <row r="14" spans="1:38">
      <c r="A14" t="s">
        <v>200</v>
      </c>
      <c r="B14" t="s">
        <v>201</v>
      </c>
      <c r="C14" t="s">
        <v>169</v>
      </c>
      <c r="D14" t="s">
        <v>174</v>
      </c>
      <c r="F14">
        <v>100</v>
      </c>
      <c r="G14">
        <v>13.2</v>
      </c>
      <c r="H14">
        <v>30.7</v>
      </c>
      <c r="I14">
        <v>65</v>
      </c>
      <c r="J14">
        <v>92</v>
      </c>
      <c r="K14">
        <v>187.7</v>
      </c>
      <c r="L14">
        <v>56</v>
      </c>
      <c r="M14">
        <v>15</v>
      </c>
      <c r="N14">
        <v>100</v>
      </c>
      <c r="O14">
        <v>171</v>
      </c>
      <c r="P14">
        <v>79</v>
      </c>
      <c r="Q14">
        <v>80</v>
      </c>
      <c r="R14">
        <v>96</v>
      </c>
      <c r="S14">
        <v>100</v>
      </c>
      <c r="T14">
        <v>355</v>
      </c>
      <c r="U14">
        <v>3</v>
      </c>
      <c r="V14">
        <v>2</v>
      </c>
      <c r="W14">
        <v>2</v>
      </c>
      <c r="X14">
        <v>7</v>
      </c>
      <c r="Y14">
        <v>4.17</v>
      </c>
      <c r="Z14" s="123">
        <v>83.5</v>
      </c>
      <c r="AA14" s="121">
        <v>1.9754</v>
      </c>
      <c r="AB14" s="121">
        <v>0.1983</v>
      </c>
      <c r="AC14" s="121">
        <v>0.17269999999999999</v>
      </c>
      <c r="AD14" s="121">
        <v>0.26950000000000002</v>
      </c>
      <c r="AE14" s="121">
        <v>1.9754</v>
      </c>
      <c r="AF14" s="121">
        <v>0.4425</v>
      </c>
      <c r="AG14" s="121">
        <v>0.26219999999999999</v>
      </c>
      <c r="AH14" s="121">
        <v>0.25019999999999998</v>
      </c>
      <c r="AI14" s="121">
        <v>5.9530000000000003</v>
      </c>
      <c r="AJ14" s="121">
        <v>0.12139999999999999</v>
      </c>
      <c r="AK14" s="121">
        <v>0.1051</v>
      </c>
      <c r="AL14" s="121">
        <v>0.15260000000000001</v>
      </c>
    </row>
    <row r="15" spans="1:38">
      <c r="A15" t="s">
        <v>202</v>
      </c>
      <c r="B15" t="s">
        <v>203</v>
      </c>
      <c r="C15" t="s">
        <v>204</v>
      </c>
      <c r="D15" t="s">
        <v>205</v>
      </c>
      <c r="F15">
        <v>100</v>
      </c>
      <c r="G15">
        <v>21.3</v>
      </c>
      <c r="H15">
        <v>65.565217390000001</v>
      </c>
      <c r="I15">
        <v>99</v>
      </c>
      <c r="J15">
        <v>86</v>
      </c>
      <c r="K15">
        <v>250.56521739999999</v>
      </c>
      <c r="L15">
        <v>95</v>
      </c>
      <c r="M15">
        <v>72</v>
      </c>
      <c r="N15">
        <v>75</v>
      </c>
      <c r="O15">
        <v>242</v>
      </c>
      <c r="P15" t="s">
        <v>183</v>
      </c>
      <c r="Q15" t="s">
        <v>183</v>
      </c>
      <c r="R15" t="s">
        <v>183</v>
      </c>
      <c r="S15" t="s">
        <v>183</v>
      </c>
      <c r="T15" t="s">
        <v>206</v>
      </c>
      <c r="U15">
        <v>1</v>
      </c>
      <c r="V15">
        <v>1</v>
      </c>
      <c r="W15">
        <v>2</v>
      </c>
      <c r="X15">
        <v>4</v>
      </c>
      <c r="Y15">
        <v>0.83</v>
      </c>
      <c r="Z15" s="123">
        <v>17.5</v>
      </c>
      <c r="AA15" s="121">
        <v>3.7199999999999997E-2</v>
      </c>
      <c r="AB15" s="121">
        <v>0.1983</v>
      </c>
      <c r="AC15" s="121">
        <v>0.17269999999999999</v>
      </c>
      <c r="AD15" s="121">
        <v>0.26950000000000002</v>
      </c>
      <c r="AE15" s="121">
        <v>3.7199999999999997E-2</v>
      </c>
      <c r="AF15" s="121">
        <v>0.4425</v>
      </c>
      <c r="AG15" s="121">
        <v>0.26219999999999999</v>
      </c>
      <c r="AH15" s="121">
        <v>0.25019999999999998</v>
      </c>
      <c r="AI15" s="121">
        <v>0.51700000000000002</v>
      </c>
      <c r="AJ15" s="121">
        <v>0.12139999999999999</v>
      </c>
      <c r="AK15" s="121">
        <v>0.1051</v>
      </c>
      <c r="AL15" s="121">
        <v>0.15260000000000001</v>
      </c>
    </row>
    <row r="16" spans="1:38">
      <c r="A16" t="s">
        <v>207</v>
      </c>
      <c r="B16" t="s">
        <v>208</v>
      </c>
      <c r="C16" t="s">
        <v>181</v>
      </c>
      <c r="D16" t="s">
        <v>209</v>
      </c>
      <c r="F16">
        <v>100</v>
      </c>
      <c r="G16">
        <v>14.2</v>
      </c>
      <c r="H16">
        <v>35.00434783</v>
      </c>
      <c r="I16">
        <v>87</v>
      </c>
      <c r="J16">
        <v>89</v>
      </c>
      <c r="K16">
        <v>211.00434780000001</v>
      </c>
      <c r="L16">
        <v>79</v>
      </c>
      <c r="M16">
        <v>12</v>
      </c>
      <c r="N16">
        <v>100</v>
      </c>
      <c r="O16">
        <v>191</v>
      </c>
      <c r="P16">
        <v>60</v>
      </c>
      <c r="Q16">
        <v>40</v>
      </c>
      <c r="R16">
        <v>41</v>
      </c>
      <c r="S16">
        <v>40</v>
      </c>
      <c r="T16">
        <v>181</v>
      </c>
      <c r="U16">
        <v>3</v>
      </c>
      <c r="V16">
        <v>1</v>
      </c>
      <c r="W16">
        <v>2</v>
      </c>
      <c r="X16">
        <v>6</v>
      </c>
      <c r="Y16">
        <v>1.67</v>
      </c>
      <c r="Z16" s="123">
        <v>34</v>
      </c>
      <c r="AA16" s="121">
        <v>0.30580000000000002</v>
      </c>
      <c r="AB16" s="121">
        <v>0.1983</v>
      </c>
      <c r="AC16" s="121">
        <v>0.17269999999999999</v>
      </c>
      <c r="AD16" s="121">
        <v>0.26950000000000002</v>
      </c>
      <c r="AE16" s="121">
        <v>0.30580000000000002</v>
      </c>
      <c r="AF16" s="121">
        <v>0.4425</v>
      </c>
      <c r="AG16" s="121">
        <v>0.26219999999999999</v>
      </c>
      <c r="AH16" s="121">
        <v>0.25019999999999998</v>
      </c>
      <c r="AI16" s="121">
        <v>2.9540000000000002</v>
      </c>
      <c r="AJ16" s="121">
        <v>0.12139999999999999</v>
      </c>
      <c r="AK16" s="121">
        <v>0.1051</v>
      </c>
      <c r="AL16" s="121">
        <v>0.15260000000000001</v>
      </c>
    </row>
    <row r="17" spans="1:38">
      <c r="A17" t="s">
        <v>210</v>
      </c>
      <c r="B17" t="s">
        <v>211</v>
      </c>
      <c r="C17" t="s">
        <v>212</v>
      </c>
      <c r="D17" t="s">
        <v>213</v>
      </c>
      <c r="F17">
        <v>100</v>
      </c>
      <c r="G17">
        <v>22.5</v>
      </c>
      <c r="H17">
        <v>70.730434779999996</v>
      </c>
      <c r="I17">
        <v>65</v>
      </c>
      <c r="J17">
        <v>86</v>
      </c>
      <c r="K17">
        <v>221.73043480000001</v>
      </c>
      <c r="L17">
        <v>23</v>
      </c>
      <c r="M17">
        <v>-31</v>
      </c>
      <c r="N17">
        <v>100</v>
      </c>
      <c r="O17">
        <v>92</v>
      </c>
      <c r="P17">
        <v>68</v>
      </c>
      <c r="Q17">
        <v>80</v>
      </c>
      <c r="R17">
        <v>30</v>
      </c>
      <c r="S17">
        <v>60</v>
      </c>
      <c r="T17">
        <v>238</v>
      </c>
      <c r="U17">
        <v>3</v>
      </c>
      <c r="V17">
        <v>1</v>
      </c>
      <c r="W17">
        <v>1</v>
      </c>
      <c r="X17">
        <v>5</v>
      </c>
      <c r="Y17">
        <v>1.67</v>
      </c>
      <c r="Z17" s="123">
        <v>34</v>
      </c>
      <c r="AA17" s="121">
        <v>0.28910000000000002</v>
      </c>
      <c r="AB17" s="121">
        <v>0.1983</v>
      </c>
      <c r="AC17" s="121">
        <v>0.17269999999999999</v>
      </c>
      <c r="AD17" s="121">
        <v>0.26950000000000002</v>
      </c>
      <c r="AE17" s="121">
        <v>0.28910000000000002</v>
      </c>
      <c r="AF17" s="121">
        <v>0.4425</v>
      </c>
      <c r="AG17" s="121">
        <v>0.26219999999999999</v>
      </c>
      <c r="AH17" s="121">
        <v>0.25019999999999998</v>
      </c>
      <c r="AI17" s="121">
        <v>1.806</v>
      </c>
      <c r="AJ17" s="121">
        <v>0.12139999999999999</v>
      </c>
      <c r="AK17" s="121">
        <v>0.1051</v>
      </c>
      <c r="AL17" s="121">
        <v>0.15260000000000001</v>
      </c>
    </row>
    <row r="18" spans="1:38">
      <c r="A18" t="s">
        <v>214</v>
      </c>
      <c r="B18" t="s">
        <v>215</v>
      </c>
      <c r="C18" t="s">
        <v>177</v>
      </c>
      <c r="D18" t="s">
        <v>216</v>
      </c>
      <c r="F18">
        <v>100</v>
      </c>
      <c r="G18">
        <v>22.7</v>
      </c>
      <c r="H18">
        <v>71.591304350000001</v>
      </c>
      <c r="I18">
        <v>97</v>
      </c>
      <c r="J18">
        <v>93</v>
      </c>
      <c r="K18">
        <v>261.59130429999999</v>
      </c>
      <c r="L18">
        <v>83</v>
      </c>
      <c r="M18">
        <v>17</v>
      </c>
      <c r="N18">
        <v>100</v>
      </c>
      <c r="O18">
        <v>200</v>
      </c>
      <c r="P18">
        <v>58</v>
      </c>
      <c r="Q18">
        <v>40</v>
      </c>
      <c r="R18">
        <v>36</v>
      </c>
      <c r="S18">
        <v>40</v>
      </c>
      <c r="T18">
        <v>174</v>
      </c>
      <c r="U18">
        <v>3</v>
      </c>
      <c r="V18">
        <v>2</v>
      </c>
      <c r="W18">
        <v>2</v>
      </c>
      <c r="X18">
        <v>7</v>
      </c>
      <c r="Y18">
        <v>1.67</v>
      </c>
      <c r="Z18" s="123">
        <v>34</v>
      </c>
      <c r="AA18" s="121">
        <v>0.16750000000000001</v>
      </c>
      <c r="AB18" s="121">
        <v>0.1983</v>
      </c>
      <c r="AC18" s="121">
        <v>0.17269999999999999</v>
      </c>
      <c r="AD18" s="121">
        <v>0.26950000000000002</v>
      </c>
      <c r="AE18" s="121">
        <v>0.16750000000000001</v>
      </c>
      <c r="AF18" s="121">
        <v>0.4425</v>
      </c>
      <c r="AG18" s="121">
        <v>0.26219999999999999</v>
      </c>
      <c r="AH18" s="121">
        <v>0.25019999999999998</v>
      </c>
      <c r="AI18" s="121">
        <v>0.874</v>
      </c>
      <c r="AJ18" s="121">
        <v>0.12139999999999999</v>
      </c>
      <c r="AK18" s="121">
        <v>0.1051</v>
      </c>
      <c r="AL18" s="121">
        <v>0.15260000000000001</v>
      </c>
    </row>
    <row r="19" spans="1:38">
      <c r="A19" t="s">
        <v>217</v>
      </c>
      <c r="B19" t="s">
        <v>218</v>
      </c>
      <c r="C19" t="s">
        <v>195</v>
      </c>
      <c r="D19" t="s">
        <v>219</v>
      </c>
      <c r="F19">
        <v>75</v>
      </c>
      <c r="G19">
        <v>24.6</v>
      </c>
      <c r="H19">
        <v>79.769565220000004</v>
      </c>
      <c r="I19">
        <v>78</v>
      </c>
      <c r="J19">
        <v>70</v>
      </c>
      <c r="K19">
        <v>227.76956519999999</v>
      </c>
      <c r="L19">
        <v>76</v>
      </c>
      <c r="M19">
        <v>32</v>
      </c>
      <c r="N19">
        <v>100</v>
      </c>
      <c r="O19">
        <v>208</v>
      </c>
      <c r="P19">
        <v>61</v>
      </c>
      <c r="Q19">
        <v>80</v>
      </c>
      <c r="R19">
        <v>47</v>
      </c>
      <c r="S19">
        <v>60</v>
      </c>
      <c r="T19">
        <v>248</v>
      </c>
      <c r="U19">
        <v>1</v>
      </c>
      <c r="V19">
        <v>1</v>
      </c>
      <c r="W19">
        <v>2</v>
      </c>
      <c r="X19">
        <v>4</v>
      </c>
      <c r="Y19">
        <v>0.83</v>
      </c>
      <c r="Z19" s="123">
        <v>17.5</v>
      </c>
      <c r="AA19" s="121">
        <v>0.23119999999999999</v>
      </c>
      <c r="AB19" s="121">
        <v>0.1983</v>
      </c>
      <c r="AC19" s="121">
        <v>0.17269999999999999</v>
      </c>
      <c r="AD19" s="121">
        <v>0.26950000000000002</v>
      </c>
      <c r="AE19" s="121">
        <v>0.10340000000000001</v>
      </c>
      <c r="AF19" s="121">
        <v>0.4425</v>
      </c>
      <c r="AG19" s="121">
        <v>0.26219999999999999</v>
      </c>
      <c r="AH19" s="121">
        <v>0.25019999999999998</v>
      </c>
      <c r="AI19" s="121">
        <v>2.758</v>
      </c>
      <c r="AJ19" s="121">
        <v>0.12139999999999999</v>
      </c>
      <c r="AK19" s="121">
        <v>0.1051</v>
      </c>
      <c r="AL19" s="121">
        <v>0.15260000000000001</v>
      </c>
    </row>
    <row r="20" spans="1:38">
      <c r="A20" t="s">
        <v>220</v>
      </c>
      <c r="B20" t="s">
        <v>221</v>
      </c>
      <c r="C20" t="s">
        <v>177</v>
      </c>
      <c r="D20" t="s">
        <v>222</v>
      </c>
      <c r="F20">
        <v>75</v>
      </c>
      <c r="G20">
        <v>18.5</v>
      </c>
      <c r="H20">
        <v>53.51304348</v>
      </c>
      <c r="I20">
        <v>94</v>
      </c>
      <c r="J20">
        <v>51</v>
      </c>
      <c r="K20">
        <v>198.51304350000001</v>
      </c>
      <c r="L20">
        <v>95</v>
      </c>
      <c r="M20">
        <v>-36</v>
      </c>
      <c r="N20" t="s">
        <v>183</v>
      </c>
      <c r="O20">
        <v>59</v>
      </c>
      <c r="P20">
        <v>67</v>
      </c>
      <c r="Q20">
        <v>80</v>
      </c>
      <c r="R20">
        <v>67</v>
      </c>
      <c r="S20">
        <v>80</v>
      </c>
      <c r="T20">
        <v>294</v>
      </c>
      <c r="U20">
        <v>1</v>
      </c>
      <c r="V20">
        <v>2</v>
      </c>
      <c r="W20">
        <v>2</v>
      </c>
      <c r="X20">
        <v>5</v>
      </c>
      <c r="Y20">
        <v>1.67</v>
      </c>
      <c r="Z20" s="123">
        <v>34</v>
      </c>
      <c r="AA20" s="121">
        <v>0.15890000000000001</v>
      </c>
      <c r="AB20" s="121">
        <v>0.1983</v>
      </c>
      <c r="AC20" s="121">
        <v>0.17269999999999999</v>
      </c>
      <c r="AD20" s="121">
        <v>0.26950000000000002</v>
      </c>
      <c r="AE20" s="121">
        <v>0.15890000000000001</v>
      </c>
      <c r="AF20" s="121">
        <v>0.4425</v>
      </c>
      <c r="AG20" s="121">
        <v>0.26219999999999999</v>
      </c>
      <c r="AH20" s="121">
        <v>0.25019999999999998</v>
      </c>
      <c r="AI20" s="121">
        <v>0.78900000000000003</v>
      </c>
      <c r="AJ20" s="121">
        <v>0.12139999999999999</v>
      </c>
      <c r="AK20" s="121">
        <v>0.1051</v>
      </c>
      <c r="AL20" s="121">
        <v>0.15260000000000001</v>
      </c>
    </row>
    <row r="21" spans="1:38">
      <c r="A21" t="s">
        <v>223</v>
      </c>
      <c r="B21" t="s">
        <v>224</v>
      </c>
      <c r="C21" t="s">
        <v>195</v>
      </c>
      <c r="D21" t="s">
        <v>196</v>
      </c>
      <c r="F21">
        <v>100</v>
      </c>
      <c r="G21">
        <v>15.6</v>
      </c>
      <c r="H21">
        <v>41.03043478</v>
      </c>
      <c r="I21">
        <v>99</v>
      </c>
      <c r="J21">
        <v>95</v>
      </c>
      <c r="K21">
        <v>235.03043479999999</v>
      </c>
      <c r="L21">
        <v>66</v>
      </c>
      <c r="M21">
        <v>45</v>
      </c>
      <c r="N21">
        <v>100</v>
      </c>
      <c r="O21">
        <v>211</v>
      </c>
      <c r="P21">
        <v>91</v>
      </c>
      <c r="Q21">
        <v>100</v>
      </c>
      <c r="R21">
        <v>92</v>
      </c>
      <c r="S21">
        <v>100</v>
      </c>
      <c r="T21">
        <v>383</v>
      </c>
      <c r="U21">
        <v>3</v>
      </c>
      <c r="V21">
        <v>2</v>
      </c>
      <c r="W21">
        <v>2</v>
      </c>
      <c r="X21">
        <v>7</v>
      </c>
      <c r="Y21">
        <v>0.83</v>
      </c>
      <c r="Z21" s="123">
        <v>17.5</v>
      </c>
      <c r="AA21" s="121">
        <v>0.16470000000000001</v>
      </c>
      <c r="AB21" s="121">
        <v>0.1983</v>
      </c>
      <c r="AC21" s="121">
        <v>0.17269999999999999</v>
      </c>
      <c r="AD21" s="121">
        <v>0.26950000000000002</v>
      </c>
      <c r="AE21" s="121">
        <v>0.16470000000000001</v>
      </c>
      <c r="AF21" s="121">
        <v>0.4425</v>
      </c>
      <c r="AG21" s="121">
        <v>0.26219999999999999</v>
      </c>
      <c r="AH21" s="121">
        <v>0.25019999999999998</v>
      </c>
      <c r="AI21" s="121">
        <v>1.792</v>
      </c>
      <c r="AJ21" s="121">
        <v>0.12139999999999999</v>
      </c>
      <c r="AK21" s="121">
        <v>0.1051</v>
      </c>
      <c r="AL21" s="121">
        <v>0.15260000000000001</v>
      </c>
    </row>
    <row r="22" spans="1:38">
      <c r="A22" t="s">
        <v>225</v>
      </c>
      <c r="B22" t="s">
        <v>226</v>
      </c>
      <c r="C22" t="s">
        <v>195</v>
      </c>
      <c r="D22" t="s">
        <v>227</v>
      </c>
      <c r="F22">
        <v>100</v>
      </c>
      <c r="G22">
        <v>20.5</v>
      </c>
      <c r="H22">
        <v>62.121739130000002</v>
      </c>
      <c r="I22">
        <v>91</v>
      </c>
      <c r="J22">
        <v>86</v>
      </c>
      <c r="K22">
        <v>239.12173910000001</v>
      </c>
      <c r="L22">
        <v>65</v>
      </c>
      <c r="M22">
        <v>17</v>
      </c>
      <c r="N22">
        <v>100</v>
      </c>
      <c r="O22">
        <v>182</v>
      </c>
      <c r="P22">
        <v>53</v>
      </c>
      <c r="Q22">
        <v>60</v>
      </c>
      <c r="R22">
        <v>42</v>
      </c>
      <c r="S22">
        <v>60</v>
      </c>
      <c r="T22">
        <v>215</v>
      </c>
      <c r="U22">
        <v>1</v>
      </c>
      <c r="V22">
        <v>1</v>
      </c>
      <c r="W22">
        <v>2</v>
      </c>
      <c r="X22">
        <v>4</v>
      </c>
      <c r="Y22">
        <v>0.83</v>
      </c>
      <c r="Z22" s="123">
        <v>17.5</v>
      </c>
      <c r="AA22" s="121">
        <v>0.10340000000000001</v>
      </c>
      <c r="AB22" s="121">
        <v>0.1983</v>
      </c>
      <c r="AC22" s="121">
        <v>0.17269999999999999</v>
      </c>
      <c r="AD22" s="121">
        <v>0.26950000000000002</v>
      </c>
      <c r="AE22" s="121">
        <v>0.10340000000000001</v>
      </c>
      <c r="AF22" s="121">
        <v>0.4425</v>
      </c>
      <c r="AG22" s="121">
        <v>0.26219999999999999</v>
      </c>
      <c r="AH22" s="121">
        <v>0.25019999999999998</v>
      </c>
      <c r="AI22" s="121">
        <v>0.63400000000000001</v>
      </c>
      <c r="AJ22" s="121">
        <v>0.12139999999999999</v>
      </c>
      <c r="AK22" s="121">
        <v>0.1051</v>
      </c>
      <c r="AL22" s="121">
        <v>0.15260000000000001</v>
      </c>
    </row>
    <row r="23" spans="1:38">
      <c r="A23" t="s">
        <v>228</v>
      </c>
      <c r="B23" t="s">
        <v>229</v>
      </c>
      <c r="C23" t="s">
        <v>230</v>
      </c>
      <c r="D23" t="s">
        <v>231</v>
      </c>
      <c r="F23">
        <v>100</v>
      </c>
      <c r="G23">
        <v>10.6</v>
      </c>
      <c r="H23">
        <v>19.50869565</v>
      </c>
      <c r="I23">
        <v>98</v>
      </c>
      <c r="J23">
        <v>94</v>
      </c>
      <c r="K23">
        <v>211.5086957</v>
      </c>
      <c r="L23">
        <v>63</v>
      </c>
      <c r="M23">
        <v>13</v>
      </c>
      <c r="N23">
        <v>100</v>
      </c>
      <c r="O23">
        <v>176</v>
      </c>
      <c r="P23">
        <v>91</v>
      </c>
      <c r="Q23">
        <v>100</v>
      </c>
      <c r="R23">
        <v>93</v>
      </c>
      <c r="S23">
        <v>100</v>
      </c>
      <c r="T23">
        <v>384</v>
      </c>
      <c r="U23">
        <v>2</v>
      </c>
      <c r="V23">
        <v>1</v>
      </c>
      <c r="W23">
        <v>2</v>
      </c>
      <c r="X23">
        <v>5</v>
      </c>
      <c r="Y23">
        <v>1.67</v>
      </c>
      <c r="Z23" s="123">
        <v>34</v>
      </c>
      <c r="AA23" s="121">
        <v>0.1356</v>
      </c>
      <c r="AB23" s="121">
        <v>0.1983</v>
      </c>
      <c r="AC23" s="121">
        <v>0.17269999999999999</v>
      </c>
      <c r="AD23" s="121">
        <v>0.26950000000000002</v>
      </c>
      <c r="AE23" s="121">
        <v>0.1356</v>
      </c>
      <c r="AF23" s="121">
        <v>0.4425</v>
      </c>
      <c r="AG23" s="121">
        <v>0.26219999999999999</v>
      </c>
      <c r="AH23" s="121">
        <v>0.25019999999999998</v>
      </c>
      <c r="AI23" s="121">
        <v>1.5529999999999999</v>
      </c>
      <c r="AJ23" s="121">
        <v>0.12139999999999999</v>
      </c>
      <c r="AK23" s="121">
        <v>0.1051</v>
      </c>
      <c r="AL23" s="121">
        <v>0.15260000000000001</v>
      </c>
    </row>
    <row r="24" spans="1:38">
      <c r="A24" t="s">
        <v>232</v>
      </c>
      <c r="B24" t="s">
        <v>233</v>
      </c>
      <c r="C24" t="s">
        <v>230</v>
      </c>
      <c r="D24" t="s">
        <v>231</v>
      </c>
      <c r="F24">
        <v>100</v>
      </c>
      <c r="G24">
        <v>12.6</v>
      </c>
      <c r="H24">
        <v>28.117391300000001</v>
      </c>
      <c r="I24">
        <v>71</v>
      </c>
      <c r="J24">
        <v>91</v>
      </c>
      <c r="K24">
        <v>190.11739130000001</v>
      </c>
      <c r="L24">
        <v>54</v>
      </c>
      <c r="M24">
        <v>5</v>
      </c>
      <c r="N24">
        <v>100</v>
      </c>
      <c r="O24">
        <v>159</v>
      </c>
      <c r="P24">
        <v>76</v>
      </c>
      <c r="Q24">
        <v>80</v>
      </c>
      <c r="R24">
        <v>65</v>
      </c>
      <c r="S24">
        <v>80</v>
      </c>
      <c r="T24">
        <v>301</v>
      </c>
      <c r="U24">
        <v>2</v>
      </c>
      <c r="V24">
        <v>1</v>
      </c>
      <c r="W24">
        <v>2</v>
      </c>
      <c r="X24">
        <v>5</v>
      </c>
      <c r="Y24">
        <v>1.67</v>
      </c>
      <c r="Z24" s="123">
        <v>34</v>
      </c>
      <c r="AA24" s="121">
        <v>9.8699999999999996E-2</v>
      </c>
      <c r="AB24" s="121">
        <v>0.1983</v>
      </c>
      <c r="AC24" s="121">
        <v>0.17269999999999999</v>
      </c>
      <c r="AD24" s="121">
        <v>0.26950000000000002</v>
      </c>
      <c r="AE24" s="121">
        <v>9.8699999999999996E-2</v>
      </c>
      <c r="AF24" s="121">
        <v>0.4425</v>
      </c>
      <c r="AG24" s="121">
        <v>0.26219999999999999</v>
      </c>
      <c r="AH24" s="121">
        <v>0.25019999999999998</v>
      </c>
      <c r="AI24" s="121">
        <v>0.82899999999999996</v>
      </c>
      <c r="AJ24" s="121">
        <v>0.12139999999999999</v>
      </c>
      <c r="AK24" s="121">
        <v>0.1051</v>
      </c>
      <c r="AL24" s="121">
        <v>0.15260000000000001</v>
      </c>
    </row>
    <row r="25" spans="1:38">
      <c r="A25" t="s">
        <v>234</v>
      </c>
      <c r="B25" t="s">
        <v>235</v>
      </c>
      <c r="C25" t="s">
        <v>230</v>
      </c>
      <c r="D25" t="s">
        <v>236</v>
      </c>
      <c r="F25">
        <v>100</v>
      </c>
      <c r="G25">
        <v>6.3</v>
      </c>
      <c r="H25">
        <v>1</v>
      </c>
      <c r="I25">
        <v>96</v>
      </c>
      <c r="J25">
        <v>86</v>
      </c>
      <c r="K25">
        <v>183</v>
      </c>
      <c r="L25">
        <v>92</v>
      </c>
      <c r="M25">
        <v>41</v>
      </c>
      <c r="N25">
        <v>100</v>
      </c>
      <c r="O25">
        <v>233</v>
      </c>
      <c r="P25">
        <v>87</v>
      </c>
      <c r="Q25">
        <v>100</v>
      </c>
      <c r="R25">
        <v>93</v>
      </c>
      <c r="S25">
        <v>100</v>
      </c>
      <c r="T25">
        <v>380</v>
      </c>
      <c r="U25">
        <v>2</v>
      </c>
      <c r="V25">
        <v>1</v>
      </c>
      <c r="W25">
        <v>2</v>
      </c>
      <c r="X25">
        <v>5</v>
      </c>
      <c r="Y25">
        <v>1.67</v>
      </c>
      <c r="Z25" s="123">
        <v>34</v>
      </c>
      <c r="AA25" s="121">
        <v>0.1245</v>
      </c>
      <c r="AB25" s="121">
        <v>0.1983</v>
      </c>
      <c r="AC25" s="121">
        <v>0.17269999999999999</v>
      </c>
      <c r="AD25" s="121">
        <v>0.26950000000000002</v>
      </c>
      <c r="AE25" s="121">
        <v>0.1245</v>
      </c>
      <c r="AF25" s="121">
        <v>0.4425</v>
      </c>
      <c r="AG25" s="121">
        <v>0.26219999999999999</v>
      </c>
      <c r="AH25" s="121">
        <v>0.25019999999999998</v>
      </c>
      <c r="AI25" s="121">
        <v>1.123</v>
      </c>
      <c r="AJ25" s="121">
        <v>0.12139999999999999</v>
      </c>
      <c r="AK25" s="121">
        <v>0.1051</v>
      </c>
      <c r="AL25" s="121">
        <v>0.15260000000000001</v>
      </c>
    </row>
    <row r="26" spans="1:38">
      <c r="A26" t="s">
        <v>237</v>
      </c>
      <c r="B26" t="s">
        <v>238</v>
      </c>
      <c r="C26" t="s">
        <v>230</v>
      </c>
      <c r="D26" t="s">
        <v>239</v>
      </c>
      <c r="F26">
        <v>100</v>
      </c>
      <c r="G26">
        <v>15.2</v>
      </c>
      <c r="H26">
        <v>39.308695649999997</v>
      </c>
      <c r="I26">
        <v>95</v>
      </c>
      <c r="J26">
        <v>98</v>
      </c>
      <c r="K26">
        <v>232.30869569999999</v>
      </c>
      <c r="L26">
        <v>86</v>
      </c>
      <c r="M26">
        <v>23</v>
      </c>
      <c r="N26">
        <v>100</v>
      </c>
      <c r="O26">
        <v>209</v>
      </c>
      <c r="P26">
        <v>92</v>
      </c>
      <c r="Q26">
        <v>100</v>
      </c>
      <c r="R26">
        <v>90</v>
      </c>
      <c r="S26">
        <v>100</v>
      </c>
      <c r="T26">
        <v>382</v>
      </c>
      <c r="U26">
        <v>2</v>
      </c>
      <c r="V26">
        <v>1</v>
      </c>
      <c r="W26">
        <v>2</v>
      </c>
      <c r="X26">
        <v>5</v>
      </c>
      <c r="Y26">
        <v>1.67</v>
      </c>
      <c r="Z26" s="123">
        <v>34</v>
      </c>
      <c r="AA26" s="121">
        <v>4.6699999999999998E-2</v>
      </c>
      <c r="AB26" s="121">
        <v>0.1983</v>
      </c>
      <c r="AC26" s="121">
        <v>0.17269999999999999</v>
      </c>
      <c r="AD26" s="121">
        <v>0.26950000000000002</v>
      </c>
      <c r="AE26" s="121">
        <v>4.6699999999999998E-2</v>
      </c>
      <c r="AF26" s="121">
        <v>0.4425</v>
      </c>
      <c r="AG26" s="121">
        <v>0.26219999999999999</v>
      </c>
      <c r="AH26" s="121">
        <v>0.25019999999999998</v>
      </c>
      <c r="AI26" s="121">
        <v>0.34699999999999998</v>
      </c>
      <c r="AJ26" s="121">
        <v>0.12139999999999999</v>
      </c>
      <c r="AK26" s="121">
        <v>0.1051</v>
      </c>
      <c r="AL26" s="121">
        <v>0.15260000000000001</v>
      </c>
    </row>
    <row r="27" spans="1:38">
      <c r="A27" t="s">
        <v>240</v>
      </c>
      <c r="B27" t="s">
        <v>241</v>
      </c>
      <c r="C27" t="s">
        <v>230</v>
      </c>
      <c r="D27" t="s">
        <v>239</v>
      </c>
      <c r="F27">
        <v>100</v>
      </c>
      <c r="G27">
        <v>13</v>
      </c>
      <c r="H27">
        <v>29.839130430000001</v>
      </c>
      <c r="I27">
        <v>80</v>
      </c>
      <c r="J27">
        <v>70</v>
      </c>
      <c r="K27">
        <v>179.83913039999999</v>
      </c>
      <c r="L27">
        <v>48</v>
      </c>
      <c r="M27">
        <v>50</v>
      </c>
      <c r="N27">
        <v>100</v>
      </c>
      <c r="O27">
        <v>198</v>
      </c>
      <c r="P27">
        <v>85</v>
      </c>
      <c r="Q27">
        <v>100</v>
      </c>
      <c r="R27">
        <v>77</v>
      </c>
      <c r="S27">
        <v>80</v>
      </c>
      <c r="T27">
        <v>342</v>
      </c>
      <c r="U27">
        <v>2</v>
      </c>
      <c r="V27">
        <v>1</v>
      </c>
      <c r="W27">
        <v>2</v>
      </c>
      <c r="X27">
        <v>5</v>
      </c>
      <c r="Y27">
        <v>1.67</v>
      </c>
      <c r="Z27" s="123">
        <v>34</v>
      </c>
      <c r="AA27" s="121">
        <v>8.3400000000000002E-2</v>
      </c>
      <c r="AB27" s="121">
        <v>0.1983</v>
      </c>
      <c r="AC27" s="121">
        <v>0.17269999999999999</v>
      </c>
      <c r="AD27" s="121">
        <v>0.26950000000000002</v>
      </c>
      <c r="AE27" s="121">
        <v>8.3400000000000002E-2</v>
      </c>
      <c r="AF27" s="121">
        <v>0.4425</v>
      </c>
      <c r="AG27" s="121">
        <v>0.26219999999999999</v>
      </c>
      <c r="AH27" s="121">
        <v>0.25019999999999998</v>
      </c>
      <c r="AI27" s="121">
        <v>0.92100000000000004</v>
      </c>
      <c r="AJ27" s="121">
        <v>0.12139999999999999</v>
      </c>
      <c r="AK27" s="121">
        <v>0.1051</v>
      </c>
      <c r="AL27" s="121">
        <v>0.15260000000000001</v>
      </c>
    </row>
    <row r="28" spans="1:38">
      <c r="A28" t="s">
        <v>242</v>
      </c>
      <c r="B28" t="s">
        <v>243</v>
      </c>
      <c r="C28" t="s">
        <v>169</v>
      </c>
      <c r="D28" t="s">
        <v>174</v>
      </c>
      <c r="F28">
        <v>100</v>
      </c>
      <c r="G28">
        <v>13.5</v>
      </c>
      <c r="H28">
        <v>31.99130435</v>
      </c>
      <c r="I28">
        <v>87</v>
      </c>
      <c r="J28">
        <v>64</v>
      </c>
      <c r="K28">
        <v>182.9913043</v>
      </c>
      <c r="L28">
        <v>89</v>
      </c>
      <c r="M28">
        <v>40</v>
      </c>
      <c r="N28">
        <v>100</v>
      </c>
      <c r="O28">
        <v>229</v>
      </c>
      <c r="P28">
        <v>96</v>
      </c>
      <c r="Q28">
        <v>100</v>
      </c>
      <c r="R28">
        <v>99</v>
      </c>
      <c r="S28">
        <v>100</v>
      </c>
      <c r="T28">
        <v>395</v>
      </c>
      <c r="U28">
        <v>3</v>
      </c>
      <c r="V28">
        <v>2</v>
      </c>
      <c r="W28">
        <v>2</v>
      </c>
      <c r="X28">
        <v>7</v>
      </c>
      <c r="Y28">
        <v>4.17</v>
      </c>
      <c r="Z28" s="123">
        <v>83.5</v>
      </c>
      <c r="AA28" s="121">
        <v>0.3412</v>
      </c>
      <c r="AB28" s="121">
        <v>0.1983</v>
      </c>
      <c r="AC28" s="121">
        <v>0.17269999999999999</v>
      </c>
      <c r="AD28" s="121">
        <v>0.26950000000000002</v>
      </c>
      <c r="AE28" s="121">
        <v>0.3412</v>
      </c>
      <c r="AF28" s="121">
        <v>0.4425</v>
      </c>
      <c r="AG28" s="121">
        <v>0.26219999999999999</v>
      </c>
      <c r="AH28" s="121">
        <v>0.25019999999999998</v>
      </c>
      <c r="AI28" s="121">
        <v>3.1019999999999999</v>
      </c>
      <c r="AJ28" s="121">
        <v>0.12139999999999999</v>
      </c>
      <c r="AK28" s="121">
        <v>0.1051</v>
      </c>
      <c r="AL28" s="121">
        <v>0.15260000000000001</v>
      </c>
    </row>
    <row r="29" spans="1:38">
      <c r="A29" t="s">
        <v>244</v>
      </c>
      <c r="B29" t="s">
        <v>245</v>
      </c>
      <c r="C29" t="s">
        <v>169</v>
      </c>
      <c r="F29">
        <v>100</v>
      </c>
      <c r="G29">
        <v>14.8</v>
      </c>
      <c r="H29">
        <v>37.586956520000001</v>
      </c>
      <c r="I29">
        <v>99</v>
      </c>
      <c r="J29">
        <v>16</v>
      </c>
      <c r="K29">
        <v>152.58695650000001</v>
      </c>
      <c r="L29">
        <v>89</v>
      </c>
      <c r="M29">
        <v>-14</v>
      </c>
      <c r="N29">
        <v>100</v>
      </c>
      <c r="O29">
        <v>175</v>
      </c>
      <c r="P29">
        <v>87</v>
      </c>
      <c r="Q29">
        <v>100</v>
      </c>
      <c r="R29">
        <v>62</v>
      </c>
      <c r="S29">
        <v>80</v>
      </c>
      <c r="T29">
        <v>329</v>
      </c>
      <c r="U29">
        <v>3</v>
      </c>
      <c r="V29">
        <v>2</v>
      </c>
      <c r="W29">
        <v>2</v>
      </c>
      <c r="X29">
        <v>7</v>
      </c>
      <c r="Y29">
        <v>4.17</v>
      </c>
      <c r="Z29" s="123">
        <v>83.5</v>
      </c>
      <c r="AA29" s="121">
        <v>0.15229999999999999</v>
      </c>
      <c r="AB29" s="121">
        <v>0.1983</v>
      </c>
      <c r="AC29" s="121">
        <v>0.17269999999999999</v>
      </c>
      <c r="AD29" s="121">
        <v>0.26950000000000002</v>
      </c>
      <c r="AE29" s="121">
        <v>0.15229999999999999</v>
      </c>
      <c r="AF29" s="121">
        <v>0.4425</v>
      </c>
      <c r="AG29" s="121">
        <v>0.26219999999999999</v>
      </c>
      <c r="AH29" s="121">
        <v>0.25019999999999998</v>
      </c>
      <c r="AI29" s="121">
        <v>0.91400000000000003</v>
      </c>
      <c r="AJ29" s="121">
        <v>0.12139999999999999</v>
      </c>
      <c r="AK29" s="121">
        <v>0.1051</v>
      </c>
      <c r="AL29" s="121">
        <v>0.15260000000000001</v>
      </c>
    </row>
    <row r="30" spans="1:38">
      <c r="A30" t="s">
        <v>246</v>
      </c>
      <c r="B30" t="s">
        <v>247</v>
      </c>
      <c r="C30" t="s">
        <v>191</v>
      </c>
      <c r="D30" t="s">
        <v>248</v>
      </c>
      <c r="F30">
        <v>100</v>
      </c>
      <c r="G30">
        <v>18.399999999999999</v>
      </c>
      <c r="H30">
        <v>53.082608700000002</v>
      </c>
      <c r="I30">
        <v>100</v>
      </c>
      <c r="J30">
        <v>85</v>
      </c>
      <c r="K30">
        <v>238.08260870000001</v>
      </c>
      <c r="L30">
        <v>47</v>
      </c>
      <c r="M30">
        <v>-28</v>
      </c>
      <c r="N30">
        <v>50</v>
      </c>
      <c r="O30">
        <v>69</v>
      </c>
      <c r="P30">
        <v>85</v>
      </c>
      <c r="Q30">
        <v>100</v>
      </c>
      <c r="R30">
        <v>96</v>
      </c>
      <c r="S30">
        <v>100</v>
      </c>
      <c r="T30">
        <v>381</v>
      </c>
      <c r="U30">
        <v>3</v>
      </c>
      <c r="V30">
        <v>2</v>
      </c>
      <c r="W30">
        <v>2</v>
      </c>
      <c r="X30">
        <v>7</v>
      </c>
      <c r="Y30">
        <v>3.33</v>
      </c>
      <c r="Z30" s="123">
        <v>67</v>
      </c>
      <c r="AA30" s="121">
        <v>9.6799999999999997E-2</v>
      </c>
      <c r="AB30" s="121">
        <v>0.1983</v>
      </c>
      <c r="AC30" s="121">
        <v>0.17269999999999999</v>
      </c>
      <c r="AD30" s="121">
        <v>0.26950000000000002</v>
      </c>
      <c r="AE30" s="121">
        <v>9.6799999999999997E-2</v>
      </c>
      <c r="AF30" s="121">
        <v>0.4425</v>
      </c>
      <c r="AG30" s="121">
        <v>0.26219999999999999</v>
      </c>
      <c r="AH30" s="121">
        <v>0.25019999999999998</v>
      </c>
      <c r="AI30" s="121">
        <v>0.57799999999999996</v>
      </c>
      <c r="AJ30" s="121">
        <v>0.12139999999999999</v>
      </c>
      <c r="AK30" s="121">
        <v>0.1051</v>
      </c>
      <c r="AL30" s="121">
        <v>0.15260000000000001</v>
      </c>
    </row>
    <row r="31" spans="1:38">
      <c r="A31" t="s">
        <v>249</v>
      </c>
      <c r="B31" t="s">
        <v>250</v>
      </c>
      <c r="C31" t="s">
        <v>181</v>
      </c>
      <c r="D31" t="s">
        <v>251</v>
      </c>
      <c r="F31">
        <v>100</v>
      </c>
      <c r="G31">
        <v>15.7</v>
      </c>
      <c r="H31">
        <v>41.46086957</v>
      </c>
      <c r="I31">
        <v>56</v>
      </c>
      <c r="J31">
        <v>30</v>
      </c>
      <c r="K31">
        <v>127.4608696</v>
      </c>
      <c r="L31">
        <v>75</v>
      </c>
      <c r="M31">
        <v>28</v>
      </c>
      <c r="N31">
        <v>100</v>
      </c>
      <c r="O31">
        <v>203</v>
      </c>
      <c r="P31">
        <v>86</v>
      </c>
      <c r="Q31">
        <v>100</v>
      </c>
      <c r="R31">
        <v>89</v>
      </c>
      <c r="S31">
        <v>100</v>
      </c>
      <c r="T31">
        <v>375</v>
      </c>
      <c r="U31">
        <v>3</v>
      </c>
      <c r="V31">
        <v>2</v>
      </c>
      <c r="W31">
        <v>2</v>
      </c>
      <c r="X31">
        <v>7</v>
      </c>
      <c r="Y31">
        <v>1.67</v>
      </c>
      <c r="Z31" s="123">
        <v>34</v>
      </c>
      <c r="AA31" s="121">
        <v>0.1134</v>
      </c>
      <c r="AB31" s="121">
        <v>0.1983</v>
      </c>
      <c r="AC31" s="121">
        <v>0.17269999999999999</v>
      </c>
      <c r="AD31" s="121">
        <v>0.26950000000000002</v>
      </c>
      <c r="AE31" s="121">
        <v>0.1134</v>
      </c>
      <c r="AF31" s="121">
        <v>0.4425</v>
      </c>
      <c r="AG31" s="121">
        <v>0.26219999999999999</v>
      </c>
      <c r="AH31" s="121">
        <v>0.25019999999999998</v>
      </c>
      <c r="AI31" s="121">
        <v>0.45300000000000001</v>
      </c>
      <c r="AJ31" s="121">
        <v>0.12139999999999999</v>
      </c>
      <c r="AK31" s="121">
        <v>0.1051</v>
      </c>
      <c r="AL31" s="121">
        <v>0.15260000000000001</v>
      </c>
    </row>
    <row r="32" spans="1:38">
      <c r="A32" t="s">
        <v>252</v>
      </c>
      <c r="B32" t="s">
        <v>253</v>
      </c>
      <c r="C32" t="s">
        <v>195</v>
      </c>
      <c r="F32">
        <v>100</v>
      </c>
      <c r="G32">
        <v>17.8</v>
      </c>
      <c r="H32">
        <v>50.5</v>
      </c>
      <c r="I32">
        <v>77</v>
      </c>
      <c r="J32">
        <v>66</v>
      </c>
      <c r="K32">
        <v>193.5</v>
      </c>
      <c r="L32">
        <v>62</v>
      </c>
      <c r="M32">
        <v>1</v>
      </c>
      <c r="N32">
        <v>100</v>
      </c>
      <c r="O32">
        <v>163</v>
      </c>
      <c r="P32">
        <v>88</v>
      </c>
      <c r="Q32">
        <v>100</v>
      </c>
      <c r="R32">
        <v>99</v>
      </c>
      <c r="S32">
        <v>100</v>
      </c>
      <c r="T32">
        <v>387</v>
      </c>
      <c r="U32">
        <v>1</v>
      </c>
      <c r="V32">
        <v>1</v>
      </c>
      <c r="W32">
        <v>2</v>
      </c>
      <c r="X32">
        <v>4</v>
      </c>
      <c r="Y32">
        <v>0.83</v>
      </c>
      <c r="Z32" s="123">
        <v>17.5</v>
      </c>
      <c r="AB32" s="121">
        <v>0.1983</v>
      </c>
      <c r="AC32" s="121">
        <v>0.17269999999999999</v>
      </c>
      <c r="AD32" s="121">
        <v>0.26950000000000002</v>
      </c>
      <c r="AF32" s="121">
        <v>0.4425</v>
      </c>
      <c r="AG32" s="121">
        <v>0.26219999999999999</v>
      </c>
      <c r="AH32" s="121">
        <v>0.25019999999999998</v>
      </c>
      <c r="AJ32" s="121">
        <v>0.12139999999999999</v>
      </c>
      <c r="AK32" s="121">
        <v>0.1051</v>
      </c>
      <c r="AL32" s="121">
        <v>0.15260000000000001</v>
      </c>
    </row>
    <row r="33" spans="1:38">
      <c r="A33" t="s">
        <v>254</v>
      </c>
      <c r="B33" t="s">
        <v>255</v>
      </c>
      <c r="C33" t="s">
        <v>204</v>
      </c>
      <c r="D33" t="s">
        <v>205</v>
      </c>
      <c r="F33">
        <v>100</v>
      </c>
      <c r="G33">
        <v>23</v>
      </c>
      <c r="H33">
        <v>72.882608700000006</v>
      </c>
      <c r="I33">
        <v>88</v>
      </c>
      <c r="J33">
        <v>84</v>
      </c>
      <c r="K33">
        <v>244.88260869999999</v>
      </c>
      <c r="L33">
        <v>95</v>
      </c>
      <c r="M33">
        <v>100</v>
      </c>
      <c r="N33">
        <v>100</v>
      </c>
      <c r="O33">
        <v>295</v>
      </c>
      <c r="P33">
        <v>84</v>
      </c>
      <c r="Q33">
        <v>100</v>
      </c>
      <c r="R33">
        <v>77</v>
      </c>
      <c r="S33">
        <v>100</v>
      </c>
      <c r="T33">
        <v>361</v>
      </c>
      <c r="U33">
        <v>1</v>
      </c>
      <c r="V33">
        <v>1</v>
      </c>
      <c r="W33">
        <v>2</v>
      </c>
      <c r="X33">
        <v>4</v>
      </c>
      <c r="Y33">
        <v>0.83</v>
      </c>
      <c r="Z33" s="123">
        <v>17.5</v>
      </c>
      <c r="AA33" s="121">
        <v>0.50670000000000004</v>
      </c>
      <c r="AB33" s="121">
        <v>0.1983</v>
      </c>
      <c r="AC33" s="121">
        <v>0.17269999999999999</v>
      </c>
      <c r="AD33" s="121">
        <v>0.26950000000000002</v>
      </c>
      <c r="AE33" s="121">
        <v>0.50670000000000004</v>
      </c>
      <c r="AF33" s="121">
        <v>0.4425</v>
      </c>
      <c r="AG33" s="121">
        <v>0.26219999999999999</v>
      </c>
      <c r="AH33" s="121">
        <v>0.25019999999999998</v>
      </c>
      <c r="AI33" s="121">
        <v>2.8759999999999999</v>
      </c>
      <c r="AJ33" s="121">
        <v>0.12139999999999999</v>
      </c>
      <c r="AK33" s="121">
        <v>0.1051</v>
      </c>
      <c r="AL33" s="121">
        <v>0.15260000000000001</v>
      </c>
    </row>
    <row r="34" spans="1:38">
      <c r="A34" t="s">
        <v>256</v>
      </c>
      <c r="B34" t="s">
        <v>257</v>
      </c>
      <c r="C34" t="s">
        <v>204</v>
      </c>
      <c r="D34" t="s">
        <v>205</v>
      </c>
      <c r="F34">
        <v>100</v>
      </c>
      <c r="G34">
        <v>23.6</v>
      </c>
      <c r="H34">
        <v>75.465217390000007</v>
      </c>
      <c r="I34">
        <v>97</v>
      </c>
      <c r="J34">
        <v>81</v>
      </c>
      <c r="K34">
        <v>253.4652174</v>
      </c>
      <c r="L34">
        <v>57</v>
      </c>
      <c r="M34">
        <v>75</v>
      </c>
      <c r="N34">
        <v>100</v>
      </c>
      <c r="O34">
        <v>232</v>
      </c>
      <c r="P34">
        <v>77</v>
      </c>
      <c r="Q34">
        <v>80</v>
      </c>
      <c r="R34">
        <v>56</v>
      </c>
      <c r="S34">
        <v>100</v>
      </c>
      <c r="T34">
        <v>313</v>
      </c>
      <c r="U34">
        <v>1</v>
      </c>
      <c r="V34">
        <v>1</v>
      </c>
      <c r="W34">
        <v>2</v>
      </c>
      <c r="X34">
        <v>4</v>
      </c>
      <c r="Y34">
        <v>0.83</v>
      </c>
      <c r="Z34" s="123">
        <v>17.5</v>
      </c>
      <c r="AA34" s="121">
        <v>0.45779999999999998</v>
      </c>
      <c r="AB34" s="121">
        <v>0.1983</v>
      </c>
      <c r="AC34" s="121">
        <v>0.17269999999999999</v>
      </c>
      <c r="AD34" s="121">
        <v>0.26950000000000002</v>
      </c>
      <c r="AE34" s="121">
        <v>0.45779999999999998</v>
      </c>
      <c r="AF34" s="121">
        <v>0.4425</v>
      </c>
      <c r="AG34" s="121">
        <v>0.26219999999999999</v>
      </c>
      <c r="AH34" s="121">
        <v>0.25019999999999998</v>
      </c>
      <c r="AI34" s="121">
        <v>3.694</v>
      </c>
      <c r="AJ34" s="121">
        <v>0.12139999999999999</v>
      </c>
      <c r="AK34" s="121">
        <v>0.1051</v>
      </c>
      <c r="AL34" s="121">
        <v>0.15260000000000001</v>
      </c>
    </row>
    <row r="35" spans="1:38">
      <c r="A35" t="s">
        <v>258</v>
      </c>
      <c r="B35" t="s">
        <v>259</v>
      </c>
      <c r="C35" t="s">
        <v>260</v>
      </c>
      <c r="D35" t="s">
        <v>261</v>
      </c>
      <c r="F35">
        <v>100</v>
      </c>
      <c r="G35">
        <v>10.3</v>
      </c>
      <c r="H35">
        <v>18.217391299999999</v>
      </c>
      <c r="I35">
        <v>99</v>
      </c>
      <c r="J35">
        <v>96</v>
      </c>
      <c r="K35">
        <v>213.2173913</v>
      </c>
      <c r="L35">
        <v>94</v>
      </c>
      <c r="M35">
        <v>44</v>
      </c>
      <c r="N35">
        <v>100</v>
      </c>
      <c r="O35">
        <v>238</v>
      </c>
      <c r="P35">
        <v>95</v>
      </c>
      <c r="Q35">
        <v>100</v>
      </c>
      <c r="R35">
        <v>100</v>
      </c>
      <c r="S35">
        <v>100</v>
      </c>
      <c r="T35">
        <v>395</v>
      </c>
      <c r="U35">
        <v>1</v>
      </c>
      <c r="V35">
        <v>2</v>
      </c>
      <c r="W35">
        <v>2</v>
      </c>
      <c r="X35">
        <v>5</v>
      </c>
      <c r="Y35">
        <v>1.67</v>
      </c>
      <c r="Z35" s="123">
        <v>34</v>
      </c>
      <c r="AA35" s="121">
        <v>0.18920000000000001</v>
      </c>
      <c r="AB35" s="121">
        <v>0.1983</v>
      </c>
      <c r="AC35" s="121">
        <v>0.17269999999999999</v>
      </c>
      <c r="AD35" s="121">
        <v>0.26950000000000002</v>
      </c>
      <c r="AE35" s="121">
        <v>0.18920000000000001</v>
      </c>
      <c r="AF35" s="121">
        <v>0.4425</v>
      </c>
      <c r="AG35" s="121">
        <v>0.26219999999999999</v>
      </c>
      <c r="AH35" s="121">
        <v>0.25019999999999998</v>
      </c>
      <c r="AI35" s="121">
        <v>1.218</v>
      </c>
      <c r="AJ35" s="121">
        <v>0.12139999999999999</v>
      </c>
      <c r="AK35" s="121">
        <v>0.1051</v>
      </c>
      <c r="AL35" s="121">
        <v>0.15260000000000001</v>
      </c>
    </row>
    <row r="36" spans="1:38">
      <c r="A36" t="s">
        <v>262</v>
      </c>
      <c r="B36" t="s">
        <v>263</v>
      </c>
      <c r="C36" t="s">
        <v>177</v>
      </c>
      <c r="D36" t="s">
        <v>222</v>
      </c>
      <c r="F36">
        <v>100</v>
      </c>
      <c r="G36">
        <v>18.5</v>
      </c>
      <c r="H36">
        <v>53.51304348</v>
      </c>
      <c r="I36">
        <v>92</v>
      </c>
      <c r="J36">
        <v>86</v>
      </c>
      <c r="K36">
        <v>231.51304350000001</v>
      </c>
      <c r="L36">
        <v>50</v>
      </c>
      <c r="M36">
        <v>25</v>
      </c>
      <c r="N36">
        <v>100</v>
      </c>
      <c r="O36">
        <v>175</v>
      </c>
      <c r="P36">
        <v>82</v>
      </c>
      <c r="Q36">
        <v>100</v>
      </c>
      <c r="R36">
        <v>91</v>
      </c>
      <c r="S36">
        <v>100</v>
      </c>
      <c r="T36">
        <v>373</v>
      </c>
      <c r="U36">
        <v>1</v>
      </c>
      <c r="V36">
        <v>2</v>
      </c>
      <c r="W36">
        <v>2</v>
      </c>
      <c r="X36">
        <v>5</v>
      </c>
      <c r="Y36">
        <v>1.67</v>
      </c>
      <c r="Z36" s="123">
        <v>34</v>
      </c>
      <c r="AA36" s="121">
        <v>0.13289999999999999</v>
      </c>
      <c r="AB36" s="121">
        <v>0.1983</v>
      </c>
      <c r="AC36" s="121">
        <v>0.17269999999999999</v>
      </c>
      <c r="AD36" s="121">
        <v>0.26950000000000002</v>
      </c>
      <c r="AE36" s="121">
        <v>0.13289999999999999</v>
      </c>
      <c r="AF36" s="121">
        <v>0.4425</v>
      </c>
      <c r="AG36" s="121">
        <v>0.26219999999999999</v>
      </c>
      <c r="AH36" s="121">
        <v>0.25019999999999998</v>
      </c>
      <c r="AI36" s="121">
        <v>1.032</v>
      </c>
      <c r="AJ36" s="121">
        <v>0.12139999999999999</v>
      </c>
      <c r="AK36" s="121">
        <v>0.1051</v>
      </c>
      <c r="AL36" s="121">
        <v>0.15260000000000001</v>
      </c>
    </row>
    <row r="37" spans="1:38">
      <c r="A37" t="s">
        <v>264</v>
      </c>
      <c r="B37" t="s">
        <v>265</v>
      </c>
      <c r="C37" t="s">
        <v>177</v>
      </c>
      <c r="D37" t="s">
        <v>222</v>
      </c>
      <c r="F37">
        <v>100</v>
      </c>
      <c r="G37">
        <v>18.8</v>
      </c>
      <c r="H37">
        <v>54.804347829999998</v>
      </c>
      <c r="I37">
        <v>94</v>
      </c>
      <c r="J37">
        <v>86</v>
      </c>
      <c r="K37">
        <v>234.80434779999999</v>
      </c>
      <c r="L37">
        <v>77</v>
      </c>
      <c r="M37">
        <v>28</v>
      </c>
      <c r="N37">
        <v>100</v>
      </c>
      <c r="O37">
        <v>205</v>
      </c>
      <c r="P37">
        <v>89</v>
      </c>
      <c r="Q37">
        <v>100</v>
      </c>
      <c r="R37">
        <v>88</v>
      </c>
      <c r="S37">
        <v>100</v>
      </c>
      <c r="T37">
        <v>377</v>
      </c>
      <c r="U37">
        <v>1</v>
      </c>
      <c r="V37">
        <v>2</v>
      </c>
      <c r="W37">
        <v>2</v>
      </c>
      <c r="X37">
        <v>5</v>
      </c>
      <c r="Y37">
        <v>1.67</v>
      </c>
      <c r="Z37" s="123">
        <v>34</v>
      </c>
      <c r="AA37" s="121">
        <v>0.14560000000000001</v>
      </c>
      <c r="AB37" s="121">
        <v>0.1983</v>
      </c>
      <c r="AC37" s="121">
        <v>0.17269999999999999</v>
      </c>
      <c r="AD37" s="121">
        <v>0.26950000000000002</v>
      </c>
      <c r="AE37" s="121">
        <v>0.24790000000000001</v>
      </c>
      <c r="AF37" s="121">
        <v>0.4425</v>
      </c>
      <c r="AG37" s="121">
        <v>0.26219999999999999</v>
      </c>
      <c r="AH37" s="121">
        <v>0.25019999999999998</v>
      </c>
      <c r="AI37" s="121">
        <v>1.175</v>
      </c>
      <c r="AJ37" s="121">
        <v>0.12139999999999999</v>
      </c>
      <c r="AK37" s="121">
        <v>0.1051</v>
      </c>
      <c r="AL37" s="121">
        <v>0.15260000000000001</v>
      </c>
    </row>
    <row r="38" spans="1:38">
      <c r="A38" t="s">
        <v>266</v>
      </c>
      <c r="B38" t="s">
        <v>267</v>
      </c>
      <c r="C38" t="s">
        <v>177</v>
      </c>
      <c r="D38" t="s">
        <v>268</v>
      </c>
      <c r="F38">
        <v>100</v>
      </c>
      <c r="G38">
        <v>8.6</v>
      </c>
      <c r="H38">
        <v>10.9</v>
      </c>
      <c r="I38">
        <v>98</v>
      </c>
      <c r="J38">
        <v>83</v>
      </c>
      <c r="K38">
        <v>191.9</v>
      </c>
      <c r="L38">
        <v>69</v>
      </c>
      <c r="M38">
        <v>43</v>
      </c>
      <c r="N38">
        <v>100</v>
      </c>
      <c r="O38">
        <v>212</v>
      </c>
      <c r="P38">
        <v>100</v>
      </c>
      <c r="Q38">
        <v>100</v>
      </c>
      <c r="R38">
        <v>100</v>
      </c>
      <c r="S38">
        <v>100</v>
      </c>
      <c r="T38">
        <v>400</v>
      </c>
      <c r="U38">
        <v>1</v>
      </c>
      <c r="V38">
        <v>2</v>
      </c>
      <c r="W38">
        <v>2</v>
      </c>
      <c r="X38">
        <v>5</v>
      </c>
      <c r="Y38">
        <v>1.67</v>
      </c>
      <c r="Z38" s="123">
        <v>34</v>
      </c>
      <c r="AA38" s="121">
        <v>0.22450000000000001</v>
      </c>
      <c r="AB38" s="121">
        <v>0.1983</v>
      </c>
      <c r="AC38" s="121">
        <v>0.17269999999999999</v>
      </c>
      <c r="AD38" s="121">
        <v>0.26950000000000002</v>
      </c>
      <c r="AE38" s="121">
        <v>0.22450000000000001</v>
      </c>
      <c r="AF38" s="121">
        <v>0.4425</v>
      </c>
      <c r="AG38" s="121">
        <v>0.26219999999999999</v>
      </c>
      <c r="AH38" s="121">
        <v>0.25019999999999998</v>
      </c>
      <c r="AI38" s="121">
        <v>1.476</v>
      </c>
      <c r="AJ38" s="121">
        <v>0.12139999999999999</v>
      </c>
      <c r="AK38" s="121">
        <v>0.1051</v>
      </c>
      <c r="AL38" s="121">
        <v>0.15260000000000001</v>
      </c>
    </row>
    <row r="39" spans="1:38">
      <c r="B39" t="s">
        <v>269</v>
      </c>
      <c r="Z39" s="123">
        <v>185</v>
      </c>
    </row>
    <row r="40" spans="1:38">
      <c r="B40" t="s">
        <v>270</v>
      </c>
      <c r="Z40" s="123">
        <v>230</v>
      </c>
    </row>
    <row r="41" spans="1:38">
      <c r="B41" t="s">
        <v>271</v>
      </c>
      <c r="Z41" s="123">
        <v>267</v>
      </c>
    </row>
    <row r="42" spans="1:38">
      <c r="B42" t="s">
        <v>272</v>
      </c>
      <c r="Z42" s="123">
        <v>160</v>
      </c>
    </row>
  </sheetData>
  <autoFilter ref="A4:AL4" xr:uid="{EC31D6F4-5BA1-4654-A2CD-3D7CC5AC812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1B862-BFFD-4EE5-98D6-73EA19F8EA7D}">
  <dimension ref="B1:Q41"/>
  <sheetViews>
    <sheetView showGridLines="0" workbookViewId="0">
      <selection activeCell="F22" sqref="F22"/>
    </sheetView>
  </sheetViews>
  <sheetFormatPr baseColWidth="10" defaultColWidth="9.1640625" defaultRowHeight="14"/>
  <cols>
    <col min="1" max="1" width="9.1640625" style="1"/>
    <col min="2" max="2" width="21.5" style="1" customWidth="1"/>
    <col min="3" max="3" width="4.1640625" style="1" customWidth="1"/>
    <col min="4" max="4" width="31.1640625" style="1" customWidth="1"/>
    <col min="5" max="5" width="9.1640625" style="1"/>
    <col min="6" max="6" width="25.33203125" style="1" customWidth="1"/>
    <col min="7" max="7" width="40" style="1" bestFit="1" customWidth="1"/>
    <col min="8" max="9" width="9.1640625" style="1"/>
    <col min="10" max="11" width="11.33203125" style="1" bestFit="1" customWidth="1"/>
    <col min="12" max="14" width="10.83203125" style="1" bestFit="1" customWidth="1"/>
    <col min="15" max="16" width="10.33203125" style="1" bestFit="1" customWidth="1"/>
    <col min="17" max="17" width="10.1640625" style="1" bestFit="1" customWidth="1"/>
    <col min="18" max="19" width="9.5" style="1" bestFit="1" customWidth="1"/>
    <col min="20" max="23" width="9.33203125" style="1" bestFit="1" customWidth="1"/>
    <col min="24" max="16384" width="9.1640625" style="1"/>
  </cols>
  <sheetData>
    <row r="1" spans="2:17" ht="15">
      <c r="D1" s="2" t="s">
        <v>35</v>
      </c>
      <c r="F1" s="7">
        <f>COUNTA(_xlfn.ANCHORARRAY(G2))</f>
        <v>4</v>
      </c>
      <c r="G1" s="2" t="s">
        <v>45</v>
      </c>
      <c r="J1" s="4"/>
      <c r="K1" s="4"/>
      <c r="L1" s="4"/>
      <c r="M1" s="4"/>
      <c r="N1" s="4"/>
      <c r="O1" s="4"/>
      <c r="P1" s="4"/>
      <c r="Q1" s="4"/>
    </row>
    <row r="2" spans="2:17">
      <c r="B2" s="1" t="s">
        <v>7</v>
      </c>
      <c r="D2" s="3" t="s">
        <v>33</v>
      </c>
      <c r="E2" s="5">
        <v>1E-4</v>
      </c>
      <c r="G2" s="8" t="e" cm="1" vm="1">
        <f t="array" ref="G2:G5">_xlfn._xlws.SORT(_xlfn.LET(_xlpm.tickerList, _xlfn.UNIQUE(T_TXN[TICKER],FALSE,FALSE), _xlfn._xlws.FILTER(_xlpm.tickerList,_xlpm.tickerList&lt;&gt;"")),1,1)</f>
        <v>#VALUE!</v>
      </c>
      <c r="H2" s="5"/>
      <c r="I2" s="5"/>
    </row>
    <row r="3" spans="2:17">
      <c r="B3" s="1" t="s">
        <v>8</v>
      </c>
      <c r="D3" s="3" t="s">
        <v>34</v>
      </c>
      <c r="E3" s="6">
        <v>0</v>
      </c>
      <c r="F3" s="6"/>
      <c r="G3" s="8" t="e" vm="2">
        <v>#VALUE!</v>
      </c>
      <c r="H3" s="6"/>
      <c r="I3" s="6"/>
    </row>
    <row r="4" spans="2:17">
      <c r="B4" s="1" t="s">
        <v>9</v>
      </c>
      <c r="C4" s="4"/>
      <c r="D4" s="3" t="s">
        <v>36</v>
      </c>
      <c r="G4" s="9" t="e" vm="3">
        <v>#VALUE!</v>
      </c>
    </row>
    <row r="5" spans="2:17">
      <c r="B5" s="1" t="s">
        <v>10</v>
      </c>
      <c r="G5" s="9" t="e" vm="4">
        <v>#VALUE!</v>
      </c>
    </row>
    <row r="6" spans="2:17">
      <c r="B6" s="1" t="s">
        <v>0</v>
      </c>
      <c r="D6" s="1" t="s">
        <v>78</v>
      </c>
      <c r="G6" s="9"/>
    </row>
    <row r="7" spans="2:17">
      <c r="B7" s="1" t="s">
        <v>1</v>
      </c>
      <c r="D7" s="20" t="e" vm="1">
        <f>G2</f>
        <v>#VALUE!</v>
      </c>
      <c r="G7" s="9"/>
    </row>
    <row r="8" spans="2:17">
      <c r="B8" s="1" t="s">
        <v>11</v>
      </c>
      <c r="G8" s="9"/>
    </row>
    <row r="9" spans="2:17">
      <c r="B9" s="1" t="s">
        <v>12</v>
      </c>
      <c r="G9" s="9"/>
    </row>
    <row r="10" spans="2:17">
      <c r="B10" s="1" t="s">
        <v>13</v>
      </c>
      <c r="D10" s="1" t="s">
        <v>79</v>
      </c>
    </row>
    <row r="11" spans="2:17">
      <c r="B11" s="1" t="s">
        <v>2</v>
      </c>
    </row>
    <row r="12" spans="2:17">
      <c r="B12" s="1" t="s">
        <v>14</v>
      </c>
    </row>
    <row r="13" spans="2:17" ht="15">
      <c r="B13" s="1" t="s">
        <v>15</v>
      </c>
      <c r="E13" s="2" t="s">
        <v>73</v>
      </c>
    </row>
    <row r="14" spans="2:17">
      <c r="B14" s="1" t="s">
        <v>16</v>
      </c>
      <c r="D14" s="20" cm="1">
        <f t="array" ref="D14">_FV(E14,"Change (%)",TRUE)</f>
        <v>2.7382E-2</v>
      </c>
      <c r="E14" s="38" t="e" vm="13">
        <v>#VALUE!</v>
      </c>
    </row>
    <row r="15" spans="2:17">
      <c r="B15" s="1" t="s">
        <v>17</v>
      </c>
      <c r="D15" s="20" cm="1">
        <f t="array" ref="D15">_FV(E15,"Change (%)",TRUE)</f>
        <v>2.5118999999999999E-2</v>
      </c>
      <c r="E15" s="38" t="e" vm="14">
        <v>#VALUE!</v>
      </c>
    </row>
    <row r="16" spans="2:17">
      <c r="B16" s="1" t="s">
        <v>18</v>
      </c>
      <c r="D16" s="20" cm="1">
        <f t="array" ref="D16">_FV(E16,"Change (%)",TRUE)</f>
        <v>3.5699999999999996E-2</v>
      </c>
      <c r="E16" s="38" t="e" vm="15">
        <v>#VALUE!</v>
      </c>
    </row>
    <row r="17" spans="2:4">
      <c r="B17" s="1" t="s">
        <v>19</v>
      </c>
    </row>
    <row r="18" spans="2:4">
      <c r="B18" s="1" t="s">
        <v>20</v>
      </c>
    </row>
    <row r="19" spans="2:4">
      <c r="B19" s="1" t="s">
        <v>21</v>
      </c>
    </row>
    <row r="20" spans="2:4">
      <c r="B20" s="1" t="s">
        <v>22</v>
      </c>
    </row>
    <row r="21" spans="2:4">
      <c r="B21" s="1" t="s">
        <v>4</v>
      </c>
    </row>
    <row r="22" spans="2:4">
      <c r="B22" s="1" t="s">
        <v>23</v>
      </c>
    </row>
    <row r="23" spans="2:4">
      <c r="B23" s="1" t="s">
        <v>24</v>
      </c>
    </row>
    <row r="24" spans="2:4">
      <c r="B24" s="1" t="s">
        <v>25</v>
      </c>
    </row>
    <row r="25" spans="2:4">
      <c r="B25" s="1" t="s">
        <v>26</v>
      </c>
    </row>
    <row r="26" spans="2:4">
      <c r="B26" s="1" t="s">
        <v>3</v>
      </c>
    </row>
    <row r="27" spans="2:4">
      <c r="B27" s="1" t="s">
        <v>27</v>
      </c>
    </row>
    <row r="28" spans="2:4">
      <c r="B28" s="1" t="s">
        <v>28</v>
      </c>
    </row>
    <row r="29" spans="2:4">
      <c r="B29" s="1" t="s">
        <v>5</v>
      </c>
    </row>
    <row r="30" spans="2:4" ht="15">
      <c r="B30" s="1" t="s">
        <v>29</v>
      </c>
      <c r="D30" s="2" t="s">
        <v>74</v>
      </c>
    </row>
    <row r="31" spans="2:4">
      <c r="B31" s="1" t="s">
        <v>30</v>
      </c>
    </row>
    <row r="32" spans="2:4">
      <c r="B32" s="1" t="s">
        <v>31</v>
      </c>
      <c r="D32" s="24" t="s">
        <v>44</v>
      </c>
    </row>
    <row r="33" spans="4:4">
      <c r="D33" s="23">
        <f>SUM(T_WATCHLIST[Current Value])</f>
        <v>3849.13</v>
      </c>
    </row>
    <row r="34" spans="4:4">
      <c r="D34" s="25" t="s">
        <v>63</v>
      </c>
    </row>
    <row r="35" spans="4:4">
      <c r="D35" s="26">
        <f>ROUND(
I_ST_CASH
-SUMIF(T_TXN[TYPE],"Buy",T_TXN[AMOUNT])
+SUMIF(T_TXN[TYPE],"Sell",T_TXN[AMOUNT])
+SUMIF(T_TXN[TYPE],"Cash Deposit",T_TXN[AMOUNT])
-SUMIF(T_TXN[TYPE],"Cash Withdrawal",T_TXN[AMOUNT])
+SUMIF(T_TXN[TYPE],"Dividend Payout",T_TXN[AMOUNT])
-SUMIF(T_TXN[TYPE],"Fees",T_TXN[AMOUNT]),2)</f>
        <v>8616.31</v>
      </c>
    </row>
    <row r="36" spans="4:4">
      <c r="D36" s="25" t="s">
        <v>46</v>
      </c>
    </row>
    <row r="37" spans="4:4" ht="16">
      <c r="D37" s="27">
        <f>SUM(T_WATCHLIST[Total Gain/Loss])</f>
        <v>2465.44</v>
      </c>
    </row>
    <row r="38" spans="4:4" ht="16">
      <c r="D38" s="16"/>
    </row>
    <row r="39" spans="4:4">
      <c r="D39" s="25" t="s">
        <v>47</v>
      </c>
    </row>
    <row r="40" spans="4:4" ht="16">
      <c r="D40" s="28">
        <f>SUM(T_WATCHLIST[Today''s Gain/Loss])</f>
        <v>194.38999999999959</v>
      </c>
    </row>
    <row r="41" spans="4:4">
      <c r="D41" s="21">
        <f>C_TODAY_GAINLOSS/(C_CURR_VALUE-C_TODAY_GAINLOSS)</f>
        <v>5.3188462106743446E-2</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Max average portfolio return</vt:lpstr>
      <vt:lpstr>Maximize impact score</vt:lpstr>
      <vt:lpstr>pivots</vt:lpstr>
      <vt:lpstr>TRANSACTIONS</vt:lpstr>
      <vt:lpstr>Notes</vt:lpstr>
      <vt:lpstr>Impact Scores</vt:lpstr>
      <vt:lpstr>HELP</vt:lpstr>
      <vt:lpstr>C_CASH_AVL</vt:lpstr>
      <vt:lpstr>C_CNT_STOCKS</vt:lpstr>
      <vt:lpstr>C_CURR_VALUE</vt:lpstr>
      <vt:lpstr>'Maximize impact score'!C_LAST_TRADE_TIME</vt:lpstr>
      <vt:lpstr>C_LAST_TRADE_TIME</vt:lpstr>
      <vt:lpstr>C_TODAY_GAINLOSS</vt:lpstr>
      <vt:lpstr>C_TODAY_GAINLOSS_P</vt:lpstr>
      <vt:lpstr>C_TOT_GAINLOSS</vt:lpstr>
      <vt:lpstr>I_EXH_1</vt:lpstr>
      <vt:lpstr>I_EXH_2</vt:lpstr>
      <vt:lpstr>I_EXH_3</vt:lpstr>
      <vt:lpstr>I_ST_CASH</vt:lpstr>
      <vt:lpstr>'Maximize impact score'!L_ATTR</vt:lpstr>
      <vt:lpstr>L_ATTR</vt:lpstr>
      <vt:lpstr>'Maximize impact score'!L_TICKERS</vt:lpstr>
      <vt:lpstr>L_TICKERS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 zara</dc:creator>
  <cp:lastModifiedBy>David Scatterday</cp:lastModifiedBy>
  <cp:lastPrinted>2021-04-27T14:32:43Z</cp:lastPrinted>
  <dcterms:created xsi:type="dcterms:W3CDTF">2020-09-23T04:33:40Z</dcterms:created>
  <dcterms:modified xsi:type="dcterms:W3CDTF">2024-11-06T21:01:44Z</dcterms:modified>
</cp:coreProperties>
</file>