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8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0.xml"/>
  <Override ContentType="application/vnd.openxmlformats-officedocument.drawingml.chart+xml" PartName="/xl/charts/chart24.xml"/>
  <Override ContentType="application/vnd.openxmlformats-officedocument.drawingml.chart+xml" PartName="/xl/charts/chart2.xml"/>
  <Override ContentType="application/vnd.openxmlformats-officedocument.drawingml.chart+xml" PartName="/xl/charts/chart2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15.xml"/>
  <Override ContentType="application/vnd.openxmlformats-officedocument.drawingml.chart+xml" PartName="/xl/charts/chart17.xml"/>
  <Override ContentType="application/vnd.openxmlformats-officedocument.drawingml.chart+xml" PartName="/xl/charts/chart9.xml"/>
  <Override ContentType="application/vnd.openxmlformats-officedocument.drawingml.chart+xml" PartName="/xl/charts/chart1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21.xml"/>
  <Override ContentType="application/vnd.openxmlformats-officedocument.drawingml.chart+xml" PartName="/xl/charts/chart3.xml"/>
  <Override ContentType="application/vnd.openxmlformats-officedocument.drawingml.chart+xml" PartName="/xl/charts/chart2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1" sheetId="1" r:id="rId4"/>
    <sheet state="visible" name="Test1 vs Test2" sheetId="2" r:id="rId5"/>
    <sheet state="visible" name="Test2" sheetId="3" r:id="rId6"/>
    <sheet state="visible" name="Test2-2" sheetId="4" r:id="rId7"/>
    <sheet state="visible" name="Test3" sheetId="5" r:id="rId8"/>
  </sheets>
  <definedNames/>
  <calcPr/>
</workbook>
</file>

<file path=xl/sharedStrings.xml><?xml version="1.0" encoding="utf-8"?>
<sst xmlns="http://schemas.openxmlformats.org/spreadsheetml/2006/main" count="112" uniqueCount="21">
  <si>
    <t>C++</t>
  </si>
  <si>
    <t>Matrix</t>
  </si>
  <si>
    <t>BlockSize</t>
  </si>
  <si>
    <t>Time</t>
  </si>
  <si>
    <t>L1DCM</t>
  </si>
  <si>
    <t>L2DCM</t>
  </si>
  <si>
    <t>L1ICM</t>
  </si>
  <si>
    <t>L2ICM</t>
  </si>
  <si>
    <t>L1TCM</t>
  </si>
  <si>
    <t>L2TCM</t>
  </si>
  <si>
    <t>TOTINS</t>
  </si>
  <si>
    <t>JAVA</t>
  </si>
  <si>
    <t>TIME COMPARISON</t>
  </si>
  <si>
    <t>Java</t>
  </si>
  <si>
    <t>Time Comparison</t>
  </si>
  <si>
    <t>128 Blocks</t>
  </si>
  <si>
    <t>256 Blocks</t>
  </si>
  <si>
    <t>512 Blocks</t>
  </si>
  <si>
    <t>1024 Blocks</t>
  </si>
  <si>
    <t>2048 Blocks</t>
  </si>
  <si>
    <t>Total instructions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</si>
</sst>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000000"/>
      <name val="Inconsolata"/>
    </font>
    <font>
      <sz val="10.0"/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A9D08E"/>
        <bgColor rgb="FFA9D08E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2" fontId="1" numFmtId="0" xfId="0" applyAlignment="1" applyBorder="1" applyFill="1" applyFont="1">
      <alignment horizontal="center" readingOrder="0"/>
    </xf>
    <xf borderId="1" fillId="0" fontId="1" numFmtId="0" xfId="0" applyAlignment="1" applyBorder="1" applyFont="1">
      <alignment horizontal="center" readingOrder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1" fillId="0" fontId="1" numFmtId="0" xfId="0" applyAlignment="1" applyBorder="1" applyFont="1">
      <alignment horizontal="center"/>
    </xf>
    <xf borderId="1" fillId="3" fontId="2" numFmtId="0" xfId="0" applyAlignment="1" applyBorder="1" applyFill="1" applyFont="1">
      <alignment horizontal="center"/>
    </xf>
    <xf borderId="1" fillId="3" fontId="0" numFmtId="0" xfId="0" applyAlignment="1" applyBorder="1" applyFont="1">
      <alignment horizontal="center"/>
    </xf>
    <xf borderId="1" fillId="0" fontId="3" numFmtId="0" xfId="0" applyAlignment="1" applyBorder="1" applyFont="1">
      <alignment horizontal="center"/>
    </xf>
    <xf borderId="0" fillId="0" fontId="3" numFmtId="0" xfId="0" applyAlignment="1" applyFont="1">
      <alignment horizontal="center"/>
    </xf>
    <xf borderId="0" fillId="0" fontId="3" numFmtId="0" xfId="0" applyAlignment="1" applyFont="1">
      <alignment horizontal="center" readingOrder="0"/>
    </xf>
    <xf borderId="1" fillId="2" fontId="3" numFmtId="0" xfId="0" applyAlignment="1" applyBorder="1" applyFont="1">
      <alignment horizontal="center" readingOrder="0"/>
    </xf>
    <xf borderId="1" fillId="0" fontId="3" numFmtId="0" xfId="0" applyAlignment="1" applyBorder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  <a:r>
              <a:rPr b="0">
                <a:solidFill>
                  <a:srgbClr val="FFFFFF"/>
                </a:solidFill>
                <a:latin typeface="+mn-lt"/>
              </a:rPr>
              <a:t>OnMult: Time Comparison C++ vs Java</a:t>
            </a:r>
          </a:p>
        </c:rich>
      </c:tx>
      <c:layout>
        <c:manualLayout>
          <c:xMode val="edge"/>
          <c:yMode val="edge"/>
          <c:x val="0.03091666666666667"/>
          <c:y val="0.04730458221024259"/>
        </c:manualLayout>
      </c:layout>
      <c:overlay val="0"/>
    </c:title>
    <c:plotArea>
      <c:layout/>
      <c:lineChart>
        <c:ser>
          <c:idx val="0"/>
          <c:order val="0"/>
          <c:tx>
            <c:strRef>
              <c:f>Test1!$B$23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Test1!$A$24:$A$30</c:f>
            </c:strRef>
          </c:cat>
          <c:val>
            <c:numRef>
              <c:f>Test1!$B$24:$B$30</c:f>
              <c:numCache/>
            </c:numRef>
          </c:val>
          <c:smooth val="0"/>
        </c:ser>
        <c:ser>
          <c:idx val="1"/>
          <c:order val="1"/>
          <c:tx>
            <c:strRef>
              <c:f>Test1!$C$23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Test1!$A$24:$A$30</c:f>
            </c:strRef>
          </c:cat>
          <c:val>
            <c:numRef>
              <c:f>Test1!$C$24:$C$30</c:f>
              <c:numCache/>
            </c:numRef>
          </c:val>
          <c:smooth val="0"/>
        </c:ser>
        <c:axId val="1286213009"/>
        <c:axId val="1482920136"/>
      </c:lineChart>
      <c:catAx>
        <c:axId val="12862130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Matrix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</a:p>
        </c:txPr>
        <c:crossAx val="1482920136"/>
      </c:catAx>
      <c:valAx>
        <c:axId val="14829201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</a:p>
        </c:txPr>
        <c:crossAx val="128621300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FFFFFF"/>
              </a:solidFill>
              <a:latin typeface="+mn-lt"/>
            </a:defRPr>
          </a:pPr>
        </a:p>
      </c:txPr>
    </c:legend>
    <c:plotVisOnly val="1"/>
  </c:chart>
  <c:spPr>
    <a:solidFill>
      <a:srgbClr val="434343"/>
    </a:solidFill>
  </c:spPr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  <a:r>
              <a:rPr b="0">
                <a:solidFill>
                  <a:srgbClr val="FFFFFF"/>
                </a:solidFill>
                <a:latin typeface="+mn-lt"/>
              </a:rPr>
              <a:t>OnMultLine: C++ ICM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Test2!$F$2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Test2!$A$3:$A$9</c:f>
            </c:strRef>
          </c:cat>
          <c:val>
            <c:numRef>
              <c:f>Test2!$F$3:$F$9</c:f>
              <c:numCache/>
            </c:numRef>
          </c:val>
          <c:smooth val="0"/>
        </c:ser>
        <c:ser>
          <c:idx val="1"/>
          <c:order val="1"/>
          <c:tx>
            <c:strRef>
              <c:f>Test2!$G$2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Test2!$A$3:$A$9</c:f>
            </c:strRef>
          </c:cat>
          <c:val>
            <c:numRef>
              <c:f>Test2!$G$3:$G$9</c:f>
              <c:numCache/>
            </c:numRef>
          </c:val>
          <c:smooth val="0"/>
        </c:ser>
        <c:axId val="1810869089"/>
        <c:axId val="1855098147"/>
      </c:lineChart>
      <c:catAx>
        <c:axId val="18108690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FFFFFF"/>
                    </a:solidFill>
                    <a:latin typeface="+mn-lt"/>
                  </a:defRPr>
                </a:pPr>
                <a:r>
                  <a:rPr b="0">
                    <a:solidFill>
                      <a:srgbClr val="FFFFFF"/>
                    </a:solidFill>
                    <a:latin typeface="+mn-lt"/>
                  </a:rPr>
                  <a:t>Matrix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</a:p>
        </c:txPr>
        <c:crossAx val="1855098147"/>
      </c:catAx>
      <c:valAx>
        <c:axId val="185509814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</a:p>
        </c:txPr>
        <c:crossAx val="181086908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FFFFFF"/>
              </a:solidFill>
              <a:latin typeface="+mn-lt"/>
            </a:defRPr>
          </a:pPr>
        </a:p>
      </c:txPr>
    </c:legend>
    <c:plotVisOnly val="1"/>
  </c:chart>
  <c:spPr>
    <a:solidFill>
      <a:srgbClr val="434343"/>
    </a:solidFill>
  </c:spPr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  <a:r>
              <a:rPr b="0">
                <a:solidFill>
                  <a:srgbClr val="FFFFFF"/>
                </a:solidFill>
                <a:latin typeface="+mn-lt"/>
              </a:rPr>
              <a:t>OnMultLine: C++ TCM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Test2!$H$2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Test2!$A$3:$A$9</c:f>
            </c:strRef>
          </c:cat>
          <c:val>
            <c:numRef>
              <c:f>Test2!$H$3:$H$9</c:f>
              <c:numCache/>
            </c:numRef>
          </c:val>
          <c:smooth val="0"/>
        </c:ser>
        <c:ser>
          <c:idx val="1"/>
          <c:order val="1"/>
          <c:tx>
            <c:strRef>
              <c:f>Test2!$I$2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Test2!$A$3:$A$9</c:f>
            </c:strRef>
          </c:cat>
          <c:val>
            <c:numRef>
              <c:f>Test2!$I$3:$I$9</c:f>
              <c:numCache/>
            </c:numRef>
          </c:val>
          <c:smooth val="0"/>
        </c:ser>
        <c:axId val="93674832"/>
        <c:axId val="699996807"/>
      </c:lineChart>
      <c:catAx>
        <c:axId val="93674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FFFFFF"/>
                    </a:solidFill>
                    <a:latin typeface="+mn-lt"/>
                  </a:defRPr>
                </a:pPr>
                <a:r>
                  <a:rPr b="0">
                    <a:solidFill>
                      <a:srgbClr val="FFFFFF"/>
                    </a:solidFill>
                    <a:latin typeface="+mn-lt"/>
                  </a:rPr>
                  <a:t>Matrix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</a:p>
        </c:txPr>
        <c:crossAx val="699996807"/>
      </c:catAx>
      <c:valAx>
        <c:axId val="69999680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</a:p>
        </c:txPr>
        <c:crossAx val="9367483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FFFFFF"/>
              </a:solidFill>
              <a:latin typeface="+mn-lt"/>
            </a:defRPr>
          </a:pPr>
        </a:p>
      </c:txPr>
    </c:legend>
    <c:plotVisOnly val="1"/>
  </c:chart>
  <c:spPr>
    <a:solidFill>
      <a:srgbClr val="434343"/>
    </a:solidFill>
  </c:spPr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  <a:r>
              <a:rPr b="0">
                <a:solidFill>
                  <a:srgbClr val="FFFFFF"/>
                </a:solidFill>
                <a:latin typeface="+mn-lt"/>
              </a:rPr>
              <a:t>OnMultLine: C++ TOTINST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Test2!$J$2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Test2!$A$3:$A$9</c:f>
            </c:strRef>
          </c:cat>
          <c:val>
            <c:numRef>
              <c:f>Test2!$J$3:$J$9</c:f>
              <c:numCache/>
            </c:numRef>
          </c:val>
          <c:smooth val="0"/>
        </c:ser>
        <c:axId val="1561793253"/>
        <c:axId val="1042737849"/>
      </c:lineChart>
      <c:catAx>
        <c:axId val="156179325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FFFFFF"/>
                    </a:solidFill>
                    <a:latin typeface="+mn-lt"/>
                  </a:defRPr>
                </a:pPr>
                <a:r>
                  <a:rPr b="0">
                    <a:solidFill>
                      <a:srgbClr val="FFFFFF"/>
                    </a:solidFill>
                    <a:latin typeface="+mn-lt"/>
                  </a:rPr>
                  <a:t>Matrix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</a:p>
        </c:txPr>
        <c:crossAx val="1042737849"/>
      </c:catAx>
      <c:valAx>
        <c:axId val="10427378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</a:p>
        </c:txPr>
        <c:crossAx val="156179325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FFFFFF"/>
              </a:solidFill>
              <a:latin typeface="+mn-lt"/>
            </a:defRPr>
          </a:pPr>
        </a:p>
      </c:txPr>
    </c:legend>
    <c:plotVisOnly val="1"/>
  </c:chart>
  <c:spPr>
    <a:solidFill>
      <a:srgbClr val="434343"/>
    </a:solidFill>
  </c:spPr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  <a:r>
              <a:rPr b="0">
                <a:solidFill>
                  <a:srgbClr val="FFFFFF"/>
                </a:solidFill>
                <a:latin typeface="+mn-lt"/>
              </a:rPr>
              <a:t>OnMult 2: C++ Time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'Test2-2'!$C$1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'Test2-2'!$A$2:$A$5</c:f>
            </c:strRef>
          </c:cat>
          <c:val>
            <c:numRef>
              <c:f>'Test2-2'!$C$2:$C$5</c:f>
              <c:numCache/>
            </c:numRef>
          </c:val>
          <c:smooth val="0"/>
        </c:ser>
        <c:axId val="1448123525"/>
        <c:axId val="889088312"/>
      </c:lineChart>
      <c:catAx>
        <c:axId val="14481235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</a:p>
        </c:txPr>
        <c:crossAx val="889088312"/>
      </c:catAx>
      <c:valAx>
        <c:axId val="8890883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</a:p>
        </c:txPr>
        <c:crossAx val="144812352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FFFFFF"/>
              </a:solidFill>
              <a:latin typeface="+mn-lt"/>
            </a:defRPr>
          </a:pPr>
        </a:p>
      </c:txPr>
    </c:legend>
    <c:plotVisOnly val="1"/>
  </c:chart>
  <c:spPr>
    <a:solidFill>
      <a:srgbClr val="434343"/>
    </a:solidFill>
  </c:spPr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  <a:r>
              <a:rPr b="0">
                <a:solidFill>
                  <a:srgbClr val="FFFFFF"/>
                </a:solidFill>
                <a:latin typeface="+mn-lt"/>
              </a:rPr>
              <a:t>OnMult 2: C++ DCM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'Test2-2'!$D$1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'Test2-2'!$A$2:$A$5</c:f>
            </c:strRef>
          </c:cat>
          <c:val>
            <c:numRef>
              <c:f>'Test2-2'!$D$2:$D$5</c:f>
              <c:numCache/>
            </c:numRef>
          </c:val>
          <c:smooth val="0"/>
        </c:ser>
        <c:ser>
          <c:idx val="1"/>
          <c:order val="1"/>
          <c:tx>
            <c:strRef>
              <c:f>'Test2-2'!$E$1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'Test2-2'!$A$2:$A$5</c:f>
            </c:strRef>
          </c:cat>
          <c:val>
            <c:numRef>
              <c:f>'Test2-2'!$E$2:$E$5</c:f>
              <c:numCache/>
            </c:numRef>
          </c:val>
          <c:smooth val="0"/>
        </c:ser>
        <c:axId val="895025299"/>
        <c:axId val="128194768"/>
      </c:lineChart>
      <c:catAx>
        <c:axId val="8950252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</a:p>
        </c:txPr>
        <c:crossAx val="128194768"/>
      </c:catAx>
      <c:valAx>
        <c:axId val="1281947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</a:p>
        </c:txPr>
        <c:crossAx val="89502529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FFFFFF"/>
              </a:solidFill>
              <a:latin typeface="+mn-lt"/>
            </a:defRPr>
          </a:pPr>
        </a:p>
      </c:txPr>
    </c:legend>
    <c:plotVisOnly val="1"/>
  </c:chart>
  <c:spPr>
    <a:solidFill>
      <a:srgbClr val="434343"/>
    </a:solidFill>
  </c:spPr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  <a:r>
              <a:rPr b="0">
                <a:solidFill>
                  <a:srgbClr val="FFFFFF"/>
                </a:solidFill>
                <a:latin typeface="+mn-lt"/>
              </a:rPr>
              <a:t>OnMult 2: C++ ICM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'Test2-2'!$F$1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'Test2-2'!$A$2:$A$5</c:f>
            </c:strRef>
          </c:cat>
          <c:val>
            <c:numRef>
              <c:f>'Test2-2'!$F$2:$F$5</c:f>
              <c:numCache/>
            </c:numRef>
          </c:val>
          <c:smooth val="0"/>
        </c:ser>
        <c:ser>
          <c:idx val="1"/>
          <c:order val="1"/>
          <c:tx>
            <c:strRef>
              <c:f>'Test2-2'!$G$1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'Test2-2'!$A$2:$A$5</c:f>
            </c:strRef>
          </c:cat>
          <c:val>
            <c:numRef>
              <c:f>'Test2-2'!$G$2:$G$5</c:f>
              <c:numCache/>
            </c:numRef>
          </c:val>
          <c:smooth val="0"/>
        </c:ser>
        <c:axId val="1091593802"/>
        <c:axId val="1521108554"/>
      </c:lineChart>
      <c:catAx>
        <c:axId val="109159380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</a:p>
        </c:txPr>
        <c:crossAx val="1521108554"/>
      </c:catAx>
      <c:valAx>
        <c:axId val="152110855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</a:p>
        </c:txPr>
        <c:crossAx val="109159380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FFFFFF"/>
              </a:solidFill>
              <a:latin typeface="+mn-lt"/>
            </a:defRPr>
          </a:pPr>
        </a:p>
      </c:txPr>
    </c:legend>
    <c:plotVisOnly val="1"/>
  </c:chart>
  <c:spPr>
    <a:solidFill>
      <a:srgbClr val="434343"/>
    </a:solidFill>
  </c:spPr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  <a:r>
              <a:rPr b="0">
                <a:solidFill>
                  <a:srgbClr val="FFFFFF"/>
                </a:solidFill>
                <a:latin typeface="+mn-lt"/>
              </a:rPr>
              <a:t>OnMult 2: C++ TCM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'Test2-2'!$H$1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'Test2-2'!$A$2:$A$5</c:f>
            </c:strRef>
          </c:cat>
          <c:val>
            <c:numRef>
              <c:f>'Test2-2'!$H$2:$H$5</c:f>
              <c:numCache/>
            </c:numRef>
          </c:val>
          <c:smooth val="0"/>
        </c:ser>
        <c:ser>
          <c:idx val="1"/>
          <c:order val="1"/>
          <c:tx>
            <c:strRef>
              <c:f>'Test2-2'!$I$1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'Test2-2'!$A$2:$A$5</c:f>
            </c:strRef>
          </c:cat>
          <c:val>
            <c:numRef>
              <c:f>'Test2-2'!$I$2:$I$5</c:f>
              <c:numCache/>
            </c:numRef>
          </c:val>
          <c:smooth val="0"/>
        </c:ser>
        <c:axId val="145668138"/>
        <c:axId val="1787008742"/>
      </c:lineChart>
      <c:catAx>
        <c:axId val="14566813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</a:p>
        </c:txPr>
        <c:crossAx val="1787008742"/>
      </c:catAx>
      <c:valAx>
        <c:axId val="178700874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</a:p>
        </c:txPr>
        <c:crossAx val="14566813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FFFFFF"/>
              </a:solidFill>
              <a:latin typeface="+mn-lt"/>
            </a:defRPr>
          </a:pPr>
        </a:p>
      </c:txPr>
    </c:legend>
    <c:plotVisOnly val="1"/>
  </c:chart>
  <c:spPr>
    <a:solidFill>
      <a:srgbClr val="434343"/>
    </a:solidFill>
  </c:spPr>
</c:chartSpace>
</file>

<file path=xl/charts/chart1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  <a:r>
              <a:rPr b="0">
                <a:solidFill>
                  <a:srgbClr val="FFFFFF"/>
                </a:solidFill>
                <a:latin typeface="+mn-lt"/>
              </a:rPr>
              <a:t>OnMult 2: C++ Total Instructions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'Test2-2'!$J$1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'Test2-2'!$A$2:$A$5</c:f>
            </c:strRef>
          </c:cat>
          <c:val>
            <c:numRef>
              <c:f>'Test2-2'!$J$2:$J$5</c:f>
              <c:numCache/>
            </c:numRef>
          </c:val>
          <c:smooth val="0"/>
        </c:ser>
        <c:axId val="422804476"/>
        <c:axId val="802097025"/>
      </c:lineChart>
      <c:catAx>
        <c:axId val="4228044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</a:p>
        </c:txPr>
        <c:crossAx val="802097025"/>
      </c:catAx>
      <c:valAx>
        <c:axId val="80209702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</a:p>
        </c:txPr>
        <c:crossAx val="42280447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FFFFFF"/>
              </a:solidFill>
              <a:latin typeface="+mn-lt"/>
            </a:defRPr>
          </a:pPr>
        </a:p>
      </c:txPr>
    </c:legend>
    <c:plotVisOnly val="1"/>
  </c:chart>
  <c:spPr>
    <a:solidFill>
      <a:srgbClr val="434343"/>
    </a:solidFill>
  </c:spPr>
</c:chartSpace>
</file>

<file path=xl/charts/chart1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  <a:r>
              <a:rPr b="0">
                <a:solidFill>
                  <a:srgbClr val="FFFFFF"/>
                </a:solidFill>
                <a:latin typeface="+mn-lt"/>
              </a:rPr>
              <a:t>OnMultBlock: Time Comparison C++</a:t>
            </a:r>
          </a:p>
        </c:rich>
      </c:tx>
      <c:layout>
        <c:manualLayout>
          <c:xMode val="edge"/>
          <c:yMode val="edge"/>
          <c:x val="0.03091666666666667"/>
          <c:y val="0.04730458221024259"/>
        </c:manualLayout>
      </c:layout>
      <c:overlay val="0"/>
    </c:title>
    <c:plotArea>
      <c:layout/>
      <c:lineChart>
        <c:ser>
          <c:idx val="0"/>
          <c:order val="0"/>
          <c:tx>
            <c:strRef>
              <c:f>Test3!$B$25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Test3!$A$26:$A$29</c:f>
            </c:strRef>
          </c:cat>
          <c:val>
            <c:numRef>
              <c:f>Test3!$B$26:$B$29</c:f>
              <c:numCache/>
            </c:numRef>
          </c:val>
          <c:smooth val="0"/>
        </c:ser>
        <c:ser>
          <c:idx val="1"/>
          <c:order val="1"/>
          <c:tx>
            <c:strRef>
              <c:f>Test3!$C$25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Test3!$A$26:$A$29</c:f>
            </c:strRef>
          </c:cat>
          <c:val>
            <c:numRef>
              <c:f>Test3!$C$26:$C$29</c:f>
              <c:numCache/>
            </c:numRef>
          </c:val>
          <c:smooth val="0"/>
        </c:ser>
        <c:ser>
          <c:idx val="2"/>
          <c:order val="2"/>
          <c:tx>
            <c:strRef>
              <c:f>Test3!$D$25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Test3!$A$26:$A$29</c:f>
            </c:strRef>
          </c:cat>
          <c:val>
            <c:numRef>
              <c:f>Test3!$D$26:$D$29</c:f>
              <c:numCache/>
            </c:numRef>
          </c:val>
          <c:smooth val="0"/>
        </c:ser>
        <c:ser>
          <c:idx val="3"/>
          <c:order val="3"/>
          <c:tx>
            <c:strRef>
              <c:f>Test3!$E$25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Test3!$A$26:$A$29</c:f>
            </c:strRef>
          </c:cat>
          <c:val>
            <c:numRef>
              <c:f>Test3!$E$26:$E$29</c:f>
              <c:numCache/>
            </c:numRef>
          </c:val>
          <c:smooth val="0"/>
        </c:ser>
        <c:ser>
          <c:idx val="4"/>
          <c:order val="4"/>
          <c:tx>
            <c:strRef>
              <c:f>Test3!$F$25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Test3!$A$26:$A$29</c:f>
            </c:strRef>
          </c:cat>
          <c:val>
            <c:numRef>
              <c:f>Test3!$F$26:$F$29</c:f>
              <c:numCache/>
            </c:numRef>
          </c:val>
          <c:smooth val="0"/>
        </c:ser>
        <c:axId val="1022950744"/>
        <c:axId val="1100274769"/>
      </c:lineChart>
      <c:catAx>
        <c:axId val="1022950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FFFFFF"/>
                    </a:solidFill>
                    <a:latin typeface="+mn-lt"/>
                  </a:defRPr>
                </a:pPr>
                <a:r>
                  <a:rPr b="0">
                    <a:solidFill>
                      <a:srgbClr val="FFFFFF"/>
                    </a:solidFill>
                    <a:latin typeface="+mn-lt"/>
                  </a:rPr>
                  <a:t>Matrix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</a:p>
        </c:txPr>
        <c:crossAx val="1100274769"/>
      </c:catAx>
      <c:valAx>
        <c:axId val="110027476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</a:p>
        </c:txPr>
        <c:crossAx val="102295074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FFFFFF"/>
              </a:solidFill>
              <a:latin typeface="+mn-lt"/>
            </a:defRPr>
          </a:pPr>
        </a:p>
      </c:txPr>
    </c:legend>
    <c:plotVisOnly val="1"/>
  </c:chart>
  <c:spPr>
    <a:solidFill>
      <a:srgbClr val="434343"/>
    </a:solidFill>
  </c:spPr>
</c:chartSpace>
</file>

<file path=xl/charts/chart1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  <a:r>
              <a:rPr b="0">
                <a:solidFill>
                  <a:srgbClr val="FFFFFF"/>
                </a:solidFill>
                <a:latin typeface="+mn-lt"/>
              </a:rPr>
              <a:t>OnMultBlock: L1DCM C++</a:t>
            </a:r>
          </a:p>
        </c:rich>
      </c:tx>
      <c:layout>
        <c:manualLayout>
          <c:xMode val="edge"/>
          <c:yMode val="edge"/>
          <c:x val="0.03091666666666667"/>
          <c:y val="0.04730458221024259"/>
        </c:manualLayout>
      </c:layout>
      <c:overlay val="0"/>
    </c:title>
    <c:plotArea>
      <c:layout/>
      <c:barChart>
        <c:barDir val="col"/>
        <c:ser>
          <c:idx val="0"/>
          <c:order val="0"/>
          <c:tx>
            <c:strRef>
              <c:f>Test3!$B$32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Test3!$A$33:$A$36</c:f>
            </c:strRef>
          </c:cat>
          <c:val>
            <c:numRef>
              <c:f>Test3!$B$33:$B$36</c:f>
              <c:numCache/>
            </c:numRef>
          </c:val>
        </c:ser>
        <c:ser>
          <c:idx val="1"/>
          <c:order val="1"/>
          <c:tx>
            <c:strRef>
              <c:f>Test3!$C$32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Test3!$A$33:$A$36</c:f>
            </c:strRef>
          </c:cat>
          <c:val>
            <c:numRef>
              <c:f>Test3!$C$33:$C$36</c:f>
              <c:numCache/>
            </c:numRef>
          </c:val>
        </c:ser>
        <c:ser>
          <c:idx val="2"/>
          <c:order val="2"/>
          <c:tx>
            <c:strRef>
              <c:f>Test3!$D$32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Test3!$A$33:$A$36</c:f>
            </c:strRef>
          </c:cat>
          <c:val>
            <c:numRef>
              <c:f>Test3!$D$33:$D$36</c:f>
              <c:numCache/>
            </c:numRef>
          </c:val>
        </c:ser>
        <c:ser>
          <c:idx val="3"/>
          <c:order val="3"/>
          <c:tx>
            <c:strRef>
              <c:f>Test3!$E$32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Test3!$A$33:$A$36</c:f>
            </c:strRef>
          </c:cat>
          <c:val>
            <c:numRef>
              <c:f>Test3!$E$33:$E$36</c:f>
              <c:numCache/>
            </c:numRef>
          </c:val>
        </c:ser>
        <c:ser>
          <c:idx val="4"/>
          <c:order val="4"/>
          <c:tx>
            <c:strRef>
              <c:f>Test3!$F$32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Test3!$A$33:$A$36</c:f>
            </c:strRef>
          </c:cat>
          <c:val>
            <c:numRef>
              <c:f>Test3!$F$33:$F$36</c:f>
              <c:numCache/>
            </c:numRef>
          </c:val>
        </c:ser>
        <c:axId val="528973095"/>
        <c:axId val="1316237414"/>
      </c:barChart>
      <c:catAx>
        <c:axId val="5289730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FFFFFF"/>
                    </a:solidFill>
                    <a:latin typeface="+mn-lt"/>
                  </a:defRPr>
                </a:pPr>
                <a:r>
                  <a:rPr b="0">
                    <a:solidFill>
                      <a:srgbClr val="FFFFFF"/>
                    </a:solidFill>
                    <a:latin typeface="+mn-lt"/>
                  </a:rPr>
                  <a:t>Matrix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</a:p>
        </c:txPr>
        <c:crossAx val="1316237414"/>
      </c:catAx>
      <c:valAx>
        <c:axId val="13162374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</a:p>
        </c:txPr>
        <c:crossAx val="52897309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FFFFFF"/>
              </a:solidFill>
              <a:latin typeface="+mn-lt"/>
            </a:defRPr>
          </a:pPr>
        </a:p>
      </c:txPr>
    </c:legend>
    <c:plotVisOnly val="1"/>
  </c:chart>
  <c:spPr>
    <a:solidFill>
      <a:srgbClr val="434343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  <a:r>
              <a:rPr b="0">
                <a:solidFill>
                  <a:srgbClr val="FFFFFF"/>
                </a:solidFill>
                <a:latin typeface="+mn-lt"/>
              </a:rPr>
              <a:t>OnMult: C++ DCM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Test1!$D$2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Test1!$A$3:$A$9</c:f>
            </c:strRef>
          </c:cat>
          <c:val>
            <c:numRef>
              <c:f>Test1!$D$3:$D$9</c:f>
              <c:numCache/>
            </c:numRef>
          </c:val>
          <c:smooth val="0"/>
        </c:ser>
        <c:ser>
          <c:idx val="1"/>
          <c:order val="1"/>
          <c:tx>
            <c:strRef>
              <c:f>Test1!$E$2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Test1!$A$3:$A$9</c:f>
            </c:strRef>
          </c:cat>
          <c:val>
            <c:numRef>
              <c:f>Test1!$E$3:$E$9</c:f>
              <c:numCache/>
            </c:numRef>
          </c:val>
          <c:smooth val="0"/>
        </c:ser>
        <c:axId val="361900348"/>
        <c:axId val="486426253"/>
      </c:lineChart>
      <c:catAx>
        <c:axId val="3619003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</a:p>
        </c:txPr>
        <c:crossAx val="486426253"/>
      </c:catAx>
      <c:valAx>
        <c:axId val="48642625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</a:p>
        </c:txPr>
        <c:crossAx val="36190034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FFFFFF"/>
              </a:solidFill>
              <a:latin typeface="+mn-lt"/>
            </a:defRPr>
          </a:pPr>
        </a:p>
      </c:txPr>
    </c:legend>
    <c:plotVisOnly val="1"/>
  </c:chart>
  <c:spPr>
    <a:solidFill>
      <a:srgbClr val="434343"/>
    </a:solidFill>
  </c:spPr>
</c:chartSpace>
</file>

<file path=xl/charts/chart2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  <a:r>
              <a:rPr b="0">
                <a:solidFill>
                  <a:srgbClr val="FFFFFF"/>
                </a:solidFill>
                <a:latin typeface="+mn-lt"/>
              </a:rPr>
              <a:t>OnMultBlock: L2DCM C++</a:t>
            </a:r>
          </a:p>
        </c:rich>
      </c:tx>
      <c:layout>
        <c:manualLayout>
          <c:xMode val="edge"/>
          <c:yMode val="edge"/>
          <c:x val="0.03091666666666667"/>
          <c:y val="0.04730458221024259"/>
        </c:manualLayout>
      </c:layout>
      <c:overlay val="0"/>
    </c:title>
    <c:plotArea>
      <c:layout/>
      <c:barChart>
        <c:barDir val="col"/>
        <c:ser>
          <c:idx val="0"/>
          <c:order val="0"/>
          <c:tx>
            <c:strRef>
              <c:f>Test3!$B$40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Test3!$A$41:$A$44</c:f>
            </c:strRef>
          </c:cat>
          <c:val>
            <c:numRef>
              <c:f>Test3!$B$41:$B$44</c:f>
              <c:numCache/>
            </c:numRef>
          </c:val>
        </c:ser>
        <c:ser>
          <c:idx val="1"/>
          <c:order val="1"/>
          <c:tx>
            <c:strRef>
              <c:f>Test3!$C$40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Test3!$A$41:$A$44</c:f>
            </c:strRef>
          </c:cat>
          <c:val>
            <c:numRef>
              <c:f>Test3!$C$41:$C$44</c:f>
              <c:numCache/>
            </c:numRef>
          </c:val>
        </c:ser>
        <c:ser>
          <c:idx val="2"/>
          <c:order val="2"/>
          <c:tx>
            <c:strRef>
              <c:f>Test3!$D$40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Test3!$A$41:$A$44</c:f>
            </c:strRef>
          </c:cat>
          <c:val>
            <c:numRef>
              <c:f>Test3!$D$41:$D$44</c:f>
              <c:numCache/>
            </c:numRef>
          </c:val>
        </c:ser>
        <c:ser>
          <c:idx val="3"/>
          <c:order val="3"/>
          <c:tx>
            <c:strRef>
              <c:f>Test3!$E$40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Test3!$A$41:$A$44</c:f>
            </c:strRef>
          </c:cat>
          <c:val>
            <c:numRef>
              <c:f>Test3!$E$41:$E$44</c:f>
              <c:numCache/>
            </c:numRef>
          </c:val>
        </c:ser>
        <c:ser>
          <c:idx val="4"/>
          <c:order val="4"/>
          <c:tx>
            <c:strRef>
              <c:f>Test3!$F$40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Test3!$A$41:$A$44</c:f>
            </c:strRef>
          </c:cat>
          <c:val>
            <c:numRef>
              <c:f>Test3!$F$41:$F$44</c:f>
              <c:numCache/>
            </c:numRef>
          </c:val>
        </c:ser>
        <c:axId val="1835936762"/>
        <c:axId val="481245589"/>
      </c:barChart>
      <c:catAx>
        <c:axId val="18359367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FFFFFF"/>
                    </a:solidFill>
                    <a:latin typeface="+mn-lt"/>
                  </a:defRPr>
                </a:pPr>
                <a:r>
                  <a:rPr b="0">
                    <a:solidFill>
                      <a:srgbClr val="FFFFFF"/>
                    </a:solidFill>
                    <a:latin typeface="+mn-lt"/>
                  </a:rPr>
                  <a:t>Matrix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</a:p>
        </c:txPr>
        <c:crossAx val="481245589"/>
      </c:catAx>
      <c:valAx>
        <c:axId val="48124558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</a:p>
        </c:txPr>
        <c:crossAx val="183593676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FFFFFF"/>
              </a:solidFill>
              <a:latin typeface="+mn-lt"/>
            </a:defRPr>
          </a:pPr>
        </a:p>
      </c:txPr>
    </c:legend>
    <c:plotVisOnly val="1"/>
  </c:chart>
  <c:spPr>
    <a:solidFill>
      <a:srgbClr val="434343"/>
    </a:solidFill>
  </c:spPr>
</c:chartSpace>
</file>

<file path=xl/charts/chart2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  <a:r>
              <a:rPr b="0">
                <a:solidFill>
                  <a:srgbClr val="FFFFFF"/>
                </a:solidFill>
                <a:latin typeface="+mn-lt"/>
              </a:rPr>
              <a:t>OnMultBlock: L1ICM C++</a:t>
            </a:r>
          </a:p>
        </c:rich>
      </c:tx>
      <c:layout>
        <c:manualLayout>
          <c:xMode val="edge"/>
          <c:yMode val="edge"/>
          <c:x val="0.03091666666666667"/>
          <c:y val="0.04730458221024259"/>
        </c:manualLayout>
      </c:layout>
      <c:overlay val="0"/>
    </c:title>
    <c:plotArea>
      <c:layout/>
      <c:barChart>
        <c:barDir val="col"/>
        <c:ser>
          <c:idx val="0"/>
          <c:order val="0"/>
          <c:tx>
            <c:strRef>
              <c:f>Test3!$B$48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Test3!$A$49:$A$52</c:f>
            </c:strRef>
          </c:cat>
          <c:val>
            <c:numRef>
              <c:f>Test3!$B$49:$B$52</c:f>
              <c:numCache/>
            </c:numRef>
          </c:val>
        </c:ser>
        <c:ser>
          <c:idx val="1"/>
          <c:order val="1"/>
          <c:tx>
            <c:strRef>
              <c:f>Test3!$C$48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Test3!$A$49:$A$52</c:f>
            </c:strRef>
          </c:cat>
          <c:val>
            <c:numRef>
              <c:f>Test3!$C$49:$C$52</c:f>
              <c:numCache/>
            </c:numRef>
          </c:val>
        </c:ser>
        <c:ser>
          <c:idx val="2"/>
          <c:order val="2"/>
          <c:tx>
            <c:strRef>
              <c:f>Test3!$D$48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Test3!$A$49:$A$52</c:f>
            </c:strRef>
          </c:cat>
          <c:val>
            <c:numRef>
              <c:f>Test3!$D$49:$D$52</c:f>
              <c:numCache/>
            </c:numRef>
          </c:val>
        </c:ser>
        <c:ser>
          <c:idx val="3"/>
          <c:order val="3"/>
          <c:tx>
            <c:strRef>
              <c:f>Test3!$E$48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Test3!$A$49:$A$52</c:f>
            </c:strRef>
          </c:cat>
          <c:val>
            <c:numRef>
              <c:f>Test3!$E$49:$E$52</c:f>
              <c:numCache/>
            </c:numRef>
          </c:val>
        </c:ser>
        <c:ser>
          <c:idx val="4"/>
          <c:order val="4"/>
          <c:tx>
            <c:strRef>
              <c:f>Test3!$F$48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Test3!$A$49:$A$52</c:f>
            </c:strRef>
          </c:cat>
          <c:val>
            <c:numRef>
              <c:f>Test3!$F$49:$F$52</c:f>
              <c:numCache/>
            </c:numRef>
          </c:val>
        </c:ser>
        <c:axId val="1383699484"/>
        <c:axId val="1037297483"/>
      </c:barChart>
      <c:catAx>
        <c:axId val="13836994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FFFFFF"/>
                    </a:solidFill>
                    <a:latin typeface="+mn-lt"/>
                  </a:defRPr>
                </a:pPr>
                <a:r>
                  <a:rPr b="0">
                    <a:solidFill>
                      <a:srgbClr val="FFFFFF"/>
                    </a:solidFill>
                    <a:latin typeface="+mn-lt"/>
                  </a:rPr>
                  <a:t>Matrix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</a:p>
        </c:txPr>
        <c:crossAx val="1037297483"/>
      </c:catAx>
      <c:valAx>
        <c:axId val="103729748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</a:p>
        </c:txPr>
        <c:crossAx val="138369948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FFFFFF"/>
              </a:solidFill>
              <a:latin typeface="+mn-lt"/>
            </a:defRPr>
          </a:pPr>
        </a:p>
      </c:txPr>
    </c:legend>
    <c:plotVisOnly val="1"/>
  </c:chart>
  <c:spPr>
    <a:solidFill>
      <a:srgbClr val="434343"/>
    </a:solidFill>
  </c:spPr>
</c:chartSpace>
</file>

<file path=xl/charts/chart2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  <a:r>
              <a:rPr b="0">
                <a:solidFill>
                  <a:srgbClr val="FFFFFF"/>
                </a:solidFill>
                <a:latin typeface="+mn-lt"/>
              </a:rPr>
              <a:t>OnMultBlock: L2ICM C++</a:t>
            </a:r>
          </a:p>
        </c:rich>
      </c:tx>
      <c:layout>
        <c:manualLayout>
          <c:xMode val="edge"/>
          <c:yMode val="edge"/>
          <c:x val="0.03091666666666667"/>
          <c:y val="0.04730458221024259"/>
        </c:manualLayout>
      </c:layout>
      <c:overlay val="0"/>
    </c:title>
    <c:plotArea>
      <c:layout/>
      <c:barChart>
        <c:barDir val="col"/>
        <c:ser>
          <c:idx val="0"/>
          <c:order val="0"/>
          <c:tx>
            <c:strRef>
              <c:f>Test3!$B$56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Test3!$A$57:$A$60</c:f>
            </c:strRef>
          </c:cat>
          <c:val>
            <c:numRef>
              <c:f>Test3!$B$57:$B$60</c:f>
              <c:numCache/>
            </c:numRef>
          </c:val>
        </c:ser>
        <c:ser>
          <c:idx val="1"/>
          <c:order val="1"/>
          <c:tx>
            <c:strRef>
              <c:f>Test3!$C$56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Test3!$A$57:$A$60</c:f>
            </c:strRef>
          </c:cat>
          <c:val>
            <c:numRef>
              <c:f>Test3!$C$57:$C$60</c:f>
              <c:numCache/>
            </c:numRef>
          </c:val>
        </c:ser>
        <c:ser>
          <c:idx val="2"/>
          <c:order val="2"/>
          <c:tx>
            <c:strRef>
              <c:f>Test3!$D$56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Test3!$A$57:$A$60</c:f>
            </c:strRef>
          </c:cat>
          <c:val>
            <c:numRef>
              <c:f>Test3!$D$57:$D$60</c:f>
              <c:numCache/>
            </c:numRef>
          </c:val>
        </c:ser>
        <c:ser>
          <c:idx val="3"/>
          <c:order val="3"/>
          <c:tx>
            <c:strRef>
              <c:f>Test3!$E$56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Test3!$A$57:$A$60</c:f>
            </c:strRef>
          </c:cat>
          <c:val>
            <c:numRef>
              <c:f>Test3!$E$57:$E$60</c:f>
              <c:numCache/>
            </c:numRef>
          </c:val>
        </c:ser>
        <c:ser>
          <c:idx val="4"/>
          <c:order val="4"/>
          <c:tx>
            <c:strRef>
              <c:f>Test3!$F$56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Test3!$A$57:$A$60</c:f>
            </c:strRef>
          </c:cat>
          <c:val>
            <c:numRef>
              <c:f>Test3!$F$57:$F$60</c:f>
              <c:numCache/>
            </c:numRef>
          </c:val>
        </c:ser>
        <c:axId val="710155115"/>
        <c:axId val="645194317"/>
      </c:barChart>
      <c:catAx>
        <c:axId val="7101551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FFFFFF"/>
                    </a:solidFill>
                    <a:latin typeface="+mn-lt"/>
                  </a:defRPr>
                </a:pPr>
                <a:r>
                  <a:rPr b="0">
                    <a:solidFill>
                      <a:srgbClr val="FFFFFF"/>
                    </a:solidFill>
                    <a:latin typeface="+mn-lt"/>
                  </a:rPr>
                  <a:t>Matrix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</a:p>
        </c:txPr>
        <c:crossAx val="645194317"/>
      </c:catAx>
      <c:valAx>
        <c:axId val="6451943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</a:p>
        </c:txPr>
        <c:crossAx val="71015511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FFFFFF"/>
              </a:solidFill>
              <a:latin typeface="+mn-lt"/>
            </a:defRPr>
          </a:pPr>
        </a:p>
      </c:txPr>
    </c:legend>
    <c:plotVisOnly val="1"/>
  </c:chart>
  <c:spPr>
    <a:solidFill>
      <a:srgbClr val="434343"/>
    </a:solidFill>
  </c:spPr>
</c:chartSpace>
</file>

<file path=xl/charts/chart2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  <a:r>
              <a:rPr b="0">
                <a:solidFill>
                  <a:srgbClr val="FFFFFF"/>
                </a:solidFill>
                <a:latin typeface="+mn-lt"/>
              </a:rPr>
              <a:t>OnMultBlock: L1TCM C++</a:t>
            </a:r>
          </a:p>
        </c:rich>
      </c:tx>
      <c:layout>
        <c:manualLayout>
          <c:xMode val="edge"/>
          <c:yMode val="edge"/>
          <c:x val="0.03091666666666667"/>
          <c:y val="0.04730458221024259"/>
        </c:manualLayout>
      </c:layout>
      <c:overlay val="0"/>
    </c:title>
    <c:plotArea>
      <c:layout/>
      <c:barChart>
        <c:barDir val="col"/>
        <c:ser>
          <c:idx val="0"/>
          <c:order val="0"/>
          <c:tx>
            <c:strRef>
              <c:f>Test3!$B$64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Test3!$A$65:$A$68</c:f>
            </c:strRef>
          </c:cat>
          <c:val>
            <c:numRef>
              <c:f>Test3!$B$65:$B$68</c:f>
              <c:numCache/>
            </c:numRef>
          </c:val>
        </c:ser>
        <c:ser>
          <c:idx val="1"/>
          <c:order val="1"/>
          <c:tx>
            <c:strRef>
              <c:f>Test3!$C$64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Test3!$A$65:$A$68</c:f>
            </c:strRef>
          </c:cat>
          <c:val>
            <c:numRef>
              <c:f>Test3!$C$65:$C$68</c:f>
              <c:numCache/>
            </c:numRef>
          </c:val>
        </c:ser>
        <c:ser>
          <c:idx val="2"/>
          <c:order val="2"/>
          <c:tx>
            <c:strRef>
              <c:f>Test3!$D$64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Test3!$A$65:$A$68</c:f>
            </c:strRef>
          </c:cat>
          <c:val>
            <c:numRef>
              <c:f>Test3!$D$65:$D$68</c:f>
              <c:numCache/>
            </c:numRef>
          </c:val>
        </c:ser>
        <c:ser>
          <c:idx val="3"/>
          <c:order val="3"/>
          <c:tx>
            <c:strRef>
              <c:f>Test3!$E$64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Test3!$A$65:$A$68</c:f>
            </c:strRef>
          </c:cat>
          <c:val>
            <c:numRef>
              <c:f>Test3!$E$65:$E$68</c:f>
              <c:numCache/>
            </c:numRef>
          </c:val>
        </c:ser>
        <c:ser>
          <c:idx val="4"/>
          <c:order val="4"/>
          <c:tx>
            <c:strRef>
              <c:f>Test3!$F$64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Test3!$A$65:$A$68</c:f>
            </c:strRef>
          </c:cat>
          <c:val>
            <c:numRef>
              <c:f>Test3!$F$65:$F$68</c:f>
              <c:numCache/>
            </c:numRef>
          </c:val>
        </c:ser>
        <c:axId val="1017511152"/>
        <c:axId val="471091202"/>
      </c:barChart>
      <c:catAx>
        <c:axId val="1017511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FFFFFF"/>
                    </a:solidFill>
                    <a:latin typeface="+mn-lt"/>
                  </a:defRPr>
                </a:pPr>
                <a:r>
                  <a:rPr b="0">
                    <a:solidFill>
                      <a:srgbClr val="FFFFFF"/>
                    </a:solidFill>
                    <a:latin typeface="+mn-lt"/>
                  </a:rPr>
                  <a:t>Matrix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</a:p>
        </c:txPr>
        <c:crossAx val="471091202"/>
      </c:catAx>
      <c:valAx>
        <c:axId val="47109120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</a:p>
        </c:txPr>
        <c:crossAx val="101751115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FFFFFF"/>
              </a:solidFill>
              <a:latin typeface="+mn-lt"/>
            </a:defRPr>
          </a:pPr>
        </a:p>
      </c:txPr>
    </c:legend>
    <c:plotVisOnly val="1"/>
  </c:chart>
  <c:spPr>
    <a:solidFill>
      <a:srgbClr val="434343"/>
    </a:solidFill>
  </c:spPr>
</c:chartSpace>
</file>

<file path=xl/charts/chart2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  <a:r>
              <a:rPr b="0">
                <a:solidFill>
                  <a:srgbClr val="FFFFFF"/>
                </a:solidFill>
                <a:latin typeface="+mn-lt"/>
              </a:rPr>
              <a:t>OnMultBlock: L2TCM C++</a:t>
            </a:r>
          </a:p>
        </c:rich>
      </c:tx>
      <c:layout>
        <c:manualLayout>
          <c:xMode val="edge"/>
          <c:yMode val="edge"/>
          <c:x val="0.03091666666666667"/>
          <c:y val="0.04730458221024259"/>
        </c:manualLayout>
      </c:layout>
      <c:overlay val="0"/>
    </c:title>
    <c:plotArea>
      <c:layout/>
      <c:barChart>
        <c:barDir val="col"/>
        <c:ser>
          <c:idx val="0"/>
          <c:order val="0"/>
          <c:tx>
            <c:strRef>
              <c:f>Test3!$B$72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Test3!$A$73:$A$76</c:f>
            </c:strRef>
          </c:cat>
          <c:val>
            <c:numRef>
              <c:f>Test3!$B$73:$B$76</c:f>
              <c:numCache/>
            </c:numRef>
          </c:val>
        </c:ser>
        <c:ser>
          <c:idx val="1"/>
          <c:order val="1"/>
          <c:tx>
            <c:strRef>
              <c:f>Test3!$C$72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Test3!$A$73:$A$76</c:f>
            </c:strRef>
          </c:cat>
          <c:val>
            <c:numRef>
              <c:f>Test3!$C$73:$C$76</c:f>
              <c:numCache/>
            </c:numRef>
          </c:val>
        </c:ser>
        <c:ser>
          <c:idx val="2"/>
          <c:order val="2"/>
          <c:tx>
            <c:strRef>
              <c:f>Test3!$D$72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Test3!$A$73:$A$76</c:f>
            </c:strRef>
          </c:cat>
          <c:val>
            <c:numRef>
              <c:f>Test3!$D$73:$D$76</c:f>
              <c:numCache/>
            </c:numRef>
          </c:val>
        </c:ser>
        <c:ser>
          <c:idx val="3"/>
          <c:order val="3"/>
          <c:tx>
            <c:strRef>
              <c:f>Test3!$E$72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Test3!$A$73:$A$76</c:f>
            </c:strRef>
          </c:cat>
          <c:val>
            <c:numRef>
              <c:f>Test3!$E$73:$E$76</c:f>
              <c:numCache/>
            </c:numRef>
          </c:val>
        </c:ser>
        <c:ser>
          <c:idx val="4"/>
          <c:order val="4"/>
          <c:tx>
            <c:strRef>
              <c:f>Test3!$F$72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Test3!$A$73:$A$76</c:f>
            </c:strRef>
          </c:cat>
          <c:val>
            <c:numRef>
              <c:f>Test3!$F$73:$F$76</c:f>
              <c:numCache/>
            </c:numRef>
          </c:val>
        </c:ser>
        <c:axId val="2008594722"/>
        <c:axId val="1782266363"/>
      </c:barChart>
      <c:catAx>
        <c:axId val="200859472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FFFFFF"/>
                    </a:solidFill>
                    <a:latin typeface="+mn-lt"/>
                  </a:defRPr>
                </a:pPr>
                <a:r>
                  <a:rPr b="0">
                    <a:solidFill>
                      <a:srgbClr val="FFFFFF"/>
                    </a:solidFill>
                    <a:latin typeface="+mn-lt"/>
                  </a:rPr>
                  <a:t>Matrix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</a:p>
        </c:txPr>
        <c:crossAx val="1782266363"/>
      </c:catAx>
      <c:valAx>
        <c:axId val="17822663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</a:p>
        </c:txPr>
        <c:crossAx val="200859472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FFFFFF"/>
              </a:solidFill>
              <a:latin typeface="+mn-lt"/>
            </a:defRPr>
          </a:pPr>
        </a:p>
      </c:txPr>
    </c:legend>
    <c:plotVisOnly val="1"/>
  </c:chart>
  <c:spPr>
    <a:solidFill>
      <a:srgbClr val="434343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  <a:r>
              <a:rPr b="0">
                <a:solidFill>
                  <a:srgbClr val="FFFFFF"/>
                </a:solidFill>
                <a:latin typeface="+mn-lt"/>
              </a:rPr>
              <a:t>OnMult: C++ ICM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Test1!$F$2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Test1!$A$3:$A$9</c:f>
            </c:strRef>
          </c:cat>
          <c:val>
            <c:numRef>
              <c:f>Test1!$F$3:$F$9</c:f>
              <c:numCache/>
            </c:numRef>
          </c:val>
          <c:smooth val="0"/>
        </c:ser>
        <c:ser>
          <c:idx val="1"/>
          <c:order val="1"/>
          <c:tx>
            <c:strRef>
              <c:f>Test1!$G$2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Test1!$A$3:$A$9</c:f>
            </c:strRef>
          </c:cat>
          <c:val>
            <c:numRef>
              <c:f>Test1!$G$3:$G$9</c:f>
              <c:numCache/>
            </c:numRef>
          </c:val>
          <c:smooth val="0"/>
        </c:ser>
        <c:axId val="2098177112"/>
        <c:axId val="238303640"/>
      </c:lineChart>
      <c:catAx>
        <c:axId val="2098177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</a:p>
        </c:txPr>
        <c:crossAx val="238303640"/>
      </c:catAx>
      <c:valAx>
        <c:axId val="2383036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</a:p>
        </c:txPr>
        <c:crossAx val="209817711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FFFFFF"/>
              </a:solidFill>
              <a:latin typeface="+mn-lt"/>
            </a:defRPr>
          </a:pPr>
        </a:p>
      </c:txPr>
    </c:legend>
    <c:plotVisOnly val="1"/>
  </c:chart>
  <c:spPr>
    <a:solidFill>
      <a:srgbClr val="434343"/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  <a:r>
              <a:rPr b="0">
                <a:solidFill>
                  <a:srgbClr val="FFFFFF"/>
                </a:solidFill>
                <a:latin typeface="+mn-lt"/>
              </a:rPr>
              <a:t>OnMult: C++ TCM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Test1!$H$2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Test1!$A$3:$A$9</c:f>
            </c:strRef>
          </c:cat>
          <c:val>
            <c:numRef>
              <c:f>Test1!$H$3:$H$9</c:f>
              <c:numCache/>
            </c:numRef>
          </c:val>
          <c:smooth val="0"/>
        </c:ser>
        <c:ser>
          <c:idx val="1"/>
          <c:order val="1"/>
          <c:tx>
            <c:strRef>
              <c:f>Test1!$I$2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Test1!$A$3:$A$9</c:f>
            </c:strRef>
          </c:cat>
          <c:val>
            <c:numRef>
              <c:f>Test1!$I$3:$I$9</c:f>
              <c:numCache/>
            </c:numRef>
          </c:val>
          <c:smooth val="0"/>
        </c:ser>
        <c:axId val="1430206433"/>
        <c:axId val="2118987625"/>
      </c:lineChart>
      <c:catAx>
        <c:axId val="14302064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</a:p>
        </c:txPr>
        <c:crossAx val="2118987625"/>
      </c:catAx>
      <c:valAx>
        <c:axId val="211898762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</a:p>
        </c:txPr>
        <c:crossAx val="143020643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FFFFFF"/>
              </a:solidFill>
              <a:latin typeface="+mn-lt"/>
            </a:defRPr>
          </a:pPr>
        </a:p>
      </c:txPr>
    </c:legend>
    <c:plotVisOnly val="1"/>
  </c:chart>
  <c:spPr>
    <a:solidFill>
      <a:srgbClr val="434343"/>
    </a:solidFill>
  </c:spPr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  <a:r>
              <a:rPr b="0">
                <a:solidFill>
                  <a:srgbClr val="FFFFFF"/>
                </a:solidFill>
                <a:latin typeface="+mn-lt"/>
              </a:rPr>
              <a:t>OnMult: C++ TCM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Test1!$J$2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Test1!$A$3:$A$9</c:f>
            </c:strRef>
          </c:cat>
          <c:val>
            <c:numRef>
              <c:f>Test1!$J$3:$J$9</c:f>
              <c:numCache/>
            </c:numRef>
          </c:val>
          <c:smooth val="0"/>
        </c:ser>
        <c:axId val="997123737"/>
        <c:axId val="835004471"/>
      </c:lineChart>
      <c:catAx>
        <c:axId val="9971237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</a:p>
        </c:txPr>
        <c:crossAx val="835004471"/>
      </c:catAx>
      <c:valAx>
        <c:axId val="83500447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</a:p>
        </c:txPr>
        <c:crossAx val="99712373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FFFFFF"/>
              </a:solidFill>
              <a:latin typeface="+mn-lt"/>
            </a:defRPr>
          </a:pPr>
        </a:p>
      </c:txPr>
    </c:legend>
    <c:plotVisOnly val="1"/>
  </c:chart>
  <c:spPr>
    <a:solidFill>
      <a:srgbClr val="434343"/>
    </a:solidFill>
  </c:spPr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  <a:r>
              <a:rPr b="0">
                <a:solidFill>
                  <a:srgbClr val="FFFFFF"/>
                </a:solidFill>
                <a:latin typeface="+mn-lt"/>
              </a:rPr>
              <a:t>Time Comparison OnMult vs OnMultLine</a:t>
            </a:r>
          </a:p>
        </c:rich>
      </c:tx>
      <c:layout>
        <c:manualLayout>
          <c:xMode val="edge"/>
          <c:yMode val="edge"/>
          <c:x val="0.03091666666666667"/>
          <c:y val="0.04730458221024259"/>
        </c:manualLayout>
      </c:layout>
      <c:overlay val="0"/>
    </c:title>
    <c:plotArea>
      <c:layout/>
      <c:lineChart>
        <c:ser>
          <c:idx val="0"/>
          <c:order val="0"/>
          <c:tx>
            <c:v>OnMult C++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Test1!$A$24:$A$30</c:f>
            </c:strRef>
          </c:cat>
          <c:val>
            <c:numRef>
              <c:f>Test1!$B$24:$B$30</c:f>
              <c:numCache/>
            </c:numRef>
          </c:val>
          <c:smooth val="0"/>
        </c:ser>
        <c:ser>
          <c:idx val="1"/>
          <c:order val="1"/>
          <c:tx>
            <c:v>OnMult Java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Test1!$A$24:$A$30</c:f>
            </c:strRef>
          </c:cat>
          <c:val>
            <c:numRef>
              <c:f>Test1!$C$24:$C$30</c:f>
              <c:numCache/>
            </c:numRef>
          </c:val>
          <c:smooth val="0"/>
        </c:ser>
        <c:ser>
          <c:idx val="2"/>
          <c:order val="2"/>
          <c:tx>
            <c:v>OnMultLine C++</c:v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Test1!$A$24:$A$30</c:f>
            </c:strRef>
          </c:cat>
          <c:val>
            <c:numRef>
              <c:f>Test2!$B$24:$B$30</c:f>
              <c:numCache/>
            </c:numRef>
          </c:val>
          <c:smooth val="0"/>
        </c:ser>
        <c:ser>
          <c:idx val="3"/>
          <c:order val="3"/>
          <c:tx>
            <c:v>OnMultLineJava</c:v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Test1!$A$24:$A$30</c:f>
            </c:strRef>
          </c:cat>
          <c:val>
            <c:numRef>
              <c:f>Test2!$C$24:$C$30</c:f>
              <c:numCache/>
            </c:numRef>
          </c:val>
          <c:smooth val="0"/>
        </c:ser>
        <c:axId val="1330426138"/>
        <c:axId val="90092249"/>
      </c:lineChart>
      <c:catAx>
        <c:axId val="133042613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FFFFFF"/>
                    </a:solidFill>
                    <a:latin typeface="+mn-lt"/>
                  </a:defRPr>
                </a:pPr>
                <a:r>
                  <a:rPr b="0">
                    <a:solidFill>
                      <a:srgbClr val="FFFFFF"/>
                    </a:solidFill>
                    <a:latin typeface="+mn-lt"/>
                  </a:rPr>
                  <a:t>Matrix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</a:p>
        </c:txPr>
        <c:crossAx val="90092249"/>
      </c:catAx>
      <c:valAx>
        <c:axId val="900922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</a:p>
        </c:txPr>
        <c:crossAx val="133042613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FFFFFF"/>
              </a:solidFill>
              <a:latin typeface="+mn-lt"/>
            </a:defRPr>
          </a:pPr>
        </a:p>
      </c:txPr>
    </c:legend>
    <c:plotVisOnly val="1"/>
  </c:chart>
  <c:spPr>
    <a:solidFill>
      <a:srgbClr val="434343"/>
    </a:solidFill>
  </c:spPr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  <a:r>
              <a:rPr b="0">
                <a:solidFill>
                  <a:srgbClr val="FFFFFF"/>
                </a:solidFill>
                <a:latin typeface="+mn-lt"/>
              </a:rPr>
              <a:t>DCM OnMult vs OnMultLine</a:t>
            </a:r>
          </a:p>
        </c:rich>
      </c:tx>
      <c:overlay val="0"/>
    </c:title>
    <c:plotArea>
      <c:layout/>
      <c:lineChart>
        <c:ser>
          <c:idx val="0"/>
          <c:order val="0"/>
          <c:tx>
            <c:v>L1DCM OnMult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Test1!$A$3:$A$9</c:f>
            </c:strRef>
          </c:cat>
          <c:val>
            <c:numRef>
              <c:f>Test1!$D$3:$D$9</c:f>
              <c:numCache/>
            </c:numRef>
          </c:val>
          <c:smooth val="0"/>
        </c:ser>
        <c:ser>
          <c:idx val="1"/>
          <c:order val="1"/>
          <c:tx>
            <c:v>L2DCM OnMult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Test1!$A$3:$A$9</c:f>
            </c:strRef>
          </c:cat>
          <c:val>
            <c:numRef>
              <c:f>Test1!$E$3:$E$9</c:f>
              <c:numCache/>
            </c:numRef>
          </c:val>
          <c:smooth val="0"/>
        </c:ser>
        <c:ser>
          <c:idx val="2"/>
          <c:order val="2"/>
          <c:tx>
            <c:v>L1DCM OnMultLine</c:v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Test1!$A$3:$A$9</c:f>
            </c:strRef>
          </c:cat>
          <c:val>
            <c:numRef>
              <c:f>Test2!$D$3:$D$9</c:f>
              <c:numCache/>
            </c:numRef>
          </c:val>
          <c:smooth val="0"/>
        </c:ser>
        <c:ser>
          <c:idx val="3"/>
          <c:order val="3"/>
          <c:tx>
            <c:v>L2DCM OnMultLine</c:v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Test1!$A$3:$A$9</c:f>
            </c:strRef>
          </c:cat>
          <c:val>
            <c:numRef>
              <c:f>Test2!$E$3:$E$9</c:f>
              <c:numCache/>
            </c:numRef>
          </c:val>
          <c:smooth val="0"/>
        </c:ser>
        <c:axId val="1222389114"/>
        <c:axId val="654443899"/>
      </c:lineChart>
      <c:catAx>
        <c:axId val="122238911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FFFFFF"/>
                    </a:solidFill>
                    <a:latin typeface="+mn-lt"/>
                  </a:defRPr>
                </a:pPr>
                <a:r>
                  <a:rPr b="0">
                    <a:solidFill>
                      <a:srgbClr val="FFFFFF"/>
                    </a:solidFill>
                    <a:latin typeface="+mn-lt"/>
                  </a:rPr>
                  <a:t>Matrix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</a:p>
        </c:txPr>
        <c:crossAx val="654443899"/>
      </c:catAx>
      <c:valAx>
        <c:axId val="65444389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</a:p>
        </c:txPr>
        <c:crossAx val="122238911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FFFFFF"/>
              </a:solidFill>
              <a:latin typeface="+mn-lt"/>
            </a:defRPr>
          </a:pPr>
        </a:p>
      </c:txPr>
    </c:legend>
    <c:plotVisOnly val="1"/>
  </c:chart>
  <c:spPr>
    <a:solidFill>
      <a:srgbClr val="434343"/>
    </a:solidFill>
  </c:spPr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  <a:r>
              <a:rPr b="0">
                <a:solidFill>
                  <a:srgbClr val="FFFFFF"/>
                </a:solidFill>
                <a:latin typeface="+mn-lt"/>
              </a:rPr>
              <a:t>OnMultLine: Time Comparison C++ vs Java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Test2!$B$23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Test2!$A$24:$A$30</c:f>
            </c:strRef>
          </c:cat>
          <c:val>
            <c:numRef>
              <c:f>Test2!$B$24:$B$30</c:f>
              <c:numCache/>
            </c:numRef>
          </c:val>
          <c:smooth val="0"/>
        </c:ser>
        <c:ser>
          <c:idx val="1"/>
          <c:order val="1"/>
          <c:tx>
            <c:strRef>
              <c:f>Test2!$C$23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Test2!$A$24:$A$30</c:f>
            </c:strRef>
          </c:cat>
          <c:val>
            <c:numRef>
              <c:f>Test2!$C$24:$C$30</c:f>
              <c:numCache/>
            </c:numRef>
          </c:val>
          <c:smooth val="0"/>
        </c:ser>
        <c:axId val="878924792"/>
        <c:axId val="1629878016"/>
      </c:lineChart>
      <c:catAx>
        <c:axId val="878924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FFFFFF"/>
                    </a:solidFill>
                    <a:latin typeface="+mn-lt"/>
                  </a:defRPr>
                </a:pPr>
                <a:r>
                  <a:rPr b="0">
                    <a:solidFill>
                      <a:srgbClr val="FFFFFF"/>
                    </a:solidFill>
                    <a:latin typeface="+mn-lt"/>
                  </a:rPr>
                  <a:t>Matrix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</a:p>
        </c:txPr>
        <c:crossAx val="1629878016"/>
      </c:catAx>
      <c:valAx>
        <c:axId val="16298780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</a:p>
        </c:txPr>
        <c:crossAx val="87892479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FFFFFF"/>
              </a:solidFill>
              <a:latin typeface="+mn-lt"/>
            </a:defRPr>
          </a:pPr>
        </a:p>
      </c:txPr>
    </c:legend>
    <c:plotVisOnly val="1"/>
  </c:chart>
  <c:spPr>
    <a:solidFill>
      <a:srgbClr val="434343"/>
    </a:solidFill>
  </c:spPr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  <a:r>
              <a:rPr b="0">
                <a:solidFill>
                  <a:srgbClr val="FFFFFF"/>
                </a:solidFill>
                <a:latin typeface="+mn-lt"/>
              </a:rPr>
              <a:t>OnMultLine: C++ DCM</a:t>
            </a:r>
          </a:p>
        </c:rich>
      </c:tx>
      <c:layout>
        <c:manualLayout>
          <c:xMode val="edge"/>
          <c:yMode val="edge"/>
          <c:x val="0.03091666666666667"/>
          <c:y val="0.052695417789757414"/>
        </c:manualLayout>
      </c:layout>
      <c:overlay val="0"/>
    </c:title>
    <c:plotArea>
      <c:layout/>
      <c:lineChart>
        <c:ser>
          <c:idx val="0"/>
          <c:order val="0"/>
          <c:tx>
            <c:strRef>
              <c:f>Test2!$D$2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Test2!$A$3:$A$9</c:f>
            </c:strRef>
          </c:cat>
          <c:val>
            <c:numRef>
              <c:f>Test2!$D$3:$D$9</c:f>
              <c:numCache/>
            </c:numRef>
          </c:val>
          <c:smooth val="0"/>
        </c:ser>
        <c:ser>
          <c:idx val="1"/>
          <c:order val="1"/>
          <c:tx>
            <c:strRef>
              <c:f>Test2!$E$2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Test2!$A$3:$A$9</c:f>
            </c:strRef>
          </c:cat>
          <c:val>
            <c:numRef>
              <c:f>Test2!$E$3:$E$9</c:f>
              <c:numCache/>
            </c:numRef>
          </c:val>
          <c:smooth val="0"/>
        </c:ser>
        <c:axId val="1938675878"/>
        <c:axId val="1896071808"/>
      </c:lineChart>
      <c:catAx>
        <c:axId val="19386758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FFFFFF"/>
                    </a:solidFill>
                    <a:latin typeface="+mn-lt"/>
                  </a:defRPr>
                </a:pPr>
                <a:r>
                  <a:rPr b="0">
                    <a:solidFill>
                      <a:srgbClr val="FFFFFF"/>
                    </a:solidFill>
                    <a:latin typeface="+mn-lt"/>
                  </a:rPr>
                  <a:t>Matrix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</a:p>
        </c:txPr>
        <c:crossAx val="1896071808"/>
      </c:catAx>
      <c:valAx>
        <c:axId val="18960718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</a:p>
        </c:txPr>
        <c:crossAx val="193867587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FFFFFF"/>
              </a:solidFill>
              <a:latin typeface="+mn-lt"/>
            </a:defRPr>
          </a:pPr>
        </a:p>
      </c:txPr>
    </c:legend>
    <c:plotVisOnly val="1"/>
  </c:chart>
  <c:spPr>
    <a:solidFill>
      <a:srgbClr val="434343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Relationship Id="rId3" Type="http://schemas.openxmlformats.org/officeDocument/2006/relationships/chart" Target="../charts/chart10.xml"/><Relationship Id="rId4" Type="http://schemas.openxmlformats.org/officeDocument/2006/relationships/chart" Target="../charts/chart11.xml"/><Relationship Id="rId5" Type="http://schemas.openxmlformats.org/officeDocument/2006/relationships/chart" Target="../charts/chart12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<Relationship Id="rId4" Type="http://schemas.openxmlformats.org/officeDocument/2006/relationships/chart" Target="../charts/chart16.xml"/><Relationship Id="rId5" Type="http://schemas.openxmlformats.org/officeDocument/2006/relationships/chart" Target="../charts/chart17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8.xml"/><Relationship Id="rId2" Type="http://schemas.openxmlformats.org/officeDocument/2006/relationships/chart" Target="../charts/chart19.xml"/><Relationship Id="rId3" Type="http://schemas.openxmlformats.org/officeDocument/2006/relationships/chart" Target="../charts/chart20.xml"/><Relationship Id="rId4" Type="http://schemas.openxmlformats.org/officeDocument/2006/relationships/chart" Target="../charts/chart21.xml"/><Relationship Id="rId5" Type="http://schemas.openxmlformats.org/officeDocument/2006/relationships/chart" Target="../charts/chart22.xml"/><Relationship Id="rId6" Type="http://schemas.openxmlformats.org/officeDocument/2006/relationships/chart" Target="../charts/chart23.xml"/><Relationship Id="rId7" Type="http://schemas.openxmlformats.org/officeDocument/2006/relationships/chart" Target="../charts/chart2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581025</xdr:colOff>
      <xdr:row>12</xdr:row>
      <xdr:rowOff>142875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581025</xdr:colOff>
      <xdr:row>32</xdr:row>
      <xdr:rowOff>66675</xdr:rowOff>
    </xdr:from>
    <xdr:ext cx="5715000" cy="353377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4</xdr:col>
      <xdr:colOff>581025</xdr:colOff>
      <xdr:row>52</xdr:row>
      <xdr:rowOff>114300</xdr:rowOff>
    </xdr:from>
    <xdr:ext cx="5715000" cy="3533775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4</xdr:col>
      <xdr:colOff>581025</xdr:colOff>
      <xdr:row>72</xdr:row>
      <xdr:rowOff>161925</xdr:rowOff>
    </xdr:from>
    <xdr:ext cx="5715000" cy="3533775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</xdr:col>
      <xdr:colOff>581025</xdr:colOff>
      <xdr:row>92</xdr:row>
      <xdr:rowOff>85725</xdr:rowOff>
    </xdr:from>
    <xdr:ext cx="5715000" cy="3533775"/>
    <xdr:graphicFrame>
      <xdr:nvGraphicFramePr>
        <xdr:cNvPr id="5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581025</xdr:colOff>
      <xdr:row>3</xdr:row>
      <xdr:rowOff>142875</xdr:rowOff>
    </xdr:from>
    <xdr:ext cx="5715000" cy="3533775"/>
    <xdr:graphicFrame>
      <xdr:nvGraphicFramePr>
        <xdr:cNvPr id="6" name="Chart 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733425</xdr:colOff>
      <xdr:row>3</xdr:row>
      <xdr:rowOff>142875</xdr:rowOff>
    </xdr:from>
    <xdr:ext cx="5715000" cy="3533775"/>
    <xdr:graphicFrame>
      <xdr:nvGraphicFramePr>
        <xdr:cNvPr id="7" name="Chart 7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428625</xdr:colOff>
      <xdr:row>11</xdr:row>
      <xdr:rowOff>190500</xdr:rowOff>
    </xdr:from>
    <xdr:ext cx="5715000" cy="3533775"/>
    <xdr:graphicFrame>
      <xdr:nvGraphicFramePr>
        <xdr:cNvPr id="8" name="Chart 8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428625</xdr:colOff>
      <xdr:row>30</xdr:row>
      <xdr:rowOff>190500</xdr:rowOff>
    </xdr:from>
    <xdr:ext cx="5715000" cy="3533775"/>
    <xdr:graphicFrame>
      <xdr:nvGraphicFramePr>
        <xdr:cNvPr id="9" name="Chart 9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5</xdr:col>
      <xdr:colOff>428625</xdr:colOff>
      <xdr:row>50</xdr:row>
      <xdr:rowOff>95250</xdr:rowOff>
    </xdr:from>
    <xdr:ext cx="5715000" cy="3533775"/>
    <xdr:graphicFrame>
      <xdr:nvGraphicFramePr>
        <xdr:cNvPr id="10" name="Chart 10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5</xdr:col>
      <xdr:colOff>428625</xdr:colOff>
      <xdr:row>70</xdr:row>
      <xdr:rowOff>0</xdr:rowOff>
    </xdr:from>
    <xdr:ext cx="5715000" cy="3533775"/>
    <xdr:graphicFrame>
      <xdr:nvGraphicFramePr>
        <xdr:cNvPr id="11" name="Chart 1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5</xdr:col>
      <xdr:colOff>428625</xdr:colOff>
      <xdr:row>89</xdr:row>
      <xdr:rowOff>0</xdr:rowOff>
    </xdr:from>
    <xdr:ext cx="5715000" cy="3533775"/>
    <xdr:graphicFrame>
      <xdr:nvGraphicFramePr>
        <xdr:cNvPr id="12" name="Chart 1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5</xdr:row>
      <xdr:rowOff>190500</xdr:rowOff>
    </xdr:from>
    <xdr:ext cx="5715000" cy="3533775"/>
    <xdr:graphicFrame>
      <xdr:nvGraphicFramePr>
        <xdr:cNvPr id="13" name="Chart 1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24</xdr:row>
      <xdr:rowOff>190500</xdr:rowOff>
    </xdr:from>
    <xdr:ext cx="5715000" cy="3533775"/>
    <xdr:graphicFrame>
      <xdr:nvGraphicFramePr>
        <xdr:cNvPr id="14" name="Chart 1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0</xdr:colOff>
      <xdr:row>45</xdr:row>
      <xdr:rowOff>190500</xdr:rowOff>
    </xdr:from>
    <xdr:ext cx="5715000" cy="3533775"/>
    <xdr:graphicFrame>
      <xdr:nvGraphicFramePr>
        <xdr:cNvPr id="15" name="Chart 1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0</xdr:colOff>
      <xdr:row>66</xdr:row>
      <xdr:rowOff>190500</xdr:rowOff>
    </xdr:from>
    <xdr:ext cx="5715000" cy="3533775"/>
    <xdr:graphicFrame>
      <xdr:nvGraphicFramePr>
        <xdr:cNvPr id="16" name="Chart 1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0</xdr:col>
      <xdr:colOff>0</xdr:colOff>
      <xdr:row>87</xdr:row>
      <xdr:rowOff>190500</xdr:rowOff>
    </xdr:from>
    <xdr:ext cx="5715000" cy="3533775"/>
    <xdr:graphicFrame>
      <xdr:nvGraphicFramePr>
        <xdr:cNvPr id="17" name="Chart 17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923925</xdr:colOff>
      <xdr:row>24</xdr:row>
      <xdr:rowOff>9525</xdr:rowOff>
    </xdr:from>
    <xdr:ext cx="5715000" cy="3533775"/>
    <xdr:graphicFrame>
      <xdr:nvGraphicFramePr>
        <xdr:cNvPr id="18" name="Chart 18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438150</xdr:colOff>
      <xdr:row>44</xdr:row>
      <xdr:rowOff>76200</xdr:rowOff>
    </xdr:from>
    <xdr:ext cx="5715000" cy="3533775"/>
    <xdr:graphicFrame>
      <xdr:nvGraphicFramePr>
        <xdr:cNvPr id="19" name="Chart 19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12</xdr:col>
      <xdr:colOff>495300</xdr:colOff>
      <xdr:row>44</xdr:row>
      <xdr:rowOff>76200</xdr:rowOff>
    </xdr:from>
    <xdr:ext cx="5715000" cy="3533775"/>
    <xdr:graphicFrame>
      <xdr:nvGraphicFramePr>
        <xdr:cNvPr id="20" name="Chart 20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6</xdr:col>
      <xdr:colOff>438150</xdr:colOff>
      <xdr:row>65</xdr:row>
      <xdr:rowOff>76200</xdr:rowOff>
    </xdr:from>
    <xdr:ext cx="5715000" cy="3533775"/>
    <xdr:graphicFrame>
      <xdr:nvGraphicFramePr>
        <xdr:cNvPr id="21" name="Chart 2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12</xdr:col>
      <xdr:colOff>495300</xdr:colOff>
      <xdr:row>65</xdr:row>
      <xdr:rowOff>76200</xdr:rowOff>
    </xdr:from>
    <xdr:ext cx="5715000" cy="3533775"/>
    <xdr:graphicFrame>
      <xdr:nvGraphicFramePr>
        <xdr:cNvPr id="22" name="Chart 2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6</xdr:col>
      <xdr:colOff>438150</xdr:colOff>
      <xdr:row>86</xdr:row>
      <xdr:rowOff>76200</xdr:rowOff>
    </xdr:from>
    <xdr:ext cx="5715000" cy="3533775"/>
    <xdr:graphicFrame>
      <xdr:nvGraphicFramePr>
        <xdr:cNvPr id="23" name="Chart 2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12</xdr:col>
      <xdr:colOff>495300</xdr:colOff>
      <xdr:row>86</xdr:row>
      <xdr:rowOff>76200</xdr:rowOff>
    </xdr:from>
    <xdr:ext cx="5715000" cy="3533775"/>
    <xdr:graphicFrame>
      <xdr:nvGraphicFramePr>
        <xdr:cNvPr id="24" name="Chart 2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</row>
    <row r="2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</row>
    <row r="3">
      <c r="A3" s="3">
        <v>600.0</v>
      </c>
      <c r="B3" s="3">
        <v>0.0</v>
      </c>
      <c r="C3" s="3">
        <v>0.195</v>
      </c>
      <c r="D3" s="3">
        <v>2.44762291E8</v>
      </c>
      <c r="E3" s="3">
        <v>4.0552581E7</v>
      </c>
      <c r="F3" s="3">
        <v>3695.0</v>
      </c>
      <c r="G3" s="3">
        <v>1820.0</v>
      </c>
      <c r="H3" s="3">
        <v>2.44765986E8</v>
      </c>
      <c r="I3" s="3">
        <v>4.0554401E7</v>
      </c>
      <c r="J3" s="3">
        <v>1.518144174E9</v>
      </c>
    </row>
    <row r="4">
      <c r="A4" s="3">
        <v>1000.0</v>
      </c>
      <c r="B4" s="3">
        <v>0.0</v>
      </c>
      <c r="C4" s="3">
        <v>1.328</v>
      </c>
      <c r="D4" s="3">
        <v>1.230335147E9</v>
      </c>
      <c r="E4" s="3">
        <v>2.97743113E8</v>
      </c>
      <c r="F4" s="3">
        <v>3847.0</v>
      </c>
      <c r="G4" s="3">
        <v>3272.0</v>
      </c>
      <c r="H4" s="3">
        <v>1.230338994E9</v>
      </c>
      <c r="I4" s="3">
        <v>2.97746385E8</v>
      </c>
      <c r="J4" s="3">
        <v>7.017040035E9</v>
      </c>
    </row>
    <row r="5">
      <c r="A5" s="3">
        <v>1400.0</v>
      </c>
      <c r="B5" s="3">
        <v>0.0</v>
      </c>
      <c r="C5" s="3">
        <v>3.529</v>
      </c>
      <c r="D5" s="3">
        <v>3.486837365E9</v>
      </c>
      <c r="E5" s="3">
        <v>1.349086902E9</v>
      </c>
      <c r="F5" s="3">
        <v>10579.0</v>
      </c>
      <c r="G5" s="3">
        <v>7815.0</v>
      </c>
      <c r="H5" s="3">
        <v>3.486847944E9</v>
      </c>
      <c r="I5" s="3">
        <v>1.349094717E9</v>
      </c>
      <c r="J5" s="3">
        <v>1.9241378252E10</v>
      </c>
    </row>
    <row r="6">
      <c r="A6" s="3">
        <v>1800.0</v>
      </c>
      <c r="B6" s="3">
        <v>0.0</v>
      </c>
      <c r="C6" s="3">
        <v>17.822</v>
      </c>
      <c r="D6" s="3">
        <v>9.094537091E9</v>
      </c>
      <c r="E6" s="3">
        <v>8.222021321E9</v>
      </c>
      <c r="F6" s="3">
        <v>22882.0</v>
      </c>
      <c r="G6" s="3">
        <v>18824.0</v>
      </c>
      <c r="H6" s="3">
        <v>9.094559973E9</v>
      </c>
      <c r="I6" s="3">
        <v>8.222040145E9</v>
      </c>
      <c r="J6" s="3">
        <v>4.0879162134E10</v>
      </c>
    </row>
    <row r="7">
      <c r="A7" s="3">
        <v>2200.0</v>
      </c>
      <c r="B7" s="3">
        <v>0.0</v>
      </c>
      <c r="C7" s="3">
        <v>37.879</v>
      </c>
      <c r="D7" s="3">
        <v>1.7653330066E10</v>
      </c>
      <c r="E7" s="3">
        <v>2.3818819186E10</v>
      </c>
      <c r="F7" s="3">
        <v>55638.0</v>
      </c>
      <c r="G7" s="3">
        <v>54081.0</v>
      </c>
      <c r="H7" s="3">
        <v>1.7653385704E10</v>
      </c>
      <c r="I7" s="3">
        <v>2.3818873267E10</v>
      </c>
      <c r="J7" s="3">
        <v>7.4618388533E10</v>
      </c>
    </row>
    <row r="8">
      <c r="A8" s="3">
        <v>2600.0</v>
      </c>
      <c r="B8" s="3">
        <v>0.0</v>
      </c>
      <c r="C8" s="3">
        <v>68.18</v>
      </c>
      <c r="D8" s="3">
        <v>3.0885905515E10</v>
      </c>
      <c r="E8" s="3">
        <v>5.404592571E10</v>
      </c>
      <c r="F8" s="3">
        <v>70347.0</v>
      </c>
      <c r="G8" s="3">
        <v>69504.0</v>
      </c>
      <c r="H8" s="3">
        <v>3.0885975862E10</v>
      </c>
      <c r="I8" s="3">
        <v>5.4045995214E10</v>
      </c>
      <c r="J8" s="3">
        <v>1.23147059366E11</v>
      </c>
    </row>
    <row r="9">
      <c r="A9" s="3">
        <v>3000.0</v>
      </c>
      <c r="B9" s="3">
        <v>0.0</v>
      </c>
      <c r="C9" s="3">
        <v>114.348</v>
      </c>
      <c r="D9" s="3">
        <v>5.0306980472E10</v>
      </c>
      <c r="E9" s="3">
        <v>1.01016207665E11</v>
      </c>
      <c r="F9" s="3">
        <v>119645.0</v>
      </c>
      <c r="G9" s="3">
        <v>118554.0</v>
      </c>
      <c r="H9" s="3">
        <v>5.0307100117E10</v>
      </c>
      <c r="I9" s="3">
        <v>1.01016326219E11</v>
      </c>
      <c r="J9" s="3">
        <v>1.89153176254E11</v>
      </c>
    </row>
    <row r="11">
      <c r="A11" s="1" t="s">
        <v>11</v>
      </c>
    </row>
    <row r="12">
      <c r="A12" s="2" t="s">
        <v>1</v>
      </c>
      <c r="B12" s="2" t="s">
        <v>3</v>
      </c>
    </row>
    <row r="13">
      <c r="A13" s="3">
        <v>600.0</v>
      </c>
      <c r="B13" s="3">
        <v>0.207</v>
      </c>
    </row>
    <row r="14">
      <c r="A14" s="3">
        <v>1000.0</v>
      </c>
      <c r="B14" s="3">
        <v>1.479</v>
      </c>
    </row>
    <row r="15">
      <c r="A15" s="3">
        <v>1400.0</v>
      </c>
      <c r="B15" s="3">
        <v>5.219</v>
      </c>
    </row>
    <row r="16">
      <c r="A16" s="3">
        <v>1800.0</v>
      </c>
      <c r="B16" s="3">
        <v>18.419</v>
      </c>
    </row>
    <row r="17">
      <c r="A17" s="3">
        <v>2200.0</v>
      </c>
      <c r="B17" s="3">
        <v>38.975</v>
      </c>
    </row>
    <row r="18">
      <c r="A18" s="3">
        <v>2600.0</v>
      </c>
      <c r="B18" s="3">
        <v>67.759</v>
      </c>
    </row>
    <row r="19">
      <c r="A19" s="3">
        <v>3000.0</v>
      </c>
      <c r="B19" s="3">
        <v>110.911</v>
      </c>
    </row>
    <row r="21">
      <c r="A21" s="1" t="s">
        <v>12</v>
      </c>
    </row>
    <row r="23">
      <c r="A23" s="2" t="s">
        <v>1</v>
      </c>
      <c r="B23" s="2" t="s">
        <v>0</v>
      </c>
      <c r="C23" s="2" t="s">
        <v>13</v>
      </c>
    </row>
    <row r="24">
      <c r="A24" s="3">
        <v>600.0</v>
      </c>
      <c r="B24" s="3">
        <v>0.195</v>
      </c>
      <c r="C24" s="3">
        <v>0.207</v>
      </c>
    </row>
    <row r="25">
      <c r="A25" s="3">
        <v>1000.0</v>
      </c>
      <c r="B25" s="3">
        <v>1.328</v>
      </c>
      <c r="C25" s="3">
        <v>1.479</v>
      </c>
    </row>
    <row r="26">
      <c r="A26" s="3">
        <v>1400.0</v>
      </c>
      <c r="B26" s="3">
        <v>3.529</v>
      </c>
      <c r="C26" s="3">
        <v>5.219</v>
      </c>
    </row>
    <row r="27">
      <c r="A27" s="3">
        <v>1800.0</v>
      </c>
      <c r="B27" s="3">
        <v>17.822</v>
      </c>
      <c r="C27" s="3">
        <v>18.419</v>
      </c>
    </row>
    <row r="28">
      <c r="A28" s="3">
        <v>2200.0</v>
      </c>
      <c r="B28" s="3">
        <v>37.879</v>
      </c>
      <c r="C28" s="3">
        <v>38.975</v>
      </c>
    </row>
    <row r="29">
      <c r="A29" s="3">
        <v>2600.0</v>
      </c>
      <c r="B29" s="3">
        <v>68.18</v>
      </c>
      <c r="C29" s="3">
        <v>67.759</v>
      </c>
    </row>
    <row r="30">
      <c r="A30" s="3">
        <v>3000.0</v>
      </c>
      <c r="B30" s="3">
        <v>114.348</v>
      </c>
      <c r="C30" s="3">
        <v>110.911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" t="s">
        <v>0</v>
      </c>
      <c r="B1" s="5"/>
      <c r="C1" s="5"/>
      <c r="D1" s="5"/>
      <c r="E1" s="5"/>
      <c r="F1" s="5"/>
      <c r="G1" s="5"/>
      <c r="H1" s="5"/>
      <c r="I1" s="5"/>
      <c r="J1" s="5"/>
    </row>
    <row r="2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</row>
    <row r="3">
      <c r="A3" s="3">
        <v>600.0</v>
      </c>
      <c r="B3" s="3">
        <v>0.0</v>
      </c>
      <c r="C3" s="3">
        <v>0.115</v>
      </c>
      <c r="D3" s="3">
        <v>2.7170262E7</v>
      </c>
      <c r="E3" s="3">
        <v>5.7697597E7</v>
      </c>
      <c r="F3" s="3">
        <v>3148.0</v>
      </c>
      <c r="G3" s="3">
        <v>2674.0</v>
      </c>
      <c r="H3" s="3">
        <v>2.717341E7</v>
      </c>
      <c r="I3" s="3">
        <v>5.7700271E7</v>
      </c>
      <c r="J3" s="3">
        <v>1.733786785E9</v>
      </c>
    </row>
    <row r="4">
      <c r="A4" s="3">
        <v>1000.0</v>
      </c>
      <c r="B4" s="3">
        <v>0.0</v>
      </c>
      <c r="C4" s="3">
        <v>0.528</v>
      </c>
      <c r="D4" s="3">
        <v>1.25695975E8</v>
      </c>
      <c r="E4" s="3">
        <v>2.61103455E8</v>
      </c>
      <c r="F4" s="3">
        <v>6434.0</v>
      </c>
      <c r="G4" s="3">
        <v>5905.0</v>
      </c>
      <c r="H4" s="3">
        <v>1.25702409E8</v>
      </c>
      <c r="I4" s="3">
        <v>2.6110936E8</v>
      </c>
      <c r="J4" s="3">
        <v>8.016044944E9</v>
      </c>
    </row>
    <row r="5">
      <c r="A5" s="3">
        <v>1400.0</v>
      </c>
      <c r="B5" s="3">
        <v>0.0</v>
      </c>
      <c r="C5" s="3">
        <v>1.556</v>
      </c>
      <c r="D5" s="3">
        <v>3.47727893E8</v>
      </c>
      <c r="E5" s="3">
        <v>7.04028475E8</v>
      </c>
      <c r="F5" s="3">
        <v>13306.0</v>
      </c>
      <c r="G5" s="3">
        <v>12704.0</v>
      </c>
      <c r="H5" s="3">
        <v>3.47741199E8</v>
      </c>
      <c r="I5" s="3">
        <v>7.04041179E8</v>
      </c>
      <c r="J5" s="3">
        <v>2.1983425731E10</v>
      </c>
    </row>
    <row r="6">
      <c r="A6" s="3">
        <v>1800.0</v>
      </c>
      <c r="B6" s="3">
        <v>0.0</v>
      </c>
      <c r="C6" s="3">
        <v>3.284</v>
      </c>
      <c r="D6" s="3">
        <v>7.46699422E8</v>
      </c>
      <c r="E6" s="3">
        <v>1.472759389E9</v>
      </c>
      <c r="F6" s="3">
        <v>21731.0</v>
      </c>
      <c r="G6" s="3">
        <v>21106.0</v>
      </c>
      <c r="H6" s="3">
        <v>7.46721153E8</v>
      </c>
      <c r="I6" s="3">
        <v>1.472780495E9</v>
      </c>
      <c r="J6" s="3">
        <v>4.6707929392E10</v>
      </c>
    </row>
    <row r="7">
      <c r="A7" s="3">
        <v>2200.0</v>
      </c>
      <c r="B7" s="3">
        <v>0.0</v>
      </c>
      <c r="C7" s="3">
        <v>6.033</v>
      </c>
      <c r="D7" s="3">
        <v>2.082437945E9</v>
      </c>
      <c r="E7" s="3">
        <v>2.676980273E9</v>
      </c>
      <c r="F7" s="3">
        <v>29697.0</v>
      </c>
      <c r="G7" s="3">
        <v>29010.0</v>
      </c>
      <c r="H7" s="3">
        <v>2.082467642E9</v>
      </c>
      <c r="I7" s="3">
        <v>2.677009283E9</v>
      </c>
      <c r="J7" s="3">
        <v>8.5261556065E10</v>
      </c>
    </row>
    <row r="8">
      <c r="A8" s="3">
        <v>2600.0</v>
      </c>
      <c r="B8" s="3">
        <v>0.0</v>
      </c>
      <c r="C8" s="3">
        <v>9.985</v>
      </c>
      <c r="D8" s="3">
        <v>4.413860416E9</v>
      </c>
      <c r="E8" s="3">
        <v>4.412870385E9</v>
      </c>
      <c r="F8" s="3">
        <v>48131.0</v>
      </c>
      <c r="G8" s="3">
        <v>47571.0</v>
      </c>
      <c r="H8" s="3">
        <v>4.413908547E9</v>
      </c>
      <c r="I8" s="3">
        <v>4.412917956E9</v>
      </c>
      <c r="J8" s="3">
        <v>1.40716306493E11</v>
      </c>
    </row>
    <row r="9">
      <c r="A9" s="3">
        <v>3000.0</v>
      </c>
      <c r="B9" s="3">
        <v>0.0</v>
      </c>
      <c r="C9" s="3">
        <v>15.35</v>
      </c>
      <c r="D9" s="3">
        <v>6.78085715E9</v>
      </c>
      <c r="E9" s="3">
        <v>6.789778428E9</v>
      </c>
      <c r="F9" s="3">
        <v>58192.0</v>
      </c>
      <c r="G9" s="3">
        <v>57495.0</v>
      </c>
      <c r="H9" s="3">
        <v>6.780915342E9</v>
      </c>
      <c r="I9" s="3">
        <v>6.789835923E9</v>
      </c>
      <c r="J9" s="3">
        <v>2.16144179324E11</v>
      </c>
    </row>
    <row r="10">
      <c r="A10" s="5"/>
      <c r="B10" s="5"/>
      <c r="C10" s="5"/>
      <c r="D10" s="5"/>
      <c r="E10" s="5"/>
      <c r="F10" s="5"/>
      <c r="G10" s="5"/>
      <c r="H10" s="5"/>
      <c r="I10" s="5"/>
      <c r="J10" s="5"/>
    </row>
    <row r="11">
      <c r="A11" s="4" t="s">
        <v>13</v>
      </c>
      <c r="B11" s="5"/>
      <c r="C11" s="5"/>
      <c r="D11" s="5"/>
      <c r="E11" s="5"/>
      <c r="F11" s="5"/>
      <c r="G11" s="5"/>
      <c r="H11" s="5"/>
      <c r="I11" s="5"/>
      <c r="J11" s="5"/>
    </row>
    <row r="12">
      <c r="A12" s="2" t="s">
        <v>1</v>
      </c>
      <c r="B12" s="2" t="s">
        <v>3</v>
      </c>
      <c r="C12" s="5"/>
      <c r="D12" s="5"/>
      <c r="E12" s="5"/>
      <c r="F12" s="5"/>
      <c r="G12" s="5"/>
      <c r="H12" s="5"/>
      <c r="I12" s="5"/>
      <c r="J12" s="5"/>
    </row>
    <row r="13">
      <c r="A13" s="3">
        <v>600.0</v>
      </c>
      <c r="B13" s="3">
        <v>0.137</v>
      </c>
      <c r="C13" s="5"/>
      <c r="D13" s="5"/>
      <c r="E13" s="5"/>
      <c r="F13" s="5"/>
      <c r="G13" s="5"/>
      <c r="H13" s="5"/>
      <c r="I13" s="5"/>
      <c r="J13" s="5"/>
    </row>
    <row r="14">
      <c r="A14" s="3">
        <v>1000.0</v>
      </c>
      <c r="B14" s="3">
        <v>0.705</v>
      </c>
      <c r="C14" s="5"/>
      <c r="D14" s="5"/>
      <c r="E14" s="5"/>
      <c r="F14" s="5"/>
      <c r="G14" s="5"/>
      <c r="H14" s="5"/>
      <c r="I14" s="5"/>
      <c r="J14" s="5"/>
    </row>
    <row r="15">
      <c r="A15" s="3">
        <v>1400.0</v>
      </c>
      <c r="B15" s="3">
        <v>2.429</v>
      </c>
      <c r="C15" s="5"/>
      <c r="D15" s="5"/>
      <c r="E15" s="5"/>
      <c r="F15" s="5"/>
      <c r="G15" s="5"/>
      <c r="H15" s="5"/>
      <c r="I15" s="5"/>
      <c r="J15" s="5"/>
    </row>
    <row r="16">
      <c r="A16" s="3">
        <v>1800.0</v>
      </c>
      <c r="B16" s="3">
        <v>5.153</v>
      </c>
      <c r="C16" s="5"/>
      <c r="D16" s="5"/>
      <c r="E16" s="5"/>
      <c r="F16" s="5"/>
      <c r="G16" s="5"/>
      <c r="H16" s="5"/>
      <c r="I16" s="5"/>
      <c r="J16" s="5"/>
    </row>
    <row r="17">
      <c r="A17" s="3">
        <v>2200.0</v>
      </c>
      <c r="B17" s="3">
        <v>9.436</v>
      </c>
      <c r="C17" s="5"/>
      <c r="D17" s="5"/>
      <c r="E17" s="5"/>
      <c r="F17" s="5"/>
      <c r="G17" s="5"/>
      <c r="H17" s="5"/>
      <c r="I17" s="5"/>
      <c r="J17" s="5"/>
    </row>
    <row r="18">
      <c r="A18" s="3">
        <v>2600.0</v>
      </c>
      <c r="B18" s="3">
        <v>15.62</v>
      </c>
      <c r="C18" s="5"/>
      <c r="D18" s="5"/>
      <c r="E18" s="5"/>
      <c r="F18" s="5"/>
      <c r="G18" s="5"/>
      <c r="H18" s="5"/>
      <c r="I18" s="5"/>
      <c r="J18" s="5"/>
    </row>
    <row r="19">
      <c r="A19" s="3">
        <v>3000.0</v>
      </c>
      <c r="B19" s="3">
        <v>24.026</v>
      </c>
      <c r="C19" s="5"/>
      <c r="D19" s="5"/>
      <c r="E19" s="5"/>
      <c r="F19" s="5"/>
      <c r="G19" s="5"/>
      <c r="H19" s="5"/>
      <c r="I19" s="5"/>
      <c r="J19" s="5"/>
    </row>
    <row r="21">
      <c r="A21" s="1" t="s">
        <v>12</v>
      </c>
    </row>
    <row r="23">
      <c r="A23" s="2" t="s">
        <v>1</v>
      </c>
      <c r="B23" s="2" t="s">
        <v>0</v>
      </c>
      <c r="C23" s="2" t="s">
        <v>13</v>
      </c>
    </row>
    <row r="24">
      <c r="A24" s="3">
        <v>600.0</v>
      </c>
      <c r="B24" s="3">
        <v>0.115</v>
      </c>
      <c r="C24" s="3">
        <v>0.137</v>
      </c>
    </row>
    <row r="25">
      <c r="A25" s="3">
        <v>1000.0</v>
      </c>
      <c r="B25" s="3">
        <v>0.528</v>
      </c>
      <c r="C25" s="3">
        <v>0.705</v>
      </c>
    </row>
    <row r="26">
      <c r="A26" s="3">
        <v>1400.0</v>
      </c>
      <c r="B26" s="3">
        <v>1.556</v>
      </c>
      <c r="C26" s="3">
        <v>2.429</v>
      </c>
    </row>
    <row r="27">
      <c r="A27" s="3">
        <v>1800.0</v>
      </c>
      <c r="B27" s="3">
        <v>3.284</v>
      </c>
      <c r="C27" s="3">
        <v>5.153</v>
      </c>
    </row>
    <row r="28">
      <c r="A28" s="3">
        <v>2200.0</v>
      </c>
      <c r="B28" s="3">
        <v>6.033</v>
      </c>
      <c r="C28" s="3">
        <v>9.436</v>
      </c>
    </row>
    <row r="29">
      <c r="A29" s="3">
        <v>2600.0</v>
      </c>
      <c r="B29" s="3">
        <v>9.985</v>
      </c>
      <c r="C29" s="3">
        <v>15.62</v>
      </c>
    </row>
    <row r="30">
      <c r="A30" s="3">
        <v>3000.0</v>
      </c>
      <c r="B30" s="3">
        <v>15.35</v>
      </c>
      <c r="C30" s="3">
        <v>24.026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</row>
    <row r="2">
      <c r="A2" s="3">
        <v>4096.0</v>
      </c>
      <c r="B2" s="3">
        <v>0.0</v>
      </c>
      <c r="C2" s="3">
        <v>39.348</v>
      </c>
      <c r="D2" s="3">
        <v>1.7701359782E10</v>
      </c>
      <c r="E2" s="3">
        <v>1.7302411396E10</v>
      </c>
      <c r="F2" s="3">
        <v>123849.0</v>
      </c>
      <c r="G2" s="3">
        <v>118867.0</v>
      </c>
      <c r="H2" s="3">
        <v>1.7701483631E10</v>
      </c>
      <c r="I2" s="3">
        <v>1.7302530263E10</v>
      </c>
      <c r="J2" s="3">
        <v>5.50024532635E11</v>
      </c>
    </row>
    <row r="3">
      <c r="A3" s="3">
        <v>6144.0</v>
      </c>
      <c r="B3" s="3">
        <v>0.0</v>
      </c>
      <c r="C3" s="3">
        <v>132.322</v>
      </c>
      <c r="D3" s="3">
        <v>5.9741328412E10</v>
      </c>
      <c r="E3" s="3">
        <v>5.8861834626E10</v>
      </c>
      <c r="F3" s="3">
        <v>281285.0</v>
      </c>
      <c r="G3" s="3">
        <v>276716.0</v>
      </c>
      <c r="H3" s="3">
        <v>5.9741609697E10</v>
      </c>
      <c r="I3" s="3">
        <v>5.8862111342E10</v>
      </c>
      <c r="J3" s="3">
        <v>1.856030391141E12</v>
      </c>
    </row>
    <row r="4">
      <c r="A4" s="3">
        <v>8192.0</v>
      </c>
      <c r="B4" s="3">
        <v>0.0</v>
      </c>
      <c r="C4" s="3">
        <v>314.342</v>
      </c>
      <c r="D4" s="3">
        <v>1.41516090322E11</v>
      </c>
      <c r="E4" s="3">
        <v>1.42859169234E11</v>
      </c>
      <c r="F4" s="3">
        <v>601371.0</v>
      </c>
      <c r="G4" s="3">
        <v>591355.0</v>
      </c>
      <c r="H4" s="3">
        <v>1.41516691693E11</v>
      </c>
      <c r="I4" s="3">
        <v>1.42859760589E11</v>
      </c>
      <c r="J4" s="3">
        <v>4.399121135094E12</v>
      </c>
    </row>
    <row r="5">
      <c r="A5" s="3">
        <v>10240.0</v>
      </c>
      <c r="B5" s="3">
        <v>0.0</v>
      </c>
      <c r="C5" s="3">
        <v>620.268</v>
      </c>
      <c r="D5" s="3">
        <v>2.76095219326E11</v>
      </c>
      <c r="E5" s="3">
        <v>3.01823874598E11</v>
      </c>
      <c r="F5" s="3">
        <v>1339771.0</v>
      </c>
      <c r="G5" s="3">
        <v>1314332.0</v>
      </c>
      <c r="H5" s="3">
        <v>2.76096559097E11</v>
      </c>
      <c r="I5" s="3">
        <v>3.0182518893E11</v>
      </c>
      <c r="J5" s="3">
        <v>8.591613651655E12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</row>
    <row r="2">
      <c r="A2" s="3">
        <v>4096.0</v>
      </c>
      <c r="B2" s="3">
        <v>128.0</v>
      </c>
      <c r="C2" s="3">
        <v>0.033</v>
      </c>
      <c r="D2" s="3">
        <v>9572715.0</v>
      </c>
      <c r="E2" s="3">
        <v>3.0979435E7</v>
      </c>
      <c r="F2" s="3">
        <v>2982.0</v>
      </c>
      <c r="G2" s="3">
        <v>1988.0</v>
      </c>
      <c r="H2" s="3">
        <v>9575697.0</v>
      </c>
      <c r="I2" s="3">
        <v>3.0981423E7</v>
      </c>
      <c r="J2" s="3">
        <v>6.10452674E8</v>
      </c>
    </row>
    <row r="3">
      <c r="A3" s="3">
        <v>4096.0</v>
      </c>
      <c r="B3" s="3">
        <v>256.0</v>
      </c>
      <c r="C3" s="3">
        <v>0.117</v>
      </c>
      <c r="D3" s="3">
        <v>3.5587902E7</v>
      </c>
      <c r="E3" s="3">
        <v>8.6379917E7</v>
      </c>
      <c r="F3" s="3">
        <v>2682.0</v>
      </c>
      <c r="G3" s="3">
        <v>2067.0</v>
      </c>
      <c r="H3" s="3">
        <v>3.5590584E7</v>
      </c>
      <c r="I3" s="3">
        <v>8.6381984E7</v>
      </c>
      <c r="J3" s="3">
        <v>2.026031775E9</v>
      </c>
    </row>
    <row r="4">
      <c r="A4" s="3">
        <v>4096.0</v>
      </c>
      <c r="B4" s="3">
        <v>512.0</v>
      </c>
      <c r="C4" s="3">
        <v>0.417</v>
      </c>
      <c r="D4" s="3">
        <v>1.37153059E8</v>
      </c>
      <c r="E4" s="3">
        <v>2.91849463E8</v>
      </c>
      <c r="F4" s="3">
        <v>2823.0</v>
      </c>
      <c r="G4" s="3">
        <v>2188.0</v>
      </c>
      <c r="H4" s="3">
        <v>1.37155882E8</v>
      </c>
      <c r="I4" s="3">
        <v>2.91851651E8</v>
      </c>
      <c r="J4" s="3">
        <v>7.675762987E9</v>
      </c>
    </row>
    <row r="5">
      <c r="A5" s="3">
        <v>4096.0</v>
      </c>
      <c r="B5" s="3">
        <v>1024.0</v>
      </c>
      <c r="C5" s="3">
        <v>2.03</v>
      </c>
      <c r="D5" s="3">
        <v>5.49701168E8</v>
      </c>
      <c r="E5" s="3">
        <v>1.136875021E9</v>
      </c>
      <c r="F5" s="3">
        <v>8362.0</v>
      </c>
      <c r="G5" s="3">
        <v>7645.0</v>
      </c>
      <c r="H5" s="3">
        <v>5.4970953E8</v>
      </c>
      <c r="I5" s="3">
        <v>1.136882666E9</v>
      </c>
      <c r="J5" s="3">
        <v>3.0249515645E10</v>
      </c>
    </row>
    <row r="6">
      <c r="A6" s="3">
        <v>4096.0</v>
      </c>
      <c r="B6" s="3">
        <v>2048.0</v>
      </c>
      <c r="C6" s="3">
        <v>8.978</v>
      </c>
      <c r="D6" s="3">
        <v>2.248729747E9</v>
      </c>
      <c r="E6" s="3">
        <v>4.360757956E9</v>
      </c>
      <c r="F6" s="3">
        <v>18923.0</v>
      </c>
      <c r="G6" s="3">
        <v>18034.0</v>
      </c>
      <c r="H6" s="3">
        <v>2.24874867E9</v>
      </c>
      <c r="I6" s="3">
        <v>4.36077599E9</v>
      </c>
      <c r="J6" s="3">
        <v>1.20494179047E11</v>
      </c>
    </row>
    <row r="7">
      <c r="A7" s="3">
        <v>6144.0</v>
      </c>
      <c r="B7" s="3">
        <v>128.0</v>
      </c>
      <c r="C7" s="3">
        <v>0.055</v>
      </c>
      <c r="D7" s="3">
        <v>1.4253563E7</v>
      </c>
      <c r="E7" s="3">
        <v>4.5845564E7</v>
      </c>
      <c r="F7" s="3">
        <v>2184.0</v>
      </c>
      <c r="G7" s="3">
        <v>1520.0</v>
      </c>
      <c r="H7" s="3">
        <v>1.4255747E7</v>
      </c>
      <c r="I7" s="3">
        <v>4.5847084E7</v>
      </c>
      <c r="J7" s="3">
        <v>1.016388401E9</v>
      </c>
    </row>
    <row r="8">
      <c r="A8" s="3">
        <v>6144.0</v>
      </c>
      <c r="B8" s="3">
        <v>256.0</v>
      </c>
      <c r="C8" s="3">
        <v>0.176</v>
      </c>
      <c r="D8" s="3">
        <v>5.3288485E7</v>
      </c>
      <c r="E8" s="3">
        <v>1.3041149E8</v>
      </c>
      <c r="F8" s="3">
        <v>2151.0</v>
      </c>
      <c r="G8" s="3">
        <v>1595.0</v>
      </c>
      <c r="H8" s="3">
        <v>5.3290636E7</v>
      </c>
      <c r="I8" s="3">
        <v>1.30413085E8</v>
      </c>
      <c r="J8" s="3">
        <v>3.139756924E9</v>
      </c>
    </row>
    <row r="9">
      <c r="A9" s="3">
        <v>6144.0</v>
      </c>
      <c r="B9" s="3">
        <v>512.0</v>
      </c>
      <c r="C9" s="3">
        <v>0.73</v>
      </c>
      <c r="D9" s="3">
        <v>2.0600115E8</v>
      </c>
      <c r="E9" s="3">
        <v>4.50628281E8</v>
      </c>
      <c r="F9" s="3">
        <v>3566.0</v>
      </c>
      <c r="G9" s="3">
        <v>2620.0</v>
      </c>
      <c r="H9" s="3">
        <v>2.06004716E8</v>
      </c>
      <c r="I9" s="3">
        <v>4.50630901E8</v>
      </c>
      <c r="J9" s="3">
        <v>1.1614354027E10</v>
      </c>
    </row>
    <row r="10">
      <c r="A10" s="3">
        <v>6144.0</v>
      </c>
      <c r="B10" s="3">
        <v>1024.0</v>
      </c>
      <c r="C10" s="3">
        <v>3.285</v>
      </c>
      <c r="D10" s="3">
        <v>8.26496807E8</v>
      </c>
      <c r="E10" s="3">
        <v>1.690867474E9</v>
      </c>
      <c r="F10" s="3">
        <v>13354.0</v>
      </c>
      <c r="G10" s="3">
        <v>11184.0</v>
      </c>
      <c r="H10" s="3">
        <v>8.26510161E8</v>
      </c>
      <c r="I10" s="3">
        <v>1.690878658E9</v>
      </c>
      <c r="J10" s="3">
        <v>4.5474982923E10</v>
      </c>
    </row>
    <row r="11">
      <c r="A11" s="3">
        <v>6144.0</v>
      </c>
      <c r="B11" s="3">
        <v>2048.0</v>
      </c>
      <c r="C11" s="3">
        <v>13.454</v>
      </c>
      <c r="D11" s="3">
        <v>3.383287606E9</v>
      </c>
      <c r="E11" s="3">
        <v>6.560051966E9</v>
      </c>
      <c r="F11" s="3">
        <v>31583.0</v>
      </c>
      <c r="G11" s="3">
        <v>29923.0</v>
      </c>
      <c r="H11" s="3">
        <v>3.383319189E9</v>
      </c>
      <c r="I11" s="3">
        <v>6.560081889E9</v>
      </c>
      <c r="J11" s="3">
        <v>1.80841980908E11</v>
      </c>
    </row>
    <row r="12">
      <c r="A12" s="3">
        <v>8192.0</v>
      </c>
      <c r="B12" s="3">
        <v>128.0</v>
      </c>
      <c r="C12" s="3">
        <v>0.066</v>
      </c>
      <c r="D12" s="3">
        <v>1.8992817E7</v>
      </c>
      <c r="E12" s="3">
        <v>6.1396634E7</v>
      </c>
      <c r="F12" s="3">
        <v>2133.0</v>
      </c>
      <c r="G12" s="3">
        <v>1589.0</v>
      </c>
      <c r="H12" s="3">
        <v>1.899495E7</v>
      </c>
      <c r="I12" s="3">
        <v>6.1398223E7</v>
      </c>
      <c r="J12" s="3">
        <v>1.48946576E9</v>
      </c>
    </row>
    <row r="13">
      <c r="A13" s="3">
        <v>8192.0</v>
      </c>
      <c r="B13" s="3">
        <v>256.0</v>
      </c>
      <c r="C13" s="3">
        <v>0.356</v>
      </c>
      <c r="D13" s="3">
        <v>7.1273818E7</v>
      </c>
      <c r="E13" s="3">
        <v>1.63988056E8</v>
      </c>
      <c r="F13" s="3">
        <v>3778.0</v>
      </c>
      <c r="G13" s="3">
        <v>2773.0</v>
      </c>
      <c r="H13" s="3">
        <v>7.1277596E7</v>
      </c>
      <c r="I13" s="3">
        <v>1.63990829E8</v>
      </c>
      <c r="J13" s="3">
        <v>4.320623831E9</v>
      </c>
    </row>
    <row r="14">
      <c r="A14" s="3">
        <v>8192.0</v>
      </c>
      <c r="B14" s="3">
        <v>512.0</v>
      </c>
      <c r="C14" s="3">
        <v>1.147</v>
      </c>
      <c r="D14" s="3">
        <v>2.74687469E8</v>
      </c>
      <c r="E14" s="3">
        <v>5.74821251E8</v>
      </c>
      <c r="F14" s="3">
        <v>8871.0</v>
      </c>
      <c r="G14" s="3">
        <v>6833.0</v>
      </c>
      <c r="H14" s="3">
        <v>2.7469634E8</v>
      </c>
      <c r="I14" s="3">
        <v>5.74828084E8</v>
      </c>
      <c r="J14" s="3">
        <v>1.5620086412E10</v>
      </c>
    </row>
    <row r="15">
      <c r="A15" s="3">
        <v>8192.0</v>
      </c>
      <c r="B15" s="3">
        <v>1024.0</v>
      </c>
      <c r="C15" s="3">
        <v>4.542</v>
      </c>
      <c r="D15" s="3">
        <v>1.101556125E9</v>
      </c>
      <c r="E15" s="3">
        <v>2.231277667E9</v>
      </c>
      <c r="F15" s="3">
        <v>16535.0</v>
      </c>
      <c r="G15" s="3">
        <v>14523.0</v>
      </c>
      <c r="H15" s="3">
        <v>1.10157266E9</v>
      </c>
      <c r="I15" s="3">
        <v>2.23129219E9</v>
      </c>
      <c r="J15" s="3">
        <v>6.076759183E10</v>
      </c>
    </row>
    <row r="16">
      <c r="A16" s="3">
        <v>8192.0</v>
      </c>
      <c r="B16" s="3">
        <v>2048.0</v>
      </c>
      <c r="C16" s="3">
        <v>18.029</v>
      </c>
      <c r="D16" s="3">
        <v>4.496832909E9</v>
      </c>
      <c r="E16" s="3">
        <v>8.720808492E9</v>
      </c>
      <c r="F16" s="3">
        <v>38770.0</v>
      </c>
      <c r="G16" s="3">
        <v>28422.0</v>
      </c>
      <c r="H16" s="3">
        <v>4.496871679E9</v>
      </c>
      <c r="I16" s="3">
        <v>8.720836914E9</v>
      </c>
      <c r="J16" s="3">
        <v>2.41256918384E11</v>
      </c>
    </row>
    <row r="17">
      <c r="A17" s="3">
        <v>10240.0</v>
      </c>
      <c r="B17" s="3">
        <v>128.0</v>
      </c>
      <c r="C17" s="3">
        <v>0.084</v>
      </c>
      <c r="D17" s="3">
        <v>2.3764557E7</v>
      </c>
      <c r="E17" s="3">
        <v>7.6859565E7</v>
      </c>
      <c r="F17" s="3">
        <v>2316.0</v>
      </c>
      <c r="G17" s="3">
        <v>1721.0</v>
      </c>
      <c r="H17" s="3">
        <v>2.3766873E7</v>
      </c>
      <c r="I17" s="3">
        <v>7.6861286E7</v>
      </c>
      <c r="J17" s="3">
        <v>2.029684808E9</v>
      </c>
    </row>
    <row r="18">
      <c r="A18" s="3">
        <v>10240.0</v>
      </c>
      <c r="B18" s="3">
        <v>256.0</v>
      </c>
      <c r="C18" s="3">
        <v>0.289</v>
      </c>
      <c r="D18" s="3">
        <v>8.8798173E7</v>
      </c>
      <c r="E18" s="3">
        <v>2.15772494E8</v>
      </c>
      <c r="F18" s="3">
        <v>2463.0</v>
      </c>
      <c r="G18" s="3">
        <v>1873.0</v>
      </c>
      <c r="H18" s="3">
        <v>8.8800636E7</v>
      </c>
      <c r="I18" s="3">
        <v>2.15774367E8</v>
      </c>
      <c r="J18" s="3">
        <v>5.56863234E9</v>
      </c>
    </row>
    <row r="19">
      <c r="A19" s="3">
        <v>10240.0</v>
      </c>
      <c r="B19" s="3">
        <v>512.0</v>
      </c>
      <c r="C19" s="3">
        <v>1.242</v>
      </c>
      <c r="D19" s="3">
        <v>3.43203964E8</v>
      </c>
      <c r="E19" s="3">
        <v>7.32662551E8</v>
      </c>
      <c r="F19" s="3">
        <v>7403.0</v>
      </c>
      <c r="G19" s="3">
        <v>5462.0</v>
      </c>
      <c r="H19" s="3">
        <v>3.43211367E8</v>
      </c>
      <c r="I19" s="3">
        <v>7.32668013E8</v>
      </c>
      <c r="J19" s="3">
        <v>1.9692960606E10</v>
      </c>
    </row>
    <row r="20">
      <c r="A20" s="3">
        <v>10240.0</v>
      </c>
      <c r="B20" s="3">
        <v>1024.0</v>
      </c>
      <c r="C20" s="3">
        <v>5.47</v>
      </c>
      <c r="D20" s="3">
        <v>1.377241387E9</v>
      </c>
      <c r="E20" s="3">
        <v>2.815239811E9</v>
      </c>
      <c r="F20" s="3">
        <v>15470.0</v>
      </c>
      <c r="G20" s="3">
        <v>12771.0</v>
      </c>
      <c r="H20" s="3">
        <v>1.377256857E9</v>
      </c>
      <c r="I20" s="3">
        <v>2.815252582E9</v>
      </c>
      <c r="J20" s="3">
        <v>7.6127342289E10</v>
      </c>
    </row>
    <row r="21">
      <c r="A21" s="3">
        <v>10240.0</v>
      </c>
      <c r="B21" s="3">
        <v>2048.0</v>
      </c>
      <c r="C21" s="3">
        <v>22.583</v>
      </c>
      <c r="D21" s="3">
        <v>5.612017439E9</v>
      </c>
      <c r="E21" s="3">
        <v>1.1010644092E10</v>
      </c>
      <c r="F21" s="3">
        <v>47807.0</v>
      </c>
      <c r="G21" s="3">
        <v>43853.0</v>
      </c>
      <c r="H21" s="3">
        <v>5.612065246E9</v>
      </c>
      <c r="I21" s="3">
        <v>1.1010687945E10</v>
      </c>
      <c r="J21" s="3">
        <v>3.01739000309E11</v>
      </c>
    </row>
    <row r="24">
      <c r="A24" s="1" t="s">
        <v>14</v>
      </c>
    </row>
    <row r="25">
      <c r="A25" s="2" t="s">
        <v>1</v>
      </c>
      <c r="B25" s="2" t="s">
        <v>15</v>
      </c>
      <c r="C25" s="2" t="s">
        <v>16</v>
      </c>
      <c r="D25" s="2" t="s">
        <v>17</v>
      </c>
      <c r="E25" s="2" t="s">
        <v>18</v>
      </c>
      <c r="F25" s="2" t="s">
        <v>19</v>
      </c>
    </row>
    <row r="26">
      <c r="A26" s="6">
        <f>A2</f>
        <v>4096</v>
      </c>
      <c r="B26" s="6">
        <f>C2</f>
        <v>0.033</v>
      </c>
      <c r="C26" s="6">
        <f>IFERROR(__xludf.DUMMYFUNCTION("QUERY(C3:C21,""skipping 5"")"),0.117)</f>
        <v>0.117</v>
      </c>
      <c r="D26" s="7">
        <f>IFERROR(__xludf.DUMMYFUNCTION("QUERY(C4:C21,""skipping 5"")"),0.417)</f>
        <v>0.417</v>
      </c>
      <c r="E26" s="6">
        <f>IFERROR(__xludf.DUMMYFUNCTION("QUERY(C5:C21,""skipping 5"")"),2.03)</f>
        <v>2.03</v>
      </c>
      <c r="F26" s="7">
        <f>IFERROR(__xludf.DUMMYFUNCTION("QUERY(C6:C21,""skipping 5"")"),8.978)</f>
        <v>8.978</v>
      </c>
    </row>
    <row r="27">
      <c r="A27" s="6">
        <f t="shared" ref="A27:A29" si="1">A26+2048</f>
        <v>6144</v>
      </c>
      <c r="B27" s="6">
        <f>C7</f>
        <v>0.055</v>
      </c>
      <c r="C27" s="6">
        <f>IFERROR(__xludf.DUMMYFUNCTION("""COMPUTED_VALUE"""),0.176)</f>
        <v>0.176</v>
      </c>
      <c r="D27" s="6">
        <f>IFERROR(__xludf.DUMMYFUNCTION("""COMPUTED_VALUE"""),0.73)</f>
        <v>0.73</v>
      </c>
      <c r="E27" s="6">
        <f>IFERROR(__xludf.DUMMYFUNCTION("""COMPUTED_VALUE"""),3.285)</f>
        <v>3.285</v>
      </c>
      <c r="F27" s="6">
        <f>IFERROR(__xludf.DUMMYFUNCTION("""COMPUTED_VALUE"""),13.454)</f>
        <v>13.454</v>
      </c>
    </row>
    <row r="28">
      <c r="A28" s="6">
        <f t="shared" si="1"/>
        <v>8192</v>
      </c>
      <c r="B28" s="6">
        <f>C12</f>
        <v>0.066</v>
      </c>
      <c r="C28" s="6">
        <f>IFERROR(__xludf.DUMMYFUNCTION("""COMPUTED_VALUE"""),0.356)</f>
        <v>0.356</v>
      </c>
      <c r="D28" s="6">
        <f>IFERROR(__xludf.DUMMYFUNCTION("""COMPUTED_VALUE"""),1.147)</f>
        <v>1.147</v>
      </c>
      <c r="E28" s="6">
        <f>IFERROR(__xludf.DUMMYFUNCTION("""COMPUTED_VALUE"""),4.542)</f>
        <v>4.542</v>
      </c>
      <c r="F28" s="6">
        <f>IFERROR(__xludf.DUMMYFUNCTION("""COMPUTED_VALUE"""),18.029)</f>
        <v>18.029</v>
      </c>
    </row>
    <row r="29">
      <c r="A29" s="6">
        <f t="shared" si="1"/>
        <v>10240</v>
      </c>
      <c r="B29" s="6">
        <f>C17</f>
        <v>0.084</v>
      </c>
      <c r="C29" s="6">
        <f>IFERROR(__xludf.DUMMYFUNCTION("""COMPUTED_VALUE"""),0.289)</f>
        <v>0.289</v>
      </c>
      <c r="D29" s="6">
        <f>IFERROR(__xludf.DUMMYFUNCTION("""COMPUTED_VALUE"""),1.242)</f>
        <v>1.242</v>
      </c>
      <c r="E29" s="6">
        <f>IFERROR(__xludf.DUMMYFUNCTION("""COMPUTED_VALUE"""),5.47)</f>
        <v>5.47</v>
      </c>
      <c r="F29" s="6">
        <f>IFERROR(__xludf.DUMMYFUNCTION("""COMPUTED_VALUE"""),22.583)</f>
        <v>22.583</v>
      </c>
    </row>
    <row r="30">
      <c r="A30" s="5"/>
      <c r="B30" s="5"/>
      <c r="C30" s="5"/>
      <c r="D30" s="5"/>
      <c r="E30" s="5"/>
      <c r="F30" s="5"/>
    </row>
    <row r="31">
      <c r="A31" s="4" t="s">
        <v>4</v>
      </c>
      <c r="B31" s="5"/>
      <c r="C31" s="5"/>
      <c r="D31" s="5"/>
      <c r="E31" s="5"/>
      <c r="F31" s="5"/>
    </row>
    <row r="32">
      <c r="A32" s="2" t="s">
        <v>1</v>
      </c>
      <c r="B32" s="2" t="s">
        <v>15</v>
      </c>
      <c r="C32" s="2" t="s">
        <v>16</v>
      </c>
      <c r="D32" s="2" t="s">
        <v>17</v>
      </c>
      <c r="E32" s="2" t="s">
        <v>18</v>
      </c>
      <c r="F32" s="2" t="s">
        <v>19</v>
      </c>
    </row>
    <row r="33">
      <c r="A33" s="3">
        <v>4096.0</v>
      </c>
      <c r="B33" s="8">
        <f>IFERROR(__xludf.DUMMYFUNCTION("QUERY(D2:D21,""skipping 5"")"),9572715.0)</f>
        <v>9572715</v>
      </c>
      <c r="C33" s="8">
        <f>IFERROR(__xludf.DUMMYFUNCTION("QUERY(D3:D21,""skipping 5"")"),3.5587902E7)</f>
        <v>35587902</v>
      </c>
      <c r="D33" s="8">
        <f>IFERROR(__xludf.DUMMYFUNCTION("QUERY(D4:D21,""skipping 5"")"),1.37153059E8)</f>
        <v>137153059</v>
      </c>
      <c r="E33" s="8">
        <f>IFERROR(__xludf.DUMMYFUNCTION("QUERY(D5:D21,""skipping 5"")"),5.49701168E8)</f>
        <v>549701168</v>
      </c>
      <c r="F33" s="8">
        <f>IFERROR(__xludf.DUMMYFUNCTION("QUERY(D6:D21,""skipping 5"")"),2.248729747E9)</f>
        <v>2248729747</v>
      </c>
    </row>
    <row r="34">
      <c r="A34" s="6">
        <f t="shared" ref="A34:A36" si="2">A33+2048</f>
        <v>6144</v>
      </c>
      <c r="B34" s="6">
        <f>IFERROR(__xludf.DUMMYFUNCTION("""COMPUTED_VALUE"""),1.4253563E7)</f>
        <v>14253563</v>
      </c>
      <c r="C34" s="6">
        <f>IFERROR(__xludf.DUMMYFUNCTION("""COMPUTED_VALUE"""),5.3288485E7)</f>
        <v>53288485</v>
      </c>
      <c r="D34" s="6">
        <f>IFERROR(__xludf.DUMMYFUNCTION("""COMPUTED_VALUE"""),2.0600115E8)</f>
        <v>206001150</v>
      </c>
      <c r="E34" s="6">
        <f>IFERROR(__xludf.DUMMYFUNCTION("""COMPUTED_VALUE"""),8.26496807E8)</f>
        <v>826496807</v>
      </c>
      <c r="F34" s="6">
        <f>IFERROR(__xludf.DUMMYFUNCTION("""COMPUTED_VALUE"""),3.383287606E9)</f>
        <v>3383287606</v>
      </c>
    </row>
    <row r="35">
      <c r="A35" s="6">
        <f t="shared" si="2"/>
        <v>8192</v>
      </c>
      <c r="B35" s="6">
        <f>IFERROR(__xludf.DUMMYFUNCTION("""COMPUTED_VALUE"""),1.8992817E7)</f>
        <v>18992817</v>
      </c>
      <c r="C35" s="6">
        <f>IFERROR(__xludf.DUMMYFUNCTION("""COMPUTED_VALUE"""),7.1273818E7)</f>
        <v>71273818</v>
      </c>
      <c r="D35" s="6">
        <f>IFERROR(__xludf.DUMMYFUNCTION("""COMPUTED_VALUE"""),2.74687469E8)</f>
        <v>274687469</v>
      </c>
      <c r="E35" s="6">
        <f>IFERROR(__xludf.DUMMYFUNCTION("""COMPUTED_VALUE"""),1.101556125E9)</f>
        <v>1101556125</v>
      </c>
      <c r="F35" s="6">
        <f>IFERROR(__xludf.DUMMYFUNCTION("""COMPUTED_VALUE"""),4.496832909E9)</f>
        <v>4496832909</v>
      </c>
    </row>
    <row r="36">
      <c r="A36" s="6">
        <f t="shared" si="2"/>
        <v>10240</v>
      </c>
      <c r="B36" s="6">
        <f>IFERROR(__xludf.DUMMYFUNCTION("""COMPUTED_VALUE"""),2.3764557E7)</f>
        <v>23764557</v>
      </c>
      <c r="C36" s="6">
        <f>IFERROR(__xludf.DUMMYFUNCTION("""COMPUTED_VALUE"""),8.8798173E7)</f>
        <v>88798173</v>
      </c>
      <c r="D36" s="6">
        <f>IFERROR(__xludf.DUMMYFUNCTION("""COMPUTED_VALUE"""),3.43203964E8)</f>
        <v>343203964</v>
      </c>
      <c r="E36" s="6">
        <f>IFERROR(__xludf.DUMMYFUNCTION("""COMPUTED_VALUE"""),1.377241387E9)</f>
        <v>1377241387</v>
      </c>
      <c r="F36" s="6">
        <f>IFERROR(__xludf.DUMMYFUNCTION("""COMPUTED_VALUE"""),5.612017439E9)</f>
        <v>5612017439</v>
      </c>
    </row>
    <row r="37">
      <c r="A37" s="5"/>
      <c r="B37" s="5"/>
      <c r="C37" s="5"/>
      <c r="D37" s="5"/>
      <c r="E37" s="5"/>
      <c r="F37" s="5"/>
    </row>
    <row r="38">
      <c r="A38" s="5"/>
      <c r="B38" s="5"/>
      <c r="C38" s="5"/>
      <c r="D38" s="5"/>
      <c r="E38" s="5"/>
      <c r="F38" s="5"/>
    </row>
    <row r="39">
      <c r="A39" s="4" t="s">
        <v>5</v>
      </c>
      <c r="B39" s="5"/>
      <c r="C39" s="5"/>
      <c r="D39" s="5"/>
      <c r="E39" s="5"/>
      <c r="F39" s="5"/>
    </row>
    <row r="40">
      <c r="A40" s="2" t="s">
        <v>1</v>
      </c>
      <c r="B40" s="2" t="s">
        <v>15</v>
      </c>
      <c r="C40" s="2" t="s">
        <v>16</v>
      </c>
      <c r="D40" s="2" t="s">
        <v>17</v>
      </c>
      <c r="E40" s="2" t="s">
        <v>18</v>
      </c>
      <c r="F40" s="2" t="s">
        <v>19</v>
      </c>
    </row>
    <row r="41">
      <c r="A41" s="3">
        <v>4096.0</v>
      </c>
      <c r="B41" s="8">
        <f>IFERROR(__xludf.DUMMYFUNCTION("QUERY(E2:E21,""skipping 5"")"),3.0979435E7)</f>
        <v>30979435</v>
      </c>
      <c r="C41" s="8">
        <f>IFERROR(__xludf.DUMMYFUNCTION("QUERY(E3:E21,""skipping 5"")"),8.6379917E7)</f>
        <v>86379917</v>
      </c>
      <c r="D41" s="8">
        <f>IFERROR(__xludf.DUMMYFUNCTION("QUERY(E4:E21,""skipping 5"")"),2.91849463E8)</f>
        <v>291849463</v>
      </c>
      <c r="E41" s="8">
        <f>IFERROR(__xludf.DUMMYFUNCTION("QUERY(E5:E21,""skipping 5"")"),1.136875021E9)</f>
        <v>1136875021</v>
      </c>
      <c r="F41" s="8">
        <f>IFERROR(__xludf.DUMMYFUNCTION("QUERY(E6:E21,""skipping 5"")"),4.360757956E9)</f>
        <v>4360757956</v>
      </c>
    </row>
    <row r="42">
      <c r="A42" s="6">
        <f t="shared" ref="A42:A44" si="3">A41+2048</f>
        <v>6144</v>
      </c>
      <c r="B42" s="9">
        <f>IFERROR(__xludf.DUMMYFUNCTION("""COMPUTED_VALUE"""),4.5845564E7)</f>
        <v>45845564</v>
      </c>
      <c r="C42" s="9">
        <f>IFERROR(__xludf.DUMMYFUNCTION("""COMPUTED_VALUE"""),1.3041149E8)</f>
        <v>130411490</v>
      </c>
      <c r="D42" s="9">
        <f>IFERROR(__xludf.DUMMYFUNCTION("""COMPUTED_VALUE"""),4.50628281E8)</f>
        <v>450628281</v>
      </c>
      <c r="E42" s="9">
        <f>IFERROR(__xludf.DUMMYFUNCTION("""COMPUTED_VALUE"""),1.690867474E9)</f>
        <v>1690867474</v>
      </c>
      <c r="F42" s="9">
        <f>IFERROR(__xludf.DUMMYFUNCTION("""COMPUTED_VALUE"""),6.560051966E9)</f>
        <v>6560051966</v>
      </c>
    </row>
    <row r="43">
      <c r="A43" s="6">
        <f t="shared" si="3"/>
        <v>8192</v>
      </c>
      <c r="B43" s="9">
        <f>IFERROR(__xludf.DUMMYFUNCTION("""COMPUTED_VALUE"""),6.1396634E7)</f>
        <v>61396634</v>
      </c>
      <c r="C43" s="9">
        <f>IFERROR(__xludf.DUMMYFUNCTION("""COMPUTED_VALUE"""),1.63988056E8)</f>
        <v>163988056</v>
      </c>
      <c r="D43" s="9">
        <f>IFERROR(__xludf.DUMMYFUNCTION("""COMPUTED_VALUE"""),5.74821251E8)</f>
        <v>574821251</v>
      </c>
      <c r="E43" s="9">
        <f>IFERROR(__xludf.DUMMYFUNCTION("""COMPUTED_VALUE"""),2.231277667E9)</f>
        <v>2231277667</v>
      </c>
      <c r="F43" s="9">
        <f>IFERROR(__xludf.DUMMYFUNCTION("""COMPUTED_VALUE"""),8.720808492E9)</f>
        <v>8720808492</v>
      </c>
    </row>
    <row r="44">
      <c r="A44" s="6">
        <f t="shared" si="3"/>
        <v>10240</v>
      </c>
      <c r="B44" s="9">
        <f>IFERROR(__xludf.DUMMYFUNCTION("""COMPUTED_VALUE"""),7.6859565E7)</f>
        <v>76859565</v>
      </c>
      <c r="C44" s="9">
        <f>IFERROR(__xludf.DUMMYFUNCTION("""COMPUTED_VALUE"""),2.15772494E8)</f>
        <v>215772494</v>
      </c>
      <c r="D44" s="9">
        <f>IFERROR(__xludf.DUMMYFUNCTION("""COMPUTED_VALUE"""),7.32662551E8)</f>
        <v>732662551</v>
      </c>
      <c r="E44" s="9">
        <f>IFERROR(__xludf.DUMMYFUNCTION("""COMPUTED_VALUE"""),2.815239811E9)</f>
        <v>2815239811</v>
      </c>
      <c r="F44" s="9">
        <f>IFERROR(__xludf.DUMMYFUNCTION("""COMPUTED_VALUE"""),1.1010644092E10)</f>
        <v>11010644092</v>
      </c>
    </row>
    <row r="45">
      <c r="A45" s="5"/>
      <c r="B45" s="5"/>
      <c r="C45" s="5"/>
      <c r="D45" s="5"/>
      <c r="E45" s="5"/>
      <c r="F45" s="5"/>
    </row>
    <row r="46">
      <c r="A46" s="10"/>
      <c r="B46" s="10"/>
      <c r="C46" s="10"/>
      <c r="D46" s="10"/>
      <c r="E46" s="10"/>
      <c r="F46" s="10"/>
    </row>
    <row r="47">
      <c r="A47" s="11" t="s">
        <v>6</v>
      </c>
      <c r="B47" s="10"/>
      <c r="C47" s="10"/>
      <c r="D47" s="10"/>
      <c r="E47" s="10"/>
      <c r="F47" s="10"/>
    </row>
    <row r="48">
      <c r="A48" s="12" t="s">
        <v>1</v>
      </c>
      <c r="B48" s="12" t="s">
        <v>15</v>
      </c>
      <c r="C48" s="12" t="s">
        <v>16</v>
      </c>
      <c r="D48" s="12" t="s">
        <v>17</v>
      </c>
      <c r="E48" s="12" t="s">
        <v>18</v>
      </c>
      <c r="F48" s="12" t="s">
        <v>19</v>
      </c>
    </row>
    <row r="49">
      <c r="A49" s="13">
        <v>4096.0</v>
      </c>
      <c r="B49" s="8">
        <f>IFERROR(__xludf.DUMMYFUNCTION("QUERY(F2:F21,""skipping 5"")"),2982.0)</f>
        <v>2982</v>
      </c>
      <c r="C49" s="8">
        <f>IFERROR(__xludf.DUMMYFUNCTION("QUERY(F3:F21,""skipping 5"")"),2682.0)</f>
        <v>2682</v>
      </c>
      <c r="D49" s="8">
        <f>IFERROR(__xludf.DUMMYFUNCTION("QUERY(F4:F21,""skipping 5"")"),2823.0)</f>
        <v>2823</v>
      </c>
      <c r="E49" s="8">
        <f>IFERROR(__xludf.DUMMYFUNCTION("QUERY(F5:F21,""skipping 5"")"),8362.0)</f>
        <v>8362</v>
      </c>
      <c r="F49" s="8">
        <f>IFERROR(__xludf.DUMMYFUNCTION("QUERY(F6:F21,""skipping 5"")"),18923.0)</f>
        <v>18923</v>
      </c>
    </row>
    <row r="50">
      <c r="A50" s="9">
        <f t="shared" ref="A50:A52" si="4">A49+2048</f>
        <v>6144</v>
      </c>
      <c r="B50" s="9">
        <f>IFERROR(__xludf.DUMMYFUNCTION("""COMPUTED_VALUE"""),2184.0)</f>
        <v>2184</v>
      </c>
      <c r="C50" s="9">
        <f>IFERROR(__xludf.DUMMYFUNCTION("""COMPUTED_VALUE"""),2151.0)</f>
        <v>2151</v>
      </c>
      <c r="D50" s="9">
        <f>IFERROR(__xludf.DUMMYFUNCTION("""COMPUTED_VALUE"""),3566.0)</f>
        <v>3566</v>
      </c>
      <c r="E50" s="9">
        <f>IFERROR(__xludf.DUMMYFUNCTION("""COMPUTED_VALUE"""),13354.0)</f>
        <v>13354</v>
      </c>
      <c r="F50" s="9">
        <f>IFERROR(__xludf.DUMMYFUNCTION("""COMPUTED_VALUE"""),31583.0)</f>
        <v>31583</v>
      </c>
    </row>
    <row r="51">
      <c r="A51" s="9">
        <f t="shared" si="4"/>
        <v>8192</v>
      </c>
      <c r="B51" s="9">
        <f>IFERROR(__xludf.DUMMYFUNCTION("""COMPUTED_VALUE"""),2133.0)</f>
        <v>2133</v>
      </c>
      <c r="C51" s="9">
        <f>IFERROR(__xludf.DUMMYFUNCTION("""COMPUTED_VALUE"""),3778.0)</f>
        <v>3778</v>
      </c>
      <c r="D51" s="9">
        <f>IFERROR(__xludf.DUMMYFUNCTION("""COMPUTED_VALUE"""),8871.0)</f>
        <v>8871</v>
      </c>
      <c r="E51" s="9">
        <f>IFERROR(__xludf.DUMMYFUNCTION("""COMPUTED_VALUE"""),16535.0)</f>
        <v>16535</v>
      </c>
      <c r="F51" s="9">
        <f>IFERROR(__xludf.DUMMYFUNCTION("""COMPUTED_VALUE"""),38770.0)</f>
        <v>38770</v>
      </c>
    </row>
    <row r="52">
      <c r="A52" s="9">
        <f t="shared" si="4"/>
        <v>10240</v>
      </c>
      <c r="B52" s="9">
        <f>IFERROR(__xludf.DUMMYFUNCTION("""COMPUTED_VALUE"""),2316.0)</f>
        <v>2316</v>
      </c>
      <c r="C52" s="9">
        <f>IFERROR(__xludf.DUMMYFUNCTION("""COMPUTED_VALUE"""),2463.0)</f>
        <v>2463</v>
      </c>
      <c r="D52" s="9">
        <f>IFERROR(__xludf.DUMMYFUNCTION("""COMPUTED_VALUE"""),7403.0)</f>
        <v>7403</v>
      </c>
      <c r="E52" s="9">
        <f>IFERROR(__xludf.DUMMYFUNCTION("""COMPUTED_VALUE"""),15470.0)</f>
        <v>15470</v>
      </c>
      <c r="F52" s="9">
        <f>IFERROR(__xludf.DUMMYFUNCTION("""COMPUTED_VALUE"""),47807.0)</f>
        <v>47807</v>
      </c>
    </row>
    <row r="53">
      <c r="A53" s="10"/>
      <c r="B53" s="10"/>
      <c r="C53" s="10"/>
      <c r="D53" s="10"/>
      <c r="E53" s="10"/>
      <c r="F53" s="10"/>
    </row>
    <row r="54">
      <c r="A54" s="10"/>
      <c r="B54" s="10"/>
      <c r="C54" s="10"/>
      <c r="D54" s="10"/>
      <c r="E54" s="10"/>
      <c r="F54" s="10"/>
    </row>
    <row r="55">
      <c r="A55" s="11" t="s">
        <v>7</v>
      </c>
      <c r="B55" s="10"/>
      <c r="C55" s="10"/>
      <c r="D55" s="10"/>
      <c r="E55" s="10"/>
      <c r="F55" s="10"/>
    </row>
    <row r="56">
      <c r="A56" s="12" t="s">
        <v>1</v>
      </c>
      <c r="B56" s="12" t="s">
        <v>15</v>
      </c>
      <c r="C56" s="12" t="s">
        <v>16</v>
      </c>
      <c r="D56" s="12" t="s">
        <v>17</v>
      </c>
      <c r="E56" s="12" t="s">
        <v>18</v>
      </c>
      <c r="F56" s="12" t="s">
        <v>19</v>
      </c>
    </row>
    <row r="57">
      <c r="A57" s="13">
        <v>4096.0</v>
      </c>
      <c r="B57" s="8">
        <f>IFERROR(__xludf.DUMMYFUNCTION("QUERY(G2:G21,""skipping 5"")"),1988.0)</f>
        <v>1988</v>
      </c>
      <c r="C57" s="8">
        <f>IFERROR(__xludf.DUMMYFUNCTION("QUERY(G3:G21,""skipping 5"")"),2067.0)</f>
        <v>2067</v>
      </c>
      <c r="D57" s="8">
        <f>IFERROR(__xludf.DUMMYFUNCTION("QUERY(G4:G21,""skipping 5"")"),2188.0)</f>
        <v>2188</v>
      </c>
      <c r="E57" s="8">
        <f>IFERROR(__xludf.DUMMYFUNCTION("QUERY(G5:G21,""skipping 5"")"),7645.0)</f>
        <v>7645</v>
      </c>
      <c r="F57" s="8">
        <f>IFERROR(__xludf.DUMMYFUNCTION("QUERY(G6:G21,""skipping 5"")"),18034.0)</f>
        <v>18034</v>
      </c>
    </row>
    <row r="58">
      <c r="A58" s="9">
        <f t="shared" ref="A58:A60" si="5">A57+2048</f>
        <v>6144</v>
      </c>
      <c r="B58" s="9">
        <f>IFERROR(__xludf.DUMMYFUNCTION("""COMPUTED_VALUE"""),1520.0)</f>
        <v>1520</v>
      </c>
      <c r="C58" s="9">
        <f>IFERROR(__xludf.DUMMYFUNCTION("""COMPUTED_VALUE"""),1595.0)</f>
        <v>1595</v>
      </c>
      <c r="D58" s="9">
        <f>IFERROR(__xludf.DUMMYFUNCTION("""COMPUTED_VALUE"""),2620.0)</f>
        <v>2620</v>
      </c>
      <c r="E58" s="9">
        <f>IFERROR(__xludf.DUMMYFUNCTION("""COMPUTED_VALUE"""),11184.0)</f>
        <v>11184</v>
      </c>
      <c r="F58" s="9">
        <f>IFERROR(__xludf.DUMMYFUNCTION("""COMPUTED_VALUE"""),29923.0)</f>
        <v>29923</v>
      </c>
    </row>
    <row r="59">
      <c r="A59" s="9">
        <f t="shared" si="5"/>
        <v>8192</v>
      </c>
      <c r="B59" s="9">
        <f>IFERROR(__xludf.DUMMYFUNCTION("""COMPUTED_VALUE"""),1589.0)</f>
        <v>1589</v>
      </c>
      <c r="C59" s="9">
        <f>IFERROR(__xludf.DUMMYFUNCTION("""COMPUTED_VALUE"""),2773.0)</f>
        <v>2773</v>
      </c>
      <c r="D59" s="9">
        <f>IFERROR(__xludf.DUMMYFUNCTION("""COMPUTED_VALUE"""),6833.0)</f>
        <v>6833</v>
      </c>
      <c r="E59" s="9">
        <f>IFERROR(__xludf.DUMMYFUNCTION("""COMPUTED_VALUE"""),14523.0)</f>
        <v>14523</v>
      </c>
      <c r="F59" s="9">
        <f>IFERROR(__xludf.DUMMYFUNCTION("""COMPUTED_VALUE"""),28422.0)</f>
        <v>28422</v>
      </c>
    </row>
    <row r="60">
      <c r="A60" s="9">
        <f t="shared" si="5"/>
        <v>10240</v>
      </c>
      <c r="B60" s="9">
        <f>IFERROR(__xludf.DUMMYFUNCTION("""COMPUTED_VALUE"""),1721.0)</f>
        <v>1721</v>
      </c>
      <c r="C60" s="9">
        <f>IFERROR(__xludf.DUMMYFUNCTION("""COMPUTED_VALUE"""),1873.0)</f>
        <v>1873</v>
      </c>
      <c r="D60" s="9">
        <f>IFERROR(__xludf.DUMMYFUNCTION("""COMPUTED_VALUE"""),5462.0)</f>
        <v>5462</v>
      </c>
      <c r="E60" s="9">
        <f>IFERROR(__xludf.DUMMYFUNCTION("""COMPUTED_VALUE"""),12771.0)</f>
        <v>12771</v>
      </c>
      <c r="F60" s="9">
        <f>IFERROR(__xludf.DUMMYFUNCTION("""COMPUTED_VALUE"""),43853.0)</f>
        <v>43853</v>
      </c>
    </row>
    <row r="61">
      <c r="A61" s="5"/>
      <c r="B61" s="5"/>
      <c r="C61" s="5"/>
      <c r="D61" s="5"/>
      <c r="E61" s="5"/>
      <c r="F61" s="5"/>
    </row>
    <row r="62">
      <c r="A62" s="5"/>
      <c r="B62" s="5"/>
      <c r="C62" s="5"/>
      <c r="D62" s="5"/>
      <c r="E62" s="5"/>
      <c r="F62" s="5"/>
    </row>
    <row r="63">
      <c r="A63" s="11" t="s">
        <v>8</v>
      </c>
      <c r="B63" s="10"/>
      <c r="C63" s="10"/>
      <c r="D63" s="10"/>
      <c r="E63" s="10"/>
      <c r="F63" s="10"/>
    </row>
    <row r="64">
      <c r="A64" s="12" t="s">
        <v>1</v>
      </c>
      <c r="B64" s="12" t="s">
        <v>15</v>
      </c>
      <c r="C64" s="12" t="s">
        <v>16</v>
      </c>
      <c r="D64" s="12" t="s">
        <v>17</v>
      </c>
      <c r="E64" s="12" t="s">
        <v>18</v>
      </c>
      <c r="F64" s="12" t="s">
        <v>19</v>
      </c>
    </row>
    <row r="65">
      <c r="A65" s="13">
        <v>4096.0</v>
      </c>
      <c r="B65" s="8">
        <f>IFERROR(__xludf.DUMMYFUNCTION("QUERY(H2:H21,""skipping 5"")"),9575697.0)</f>
        <v>9575697</v>
      </c>
      <c r="C65" s="8">
        <f>IFERROR(__xludf.DUMMYFUNCTION("QUERY(H3:H21,""skipping 5"")"),3.5590584E7)</f>
        <v>35590584</v>
      </c>
      <c r="D65" s="8">
        <f>IFERROR(__xludf.DUMMYFUNCTION("QUERY(H4:H21,""skipping 5"")"),1.37155882E8)</f>
        <v>137155882</v>
      </c>
      <c r="E65" s="8">
        <f>IFERROR(__xludf.DUMMYFUNCTION("QUERY(H5:H21,""skipping 5"")"),5.4970953E8)</f>
        <v>549709530</v>
      </c>
      <c r="F65" s="8">
        <f>IFERROR(__xludf.DUMMYFUNCTION("QUERY(H6:H21,""skipping 5"")"),2.24874867E9)</f>
        <v>2248748670</v>
      </c>
    </row>
    <row r="66">
      <c r="A66" s="9">
        <f t="shared" ref="A66:A68" si="6">A65+2048</f>
        <v>6144</v>
      </c>
      <c r="B66" s="9">
        <f>IFERROR(__xludf.DUMMYFUNCTION("""COMPUTED_VALUE"""),1.4255747E7)</f>
        <v>14255747</v>
      </c>
      <c r="C66" s="9">
        <f>IFERROR(__xludf.DUMMYFUNCTION("""COMPUTED_VALUE"""),5.3290636E7)</f>
        <v>53290636</v>
      </c>
      <c r="D66" s="9">
        <f>IFERROR(__xludf.DUMMYFUNCTION("""COMPUTED_VALUE"""),2.06004716E8)</f>
        <v>206004716</v>
      </c>
      <c r="E66" s="9">
        <f>IFERROR(__xludf.DUMMYFUNCTION("""COMPUTED_VALUE"""),8.26510161E8)</f>
        <v>826510161</v>
      </c>
      <c r="F66" s="9">
        <f>IFERROR(__xludf.DUMMYFUNCTION("""COMPUTED_VALUE"""),3.383319189E9)</f>
        <v>3383319189</v>
      </c>
    </row>
    <row r="67">
      <c r="A67" s="9">
        <f t="shared" si="6"/>
        <v>8192</v>
      </c>
      <c r="B67" s="9">
        <f>IFERROR(__xludf.DUMMYFUNCTION("""COMPUTED_VALUE"""),1.899495E7)</f>
        <v>18994950</v>
      </c>
      <c r="C67" s="9">
        <f>IFERROR(__xludf.DUMMYFUNCTION("""COMPUTED_VALUE"""),7.1277596E7)</f>
        <v>71277596</v>
      </c>
      <c r="D67" s="9">
        <f>IFERROR(__xludf.DUMMYFUNCTION("""COMPUTED_VALUE"""),2.7469634E8)</f>
        <v>274696340</v>
      </c>
      <c r="E67" s="9">
        <f>IFERROR(__xludf.DUMMYFUNCTION("""COMPUTED_VALUE"""),1.10157266E9)</f>
        <v>1101572660</v>
      </c>
      <c r="F67" s="9">
        <f>IFERROR(__xludf.DUMMYFUNCTION("""COMPUTED_VALUE"""),4.496871679E9)</f>
        <v>4496871679</v>
      </c>
    </row>
    <row r="68">
      <c r="A68" s="9">
        <f t="shared" si="6"/>
        <v>10240</v>
      </c>
      <c r="B68" s="9">
        <f>IFERROR(__xludf.DUMMYFUNCTION("""COMPUTED_VALUE"""),2.3766873E7)</f>
        <v>23766873</v>
      </c>
      <c r="C68" s="9">
        <f>IFERROR(__xludf.DUMMYFUNCTION("""COMPUTED_VALUE"""),8.8800636E7)</f>
        <v>88800636</v>
      </c>
      <c r="D68" s="9">
        <f>IFERROR(__xludf.DUMMYFUNCTION("""COMPUTED_VALUE"""),3.43211367E8)</f>
        <v>343211367</v>
      </c>
      <c r="E68" s="9">
        <f>IFERROR(__xludf.DUMMYFUNCTION("""COMPUTED_VALUE"""),1.377256857E9)</f>
        <v>1377256857</v>
      </c>
      <c r="F68" s="9">
        <f>IFERROR(__xludf.DUMMYFUNCTION("""COMPUTED_VALUE"""),5.612065246E9)</f>
        <v>5612065246</v>
      </c>
    </row>
    <row r="69">
      <c r="A69" s="5"/>
      <c r="B69" s="5"/>
      <c r="C69" s="5"/>
      <c r="D69" s="5"/>
      <c r="E69" s="5"/>
      <c r="F69" s="5"/>
    </row>
    <row r="70">
      <c r="A70" s="5"/>
      <c r="B70" s="5"/>
      <c r="C70" s="5"/>
      <c r="D70" s="5"/>
      <c r="E70" s="5"/>
      <c r="F70" s="5"/>
    </row>
    <row r="71">
      <c r="A71" s="11" t="s">
        <v>9</v>
      </c>
      <c r="B71" s="10"/>
      <c r="C71" s="10"/>
      <c r="D71" s="10"/>
      <c r="E71" s="10"/>
      <c r="F71" s="10"/>
    </row>
    <row r="72">
      <c r="A72" s="12" t="s">
        <v>1</v>
      </c>
      <c r="B72" s="12" t="s">
        <v>15</v>
      </c>
      <c r="C72" s="12" t="s">
        <v>16</v>
      </c>
      <c r="D72" s="12" t="s">
        <v>17</v>
      </c>
      <c r="E72" s="12" t="s">
        <v>18</v>
      </c>
      <c r="F72" s="12" t="s">
        <v>19</v>
      </c>
    </row>
    <row r="73">
      <c r="A73" s="13">
        <v>4096.0</v>
      </c>
      <c r="B73" s="8">
        <f>IFERROR(__xludf.DUMMYFUNCTION("QUERY(I2:I21,""skipping 5"")"),3.0981423E7)</f>
        <v>30981423</v>
      </c>
      <c r="C73" s="8">
        <f>IFERROR(__xludf.DUMMYFUNCTION("QUERY(I3:I21,""skipping 5"")"),8.6381984E7)</f>
        <v>86381984</v>
      </c>
      <c r="D73" s="8">
        <f>IFERROR(__xludf.DUMMYFUNCTION("QUERY(I4:I21,""skipping 5"")"),2.91851651E8)</f>
        <v>291851651</v>
      </c>
      <c r="E73" s="8">
        <f>IFERROR(__xludf.DUMMYFUNCTION("QUERY(I5:I21,""skipping 5"")"),1.136882666E9)</f>
        <v>1136882666</v>
      </c>
      <c r="F73" s="8">
        <f>IFERROR(__xludf.DUMMYFUNCTION("QUERY(I6:I21,""skipping 5"")"),4.36077599E9)</f>
        <v>4360775990</v>
      </c>
    </row>
    <row r="74">
      <c r="A74" s="9">
        <f t="shared" ref="A74:A76" si="7">A73+2048</f>
        <v>6144</v>
      </c>
      <c r="B74" s="9">
        <f>IFERROR(__xludf.DUMMYFUNCTION("""COMPUTED_VALUE"""),4.5847084E7)</f>
        <v>45847084</v>
      </c>
      <c r="C74" s="9">
        <f>IFERROR(__xludf.DUMMYFUNCTION("""COMPUTED_VALUE"""),1.30413085E8)</f>
        <v>130413085</v>
      </c>
      <c r="D74" s="9">
        <f>IFERROR(__xludf.DUMMYFUNCTION("""COMPUTED_VALUE"""),4.50630901E8)</f>
        <v>450630901</v>
      </c>
      <c r="E74" s="9">
        <f>IFERROR(__xludf.DUMMYFUNCTION("""COMPUTED_VALUE"""),1.690878658E9)</f>
        <v>1690878658</v>
      </c>
      <c r="F74" s="9">
        <f>IFERROR(__xludf.DUMMYFUNCTION("""COMPUTED_VALUE"""),6.560081889E9)</f>
        <v>6560081889</v>
      </c>
    </row>
    <row r="75">
      <c r="A75" s="9">
        <f t="shared" si="7"/>
        <v>8192</v>
      </c>
      <c r="B75" s="9">
        <f>IFERROR(__xludf.DUMMYFUNCTION("""COMPUTED_VALUE"""),6.1398223E7)</f>
        <v>61398223</v>
      </c>
      <c r="C75" s="9">
        <f>IFERROR(__xludf.DUMMYFUNCTION("""COMPUTED_VALUE"""),1.63990829E8)</f>
        <v>163990829</v>
      </c>
      <c r="D75" s="9">
        <f>IFERROR(__xludf.DUMMYFUNCTION("""COMPUTED_VALUE"""),5.74828084E8)</f>
        <v>574828084</v>
      </c>
      <c r="E75" s="9">
        <f>IFERROR(__xludf.DUMMYFUNCTION("""COMPUTED_VALUE"""),2.23129219E9)</f>
        <v>2231292190</v>
      </c>
      <c r="F75" s="9">
        <f>IFERROR(__xludf.DUMMYFUNCTION("""COMPUTED_VALUE"""),8.720836914E9)</f>
        <v>8720836914</v>
      </c>
    </row>
    <row r="76">
      <c r="A76" s="9">
        <f t="shared" si="7"/>
        <v>10240</v>
      </c>
      <c r="B76" s="9">
        <f>IFERROR(__xludf.DUMMYFUNCTION("""COMPUTED_VALUE"""),7.6861286E7)</f>
        <v>76861286</v>
      </c>
      <c r="C76" s="9">
        <f>IFERROR(__xludf.DUMMYFUNCTION("""COMPUTED_VALUE"""),2.15774367E8)</f>
        <v>215774367</v>
      </c>
      <c r="D76" s="9">
        <f>IFERROR(__xludf.DUMMYFUNCTION("""COMPUTED_VALUE"""),7.32668013E8)</f>
        <v>732668013</v>
      </c>
      <c r="E76" s="9">
        <f>IFERROR(__xludf.DUMMYFUNCTION("""COMPUTED_VALUE"""),2.815252582E9)</f>
        <v>2815252582</v>
      </c>
      <c r="F76" s="9">
        <f>IFERROR(__xludf.DUMMYFUNCTION("""COMPUTED_VALUE"""),1.1010687945E10)</f>
        <v>11010687945</v>
      </c>
    </row>
    <row r="77">
      <c r="A77" s="5"/>
      <c r="B77" s="5"/>
      <c r="C77" s="5"/>
      <c r="D77" s="5"/>
      <c r="E77" s="5"/>
      <c r="F77" s="5"/>
    </row>
    <row r="78">
      <c r="A78" s="5"/>
      <c r="B78" s="5"/>
      <c r="C78" s="5"/>
      <c r="D78" s="5"/>
      <c r="E78" s="5"/>
      <c r="F78" s="5"/>
    </row>
    <row r="79">
      <c r="A79" s="11" t="s">
        <v>20</v>
      </c>
      <c r="B79" s="10"/>
      <c r="C79" s="10"/>
      <c r="D79" s="10"/>
      <c r="E79" s="10"/>
      <c r="F79" s="10"/>
    </row>
    <row r="80">
      <c r="A80" s="12" t="s">
        <v>1</v>
      </c>
      <c r="B80" s="12" t="s">
        <v>15</v>
      </c>
      <c r="C80" s="12" t="s">
        <v>16</v>
      </c>
      <c r="D80" s="12" t="s">
        <v>17</v>
      </c>
      <c r="E80" s="12" t="s">
        <v>18</v>
      </c>
      <c r="F80" s="12" t="s">
        <v>19</v>
      </c>
    </row>
    <row r="81">
      <c r="A81" s="13">
        <v>4096.0</v>
      </c>
      <c r="B81" s="8">
        <f>IFERROR(__xludf.DUMMYFUNCTION("QUERY(J2:J21,""skipping 5"")"),6.10452674E8)</f>
        <v>610452674</v>
      </c>
      <c r="C81" s="8">
        <f>IFERROR(__xludf.DUMMYFUNCTION("QUERY(J3:J21,""skipping 5"")"),2.026031775E9)</f>
        <v>2026031775</v>
      </c>
      <c r="D81" s="8">
        <f>IFERROR(__xludf.DUMMYFUNCTION("QUERY(J4:J21,""skipping 5"")"),7.675762987E9)</f>
        <v>7675762987</v>
      </c>
      <c r="E81" s="8">
        <f>IFERROR(__xludf.DUMMYFUNCTION("QUERY(J5:J21,""skipping 5"")"),3.0249515645E10)</f>
        <v>30249515645</v>
      </c>
      <c r="F81" s="8">
        <f>IFERROR(__xludf.DUMMYFUNCTION("QUERY(J6:J21,""skipping 5"")"),1.20494179047E11)</f>
        <v>120494179047</v>
      </c>
    </row>
    <row r="82">
      <c r="A82" s="9">
        <f t="shared" ref="A82:A84" si="8">A81+2048</f>
        <v>6144</v>
      </c>
      <c r="B82" s="9">
        <f>IFERROR(__xludf.DUMMYFUNCTION("""COMPUTED_VALUE"""),1.016388401E9)</f>
        <v>1016388401</v>
      </c>
      <c r="C82" s="9">
        <f>IFERROR(__xludf.DUMMYFUNCTION("""COMPUTED_VALUE"""),3.139756924E9)</f>
        <v>3139756924</v>
      </c>
      <c r="D82" s="9">
        <f>IFERROR(__xludf.DUMMYFUNCTION("""COMPUTED_VALUE"""),1.1614354027E10)</f>
        <v>11614354027</v>
      </c>
      <c r="E82" s="9">
        <f>IFERROR(__xludf.DUMMYFUNCTION("""COMPUTED_VALUE"""),4.5474982923E10)</f>
        <v>45474982923</v>
      </c>
      <c r="F82" s="9">
        <f>IFERROR(__xludf.DUMMYFUNCTION("""COMPUTED_VALUE"""),1.80841980908E11)</f>
        <v>180841980908</v>
      </c>
    </row>
    <row r="83">
      <c r="A83" s="9">
        <f t="shared" si="8"/>
        <v>8192</v>
      </c>
      <c r="B83" s="9">
        <f>IFERROR(__xludf.DUMMYFUNCTION("""COMPUTED_VALUE"""),1.48946576E9)</f>
        <v>1489465760</v>
      </c>
      <c r="C83" s="9">
        <f>IFERROR(__xludf.DUMMYFUNCTION("""COMPUTED_VALUE"""),4.320623831E9)</f>
        <v>4320623831</v>
      </c>
      <c r="D83" s="9">
        <f>IFERROR(__xludf.DUMMYFUNCTION("""COMPUTED_VALUE"""),1.5620086412E10)</f>
        <v>15620086412</v>
      </c>
      <c r="E83" s="9">
        <f>IFERROR(__xludf.DUMMYFUNCTION("""COMPUTED_VALUE"""),6.076759183E10)</f>
        <v>60767591830</v>
      </c>
      <c r="F83" s="9">
        <f>IFERROR(__xludf.DUMMYFUNCTION("""COMPUTED_VALUE"""),2.41256918384E11)</f>
        <v>241256918384</v>
      </c>
    </row>
    <row r="84">
      <c r="A84" s="9">
        <f t="shared" si="8"/>
        <v>10240</v>
      </c>
      <c r="B84" s="9">
        <f>IFERROR(__xludf.DUMMYFUNCTION("""COMPUTED_VALUE"""),2.029684808E9)</f>
        <v>2029684808</v>
      </c>
      <c r="C84" s="9">
        <f>IFERROR(__xludf.DUMMYFUNCTION("""COMPUTED_VALUE"""),5.56863234E9)</f>
        <v>5568632340</v>
      </c>
      <c r="D84" s="9">
        <f>IFERROR(__xludf.DUMMYFUNCTION("""COMPUTED_VALUE"""),1.9692960606E10)</f>
        <v>19692960606</v>
      </c>
      <c r="E84" s="9">
        <f>IFERROR(__xludf.DUMMYFUNCTION("""COMPUTED_VALUE"""),7.6127342289E10)</f>
        <v>76127342289</v>
      </c>
      <c r="F84" s="9">
        <f>IFERROR(__xludf.DUMMYFUNCTION("""COMPUTED_VALUE"""),3.01739000309E11)</f>
        <v>301739000309</v>
      </c>
    </row>
  </sheetData>
  <drawing r:id="rId1"/>
</worksheet>
</file>