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\github\structural\Concrete\"/>
    </mc:Choice>
  </mc:AlternateContent>
  <xr:revisionPtr revIDLastSave="0" documentId="8_{2A82A091-C7EE-434A-B2E1-8330355D1961}" xr6:coauthVersionLast="31" xr6:coauthVersionMax="31" xr10:uidLastSave="{00000000-0000-0000-0000-000000000000}"/>
  <bookViews>
    <workbookView xWindow="0" yWindow="0" windowWidth="23040" windowHeight="9072" activeTab="1" xr2:uid="{00000000-000D-0000-FFFF-FFFF00000000}"/>
  </bookViews>
  <sheets>
    <sheet name="Wall footing" sheetId="5" r:id="rId1"/>
    <sheet name="Square footing" sheetId="8" r:id="rId2"/>
    <sheet name="rect footing" sheetId="17" r:id="rId3"/>
  </sheets>
  <calcPr calcId="179017"/>
</workbook>
</file>

<file path=xl/calcChain.xml><?xml version="1.0" encoding="utf-8"?>
<calcChain xmlns="http://schemas.openxmlformats.org/spreadsheetml/2006/main">
  <c r="C10" i="8" l="1"/>
  <c r="C26" i="8" s="1"/>
  <c r="C33" i="8" s="1"/>
  <c r="C46" i="17" l="1"/>
  <c r="C49" i="17"/>
  <c r="C51" i="17"/>
  <c r="C34" i="17"/>
  <c r="C27" i="17"/>
  <c r="C47" i="17" s="1"/>
  <c r="C22" i="17"/>
  <c r="C17" i="17"/>
  <c r="C18" i="17" s="1"/>
  <c r="C20" i="17" s="1"/>
  <c r="C16" i="17"/>
  <c r="H6" i="17"/>
  <c r="C4" i="17"/>
  <c r="C22" i="8"/>
  <c r="H10" i="8" s="1"/>
  <c r="G9" i="5"/>
  <c r="I17" i="5" s="1"/>
  <c r="C30" i="8"/>
  <c r="C38" i="8" s="1"/>
  <c r="C37" i="8"/>
  <c r="H12" i="8"/>
  <c r="C23" i="8"/>
  <c r="C24" i="8" s="1"/>
  <c r="G4" i="5"/>
  <c r="G10" i="5" s="1"/>
  <c r="C4" i="5"/>
  <c r="C19" i="5" s="1"/>
  <c r="G5" i="5" s="1"/>
  <c r="C15" i="5"/>
  <c r="C16" i="5"/>
  <c r="C17" i="5" s="1"/>
  <c r="C23" i="17"/>
  <c r="H3" i="17" s="1"/>
  <c r="C30" i="17" l="1"/>
  <c r="C31" i="17" s="1"/>
  <c r="C32" i="17" s="1"/>
  <c r="C33" i="17" s="1"/>
  <c r="H15" i="17"/>
  <c r="H16" i="17" s="1"/>
  <c r="H17" i="17" s="1"/>
  <c r="H18" i="17" s="1"/>
  <c r="H4" i="17"/>
  <c r="G6" i="5"/>
  <c r="G7" i="5" s="1"/>
  <c r="G15" i="5" s="1"/>
  <c r="I14" i="5"/>
  <c r="I18" i="5"/>
  <c r="H7" i="17"/>
  <c r="H8" i="17"/>
  <c r="H9" i="17"/>
  <c r="H9" i="8"/>
  <c r="H21" i="8"/>
  <c r="H22" i="8" s="1"/>
  <c r="H23" i="8" s="1"/>
  <c r="H24" i="8" s="1"/>
  <c r="C34" i="8"/>
  <c r="C35" i="8" s="1"/>
  <c r="C36" i="8" s="1"/>
  <c r="C39" i="8" s="1"/>
  <c r="C20" i="5"/>
  <c r="C21" i="5" s="1"/>
  <c r="C22" i="5" s="1"/>
  <c r="C23" i="5" s="1"/>
  <c r="I15" i="5"/>
  <c r="I19" i="5"/>
  <c r="C35" i="17"/>
  <c r="C36" i="17" s="1"/>
  <c r="I16" i="5"/>
  <c r="I20" i="5"/>
  <c r="C42" i="17"/>
  <c r="C43" i="17" s="1"/>
  <c r="C44" i="17" s="1"/>
  <c r="C45" i="17" s="1"/>
  <c r="C48" i="17" s="1"/>
  <c r="G18" i="5" l="1"/>
  <c r="G16" i="5"/>
  <c r="G19" i="5"/>
  <c r="G8" i="5"/>
  <c r="G11" i="5" s="1"/>
  <c r="G17" i="5"/>
  <c r="G20" i="5"/>
  <c r="G14" i="5"/>
  <c r="G37" i="17"/>
  <c r="H37" i="17" s="1"/>
  <c r="I37" i="17" s="1"/>
  <c r="G35" i="17"/>
  <c r="H35" i="17" s="1"/>
  <c r="I35" i="17" s="1"/>
  <c r="G31" i="17"/>
  <c r="H31" i="17" s="1"/>
  <c r="I31" i="17" s="1"/>
  <c r="G33" i="17"/>
  <c r="H33" i="17" s="1"/>
  <c r="I33" i="17" s="1"/>
  <c r="G36" i="17"/>
  <c r="H36" i="17" s="1"/>
  <c r="I36" i="17" s="1"/>
  <c r="G32" i="17"/>
  <c r="H32" i="17" s="1"/>
  <c r="I32" i="17" s="1"/>
  <c r="G34" i="17"/>
  <c r="H34" i="17" s="1"/>
  <c r="I34" i="17" s="1"/>
  <c r="G49" i="17"/>
  <c r="H49" i="17" s="1"/>
  <c r="I49" i="17" s="1"/>
  <c r="G45" i="17"/>
  <c r="H45" i="17" s="1"/>
  <c r="I45" i="17" s="1"/>
  <c r="G44" i="17"/>
  <c r="H44" i="17" s="1"/>
  <c r="I44" i="17" s="1"/>
  <c r="G48" i="17"/>
  <c r="H48" i="17" s="1"/>
  <c r="I48" i="17" s="1"/>
  <c r="G47" i="17"/>
  <c r="H47" i="17" s="1"/>
  <c r="I47" i="17" s="1"/>
  <c r="G46" i="17"/>
  <c r="H46" i="17" s="1"/>
  <c r="I46" i="17" s="1"/>
  <c r="G43" i="17"/>
  <c r="H43" i="17" s="1"/>
  <c r="I43" i="17" s="1"/>
  <c r="H10" i="17"/>
  <c r="H11" i="17" s="1"/>
  <c r="H12" i="17" s="1"/>
  <c r="H13" i="8"/>
  <c r="H15" i="8"/>
  <c r="H14" i="8"/>
  <c r="H34" i="8"/>
  <c r="I34" i="8" s="1"/>
  <c r="J34" i="8" s="1"/>
  <c r="H30" i="8"/>
  <c r="I30" i="8" s="1"/>
  <c r="J30" i="8" s="1"/>
  <c r="H32" i="8"/>
  <c r="I32" i="8" s="1"/>
  <c r="J32" i="8" s="1"/>
  <c r="H33" i="8"/>
  <c r="I33" i="8" s="1"/>
  <c r="J33" i="8" s="1"/>
  <c r="H35" i="8"/>
  <c r="I35" i="8" s="1"/>
  <c r="J35" i="8" s="1"/>
  <c r="H31" i="8"/>
  <c r="I31" i="8" s="1"/>
  <c r="J31" i="8" s="1"/>
  <c r="H36" i="8"/>
  <c r="I36" i="8" s="1"/>
  <c r="J36" i="8" s="1"/>
  <c r="H16" i="8" l="1"/>
  <c r="H17" i="8" s="1"/>
  <c r="H1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rhbrown</author>
  </authors>
  <commentList>
    <comment ref="F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 based on the results of the goal seek or trail and error, select a final value of h
</t>
        </r>
      </text>
    </comment>
    <comment ref="B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wall thickness</t>
        </r>
      </text>
    </comment>
    <comment ref="B6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 at least 3 in. unless a higher value is required due to sulfate in the soil.</t>
        </r>
      </text>
    </comment>
    <comment ref="B8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 xml:space="preserve"> concrete density</t>
        </r>
      </text>
    </comment>
    <comment ref="F9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 xml:space="preserve"> min. A</t>
        </r>
        <r>
          <rPr>
            <b/>
            <vertAlign val="subscript"/>
            <sz val="8"/>
            <color indexed="81"/>
            <rFont val="Tahoma"/>
            <family val="2"/>
          </rPr>
          <t>s</t>
        </r>
        <r>
          <rPr>
            <b/>
            <sz val="8"/>
            <color indexed="81"/>
            <rFont val="Tahoma"/>
            <family val="2"/>
          </rPr>
          <t xml:space="preserve"> for temp &amp; shrinkage</t>
        </r>
      </text>
    </comment>
    <comment ref="F10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 xml:space="preserve"> min. A</t>
        </r>
        <r>
          <rPr>
            <b/>
            <vertAlign val="subscript"/>
            <sz val="8"/>
            <color indexed="81"/>
            <rFont val="Tahoma"/>
            <family val="2"/>
          </rPr>
          <t>s</t>
        </r>
        <r>
          <rPr>
            <b/>
            <sz val="8"/>
            <color indexed="81"/>
            <rFont val="Tahoma"/>
            <family val="2"/>
          </rPr>
          <t xml:space="preserve"> for 200/fy (not a code req't)</t>
        </r>
      </text>
    </comment>
    <comment ref="B1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1.0 for normal weight
0.85 for sand lightweight
0.75 for all lightweight</t>
        </r>
      </text>
    </comment>
    <comment ref="F11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 xml:space="preserve"> Largest of the three values of A</t>
        </r>
        <r>
          <rPr>
            <b/>
            <vertAlign val="subscript"/>
            <sz val="8"/>
            <color indexed="81"/>
            <rFont val="Tahoma"/>
            <family val="2"/>
          </rPr>
          <t xml:space="preserve">s </t>
        </r>
        <r>
          <rPr>
            <b/>
            <sz val="8"/>
            <color indexed="81"/>
            <rFont val="Tahoma"/>
            <family val="2"/>
          </rPr>
          <t>above</t>
        </r>
      </text>
    </comment>
    <comment ref="B13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 distance from finish grade to bottom of footing</t>
        </r>
      </text>
    </comment>
    <comment ref="G13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 xml:space="preserve"> Round </t>
        </r>
        <r>
          <rPr>
            <i/>
            <u/>
            <sz val="8"/>
            <color indexed="81"/>
            <rFont val="Tahoma"/>
            <family val="2"/>
          </rPr>
          <t>down</t>
        </r>
        <r>
          <rPr>
            <b/>
            <sz val="8"/>
            <color indexed="81"/>
            <rFont val="Tahoma"/>
            <family val="2"/>
          </rPr>
          <t xml:space="preserve"> to the nearest practical value.</t>
        </r>
      </text>
    </comment>
    <comment ref="I13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rhbrown:</t>
        </r>
        <r>
          <rPr>
            <sz val="9"/>
            <color indexed="81"/>
            <rFont val="Tahoma"/>
            <family val="2"/>
          </rPr>
          <t xml:space="preserve">
temp &amp; shrink reinforcing spacing. Round down to practical value</t>
        </r>
      </text>
    </comment>
    <comment ref="B18" authorId="0" shapeId="0" xr:uid="{00000000-0006-0000-0000-00000C000000}">
      <text>
        <r>
          <rPr>
            <b/>
            <sz val="8"/>
            <color indexed="81"/>
            <rFont val="Tahoma"/>
            <family val="2"/>
          </rPr>
          <t xml:space="preserve"> enter the value of </t>
        </r>
        <r>
          <rPr>
            <sz val="8"/>
            <color indexed="81"/>
            <rFont val="Script MT Bold"/>
            <family val="4"/>
          </rPr>
          <t xml:space="preserve">l </t>
        </r>
        <r>
          <rPr>
            <b/>
            <sz val="8"/>
            <color indexed="81"/>
            <rFont val="Tahoma"/>
            <family val="2"/>
          </rPr>
          <t xml:space="preserve">that you select. It must be greater than </t>
        </r>
        <r>
          <rPr>
            <sz val="8"/>
            <color indexed="81"/>
            <rFont val="Script MT Bold"/>
            <family val="4"/>
          </rPr>
          <t>l</t>
        </r>
        <r>
          <rPr>
            <b/>
            <vertAlign val="subscript"/>
            <sz val="8"/>
            <color indexed="81"/>
            <rFont val="Tahoma"/>
            <family val="2"/>
          </rPr>
          <t>min</t>
        </r>
        <r>
          <rPr>
            <b/>
            <sz val="8"/>
            <color indexed="81"/>
            <rFont val="Tahoma"/>
            <family val="2"/>
          </rPr>
          <t xml:space="preserve"> in the previous cell</t>
        </r>
      </text>
    </comment>
    <comment ref="B21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 xml:space="preserve"> from ACI Equation 11-3</t>
        </r>
      </text>
    </comment>
    <comment ref="F21" authorId="0" shapeId="0" xr:uid="{00000000-0006-0000-0000-00000E000000}">
      <text>
        <r>
          <rPr>
            <b/>
            <sz val="8"/>
            <color indexed="81"/>
            <rFont val="Tahoma"/>
            <family val="2"/>
          </rPr>
          <t xml:space="preserve"> Do not exceed a spacing of 18 in. or 3 times the footing thickness.</t>
        </r>
      </text>
    </comment>
    <comment ref="C23" authorId="0" shapeId="0" xr:uid="{00000000-0006-0000-0000-00000F000000}">
      <text>
        <r>
          <rPr>
            <b/>
            <sz val="8"/>
            <color indexed="81"/>
            <rFont val="Tahoma"/>
            <family val="2"/>
          </rPr>
          <t xml:space="preserve"> Use goal seek to set this value to zero by varying h in cell C14. The minimum value of h for shear will appear in cells C22 and in cell C14.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B1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short column cross section dimension</t>
        </r>
      </text>
    </comment>
    <comment ref="B1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long column cross section dimension</t>
        </r>
      </text>
    </comment>
    <comment ref="G1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 from ACI Equation 11-35</t>
        </r>
      </text>
    </comment>
    <comment ref="G14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 from ACI Equation 11-33</t>
        </r>
      </text>
    </comment>
    <comment ref="G15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 xml:space="preserve"> from ACI Equation 11-34</t>
        </r>
      </text>
    </comment>
    <comment ref="G1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 xml:space="preserve"> largest of the three values of d</t>
        </r>
        <r>
          <rPr>
            <b/>
            <vertAlign val="subscript"/>
            <sz val="8"/>
            <color indexed="81"/>
            <rFont val="Tahoma"/>
            <family val="2"/>
          </rPr>
          <t>2,shear</t>
        </r>
      </text>
    </comment>
    <comment ref="H18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 xml:space="preserve"> Use goal seek to set this value to zero by varying trial h in cell C15. The result is the minimum value of h for two-way shear.</t>
        </r>
      </text>
    </comment>
    <comment ref="B20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 xml:space="preserve"> distance from finish grade to bottom of footing</t>
        </r>
      </text>
    </comment>
    <comment ref="G22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 xml:space="preserve"> from ACI Equation 11-3</t>
        </r>
      </text>
    </comment>
    <comment ref="H24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 xml:space="preserve"> Use goal seek to set this value to zero by varying trial h in cell C15. The result is the minimum value of h for two-way shear.</t>
        </r>
      </text>
    </comment>
    <comment ref="B2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 xml:space="preserve"> enter the value of </t>
        </r>
        <r>
          <rPr>
            <sz val="8"/>
            <color indexed="81"/>
            <rFont val="Script MT Bold"/>
            <family val="4"/>
          </rPr>
          <t xml:space="preserve">l </t>
        </r>
        <r>
          <rPr>
            <b/>
            <sz val="8"/>
            <color indexed="81"/>
            <rFont val="Tahoma"/>
            <family val="2"/>
          </rPr>
          <t xml:space="preserve">that you select. It must be greater than </t>
        </r>
        <r>
          <rPr>
            <sz val="8"/>
            <color indexed="81"/>
            <rFont val="Script MT Bold"/>
            <family val="4"/>
          </rPr>
          <t>l</t>
        </r>
        <r>
          <rPr>
            <b/>
            <vertAlign val="subscript"/>
            <sz val="8"/>
            <color indexed="81"/>
            <rFont val="Tahoma"/>
            <family val="2"/>
          </rPr>
          <t>min</t>
        </r>
        <r>
          <rPr>
            <b/>
            <sz val="8"/>
            <color indexed="81"/>
            <rFont val="Tahoma"/>
            <family val="2"/>
          </rPr>
          <t xml:space="preserve"> in the previous cell</t>
        </r>
      </text>
    </comment>
    <comment ref="B29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 xml:space="preserve"> based on the results of the goal seek or trail and error for one-way and two-way shear, select a final value of h
</t>
        </r>
      </text>
    </comment>
    <comment ref="I29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 xml:space="preserve"> Round down to the nearest inch increment. </t>
        </r>
      </text>
    </comment>
    <comment ref="J29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 xml:space="preserve"> Select a bar size and number of bars that has a spacing less than 18 in. for best economy, since 18 in. is the maximum permitted spacing.</t>
        </r>
      </text>
    </comment>
    <comment ref="B36" authorId="0" shapeId="0" xr:uid="{00000000-0006-0000-0100-00000F000000}">
      <text>
        <r>
          <rPr>
            <b/>
            <sz val="8"/>
            <color indexed="81"/>
            <rFont val="Tahoma"/>
            <family val="2"/>
          </rPr>
          <t xml:space="preserve"> required to resist the design moment</t>
        </r>
      </text>
    </comment>
    <comment ref="B37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 xml:space="preserve"> min. A</t>
        </r>
        <r>
          <rPr>
            <b/>
            <vertAlign val="subscript"/>
            <sz val="8"/>
            <color indexed="81"/>
            <rFont val="Tahoma"/>
            <family val="2"/>
          </rPr>
          <t>s</t>
        </r>
        <r>
          <rPr>
            <b/>
            <sz val="8"/>
            <color indexed="81"/>
            <rFont val="Tahoma"/>
            <family val="2"/>
          </rPr>
          <t xml:space="preserve"> for temp &amp; shrinkage</t>
        </r>
      </text>
    </comment>
    <comment ref="B38" authorId="0" shapeId="0" xr:uid="{00000000-0006-0000-0100-000011000000}">
      <text>
        <r>
          <rPr>
            <b/>
            <sz val="8"/>
            <color indexed="81"/>
            <rFont val="Tahoma"/>
            <family val="2"/>
          </rPr>
          <t xml:space="preserve"> min. A</t>
        </r>
        <r>
          <rPr>
            <b/>
            <vertAlign val="subscript"/>
            <sz val="8"/>
            <color indexed="81"/>
            <rFont val="Tahoma"/>
            <family val="2"/>
          </rPr>
          <t>s</t>
        </r>
        <r>
          <rPr>
            <b/>
            <sz val="8"/>
            <color indexed="81"/>
            <rFont val="Tahoma"/>
            <family val="2"/>
          </rPr>
          <t xml:space="preserve"> for 200/fy (not a code req't)</t>
        </r>
      </text>
    </comment>
    <comment ref="B39" authorId="0" shapeId="0" xr:uid="{00000000-0006-0000-0100-000012000000}">
      <text>
        <r>
          <rPr>
            <b/>
            <sz val="8"/>
            <color indexed="81"/>
            <rFont val="Tahoma"/>
            <family val="2"/>
          </rPr>
          <t>Total reinforcing steel area in one direction. The same area must also be provided in the perpendicular direction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rhbrown</author>
  </authors>
  <commentList>
    <comment ref="B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short column cross section dimension</t>
        </r>
      </text>
    </comment>
    <comment ref="B6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long column cross section dimension</t>
        </r>
      </text>
    </comment>
    <comment ref="G7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 xml:space="preserve"> from ACI Equation 11-35</t>
        </r>
      </text>
    </comment>
    <comment ref="G8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 from ACI Equation 11-33</t>
        </r>
      </text>
    </comment>
    <comment ref="G9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 xml:space="preserve"> from ACI Equation 11-34</t>
        </r>
      </text>
    </comment>
    <comment ref="G10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 xml:space="preserve"> largest of the three values of d</t>
        </r>
        <r>
          <rPr>
            <b/>
            <vertAlign val="subscript"/>
            <sz val="8"/>
            <color indexed="81"/>
            <rFont val="Tahoma"/>
            <family val="2"/>
          </rPr>
          <t>2,shear</t>
        </r>
      </text>
    </comment>
    <comment ref="H12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 xml:space="preserve"> Use goal seek to set this value to zero by varying trial h in cell C15. The result is the minimum value of h for two-way shear.</t>
        </r>
      </text>
    </comment>
    <comment ref="B14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 xml:space="preserve"> distance from finish grade to bottom of footing</t>
        </r>
      </text>
    </comment>
    <comment ref="G16" authorId="0" shapeId="0" xr:uid="{00000000-0006-0000-0200-000009000000}">
      <text>
        <r>
          <rPr>
            <b/>
            <sz val="8"/>
            <color indexed="81"/>
            <rFont val="Tahoma"/>
            <family val="2"/>
          </rPr>
          <t xml:space="preserve"> from ACI Equation 11-3</t>
        </r>
      </text>
    </comment>
    <comment ref="H18" authorId="0" shapeId="0" xr:uid="{00000000-0006-0000-0200-00000A000000}">
      <text>
        <r>
          <rPr>
            <b/>
            <sz val="8"/>
            <color indexed="81"/>
            <rFont val="Tahoma"/>
            <family val="2"/>
          </rPr>
          <t xml:space="preserve"> Use goal seek to set this value to zero by varying trial h in cell C15. The result is the minimum value of h for two-way shear.</t>
        </r>
      </text>
    </comment>
    <comment ref="B19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rhbrown:</t>
        </r>
        <r>
          <rPr>
            <sz val="9"/>
            <color indexed="81"/>
            <rFont val="Tahoma"/>
            <family val="2"/>
          </rPr>
          <t xml:space="preserve">
enter limiting footing footprint dimension
</t>
        </r>
      </text>
    </comment>
    <comment ref="B20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 xml:space="preserve">this is the lowest lowest value of </t>
        </r>
        <r>
          <rPr>
            <sz val="8"/>
            <color indexed="81"/>
            <rFont val="Script MT Bold"/>
            <family val="4"/>
          </rPr>
          <t xml:space="preserve">l </t>
        </r>
        <r>
          <rPr>
            <b/>
            <sz val="8"/>
            <color indexed="81"/>
            <rFont val="Tahoma"/>
            <family val="2"/>
          </rPr>
          <t>that gives enough footing area with the value of s you have selected.</t>
        </r>
      </text>
    </comment>
    <comment ref="B21" authorId="0" shapeId="0" xr:uid="{00000000-0006-0000-0200-00000D000000}">
      <text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Tahoma"/>
            <family val="2"/>
          </rPr>
          <t xml:space="preserve">enter the value of </t>
        </r>
        <r>
          <rPr>
            <sz val="11"/>
            <color indexed="81"/>
            <rFont val="Script MT Bold"/>
            <family val="4"/>
          </rPr>
          <t xml:space="preserve">l </t>
        </r>
        <r>
          <rPr>
            <b/>
            <sz val="11"/>
            <color indexed="81"/>
            <rFont val="Tahoma"/>
            <family val="2"/>
          </rPr>
          <t xml:space="preserve">that exceeds the value of </t>
        </r>
        <r>
          <rPr>
            <b/>
            <sz val="11"/>
            <color indexed="81"/>
            <rFont val="Script MT Bold"/>
            <family val="4"/>
          </rPr>
          <t>l</t>
        </r>
        <r>
          <rPr>
            <b/>
            <vertAlign val="subscript"/>
            <sz val="11"/>
            <color indexed="81"/>
            <rFont val="Tahoma"/>
            <family val="2"/>
          </rPr>
          <t>min</t>
        </r>
        <r>
          <rPr>
            <b/>
            <sz val="11"/>
            <color indexed="81"/>
            <rFont val="Tahoma"/>
            <family val="2"/>
          </rPr>
          <t xml:space="preserve"> above.</t>
        </r>
      </text>
    </comment>
    <comment ref="B26" authorId="0" shapeId="0" xr:uid="{00000000-0006-0000-0200-00000E000000}">
      <text>
        <r>
          <rPr>
            <b/>
            <sz val="8"/>
            <color indexed="81"/>
            <rFont val="Tahoma"/>
            <family val="2"/>
          </rPr>
          <t xml:space="preserve"> based on the results of the goal seek or trail and error for one-way and two-way shear, select a final value of h
</t>
        </r>
      </text>
    </comment>
    <comment ref="I30" authorId="0" shapeId="0" xr:uid="{00000000-0006-0000-0200-00000F000000}">
      <text>
        <r>
          <rPr>
            <b/>
            <sz val="8"/>
            <color indexed="81"/>
            <rFont val="Tahoma"/>
            <family val="2"/>
          </rPr>
          <t xml:space="preserve"> Select a bar size and number of bars that has a spacing less than 18 in. for best economy, since 18 in. is the maximum permitted spacing.</t>
        </r>
      </text>
    </comment>
    <comment ref="B33" authorId="0" shapeId="0" xr:uid="{00000000-0006-0000-0200-000010000000}">
      <text>
        <r>
          <rPr>
            <b/>
            <sz val="8"/>
            <color indexed="81"/>
            <rFont val="Tahoma"/>
            <family val="2"/>
          </rPr>
          <t xml:space="preserve"> required to resist the design moment</t>
        </r>
      </text>
    </comment>
    <comment ref="B34" authorId="0" shapeId="0" xr:uid="{00000000-0006-0000-0200-000011000000}">
      <text>
        <r>
          <rPr>
            <b/>
            <sz val="8"/>
            <color indexed="81"/>
            <rFont val="Tahoma"/>
            <family val="2"/>
          </rPr>
          <t xml:space="preserve"> min. A</t>
        </r>
        <r>
          <rPr>
            <b/>
            <vertAlign val="subscript"/>
            <sz val="8"/>
            <color indexed="81"/>
            <rFont val="Tahoma"/>
            <family val="2"/>
          </rPr>
          <t>s</t>
        </r>
        <r>
          <rPr>
            <b/>
            <sz val="8"/>
            <color indexed="81"/>
            <rFont val="Tahoma"/>
            <family val="2"/>
          </rPr>
          <t xml:space="preserve"> for temp &amp; shrinkage</t>
        </r>
      </text>
    </comment>
    <comment ref="B35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 xml:space="preserve"> min. A</t>
        </r>
        <r>
          <rPr>
            <b/>
            <vertAlign val="subscript"/>
            <sz val="8"/>
            <color indexed="81"/>
            <rFont val="Tahoma"/>
            <family val="2"/>
          </rPr>
          <t>s</t>
        </r>
        <r>
          <rPr>
            <b/>
            <sz val="8"/>
            <color indexed="81"/>
            <rFont val="Tahoma"/>
            <family val="2"/>
          </rPr>
          <t xml:space="preserve"> for 200/fy (not a code req't)</t>
        </r>
      </text>
    </comment>
    <comment ref="B36" authorId="0" shapeId="0" xr:uid="{00000000-0006-0000-0200-000013000000}">
      <text>
        <r>
          <rPr>
            <b/>
            <sz val="8"/>
            <color indexed="81"/>
            <rFont val="Tahoma"/>
            <family val="2"/>
          </rPr>
          <t>Total reinforcing steel area in one direction. The same area must also be provided in the perpendicular direction</t>
        </r>
      </text>
    </comment>
    <comment ref="I42" authorId="0" shapeId="0" xr:uid="{00000000-0006-0000-0200-000014000000}">
      <text>
        <r>
          <rPr>
            <b/>
            <sz val="8"/>
            <color indexed="81"/>
            <rFont val="Tahoma"/>
            <family val="2"/>
          </rPr>
          <t xml:space="preserve"> theoritical number of bars to be placed in the short direction in a band width equal to the short footprint dimension of the footing</t>
        </r>
      </text>
    </comment>
    <comment ref="B45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 xml:space="preserve"> required to resist the design moment</t>
        </r>
      </text>
    </comment>
    <comment ref="B46" authorId="0" shapeId="0" xr:uid="{00000000-0006-0000-0200-000016000000}">
      <text>
        <r>
          <rPr>
            <b/>
            <sz val="8"/>
            <color indexed="81"/>
            <rFont val="Tahoma"/>
            <family val="2"/>
          </rPr>
          <t xml:space="preserve"> min. A</t>
        </r>
        <r>
          <rPr>
            <b/>
            <vertAlign val="subscript"/>
            <sz val="8"/>
            <color indexed="81"/>
            <rFont val="Tahoma"/>
            <family val="2"/>
          </rPr>
          <t>s</t>
        </r>
        <r>
          <rPr>
            <b/>
            <sz val="8"/>
            <color indexed="81"/>
            <rFont val="Tahoma"/>
            <family val="2"/>
          </rPr>
          <t xml:space="preserve"> for temp &amp; shrinkage</t>
        </r>
      </text>
    </comment>
    <comment ref="B47" authorId="0" shapeId="0" xr:uid="{00000000-0006-0000-0200-000017000000}">
      <text>
        <r>
          <rPr>
            <b/>
            <sz val="8"/>
            <color indexed="81"/>
            <rFont val="Tahoma"/>
            <family val="2"/>
          </rPr>
          <t xml:space="preserve"> min. A</t>
        </r>
        <r>
          <rPr>
            <b/>
            <vertAlign val="subscript"/>
            <sz val="8"/>
            <color indexed="81"/>
            <rFont val="Tahoma"/>
            <family val="2"/>
          </rPr>
          <t>s</t>
        </r>
        <r>
          <rPr>
            <b/>
            <sz val="8"/>
            <color indexed="81"/>
            <rFont val="Tahoma"/>
            <family val="2"/>
          </rPr>
          <t xml:space="preserve"> for 200/fy (not a code req't)</t>
        </r>
      </text>
    </comment>
    <comment ref="B48" authorId="0" shapeId="0" xr:uid="{00000000-0006-0000-0200-000018000000}">
      <text>
        <r>
          <rPr>
            <b/>
            <sz val="8"/>
            <color indexed="81"/>
            <rFont val="Tahoma"/>
            <family val="2"/>
          </rPr>
          <t>Total reinforcing steel area in one direction. The same area must also be provided in the perpendicular direction</t>
        </r>
      </text>
    </comment>
  </commentList>
</comments>
</file>

<file path=xl/sharedStrings.xml><?xml version="1.0" encoding="utf-8"?>
<sst xmlns="http://schemas.openxmlformats.org/spreadsheetml/2006/main" count="301" uniqueCount="89">
  <si>
    <t>b =</t>
  </si>
  <si>
    <t>d =</t>
  </si>
  <si>
    <t>in.</t>
  </si>
  <si>
    <t>a =</t>
  </si>
  <si>
    <t>psi</t>
  </si>
  <si>
    <r>
      <t>f</t>
    </r>
    <r>
      <rPr>
        <b/>
        <i/>
        <vertAlign val="subscript"/>
        <sz val="12"/>
        <rFont val="Arial"/>
        <family val="2"/>
      </rPr>
      <t>c</t>
    </r>
    <r>
      <rPr>
        <b/>
        <i/>
        <sz val="12"/>
        <rFont val="Arial"/>
        <family val="2"/>
      </rPr>
      <t>' =</t>
    </r>
  </si>
  <si>
    <r>
      <t>f</t>
    </r>
    <r>
      <rPr>
        <b/>
        <i/>
        <vertAlign val="subscript"/>
        <sz val="12"/>
        <rFont val="Arial"/>
        <family val="2"/>
      </rPr>
      <t>y</t>
    </r>
    <r>
      <rPr>
        <b/>
        <i/>
        <sz val="12"/>
        <rFont val="Arial"/>
        <family val="2"/>
      </rPr>
      <t xml:space="preserve"> =</t>
    </r>
  </si>
  <si>
    <r>
      <t>in</t>
    </r>
    <r>
      <rPr>
        <b/>
        <i/>
        <vertAlign val="superscript"/>
        <sz val="12"/>
        <rFont val="Arial"/>
        <family val="2"/>
      </rPr>
      <t>2</t>
    </r>
  </si>
  <si>
    <r>
      <t>P</t>
    </r>
    <r>
      <rPr>
        <b/>
        <i/>
        <vertAlign val="subscript"/>
        <sz val="12"/>
        <rFont val="Arial"/>
        <family val="2"/>
      </rPr>
      <t>u</t>
    </r>
    <r>
      <rPr>
        <b/>
        <i/>
        <sz val="12"/>
        <rFont val="Arial"/>
        <family val="2"/>
      </rPr>
      <t xml:space="preserve"> =</t>
    </r>
  </si>
  <si>
    <r>
      <t>M</t>
    </r>
    <r>
      <rPr>
        <b/>
        <i/>
        <vertAlign val="subscript"/>
        <sz val="12"/>
        <rFont val="Arial"/>
        <family val="2"/>
      </rPr>
      <t>u</t>
    </r>
    <r>
      <rPr>
        <b/>
        <i/>
        <sz val="12"/>
        <rFont val="Arial"/>
        <family val="2"/>
      </rPr>
      <t xml:space="preserve"> =</t>
    </r>
  </si>
  <si>
    <t>k</t>
  </si>
  <si>
    <r>
      <t>P</t>
    </r>
    <r>
      <rPr>
        <b/>
        <i/>
        <vertAlign val="subscript"/>
        <sz val="12"/>
        <rFont val="Arial"/>
        <family val="2"/>
      </rPr>
      <t>D</t>
    </r>
    <r>
      <rPr>
        <b/>
        <i/>
        <sz val="12"/>
        <rFont val="Arial"/>
        <family val="2"/>
      </rPr>
      <t xml:space="preserve"> =</t>
    </r>
  </si>
  <si>
    <r>
      <t>P</t>
    </r>
    <r>
      <rPr>
        <b/>
        <i/>
        <vertAlign val="subscript"/>
        <sz val="12"/>
        <rFont val="Arial"/>
        <family val="2"/>
      </rPr>
      <t>L</t>
    </r>
    <r>
      <rPr>
        <b/>
        <i/>
        <sz val="12"/>
        <rFont val="Arial"/>
        <family val="2"/>
      </rPr>
      <t xml:space="preserve"> =</t>
    </r>
  </si>
  <si>
    <t>Wall Footing Design</t>
  </si>
  <si>
    <t>k/ft</t>
  </si>
  <si>
    <t>ft</t>
  </si>
  <si>
    <r>
      <t>l</t>
    </r>
    <r>
      <rPr>
        <b/>
        <i/>
        <vertAlign val="subscript"/>
        <sz val="12"/>
        <rFont val="Arial"/>
        <family val="2"/>
      </rPr>
      <t xml:space="preserve"> </t>
    </r>
    <r>
      <rPr>
        <b/>
        <i/>
        <sz val="12"/>
        <rFont val="Arial"/>
        <family val="2"/>
      </rPr>
      <t>=</t>
    </r>
  </si>
  <si>
    <r>
      <t>q</t>
    </r>
    <r>
      <rPr>
        <b/>
        <i/>
        <vertAlign val="subscript"/>
        <sz val="12"/>
        <rFont val="Arial"/>
        <family val="2"/>
      </rPr>
      <t>e</t>
    </r>
    <r>
      <rPr>
        <b/>
        <i/>
        <sz val="12"/>
        <rFont val="Arial"/>
        <family val="2"/>
      </rPr>
      <t xml:space="preserve"> =</t>
    </r>
  </si>
  <si>
    <r>
      <t>q</t>
    </r>
    <r>
      <rPr>
        <b/>
        <i/>
        <vertAlign val="subscript"/>
        <sz val="12"/>
        <rFont val="Arial"/>
        <family val="2"/>
      </rPr>
      <t>a</t>
    </r>
    <r>
      <rPr>
        <b/>
        <i/>
        <sz val="12"/>
        <rFont val="Arial"/>
        <family val="2"/>
      </rPr>
      <t xml:space="preserve"> =</t>
    </r>
  </si>
  <si>
    <t>ksf</t>
  </si>
  <si>
    <r>
      <t>g</t>
    </r>
    <r>
      <rPr>
        <b/>
        <i/>
        <vertAlign val="subscript"/>
        <sz val="12"/>
        <rFont val="Arial"/>
        <family val="2"/>
      </rPr>
      <t xml:space="preserve">c </t>
    </r>
    <r>
      <rPr>
        <b/>
        <i/>
        <sz val="12"/>
        <rFont val="Arial"/>
        <family val="2"/>
      </rPr>
      <t>=</t>
    </r>
  </si>
  <si>
    <r>
      <t>g</t>
    </r>
    <r>
      <rPr>
        <b/>
        <i/>
        <vertAlign val="subscript"/>
        <sz val="12"/>
        <rFont val="Arial"/>
        <family val="2"/>
      </rPr>
      <t xml:space="preserve">s </t>
    </r>
    <r>
      <rPr>
        <b/>
        <i/>
        <sz val="12"/>
        <rFont val="Arial"/>
        <family val="2"/>
      </rPr>
      <t>=</t>
    </r>
  </si>
  <si>
    <r>
      <t>d</t>
    </r>
    <r>
      <rPr>
        <b/>
        <i/>
        <vertAlign val="subscript"/>
        <sz val="12"/>
        <rFont val="Arial"/>
        <family val="2"/>
      </rPr>
      <t>grade</t>
    </r>
    <r>
      <rPr>
        <b/>
        <i/>
        <sz val="12"/>
        <rFont val="Arial"/>
        <family val="2"/>
      </rPr>
      <t xml:space="preserve"> =</t>
    </r>
  </si>
  <si>
    <r>
      <t>V</t>
    </r>
    <r>
      <rPr>
        <b/>
        <i/>
        <vertAlign val="subscript"/>
        <sz val="12"/>
        <rFont val="Arial"/>
        <family val="2"/>
      </rPr>
      <t>u</t>
    </r>
    <r>
      <rPr>
        <b/>
        <i/>
        <sz val="12"/>
        <rFont val="Arial"/>
        <family val="2"/>
      </rPr>
      <t xml:space="preserve"> =</t>
    </r>
  </si>
  <si>
    <t>t =</t>
  </si>
  <si>
    <t>cover =</t>
  </si>
  <si>
    <r>
      <t>q</t>
    </r>
    <r>
      <rPr>
        <b/>
        <i/>
        <vertAlign val="subscript"/>
        <sz val="12"/>
        <rFont val="Arial"/>
        <family val="2"/>
      </rPr>
      <t>u</t>
    </r>
    <r>
      <rPr>
        <b/>
        <i/>
        <sz val="12"/>
        <rFont val="Arial"/>
        <family val="2"/>
      </rPr>
      <t xml:space="preserve"> =</t>
    </r>
  </si>
  <si>
    <r>
      <t>d</t>
    </r>
    <r>
      <rPr>
        <b/>
        <i/>
        <vertAlign val="subscript"/>
        <sz val="12"/>
        <rFont val="Arial"/>
        <family val="2"/>
      </rPr>
      <t>shear</t>
    </r>
    <r>
      <rPr>
        <b/>
        <i/>
        <sz val="12"/>
        <rFont val="Arial"/>
        <family val="2"/>
      </rPr>
      <t xml:space="preserve"> =</t>
    </r>
  </si>
  <si>
    <r>
      <t>h</t>
    </r>
    <r>
      <rPr>
        <b/>
        <i/>
        <vertAlign val="subscript"/>
        <sz val="12"/>
        <rFont val="Arial"/>
        <family val="2"/>
      </rPr>
      <t>shear</t>
    </r>
    <r>
      <rPr>
        <b/>
        <i/>
        <sz val="12"/>
        <rFont val="Arial"/>
        <family val="2"/>
      </rPr>
      <t xml:space="preserve"> =</t>
    </r>
  </si>
  <si>
    <t>trial h =</t>
  </si>
  <si>
    <r>
      <t>trial h - h</t>
    </r>
    <r>
      <rPr>
        <b/>
        <i/>
        <vertAlign val="subscript"/>
        <sz val="12"/>
        <rFont val="Arial"/>
        <family val="2"/>
      </rPr>
      <t>shear</t>
    </r>
    <r>
      <rPr>
        <b/>
        <i/>
        <sz val="12"/>
        <rFont val="Arial"/>
        <family val="2"/>
      </rPr>
      <t xml:space="preserve"> =</t>
    </r>
  </si>
  <si>
    <t>select h =</t>
  </si>
  <si>
    <t>ft-k</t>
  </si>
  <si>
    <r>
      <t>R</t>
    </r>
    <r>
      <rPr>
        <b/>
        <i/>
        <vertAlign val="subscript"/>
        <sz val="12"/>
        <rFont val="Arial"/>
        <family val="2"/>
      </rPr>
      <t>n</t>
    </r>
    <r>
      <rPr>
        <b/>
        <i/>
        <sz val="12"/>
        <rFont val="Arial"/>
        <family val="2"/>
      </rPr>
      <t xml:space="preserve"> =</t>
    </r>
  </si>
  <si>
    <r>
      <t>r</t>
    </r>
    <r>
      <rPr>
        <b/>
        <i/>
        <vertAlign val="subscript"/>
        <sz val="12"/>
        <rFont val="Arial"/>
        <family val="2"/>
      </rPr>
      <t xml:space="preserve"> </t>
    </r>
    <r>
      <rPr>
        <b/>
        <i/>
        <sz val="12"/>
        <rFont val="Arial"/>
        <family val="2"/>
      </rPr>
      <t>=</t>
    </r>
  </si>
  <si>
    <t>#3</t>
  </si>
  <si>
    <t>#4</t>
  </si>
  <si>
    <t>#5</t>
  </si>
  <si>
    <t>#6</t>
  </si>
  <si>
    <t>#7</t>
  </si>
  <si>
    <t>#8</t>
  </si>
  <si>
    <r>
      <t>s</t>
    </r>
    <r>
      <rPr>
        <b/>
        <i/>
        <vertAlign val="subscript"/>
        <sz val="12"/>
        <rFont val="Arial"/>
        <family val="2"/>
      </rPr>
      <t>theor</t>
    </r>
  </si>
  <si>
    <r>
      <t>in</t>
    </r>
    <r>
      <rPr>
        <b/>
        <i/>
        <vertAlign val="superscript"/>
        <sz val="12"/>
        <rFont val="Arial"/>
        <family val="2"/>
      </rPr>
      <t>2</t>
    </r>
    <r>
      <rPr>
        <b/>
        <i/>
        <sz val="12"/>
        <rFont val="Arial"/>
        <family val="2"/>
      </rPr>
      <t>/ft</t>
    </r>
  </si>
  <si>
    <t>#9</t>
  </si>
  <si>
    <r>
      <t>A</t>
    </r>
    <r>
      <rPr>
        <b/>
        <i/>
        <vertAlign val="subscript"/>
        <sz val="12"/>
        <rFont val="Arial"/>
        <family val="2"/>
      </rPr>
      <t>s,t&amp;s</t>
    </r>
    <r>
      <rPr>
        <b/>
        <i/>
        <sz val="12"/>
        <rFont val="Arial"/>
        <family val="2"/>
      </rPr>
      <t xml:space="preserve"> =</t>
    </r>
  </si>
  <si>
    <r>
      <t>A</t>
    </r>
    <r>
      <rPr>
        <b/>
        <i/>
        <vertAlign val="subscript"/>
        <sz val="12"/>
        <rFont val="Arial"/>
        <family val="2"/>
      </rPr>
      <t>s,flexure</t>
    </r>
    <r>
      <rPr>
        <b/>
        <i/>
        <sz val="12"/>
        <rFont val="Arial"/>
        <family val="2"/>
      </rPr>
      <t xml:space="preserve"> =</t>
    </r>
  </si>
  <si>
    <r>
      <t>A</t>
    </r>
    <r>
      <rPr>
        <b/>
        <i/>
        <vertAlign val="subscript"/>
        <sz val="12"/>
        <rFont val="Arial"/>
        <family val="2"/>
      </rPr>
      <t>s</t>
    </r>
    <r>
      <rPr>
        <b/>
        <i/>
        <sz val="12"/>
        <rFont val="Arial"/>
        <family val="2"/>
      </rPr>
      <t xml:space="preserve"> =</t>
    </r>
  </si>
  <si>
    <t>Select a bar size and spacing from the table above</t>
  </si>
  <si>
    <t>Square Single Column Footing Design</t>
  </si>
  <si>
    <r>
      <t>V</t>
    </r>
    <r>
      <rPr>
        <b/>
        <i/>
        <vertAlign val="subscript"/>
        <sz val="12"/>
        <rFont val="Arial"/>
        <family val="2"/>
      </rPr>
      <t>u1</t>
    </r>
    <r>
      <rPr>
        <b/>
        <i/>
        <sz val="12"/>
        <rFont val="Arial"/>
        <family val="2"/>
      </rPr>
      <t xml:space="preserve"> =</t>
    </r>
  </si>
  <si>
    <t>pcf</t>
  </si>
  <si>
    <r>
      <t>d</t>
    </r>
    <r>
      <rPr>
        <b/>
        <i/>
        <vertAlign val="subscript"/>
        <sz val="12"/>
        <rFont val="Arial"/>
        <family val="2"/>
      </rPr>
      <t>1,shear</t>
    </r>
    <r>
      <rPr>
        <b/>
        <i/>
        <sz val="12"/>
        <rFont val="Arial"/>
        <family val="2"/>
      </rPr>
      <t xml:space="preserve"> =</t>
    </r>
  </si>
  <si>
    <r>
      <t>h</t>
    </r>
    <r>
      <rPr>
        <b/>
        <i/>
        <vertAlign val="subscript"/>
        <sz val="12"/>
        <rFont val="Arial"/>
        <family val="2"/>
      </rPr>
      <t>1,shear</t>
    </r>
    <r>
      <rPr>
        <b/>
        <i/>
        <sz val="12"/>
        <rFont val="Arial"/>
        <family val="2"/>
      </rPr>
      <t xml:space="preserve"> =</t>
    </r>
  </si>
  <si>
    <r>
      <t>b</t>
    </r>
    <r>
      <rPr>
        <b/>
        <i/>
        <vertAlign val="subscript"/>
        <sz val="12"/>
        <rFont val="Arial"/>
        <family val="2"/>
      </rPr>
      <t xml:space="preserve">c </t>
    </r>
    <r>
      <rPr>
        <b/>
        <i/>
        <sz val="12"/>
        <rFont val="Arial"/>
        <family val="2"/>
      </rPr>
      <t>=</t>
    </r>
  </si>
  <si>
    <r>
      <t>V</t>
    </r>
    <r>
      <rPr>
        <b/>
        <i/>
        <vertAlign val="subscript"/>
        <sz val="12"/>
        <rFont val="Arial"/>
        <family val="2"/>
      </rPr>
      <t>u2</t>
    </r>
    <r>
      <rPr>
        <b/>
        <i/>
        <sz val="12"/>
        <rFont val="Arial"/>
        <family val="2"/>
      </rPr>
      <t xml:space="preserve"> =</t>
    </r>
  </si>
  <si>
    <r>
      <t>d</t>
    </r>
    <r>
      <rPr>
        <b/>
        <i/>
        <vertAlign val="subscript"/>
        <sz val="12"/>
        <rFont val="Arial"/>
        <family val="2"/>
      </rPr>
      <t>2,shear</t>
    </r>
    <r>
      <rPr>
        <b/>
        <i/>
        <sz val="12"/>
        <rFont val="Arial"/>
        <family val="2"/>
      </rPr>
      <t xml:space="preserve"> =</t>
    </r>
  </si>
  <si>
    <r>
      <t>b</t>
    </r>
    <r>
      <rPr>
        <b/>
        <i/>
        <vertAlign val="subscript"/>
        <sz val="12"/>
        <rFont val="Arial"/>
        <family val="2"/>
      </rPr>
      <t>o</t>
    </r>
    <r>
      <rPr>
        <b/>
        <i/>
        <sz val="12"/>
        <rFont val="Arial"/>
        <family val="2"/>
      </rPr>
      <t xml:space="preserve"> =</t>
    </r>
  </si>
  <si>
    <r>
      <t>d</t>
    </r>
    <r>
      <rPr>
        <b/>
        <i/>
        <vertAlign val="subscript"/>
        <sz val="12"/>
        <rFont val="Arial"/>
        <family val="2"/>
      </rPr>
      <t>2</t>
    </r>
    <r>
      <rPr>
        <b/>
        <i/>
        <sz val="12"/>
        <rFont val="Arial"/>
        <family val="2"/>
      </rPr>
      <t xml:space="preserve"> =</t>
    </r>
  </si>
  <si>
    <r>
      <t>a</t>
    </r>
    <r>
      <rPr>
        <b/>
        <i/>
        <vertAlign val="subscript"/>
        <sz val="12"/>
        <rFont val="Arial"/>
        <family val="2"/>
      </rPr>
      <t xml:space="preserve">s </t>
    </r>
    <r>
      <rPr>
        <b/>
        <i/>
        <sz val="12"/>
        <rFont val="Arial"/>
        <family val="2"/>
      </rPr>
      <t>=</t>
    </r>
  </si>
  <si>
    <r>
      <t>h</t>
    </r>
    <r>
      <rPr>
        <b/>
        <i/>
        <vertAlign val="subscript"/>
        <sz val="12"/>
        <rFont val="Arial"/>
        <family val="2"/>
      </rPr>
      <t>2</t>
    </r>
    <r>
      <rPr>
        <b/>
        <i/>
        <sz val="12"/>
        <rFont val="Arial"/>
        <family val="2"/>
      </rPr>
      <t xml:space="preserve"> =</t>
    </r>
  </si>
  <si>
    <r>
      <t>trial h - h</t>
    </r>
    <r>
      <rPr>
        <b/>
        <i/>
        <vertAlign val="subscript"/>
        <sz val="12"/>
        <rFont val="Arial"/>
        <family val="2"/>
      </rPr>
      <t>1,shear</t>
    </r>
    <r>
      <rPr>
        <b/>
        <i/>
        <sz val="12"/>
        <rFont val="Arial"/>
        <family val="2"/>
      </rPr>
      <t xml:space="preserve"> =</t>
    </r>
  </si>
  <si>
    <r>
      <t>trial h - h</t>
    </r>
    <r>
      <rPr>
        <b/>
        <i/>
        <vertAlign val="subscript"/>
        <sz val="12"/>
        <rFont val="Arial"/>
        <family val="2"/>
      </rPr>
      <t>2,shear</t>
    </r>
    <r>
      <rPr>
        <b/>
        <i/>
        <sz val="12"/>
        <rFont val="Arial"/>
        <family val="2"/>
      </rPr>
      <t xml:space="preserve"> =</t>
    </r>
  </si>
  <si>
    <r>
      <t>l</t>
    </r>
    <r>
      <rPr>
        <b/>
        <i/>
        <sz val="12"/>
        <rFont val="Arial"/>
        <family val="2"/>
      </rPr>
      <t xml:space="preserve"> =</t>
    </r>
  </si>
  <si>
    <t>Two-way Shear</t>
  </si>
  <si>
    <t>One-way Shear</t>
  </si>
  <si>
    <r>
      <t>A</t>
    </r>
    <r>
      <rPr>
        <b/>
        <i/>
        <vertAlign val="subscript"/>
        <sz val="12"/>
        <rFont val="Arial"/>
        <family val="2"/>
      </rPr>
      <t>s,min</t>
    </r>
    <r>
      <rPr>
        <b/>
        <i/>
        <sz val="12"/>
        <rFont val="Arial"/>
        <family val="2"/>
      </rPr>
      <t xml:space="preserve"> =</t>
    </r>
  </si>
  <si>
    <t>no. of bars</t>
  </si>
  <si>
    <t>#10</t>
  </si>
  <si>
    <t>spacing, in.</t>
  </si>
  <si>
    <t>theoretical</t>
  </si>
  <si>
    <r>
      <t>l</t>
    </r>
    <r>
      <rPr>
        <b/>
        <i/>
        <vertAlign val="subscript"/>
        <sz val="12"/>
        <rFont val="Arial"/>
        <family val="2"/>
      </rPr>
      <t>min</t>
    </r>
    <r>
      <rPr>
        <b/>
        <i/>
        <sz val="12"/>
        <rFont val="Arial"/>
        <family val="2"/>
      </rPr>
      <t xml:space="preserve"> =</t>
    </r>
  </si>
  <si>
    <t>Select a bar size and number of bars from the table above</t>
  </si>
  <si>
    <t>s =</t>
  </si>
  <si>
    <t>T &amp; S</t>
  </si>
  <si>
    <t>Moments in long direction</t>
  </si>
  <si>
    <r>
      <rPr>
        <b/>
        <i/>
        <sz val="12"/>
        <rFont val="Times New Roman"/>
        <family val="1"/>
      </rPr>
      <t>A</t>
    </r>
    <r>
      <rPr>
        <b/>
        <i/>
        <vertAlign val="subscript"/>
        <sz val="12"/>
        <rFont val="Arial"/>
        <family val="2"/>
      </rPr>
      <t>min</t>
    </r>
    <r>
      <rPr>
        <b/>
        <i/>
        <sz val="12"/>
        <rFont val="Arial"/>
        <family val="2"/>
      </rPr>
      <t xml:space="preserve"> =</t>
    </r>
  </si>
  <si>
    <t>Moments in Short direction</t>
  </si>
  <si>
    <r>
      <rPr>
        <b/>
        <i/>
        <sz val="12"/>
        <rFont val="Times New Roman"/>
        <family val="1"/>
      </rPr>
      <t>A</t>
    </r>
    <r>
      <rPr>
        <b/>
        <i/>
        <vertAlign val="subscript"/>
        <sz val="12"/>
        <rFont val="Arial"/>
        <family val="2"/>
      </rPr>
      <t>provided</t>
    </r>
    <r>
      <rPr>
        <b/>
        <i/>
        <sz val="12"/>
        <rFont val="Arial"/>
        <family val="2"/>
      </rPr>
      <t xml:space="preserve"> =</t>
    </r>
  </si>
  <si>
    <t>no. of bars in band width</t>
  </si>
  <si>
    <t>total no. of bars in short span direction</t>
  </si>
  <si>
    <t>theoretical no. of bars in short span direction</t>
  </si>
  <si>
    <t>bar size</t>
  </si>
  <si>
    <r>
      <t>l</t>
    </r>
    <r>
      <rPr>
        <b/>
        <i/>
        <vertAlign val="subscript"/>
        <sz val="12"/>
        <rFont val="Arial"/>
        <family val="2"/>
      </rPr>
      <t>min</t>
    </r>
    <r>
      <rPr>
        <b/>
        <i/>
        <sz val="12"/>
        <rFont val="Arial"/>
        <family val="2"/>
      </rPr>
      <t>=</t>
    </r>
  </si>
  <si>
    <t>Rectangular Single Column Footing Design</t>
  </si>
  <si>
    <t>kips</t>
  </si>
  <si>
    <t>Willoughby Engineering</t>
  </si>
  <si>
    <t>This calcultion is for concentrically loaded square spot footings, based on ACI 318-14.</t>
  </si>
  <si>
    <t>Based on the spreadsheet from the companion website of McCormac's Design of Reinforced Concrete, 10th.</t>
  </si>
  <si>
    <t>But adds a check for allowable soil bearing pressure.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</si>
</sst>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0000"/>
    <numFmt numFmtId="168" formatCode="0.000000"/>
  </numFmts>
  <fonts count="36" x14ac:knownFonts="1">
    <font>
      <sz val="10"/>
      <name val="Arial"/>
    </font>
    <font>
      <sz val="10"/>
      <name val="Symbol"/>
      <family val="1"/>
      <charset val="2"/>
    </font>
    <font>
      <b/>
      <sz val="8"/>
      <color indexed="81"/>
      <name val="Tahoma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sz val="12"/>
      <name val="Script MT Bold"/>
      <family val="4"/>
    </font>
    <font>
      <b/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sz val="10"/>
      <color indexed="10"/>
      <name val="Arial"/>
      <family val="2"/>
    </font>
    <font>
      <b/>
      <i/>
      <sz val="12"/>
      <name val="Symbol"/>
      <family val="1"/>
      <charset val="2"/>
    </font>
    <font>
      <b/>
      <vertAlign val="subscript"/>
      <sz val="8"/>
      <color indexed="81"/>
      <name val="Tahoma"/>
      <family val="2"/>
    </font>
    <font>
      <b/>
      <sz val="10"/>
      <name val="Arial"/>
      <family val="2"/>
    </font>
    <font>
      <b/>
      <sz val="16"/>
      <name val="Arial"/>
      <family val="2"/>
    </font>
    <font>
      <b/>
      <i/>
      <sz val="12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vertAlign val="subscript"/>
      <sz val="12"/>
      <name val="Arial"/>
      <family val="2"/>
    </font>
    <font>
      <b/>
      <i/>
      <vertAlign val="superscript"/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8"/>
      <color indexed="81"/>
      <name val="Script MT Bold"/>
      <family val="4"/>
    </font>
    <font>
      <i/>
      <u/>
      <sz val="8"/>
      <color indexed="81"/>
      <name val="Tahoma"/>
      <family val="2"/>
    </font>
    <font>
      <b/>
      <i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sz val="14"/>
      <name val="Arial"/>
      <family val="2"/>
    </font>
    <font>
      <b/>
      <sz val="11"/>
      <color indexed="81"/>
      <name val="Tahoma"/>
      <family val="2"/>
    </font>
    <font>
      <sz val="11"/>
      <color indexed="81"/>
      <name val="Script MT Bold"/>
      <family val="4"/>
    </font>
    <font>
      <b/>
      <sz val="11"/>
      <color indexed="81"/>
      <name val="Script MT Bold"/>
      <family val="4"/>
    </font>
    <font>
      <b/>
      <vertAlign val="subscript"/>
      <sz val="11"/>
      <color indexed="81"/>
      <name val="Tahoma"/>
      <family val="2"/>
    </font>
    <font>
      <b/>
      <sz val="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8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167" fontId="0" fillId="0" borderId="0" xfId="0" applyNumberForma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6" fillId="0" borderId="0" xfId="0" applyFont="1" applyAlignment="1">
      <alignment horizontal="center"/>
    </xf>
    <xf numFmtId="2" fontId="4" fillId="0" borderId="0" xfId="0" applyNumberFormat="1" applyFont="1"/>
    <xf numFmtId="0" fontId="4" fillId="0" borderId="0" xfId="0" applyFont="1" applyFill="1"/>
    <xf numFmtId="0" fontId="7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Fill="1" applyBorder="1"/>
    <xf numFmtId="0" fontId="19" fillId="0" borderId="0" xfId="0" applyFont="1"/>
    <xf numFmtId="0" fontId="22" fillId="0" borderId="0" xfId="0" applyFont="1"/>
    <xf numFmtId="0" fontId="17" fillId="0" borderId="1" xfId="0" applyFont="1" applyBorder="1" applyAlignment="1">
      <alignment horizontal="right"/>
    </xf>
    <xf numFmtId="0" fontId="5" fillId="2" borderId="1" xfId="0" applyFont="1" applyFill="1" applyBorder="1"/>
    <xf numFmtId="0" fontId="18" fillId="0" borderId="1" xfId="0" applyFont="1" applyBorder="1"/>
    <xf numFmtId="0" fontId="13" fillId="0" borderId="1" xfId="0" applyFont="1" applyBorder="1" applyAlignment="1">
      <alignment horizontal="right"/>
    </xf>
    <xf numFmtId="2" fontId="5" fillId="2" borderId="1" xfId="0" applyNumberFormat="1" applyFont="1" applyFill="1" applyBorder="1"/>
    <xf numFmtId="0" fontId="5" fillId="0" borderId="1" xfId="0" applyFont="1" applyBorder="1"/>
    <xf numFmtId="0" fontId="18" fillId="0" borderId="1" xfId="0" applyFont="1" applyBorder="1" applyAlignment="1">
      <alignment horizontal="right"/>
    </xf>
    <xf numFmtId="2" fontId="5" fillId="0" borderId="1" xfId="0" applyNumberFormat="1" applyFont="1" applyBorder="1"/>
    <xf numFmtId="0" fontId="16" fillId="3" borderId="2" xfId="0" applyFont="1" applyFill="1" applyBorder="1"/>
    <xf numFmtId="0" fontId="0" fillId="3" borderId="3" xfId="0" applyFill="1" applyBorder="1"/>
    <xf numFmtId="2" fontId="5" fillId="0" borderId="1" xfId="0" applyNumberFormat="1" applyFont="1" applyFill="1" applyBorder="1"/>
    <xf numFmtId="0" fontId="17" fillId="0" borderId="0" xfId="0" applyFont="1" applyBorder="1" applyAlignment="1">
      <alignment horizontal="right"/>
    </xf>
    <xf numFmtId="0" fontId="5" fillId="3" borderId="4" xfId="0" applyFont="1" applyFill="1" applyBorder="1"/>
    <xf numFmtId="0" fontId="0" fillId="3" borderId="4" xfId="0" applyFill="1" applyBorder="1"/>
    <xf numFmtId="0" fontId="4" fillId="0" borderId="1" xfId="0" applyFont="1" applyBorder="1"/>
    <xf numFmtId="0" fontId="23" fillId="0" borderId="0" xfId="0" applyFont="1" applyAlignment="1">
      <alignment vertical="top" wrapText="1"/>
    </xf>
    <xf numFmtId="0" fontId="12" fillId="0" borderId="0" xfId="0" applyFont="1" applyBorder="1" applyAlignment="1">
      <alignment wrapText="1"/>
    </xf>
    <xf numFmtId="0" fontId="5" fillId="2" borderId="1" xfId="0" applyFont="1" applyFill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1" xfId="0" applyFont="1" applyFill="1" applyBorder="1" applyAlignment="1">
      <alignment horizontal="right"/>
    </xf>
    <xf numFmtId="166" fontId="5" fillId="0" borderId="1" xfId="0" applyNumberFormat="1" applyFont="1" applyBorder="1"/>
    <xf numFmtId="2" fontId="22" fillId="0" borderId="1" xfId="0" applyNumberFormat="1" applyFont="1" applyBorder="1"/>
    <xf numFmtId="167" fontId="15" fillId="0" borderId="0" xfId="0" applyNumberFormat="1" applyFont="1" applyBorder="1"/>
    <xf numFmtId="167" fontId="22" fillId="0" borderId="1" xfId="0" applyNumberFormat="1" applyFont="1" applyBorder="1"/>
    <xf numFmtId="167" fontId="15" fillId="0" borderId="1" xfId="0" applyNumberFormat="1" applyFont="1" applyBorder="1"/>
    <xf numFmtId="166" fontId="5" fillId="0" borderId="1" xfId="0" applyNumberFormat="1" applyFont="1" applyBorder="1" applyAlignment="1">
      <alignment horizontal="right" vertical="center"/>
    </xf>
    <xf numFmtId="2" fontId="5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19" fillId="0" borderId="0" xfId="0" applyFont="1" applyBorder="1"/>
    <xf numFmtId="0" fontId="22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0" fontId="18" fillId="0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right" vertical="center"/>
    </xf>
    <xf numFmtId="0" fontId="0" fillId="3" borderId="0" xfId="0" applyFill="1" applyBorder="1"/>
    <xf numFmtId="0" fontId="8" fillId="0" borderId="1" xfId="0" applyFont="1" applyBorder="1" applyAlignment="1">
      <alignment horizontal="right"/>
    </xf>
    <xf numFmtId="0" fontId="4" fillId="0" borderId="0" xfId="0" applyFont="1" applyBorder="1"/>
    <xf numFmtId="0" fontId="18" fillId="0" borderId="0" xfId="0" applyFont="1" applyBorder="1"/>
    <xf numFmtId="0" fontId="18" fillId="0" borderId="5" xfId="0" applyFont="1" applyBorder="1"/>
    <xf numFmtId="0" fontId="17" fillId="4" borderId="1" xfId="0" applyFont="1" applyFill="1" applyBorder="1" applyAlignment="1">
      <alignment horizontal="right"/>
    </xf>
    <xf numFmtId="0" fontId="13" fillId="4" borderId="1" xfId="0" applyFont="1" applyFill="1" applyBorder="1" applyAlignment="1">
      <alignment horizontal="right"/>
    </xf>
    <xf numFmtId="0" fontId="17" fillId="5" borderId="1" xfId="0" applyFont="1" applyFill="1" applyBorder="1" applyAlignment="1">
      <alignment horizontal="right"/>
    </xf>
    <xf numFmtId="2" fontId="5" fillId="5" borderId="1" xfId="0" applyNumberFormat="1" applyFont="1" applyFill="1" applyBorder="1"/>
    <xf numFmtId="2" fontId="22" fillId="5" borderId="1" xfId="0" applyNumberFormat="1" applyFont="1" applyFill="1" applyBorder="1"/>
    <xf numFmtId="2" fontId="5" fillId="5" borderId="6" xfId="0" applyNumberFormat="1" applyFont="1" applyFill="1" applyBorder="1"/>
    <xf numFmtId="0" fontId="18" fillId="5" borderId="7" xfId="0" applyFont="1" applyFill="1" applyBorder="1"/>
    <xf numFmtId="0" fontId="18" fillId="5" borderId="8" xfId="0" applyFont="1" applyFill="1" applyBorder="1"/>
    <xf numFmtId="2" fontId="5" fillId="5" borderId="9" xfId="0" applyNumberFormat="1" applyFont="1" applyFill="1" applyBorder="1"/>
    <xf numFmtId="0" fontId="18" fillId="5" borderId="10" xfId="0" applyFont="1" applyFill="1" applyBorder="1"/>
    <xf numFmtId="0" fontId="17" fillId="4" borderId="6" xfId="0" applyFont="1" applyFill="1" applyBorder="1" applyAlignment="1">
      <alignment horizontal="right"/>
    </xf>
    <xf numFmtId="0" fontId="17" fillId="4" borderId="9" xfId="0" applyFont="1" applyFill="1" applyBorder="1" applyAlignment="1">
      <alignment horizontal="right"/>
    </xf>
    <xf numFmtId="0" fontId="5" fillId="0" borderId="0" xfId="0" applyFont="1" applyFill="1" applyBorder="1"/>
    <xf numFmtId="0" fontId="5" fillId="4" borderId="1" xfId="0" applyFont="1" applyFill="1" applyBorder="1"/>
    <xf numFmtId="2" fontId="5" fillId="4" borderId="1" xfId="0" applyNumberFormat="1" applyFont="1" applyFill="1" applyBorder="1"/>
    <xf numFmtId="0" fontId="5" fillId="4" borderId="1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19" fillId="4" borderId="11" xfId="0" applyFont="1" applyFill="1" applyBorder="1"/>
    <xf numFmtId="165" fontId="5" fillId="4" borderId="6" xfId="0" applyNumberFormat="1" applyFont="1" applyFill="1" applyBorder="1"/>
    <xf numFmtId="0" fontId="5" fillId="4" borderId="7" xfId="0" applyFont="1" applyFill="1" applyBorder="1"/>
    <xf numFmtId="0" fontId="19" fillId="4" borderId="12" xfId="0" applyFont="1" applyFill="1" applyBorder="1"/>
    <xf numFmtId="0" fontId="5" fillId="4" borderId="8" xfId="0" applyFont="1" applyFill="1" applyBorder="1"/>
    <xf numFmtId="0" fontId="19" fillId="4" borderId="8" xfId="0" applyFont="1" applyFill="1" applyBorder="1"/>
    <xf numFmtId="0" fontId="0" fillId="4" borderId="8" xfId="0" applyFill="1" applyBorder="1"/>
    <xf numFmtId="0" fontId="19" fillId="4" borderId="13" xfId="0" applyFont="1" applyFill="1" applyBorder="1"/>
    <xf numFmtId="2" fontId="5" fillId="4" borderId="9" xfId="0" applyNumberFormat="1" applyFont="1" applyFill="1" applyBorder="1" applyAlignment="1">
      <alignment horizontal="center"/>
    </xf>
    <xf numFmtId="0" fontId="5" fillId="4" borderId="10" xfId="0" applyFont="1" applyFill="1" applyBorder="1"/>
    <xf numFmtId="0" fontId="5" fillId="5" borderId="11" xfId="0" applyFont="1" applyFill="1" applyBorder="1"/>
    <xf numFmtId="0" fontId="17" fillId="5" borderId="6" xfId="0" applyFont="1" applyFill="1" applyBorder="1" applyAlignment="1">
      <alignment horizontal="right"/>
    </xf>
    <xf numFmtId="0" fontId="5" fillId="5" borderId="12" xfId="0" applyFont="1" applyFill="1" applyBorder="1"/>
    <xf numFmtId="0" fontId="19" fillId="5" borderId="12" xfId="0" applyFont="1" applyFill="1" applyBorder="1"/>
    <xf numFmtId="0" fontId="0" fillId="5" borderId="13" xfId="0" applyFill="1" applyBorder="1"/>
    <xf numFmtId="0" fontId="17" fillId="5" borderId="9" xfId="0" applyFont="1" applyFill="1" applyBorder="1" applyAlignment="1">
      <alignment horizontal="right"/>
    </xf>
    <xf numFmtId="2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1" fontId="5" fillId="0" borderId="1" xfId="0" applyNumberFormat="1" applyFont="1" applyBorder="1" applyAlignment="1">
      <alignment horizontal="center"/>
    </xf>
    <xf numFmtId="0" fontId="22" fillId="0" borderId="14" xfId="0" applyFont="1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 applyAlignment="1">
      <alignment horizontal="center"/>
    </xf>
    <xf numFmtId="0" fontId="22" fillId="0" borderId="5" xfId="0" applyFont="1" applyBorder="1" applyAlignment="1">
      <alignment vertical="top" wrapText="1"/>
    </xf>
    <xf numFmtId="0" fontId="22" fillId="0" borderId="0" xfId="0" applyFont="1" applyBorder="1" applyAlignment="1">
      <alignment vertical="top" wrapText="1"/>
    </xf>
    <xf numFmtId="0" fontId="0" fillId="0" borderId="0" xfId="0" applyBorder="1"/>
    <xf numFmtId="0" fontId="18" fillId="0" borderId="0" xfId="0" applyFont="1" applyFill="1" applyBorder="1" applyAlignment="1">
      <alignment horizontal="right"/>
    </xf>
    <xf numFmtId="2" fontId="5" fillId="0" borderId="0" xfId="0" applyNumberFormat="1" applyFont="1" applyBorder="1" applyAlignment="1">
      <alignment horizontal="right" vertical="center"/>
    </xf>
    <xf numFmtId="164" fontId="0" fillId="0" borderId="0" xfId="0" applyNumberFormat="1" applyBorder="1"/>
    <xf numFmtId="168" fontId="0" fillId="0" borderId="0" xfId="0" applyNumberFormat="1" applyBorder="1"/>
    <xf numFmtId="0" fontId="18" fillId="0" borderId="14" xfId="0" applyFont="1" applyBorder="1"/>
    <xf numFmtId="0" fontId="23" fillId="0" borderId="0" xfId="0" applyFont="1" applyBorder="1" applyAlignment="1">
      <alignment vertical="top" wrapText="1"/>
    </xf>
    <xf numFmtId="0" fontId="22" fillId="0" borderId="0" xfId="0" applyFont="1" applyBorder="1"/>
    <xf numFmtId="0" fontId="15" fillId="0" borderId="0" xfId="0" applyFont="1" applyBorder="1"/>
    <xf numFmtId="0" fontId="6" fillId="0" borderId="0" xfId="0" applyFont="1" applyBorder="1" applyAlignment="1">
      <alignment horizontal="center"/>
    </xf>
    <xf numFmtId="2" fontId="0" fillId="0" borderId="0" xfId="0" applyNumberFormat="1" applyBorder="1"/>
    <xf numFmtId="0" fontId="26" fillId="0" borderId="1" xfId="0" applyFont="1" applyBorder="1" applyAlignment="1">
      <alignment horizontal="right"/>
    </xf>
    <xf numFmtId="0" fontId="6" fillId="0" borderId="0" xfId="0" applyFont="1"/>
    <xf numFmtId="0" fontId="5" fillId="0" borderId="1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2" fontId="18" fillId="0" borderId="0" xfId="0" applyNumberFormat="1" applyFont="1" applyBorder="1"/>
    <xf numFmtId="0" fontId="17" fillId="0" borderId="16" xfId="0" applyFont="1" applyBorder="1" applyAlignment="1">
      <alignment horizontal="right"/>
    </xf>
    <xf numFmtId="0" fontId="18" fillId="0" borderId="16" xfId="0" applyFont="1" applyBorder="1"/>
    <xf numFmtId="0" fontId="10" fillId="0" borderId="16" xfId="0" applyFont="1" applyBorder="1"/>
    <xf numFmtId="0" fontId="9" fillId="0" borderId="16" xfId="0" applyFont="1" applyBorder="1" applyAlignment="1">
      <alignment horizontal="right"/>
    </xf>
    <xf numFmtId="0" fontId="11" fillId="0" borderId="16" xfId="0" applyFont="1" applyBorder="1" applyAlignment="1">
      <alignment horizontal="center"/>
    </xf>
    <xf numFmtId="2" fontId="5" fillId="0" borderId="16" xfId="0" applyNumberFormat="1" applyFont="1" applyBorder="1"/>
    <xf numFmtId="164" fontId="5" fillId="0" borderId="0" xfId="0" applyNumberFormat="1" applyFont="1"/>
    <xf numFmtId="0" fontId="13" fillId="0" borderId="15" xfId="0" applyFont="1" applyFill="1" applyBorder="1" applyAlignment="1">
      <alignment horizontal="right"/>
    </xf>
    <xf numFmtId="166" fontId="5" fillId="0" borderId="0" xfId="0" applyNumberFormat="1" applyFont="1"/>
    <xf numFmtId="0" fontId="11" fillId="0" borderId="16" xfId="0" applyFont="1" applyBorder="1" applyAlignment="1">
      <alignment horizontal="center" wrapText="1"/>
    </xf>
    <xf numFmtId="0" fontId="11" fillId="0" borderId="16" xfId="0" applyFont="1" applyBorder="1" applyAlignment="1">
      <alignment horizontal="right" wrapText="1"/>
    </xf>
    <xf numFmtId="0" fontId="10" fillId="0" borderId="16" xfId="0" applyFont="1" applyBorder="1" applyAlignment="1">
      <alignment wrapText="1"/>
    </xf>
    <xf numFmtId="0" fontId="29" fillId="0" borderId="0" xfId="0" applyFont="1" applyAlignment="1">
      <alignment wrapText="1"/>
    </xf>
    <xf numFmtId="0" fontId="0" fillId="6" borderId="0" xfId="0" applyFill="1"/>
    <xf numFmtId="166" fontId="5" fillId="0" borderId="1" xfId="0" applyNumberFormat="1" applyFont="1" applyFill="1" applyBorder="1"/>
    <xf numFmtId="0" fontId="17" fillId="5" borderId="7" xfId="0" applyFont="1" applyFill="1" applyBorder="1"/>
    <xf numFmtId="0" fontId="17" fillId="0" borderId="1" xfId="0" applyFont="1" applyBorder="1"/>
    <xf numFmtId="0" fontId="5" fillId="2" borderId="16" xfId="0" applyFont="1" applyFill="1" applyBorder="1" applyAlignment="1">
      <alignment horizontal="right"/>
    </xf>
    <xf numFmtId="0" fontId="4" fillId="0" borderId="16" xfId="0" applyFont="1" applyBorder="1"/>
    <xf numFmtId="0" fontId="5" fillId="3" borderId="20" xfId="0" applyFont="1" applyFill="1" applyBorder="1"/>
    <xf numFmtId="0" fontId="0" fillId="3" borderId="20" xfId="0" applyFill="1" applyBorder="1"/>
    <xf numFmtId="0" fontId="22" fillId="0" borderId="0" xfId="0" applyFont="1" applyBorder="1" applyAlignment="1">
      <alignment horizontal="center" vertical="top" wrapText="1"/>
    </xf>
    <xf numFmtId="0" fontId="22" fillId="0" borderId="17" xfId="0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2" fillId="0" borderId="1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22" fillId="0" borderId="23" xfId="0" applyFont="1" applyBorder="1" applyAlignment="1">
      <alignment horizontal="center" vertical="top" wrapText="1"/>
    </xf>
    <xf numFmtId="0" fontId="22" fillId="0" borderId="24" xfId="0" applyFont="1" applyBorder="1" applyAlignment="1">
      <alignment horizontal="center" vertical="top" wrapText="1"/>
    </xf>
    <xf numFmtId="0" fontId="22" fillId="0" borderId="25" xfId="0" applyFont="1" applyBorder="1" applyAlignment="1">
      <alignment horizontal="center" vertical="top" wrapText="1"/>
    </xf>
    <xf numFmtId="0" fontId="22" fillId="0" borderId="26" xfId="0" applyFont="1" applyBorder="1" applyAlignment="1">
      <alignment horizontal="center" vertical="top" wrapText="1"/>
    </xf>
    <xf numFmtId="0" fontId="22" fillId="0" borderId="27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/>
    </xf>
    <xf numFmtId="0" fontId="30" fillId="6" borderId="14" xfId="0" applyFont="1" applyFill="1" applyBorder="1" applyAlignment="1">
      <alignment horizontal="center"/>
    </xf>
    <xf numFmtId="0" fontId="30" fillId="6" borderId="21" xfId="0" applyFont="1" applyFill="1" applyBorder="1" applyAlignment="1">
      <alignment horizontal="center"/>
    </xf>
    <xf numFmtId="0" fontId="30" fillId="6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49</xdr:row>
          <xdr:rowOff>83820</xdr:rowOff>
        </xdr:from>
        <xdr:to>
          <xdr:col>2</xdr:col>
          <xdr:colOff>76200</xdr:colOff>
          <xdr:row>52</xdr:row>
          <xdr:rowOff>22860</xdr:rowOff>
        </xdr:to>
        <xdr:sp macro="" textlink="">
          <xdr:nvSpPr>
            <xdr:cNvPr id="49191" name="Object 39" hidden="1">
              <a:extLst>
                <a:ext uri="{63B3BB69-23CF-44E3-9099-C40C66FF867C}">
                  <a14:compatExt spid="_x0000_s49191"/>
                </a:ext>
                <a:ext uri="{FF2B5EF4-FFF2-40B4-BE49-F238E27FC236}">
                  <a16:creationId xmlns:a16="http://schemas.microsoft.com/office/drawing/2014/main" id="{00000000-0008-0000-0200-000027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3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69"/>
  <sheetViews>
    <sheetView workbookViewId="0">
      <selection activeCell="K19" sqref="K19"/>
    </sheetView>
  </sheetViews>
  <sheetFormatPr defaultRowHeight="13.2" x14ac:dyDescent="0.25"/>
  <cols>
    <col min="2" max="2" width="13.21875" customWidth="1"/>
    <col min="3" max="3" width="9.88671875" bestFit="1" customWidth="1"/>
    <col min="7" max="7" width="10.77734375" bestFit="1" customWidth="1"/>
  </cols>
  <sheetData>
    <row r="1" spans="1:17" ht="21.6" thickBot="1" x14ac:dyDescent="0.45">
      <c r="A1" s="33" t="s">
        <v>13</v>
      </c>
      <c r="B1" s="37"/>
      <c r="C1" s="38"/>
      <c r="D1" s="38"/>
      <c r="E1" s="34"/>
      <c r="F1" s="22"/>
    </row>
    <row r="2" spans="1:17" ht="21" x14ac:dyDescent="0.4">
      <c r="A2" s="21"/>
      <c r="B2" s="25" t="s">
        <v>11</v>
      </c>
      <c r="C2" s="42">
        <v>0.5</v>
      </c>
      <c r="D2" s="39" t="s">
        <v>14</v>
      </c>
    </row>
    <row r="3" spans="1:17" ht="18" x14ac:dyDescent="0.4">
      <c r="B3" s="25" t="s">
        <v>12</v>
      </c>
      <c r="C3" s="42">
        <v>0.5</v>
      </c>
      <c r="D3" s="30" t="s">
        <v>14</v>
      </c>
      <c r="E3" s="43"/>
      <c r="F3" s="25" t="s">
        <v>31</v>
      </c>
      <c r="G3" s="26">
        <v>10</v>
      </c>
      <c r="H3" s="27" t="s">
        <v>2</v>
      </c>
      <c r="M3" s="14"/>
      <c r="N3" s="11"/>
      <c r="O3" s="14"/>
      <c r="P3" s="17"/>
      <c r="Q3" s="19"/>
    </row>
    <row r="4" spans="1:17" ht="18" x14ac:dyDescent="0.4">
      <c r="B4" s="25" t="s">
        <v>8</v>
      </c>
      <c r="C4" s="45">
        <f>1.2*C2+1.6*C3</f>
        <v>1.4</v>
      </c>
      <c r="D4" s="30" t="s">
        <v>14</v>
      </c>
      <c r="E4" s="43"/>
      <c r="F4" s="31" t="s">
        <v>1</v>
      </c>
      <c r="G4" s="32">
        <f>G3-C6-0.5</f>
        <v>6.5</v>
      </c>
      <c r="H4" s="27" t="s">
        <v>2</v>
      </c>
      <c r="M4" s="14"/>
      <c r="N4" s="11"/>
      <c r="O4" s="14"/>
      <c r="P4" s="17"/>
      <c r="Q4" s="19"/>
    </row>
    <row r="5" spans="1:17" ht="18" x14ac:dyDescent="0.4">
      <c r="A5" s="1"/>
      <c r="B5" s="25" t="s">
        <v>24</v>
      </c>
      <c r="C5" s="26">
        <v>8</v>
      </c>
      <c r="D5" s="27" t="s">
        <v>2</v>
      </c>
      <c r="F5" s="25" t="s">
        <v>9</v>
      </c>
      <c r="G5" s="30">
        <f>(C18/2-C5/24)^2*C19/2</f>
        <v>0.15555555555555559</v>
      </c>
      <c r="H5" s="27" t="s">
        <v>32</v>
      </c>
      <c r="M5" s="14"/>
      <c r="N5" s="11"/>
      <c r="O5" s="19"/>
      <c r="P5" s="11"/>
      <c r="Q5" s="19"/>
    </row>
    <row r="6" spans="1:17" ht="18" x14ac:dyDescent="0.4">
      <c r="A6" s="1"/>
      <c r="B6" s="25" t="s">
        <v>25</v>
      </c>
      <c r="C6" s="26">
        <v>3</v>
      </c>
      <c r="D6" s="27" t="s">
        <v>2</v>
      </c>
      <c r="F6" s="25" t="s">
        <v>33</v>
      </c>
      <c r="G6" s="30">
        <f>G5*12000/0.9/12/G4^2</f>
        <v>4.090875885747681</v>
      </c>
      <c r="H6" s="30" t="s">
        <v>4</v>
      </c>
      <c r="M6" s="14"/>
      <c r="N6" s="11"/>
      <c r="O6" s="19"/>
      <c r="P6" s="11"/>
      <c r="Q6" s="19"/>
    </row>
    <row r="7" spans="1:17" ht="18" x14ac:dyDescent="0.4">
      <c r="A7" s="1"/>
      <c r="B7" s="25" t="s">
        <v>5</v>
      </c>
      <c r="C7" s="26">
        <v>2500</v>
      </c>
      <c r="D7" s="27" t="s">
        <v>4</v>
      </c>
      <c r="F7" s="28" t="s">
        <v>34</v>
      </c>
      <c r="G7" s="49">
        <f>0.85*C7/C10*(1-(1-2*G6/0.85/C7)^0.5)</f>
        <v>6.8247019902115125E-5</v>
      </c>
      <c r="H7" s="50"/>
      <c r="M7" s="14"/>
      <c r="N7" s="11"/>
      <c r="O7" s="19"/>
      <c r="P7" s="11"/>
      <c r="Q7" s="19"/>
    </row>
    <row r="8" spans="1:17" ht="19.2" x14ac:dyDescent="0.4">
      <c r="B8" s="28" t="s">
        <v>20</v>
      </c>
      <c r="C8" s="26">
        <v>150</v>
      </c>
      <c r="D8" s="27" t="s">
        <v>50</v>
      </c>
      <c r="E8" s="23"/>
      <c r="F8" s="25" t="s">
        <v>45</v>
      </c>
      <c r="G8" s="51">
        <f>G7*12*G4</f>
        <v>5.3232675523649797E-3</v>
      </c>
      <c r="H8" s="27" t="s">
        <v>42</v>
      </c>
      <c r="M8" s="14"/>
      <c r="N8" s="17"/>
      <c r="O8" s="14"/>
      <c r="P8" s="17"/>
      <c r="Q8" s="19"/>
    </row>
    <row r="9" spans="1:17" ht="19.2" x14ac:dyDescent="0.4">
      <c r="B9" s="28" t="s">
        <v>21</v>
      </c>
      <c r="C9" s="26">
        <v>100</v>
      </c>
      <c r="D9" s="27" t="s">
        <v>50</v>
      </c>
      <c r="E9" s="23"/>
      <c r="F9" s="57" t="s">
        <v>44</v>
      </c>
      <c r="G9" s="58">
        <f>IF(C10=60000,0.0018*12*G3,0.002*12*G3)</f>
        <v>0.21600000000000003</v>
      </c>
      <c r="H9" s="27" t="s">
        <v>42</v>
      </c>
      <c r="M9" s="14"/>
      <c r="N9" s="11"/>
      <c r="O9" s="14"/>
      <c r="P9" s="11"/>
      <c r="Q9" s="19"/>
    </row>
    <row r="10" spans="1:17" ht="19.2" x14ac:dyDescent="0.4">
      <c r="B10" s="25" t="s">
        <v>6</v>
      </c>
      <c r="C10" s="26">
        <v>60000</v>
      </c>
      <c r="D10" s="27" t="s">
        <v>4</v>
      </c>
      <c r="E10" s="23"/>
      <c r="F10" s="57" t="s">
        <v>65</v>
      </c>
      <c r="G10" s="51">
        <f>MAX(200/C10,3*C7^0.5/C10)*12*G4</f>
        <v>0.26</v>
      </c>
      <c r="H10" s="27" t="s">
        <v>7</v>
      </c>
      <c r="M10" s="14"/>
      <c r="N10" s="11"/>
      <c r="O10" s="14"/>
      <c r="P10" s="11"/>
      <c r="Q10" s="19"/>
    </row>
    <row r="11" spans="1:17" ht="19.2" x14ac:dyDescent="0.4">
      <c r="B11" s="28" t="s">
        <v>16</v>
      </c>
      <c r="C11" s="29">
        <v>1</v>
      </c>
      <c r="D11" s="27"/>
      <c r="E11" s="23"/>
      <c r="F11" s="57" t="s">
        <v>46</v>
      </c>
      <c r="G11" s="46">
        <f>MAX(G8:G10)</f>
        <v>0.26</v>
      </c>
      <c r="H11" s="27" t="s">
        <v>42</v>
      </c>
      <c r="M11" s="14"/>
      <c r="N11" s="11"/>
      <c r="O11" s="14"/>
      <c r="P11" s="11"/>
      <c r="Q11" s="19"/>
    </row>
    <row r="12" spans="1:17" ht="18" x14ac:dyDescent="0.4">
      <c r="B12" s="25" t="s">
        <v>18</v>
      </c>
      <c r="C12" s="29">
        <v>1.5</v>
      </c>
      <c r="D12" s="27" t="s">
        <v>19</v>
      </c>
      <c r="E12" s="23"/>
      <c r="F12" s="23"/>
      <c r="G12" s="23"/>
      <c r="H12" s="23"/>
      <c r="M12" s="14"/>
      <c r="N12" s="11"/>
      <c r="O12" s="19"/>
      <c r="P12" s="11"/>
      <c r="Q12" s="19"/>
    </row>
    <row r="13" spans="1:17" ht="18" x14ac:dyDescent="0.4">
      <c r="B13" s="25" t="s">
        <v>22</v>
      </c>
      <c r="C13" s="29">
        <v>0</v>
      </c>
      <c r="D13" s="27" t="s">
        <v>15</v>
      </c>
      <c r="E13" s="23"/>
      <c r="F13" s="23"/>
      <c r="G13" s="25" t="s">
        <v>41</v>
      </c>
      <c r="H13" s="23"/>
      <c r="I13" s="118" t="s">
        <v>73</v>
      </c>
      <c r="M13" s="14"/>
      <c r="N13" s="17"/>
      <c r="O13" s="14"/>
      <c r="P13" s="17"/>
      <c r="Q13" s="19"/>
    </row>
    <row r="14" spans="1:17" ht="15.6" x14ac:dyDescent="0.3">
      <c r="B14" s="25" t="s">
        <v>29</v>
      </c>
      <c r="C14" s="29">
        <v>3.9869565217391307</v>
      </c>
      <c r="D14" s="27" t="s">
        <v>2</v>
      </c>
      <c r="E14" s="23"/>
      <c r="F14" s="53" t="s">
        <v>35</v>
      </c>
      <c r="G14" s="52">
        <f>MIN(18,0.11/$G$4/$G$7)</f>
        <v>18</v>
      </c>
      <c r="H14" s="119" t="s">
        <v>2</v>
      </c>
      <c r="I14" s="52">
        <f>0.11*12/$G$9</f>
        <v>6.1111111111111107</v>
      </c>
      <c r="M14" s="14"/>
      <c r="N14" s="17"/>
      <c r="O14" s="14"/>
      <c r="P14" s="17"/>
      <c r="Q14" s="19"/>
    </row>
    <row r="15" spans="1:17" ht="15.6" x14ac:dyDescent="0.3">
      <c r="B15" s="25" t="s">
        <v>1</v>
      </c>
      <c r="C15" s="35">
        <f>C14-3.5</f>
        <v>0.48695652173913073</v>
      </c>
      <c r="D15" s="27" t="s">
        <v>2</v>
      </c>
      <c r="E15" s="23"/>
      <c r="F15" s="53" t="s">
        <v>36</v>
      </c>
      <c r="G15" s="52">
        <f>MIN(18,0.2/$G$4/$G$7)</f>
        <v>18</v>
      </c>
      <c r="H15" s="119" t="s">
        <v>2</v>
      </c>
      <c r="I15" s="52">
        <f>0.2*12/$G$9</f>
        <v>11.111111111111111</v>
      </c>
      <c r="M15" s="14"/>
      <c r="N15" s="17"/>
      <c r="O15" s="14"/>
      <c r="P15" s="17"/>
      <c r="Q15" s="19"/>
    </row>
    <row r="16" spans="1:17" ht="18" x14ac:dyDescent="0.4">
      <c r="B16" s="25" t="s">
        <v>17</v>
      </c>
      <c r="C16" s="135">
        <f>C12-C14*(C8+5)/12/1000-(C13-C14/12)*C9/1000</f>
        <v>1.4817264492753623</v>
      </c>
      <c r="D16" s="27" t="s">
        <v>19</v>
      </c>
      <c r="E16" s="23"/>
      <c r="F16" s="53" t="s">
        <v>37</v>
      </c>
      <c r="G16" s="52">
        <f>MIN(18,0.31/$G$4/$G$7)</f>
        <v>18</v>
      </c>
      <c r="H16" s="119" t="s">
        <v>2</v>
      </c>
      <c r="I16" s="52">
        <f>0.31*12/$G$9</f>
        <v>17.222222222222218</v>
      </c>
      <c r="M16" s="14"/>
      <c r="N16" s="17"/>
      <c r="O16" s="14"/>
      <c r="P16" s="17"/>
      <c r="Q16" s="19"/>
    </row>
    <row r="17" spans="1:17" ht="18" x14ac:dyDescent="0.4">
      <c r="B17" s="60" t="s">
        <v>70</v>
      </c>
      <c r="C17" s="35">
        <f>((C2+C3)/C16)</f>
        <v>0.67488840500150993</v>
      </c>
      <c r="D17" s="27" t="s">
        <v>15</v>
      </c>
      <c r="E17" s="23"/>
      <c r="F17" s="53" t="s">
        <v>38</v>
      </c>
      <c r="G17" s="52">
        <f>MIN(18,0.44/$G$4/$G$7)</f>
        <v>18</v>
      </c>
      <c r="H17" s="119" t="s">
        <v>2</v>
      </c>
      <c r="I17" s="52">
        <f>0.44*12/$G$9</f>
        <v>24.444444444444443</v>
      </c>
      <c r="M17" s="14"/>
      <c r="N17" s="18"/>
      <c r="O17" s="14"/>
      <c r="P17" s="17"/>
      <c r="Q17" s="19"/>
    </row>
    <row r="18" spans="1:17" ht="15.6" x14ac:dyDescent="0.3">
      <c r="B18" s="60" t="s">
        <v>62</v>
      </c>
      <c r="C18" s="26">
        <v>2</v>
      </c>
      <c r="D18" s="27" t="s">
        <v>15</v>
      </c>
      <c r="E18" s="23"/>
      <c r="F18" s="53" t="s">
        <v>39</v>
      </c>
      <c r="G18" s="52">
        <f>MIN(18,0.6/$G$4/$G$7)</f>
        <v>18</v>
      </c>
      <c r="H18" s="119" t="s">
        <v>2</v>
      </c>
      <c r="I18" s="52">
        <f>0.6*12/$G$9</f>
        <v>33.333333333333329</v>
      </c>
      <c r="M18" s="14"/>
      <c r="N18" s="18"/>
      <c r="O18" s="14"/>
      <c r="P18" s="17"/>
      <c r="Q18" s="19"/>
    </row>
    <row r="19" spans="1:17" ht="18" x14ac:dyDescent="0.4">
      <c r="B19" s="25" t="s">
        <v>26</v>
      </c>
      <c r="C19" s="135">
        <f>C4/C18</f>
        <v>0.7</v>
      </c>
      <c r="D19" s="27" t="s">
        <v>19</v>
      </c>
      <c r="E19" s="23"/>
      <c r="F19" s="53" t="s">
        <v>40</v>
      </c>
      <c r="G19" s="52">
        <f>MIN(18,0.79/$G$4/$G$7)</f>
        <v>18</v>
      </c>
      <c r="H19" s="119" t="s">
        <v>2</v>
      </c>
      <c r="I19" s="52">
        <f>0.79*12/$G$9</f>
        <v>43.888888888888886</v>
      </c>
      <c r="M19" s="14"/>
      <c r="N19" s="18"/>
      <c r="O19" s="14"/>
      <c r="P19" s="17"/>
      <c r="Q19" s="19"/>
    </row>
    <row r="20" spans="1:17" ht="18" x14ac:dyDescent="0.4">
      <c r="B20" s="25" t="s">
        <v>23</v>
      </c>
      <c r="C20" s="35">
        <f>(C18/2-C5/24-C15/12)*C19</f>
        <v>0.43826086956521737</v>
      </c>
      <c r="D20" s="27" t="s">
        <v>14</v>
      </c>
      <c r="E20" s="24"/>
      <c r="F20" s="53" t="s">
        <v>43</v>
      </c>
      <c r="G20" s="52">
        <f>MIN(18,1/$G$4/$G$7)</f>
        <v>18</v>
      </c>
      <c r="H20" s="119" t="s">
        <v>2</v>
      </c>
      <c r="I20" s="52">
        <f>1*12/$G$9</f>
        <v>55.55555555555555</v>
      </c>
      <c r="N20" s="11"/>
      <c r="O20" s="19"/>
      <c r="P20" s="11"/>
      <c r="Q20" s="19"/>
    </row>
    <row r="21" spans="1:17" ht="18" customHeight="1" x14ac:dyDescent="0.4">
      <c r="B21" s="25" t="s">
        <v>27</v>
      </c>
      <c r="C21" s="32">
        <f>C20*1000/(0.75*2*C11*C7^0.5*12)</f>
        <v>0.4869565217391304</v>
      </c>
      <c r="D21" s="27" t="s">
        <v>2</v>
      </c>
      <c r="F21" s="143" t="s">
        <v>47</v>
      </c>
      <c r="G21" s="143"/>
      <c r="H21" s="143"/>
    </row>
    <row r="22" spans="1:17" ht="18" x14ac:dyDescent="0.4">
      <c r="B22" s="25" t="s">
        <v>28</v>
      </c>
      <c r="C22" s="47">
        <f>C21+3.5</f>
        <v>3.9869565217391303</v>
      </c>
      <c r="D22" s="27" t="s">
        <v>2</v>
      </c>
      <c r="E22" s="103"/>
      <c r="F22" s="142"/>
      <c r="G22" s="142"/>
      <c r="H22" s="142"/>
      <c r="M22" s="41"/>
      <c r="N22" s="41"/>
      <c r="O22" s="41"/>
    </row>
    <row r="23" spans="1:17" ht="18" x14ac:dyDescent="0.4">
      <c r="B23" s="25" t="s">
        <v>30</v>
      </c>
      <c r="C23" s="32">
        <f>C14-C22</f>
        <v>0</v>
      </c>
      <c r="D23" s="110" t="s">
        <v>2</v>
      </c>
      <c r="E23" s="54"/>
      <c r="F23" s="142"/>
      <c r="G23" s="142"/>
      <c r="H23" s="142"/>
      <c r="I23" s="105"/>
      <c r="M23" s="41"/>
      <c r="N23" s="41"/>
      <c r="O23" s="41"/>
    </row>
    <row r="24" spans="1:17" ht="15.6" x14ac:dyDescent="0.3">
      <c r="E24" s="54"/>
      <c r="F24" s="55"/>
      <c r="G24" s="56"/>
      <c r="H24" s="44"/>
      <c r="I24" s="105"/>
      <c r="M24" s="41"/>
      <c r="N24" s="41"/>
      <c r="O24" s="41"/>
    </row>
    <row r="25" spans="1:17" ht="18" customHeight="1" x14ac:dyDescent="0.3">
      <c r="E25" s="54"/>
      <c r="F25" s="55"/>
      <c r="G25" s="56"/>
      <c r="H25" s="44"/>
      <c r="I25" s="111"/>
      <c r="J25" s="40"/>
      <c r="M25" s="41"/>
      <c r="N25" s="41"/>
      <c r="O25" s="41"/>
    </row>
    <row r="26" spans="1:17" ht="15.6" x14ac:dyDescent="0.3">
      <c r="E26" s="54"/>
      <c r="F26" s="55"/>
      <c r="G26" s="56"/>
      <c r="H26" s="44"/>
      <c r="I26" s="111"/>
      <c r="J26" s="40"/>
      <c r="M26" s="41"/>
      <c r="N26" s="41"/>
      <c r="O26" s="41"/>
      <c r="P26" s="4"/>
    </row>
    <row r="27" spans="1:17" ht="15.6" x14ac:dyDescent="0.3">
      <c r="E27" s="54"/>
      <c r="F27" s="55"/>
      <c r="G27" s="56"/>
      <c r="H27" s="44"/>
      <c r="I27" s="105"/>
      <c r="M27" s="41"/>
      <c r="N27" s="41"/>
      <c r="O27" s="41"/>
    </row>
    <row r="28" spans="1:17" ht="15.6" x14ac:dyDescent="0.3">
      <c r="B28" s="105"/>
      <c r="C28" s="105"/>
      <c r="D28" s="105"/>
      <c r="E28" s="54"/>
      <c r="F28" s="55"/>
      <c r="G28" s="56"/>
      <c r="H28" s="44"/>
      <c r="I28" s="105"/>
      <c r="M28" s="41"/>
      <c r="N28" s="41"/>
      <c r="O28" s="41"/>
    </row>
    <row r="29" spans="1:17" ht="15.6" x14ac:dyDescent="0.3">
      <c r="B29" s="106"/>
      <c r="C29" s="107"/>
      <c r="D29" s="62"/>
      <c r="E29" s="112"/>
      <c r="F29" s="55"/>
      <c r="G29" s="56"/>
      <c r="H29" s="44"/>
      <c r="I29" s="113"/>
      <c r="M29" s="41"/>
      <c r="N29" s="41"/>
      <c r="O29" s="41"/>
    </row>
    <row r="30" spans="1:17" ht="19.5" customHeight="1" x14ac:dyDescent="0.25">
      <c r="B30" s="105"/>
      <c r="C30" s="105"/>
      <c r="D30" s="105"/>
      <c r="E30" s="142"/>
      <c r="F30" s="142"/>
      <c r="G30" s="142"/>
      <c r="H30" s="142"/>
      <c r="I30" s="113"/>
      <c r="M30" s="41"/>
      <c r="N30" s="41"/>
      <c r="O30" s="41"/>
    </row>
    <row r="31" spans="1:17" x14ac:dyDescent="0.25">
      <c r="A31" s="1"/>
      <c r="B31" s="105"/>
      <c r="C31" s="105"/>
      <c r="D31" s="105"/>
      <c r="E31" s="142"/>
      <c r="F31" s="142"/>
      <c r="G31" s="142"/>
      <c r="H31" s="142"/>
      <c r="I31" s="114"/>
      <c r="J31" s="10"/>
      <c r="L31" s="16"/>
      <c r="M31" s="41"/>
      <c r="N31" s="41"/>
      <c r="O31" s="41"/>
    </row>
    <row r="32" spans="1:17" ht="15.6" x14ac:dyDescent="0.3">
      <c r="A32" s="1"/>
      <c r="B32" s="106"/>
      <c r="C32" s="107"/>
      <c r="D32" s="62"/>
      <c r="E32" s="105"/>
      <c r="F32" s="105"/>
      <c r="G32" s="105"/>
      <c r="H32" s="105"/>
      <c r="I32" s="115"/>
    </row>
    <row r="33" spans="1:16" x14ac:dyDescent="0.25">
      <c r="A33" s="1"/>
      <c r="B33" s="105"/>
      <c r="C33" s="108"/>
      <c r="D33" s="108"/>
      <c r="E33" s="108"/>
      <c r="F33" s="108"/>
      <c r="G33" s="108"/>
      <c r="H33" s="108"/>
      <c r="I33" s="108"/>
      <c r="J33" s="5"/>
      <c r="K33" s="5"/>
      <c r="L33" s="5"/>
      <c r="M33" s="5"/>
      <c r="N33" s="5"/>
      <c r="O33" s="5"/>
      <c r="P33" s="5"/>
    </row>
    <row r="34" spans="1:16" x14ac:dyDescent="0.25">
      <c r="A34" s="2"/>
      <c r="B34" s="105"/>
      <c r="C34" s="109"/>
      <c r="D34" s="109"/>
      <c r="E34" s="109"/>
      <c r="F34" s="109"/>
      <c r="G34" s="109"/>
      <c r="H34" s="109"/>
      <c r="I34" s="109"/>
      <c r="J34" s="8"/>
      <c r="K34" s="8"/>
      <c r="L34" s="8"/>
      <c r="M34" s="8"/>
      <c r="N34" s="8"/>
      <c r="O34" s="8"/>
      <c r="P34" s="8"/>
    </row>
    <row r="35" spans="1:16" x14ac:dyDescent="0.25">
      <c r="A35" s="2"/>
      <c r="C35" s="8"/>
      <c r="D35" s="8"/>
      <c r="E35" s="109"/>
      <c r="F35" s="109"/>
      <c r="G35" s="109"/>
      <c r="H35" s="109"/>
      <c r="I35" s="109"/>
      <c r="J35" s="8"/>
      <c r="K35" s="8"/>
      <c r="L35" s="8"/>
      <c r="M35" s="8"/>
      <c r="N35" s="8"/>
      <c r="O35" s="8"/>
      <c r="P35" s="8"/>
    </row>
    <row r="36" spans="1:16" x14ac:dyDescent="0.25">
      <c r="A36" s="2"/>
      <c r="B36" s="2"/>
      <c r="C36" s="8"/>
      <c r="D36" s="8"/>
      <c r="E36" s="109"/>
      <c r="F36" s="109"/>
      <c r="G36" s="109"/>
      <c r="H36" s="109"/>
      <c r="I36" s="109"/>
      <c r="J36" s="8"/>
      <c r="K36" s="8"/>
      <c r="L36" s="8"/>
      <c r="M36" s="8"/>
      <c r="N36" s="8"/>
      <c r="O36" s="8"/>
      <c r="P36" s="8"/>
    </row>
    <row r="37" spans="1:16" x14ac:dyDescent="0.25">
      <c r="A37" s="2"/>
      <c r="B37" s="2"/>
      <c r="C37" s="8"/>
      <c r="D37" s="8"/>
      <c r="E37" s="109"/>
      <c r="F37" s="109"/>
      <c r="G37" s="109"/>
      <c r="H37" s="109"/>
      <c r="I37" s="109"/>
      <c r="J37" s="8"/>
      <c r="K37" s="8"/>
      <c r="L37" s="8"/>
      <c r="M37" s="8"/>
      <c r="N37" s="8"/>
      <c r="O37" s="8"/>
      <c r="P37" s="8"/>
    </row>
    <row r="38" spans="1:16" x14ac:dyDescent="0.25">
      <c r="A38" s="2"/>
      <c r="B38" s="2"/>
      <c r="C38" s="8"/>
      <c r="D38" s="8"/>
      <c r="E38" s="109"/>
      <c r="F38" s="109"/>
      <c r="G38" s="109"/>
      <c r="H38" s="109"/>
      <c r="I38" s="109"/>
      <c r="J38" s="8"/>
      <c r="K38" s="8"/>
      <c r="L38" s="8"/>
      <c r="M38" s="8"/>
      <c r="N38" s="8"/>
      <c r="O38" s="8"/>
      <c r="P38" s="8"/>
    </row>
    <row r="39" spans="1:16" x14ac:dyDescent="0.25">
      <c r="A39" s="13"/>
      <c r="B39" s="13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13"/>
      <c r="B40" s="13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13"/>
      <c r="B41" s="13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13"/>
      <c r="B42" s="13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13"/>
      <c r="B43" s="13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13"/>
      <c r="B44" s="1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x14ac:dyDescent="0.25">
      <c r="A45" s="13"/>
      <c r="B45" s="1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x14ac:dyDescent="0.25">
      <c r="A46" s="13"/>
      <c r="B46" s="1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x14ac:dyDescent="0.25">
      <c r="A47" s="13"/>
      <c r="B47" s="1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x14ac:dyDescent="0.25">
      <c r="A48" s="13"/>
      <c r="B48" s="1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7" x14ac:dyDescent="0.25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7" x14ac:dyDescent="0.25">
      <c r="A50" s="3"/>
      <c r="B50" s="3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1:17" x14ac:dyDescent="0.25">
      <c r="A51" s="1"/>
      <c r="B51" s="1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7" x14ac:dyDescent="0.25">
      <c r="A52" s="1"/>
      <c r="B52" s="15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x14ac:dyDescent="0.25">
      <c r="A53" s="13"/>
      <c r="B53" s="1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7" x14ac:dyDescent="0.25">
      <c r="A54" s="13"/>
      <c r="B54" s="1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7" x14ac:dyDescent="0.25">
      <c r="A55" s="13"/>
      <c r="B55" s="1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7" x14ac:dyDescent="0.25">
      <c r="A56" s="13"/>
      <c r="B56" s="1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7" x14ac:dyDescent="0.25">
      <c r="A57" s="13"/>
      <c r="B57" s="1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7" x14ac:dyDescent="0.25">
      <c r="A58" s="1"/>
      <c r="B58" s="1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7" x14ac:dyDescent="0.25">
      <c r="A59" s="1"/>
      <c r="B59" s="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7" x14ac:dyDescent="0.25">
      <c r="A60" s="1"/>
      <c r="B60" s="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x14ac:dyDescent="0.25">
      <c r="A61" s="1"/>
      <c r="B61" s="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3" spans="1:17" x14ac:dyDescent="0.25">
      <c r="A63" s="1"/>
      <c r="B63" s="6"/>
      <c r="C63" s="6"/>
    </row>
    <row r="64" spans="1:17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25"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x14ac:dyDescent="0.25">
      <c r="A66" s="1"/>
      <c r="C66" s="6"/>
    </row>
    <row r="67" spans="1:13" x14ac:dyDescent="0.25">
      <c r="A67" s="1"/>
      <c r="C67" s="7"/>
    </row>
    <row r="68" spans="1:13" x14ac:dyDescent="0.25">
      <c r="A68" s="1"/>
      <c r="C68" s="6"/>
    </row>
    <row r="69" spans="1:13" x14ac:dyDescent="0.25">
      <c r="A69" s="1"/>
      <c r="C69" s="7"/>
    </row>
  </sheetData>
  <mergeCells count="2">
    <mergeCell ref="E30:H31"/>
    <mergeCell ref="F21:H23"/>
  </mergeCells>
  <phoneticPr fontId="3" type="noConversion"/>
  <pageMargins left="0.75" right="0.75" top="1" bottom="1" header="0.5" footer="0.5"/>
  <pageSetup orientation="portrait" horizontalDpi="429496729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44"/>
  <sheetViews>
    <sheetView tabSelected="1" workbookViewId="0">
      <selection activeCell="I7" sqref="I7"/>
    </sheetView>
  </sheetViews>
  <sheetFormatPr defaultRowHeight="13.2" x14ac:dyDescent="0.25"/>
  <cols>
    <col min="2" max="2" width="13.21875" customWidth="1"/>
    <col min="3" max="3" width="9.5546875" bestFit="1" customWidth="1"/>
    <col min="5" max="5" width="2.44140625" customWidth="1"/>
    <col min="6" max="6" width="10.77734375" customWidth="1"/>
    <col min="9" max="9" width="9.21875" customWidth="1"/>
    <col min="10" max="10" width="9.77734375" customWidth="1"/>
    <col min="11" max="11" width="11.21875" customWidth="1"/>
  </cols>
  <sheetData>
    <row r="1" spans="1:10" x14ac:dyDescent="0.25">
      <c r="A1" s="152" t="s">
        <v>85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0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</row>
    <row r="3" spans="1:10" x14ac:dyDescent="0.25">
      <c r="A3" s="152"/>
      <c r="B3" s="152"/>
      <c r="C3" s="152"/>
      <c r="D3" s="152"/>
      <c r="E3" s="152"/>
      <c r="F3" s="152"/>
      <c r="G3" s="152"/>
      <c r="H3" s="152"/>
      <c r="I3" s="152"/>
      <c r="J3" s="152"/>
    </row>
    <row r="4" spans="1:10" x14ac:dyDescent="0.25">
      <c r="A4" s="117" t="s">
        <v>86</v>
      </c>
    </row>
    <row r="5" spans="1:10" x14ac:dyDescent="0.25">
      <c r="A5" s="117" t="s">
        <v>87</v>
      </c>
    </row>
    <row r="6" spans="1:10" ht="13.8" thickBot="1" x14ac:dyDescent="0.3">
      <c r="A6" s="117" t="s">
        <v>88</v>
      </c>
    </row>
    <row r="7" spans="1:10" ht="21.6" thickBot="1" x14ac:dyDescent="0.45">
      <c r="A7" s="33" t="s">
        <v>48</v>
      </c>
      <c r="B7" s="140"/>
      <c r="C7" s="141"/>
      <c r="D7" s="141"/>
      <c r="E7" s="141"/>
      <c r="F7" s="141"/>
      <c r="G7" s="34"/>
    </row>
    <row r="8" spans="1:10" ht="21.6" thickBot="1" x14ac:dyDescent="0.45">
      <c r="A8" s="21"/>
      <c r="B8" s="121" t="s">
        <v>11</v>
      </c>
      <c r="C8" s="138">
        <v>0.5</v>
      </c>
      <c r="D8" s="139" t="s">
        <v>10</v>
      </c>
      <c r="E8" s="61"/>
      <c r="F8" s="147" t="s">
        <v>63</v>
      </c>
      <c r="G8" s="148"/>
      <c r="H8" s="149"/>
      <c r="I8" s="150"/>
    </row>
    <row r="9" spans="1:10" ht="18" x14ac:dyDescent="0.4">
      <c r="B9" s="25" t="s">
        <v>12</v>
      </c>
      <c r="C9" s="42">
        <v>0.5</v>
      </c>
      <c r="D9" s="30" t="s">
        <v>10</v>
      </c>
      <c r="E9" s="44"/>
      <c r="F9" s="81"/>
      <c r="G9" s="74" t="s">
        <v>54</v>
      </c>
      <c r="H9" s="82">
        <f>(C25^2*144-(C11+C22)*(C12+C22))*C26/144</f>
        <v>1.3381265668425264</v>
      </c>
      <c r="I9" s="83" t="s">
        <v>10</v>
      </c>
    </row>
    <row r="10" spans="1:10" ht="18" x14ac:dyDescent="0.4">
      <c r="B10" s="25" t="s">
        <v>8</v>
      </c>
      <c r="C10" s="45">
        <f>1.2*C8+1.6*C9</f>
        <v>1.4</v>
      </c>
      <c r="D10" s="30" t="s">
        <v>10</v>
      </c>
      <c r="E10" s="44"/>
      <c r="F10" s="84"/>
      <c r="G10" s="64" t="s">
        <v>56</v>
      </c>
      <c r="H10" s="77">
        <f>2*(C11+C12)+C22*4</f>
        <v>20.181773247506481</v>
      </c>
      <c r="I10" s="85" t="s">
        <v>2</v>
      </c>
    </row>
    <row r="11" spans="1:10" ht="18" x14ac:dyDescent="0.4">
      <c r="A11" s="1"/>
      <c r="B11" s="25" t="s">
        <v>3</v>
      </c>
      <c r="C11" s="26">
        <v>4.5</v>
      </c>
      <c r="D11" s="27" t="s">
        <v>2</v>
      </c>
      <c r="E11" s="62"/>
      <c r="F11" s="84"/>
      <c r="G11" s="65" t="s">
        <v>58</v>
      </c>
      <c r="H11" s="78">
        <v>40</v>
      </c>
      <c r="I11" s="86"/>
    </row>
    <row r="12" spans="1:10" ht="18" x14ac:dyDescent="0.4">
      <c r="A12" s="1"/>
      <c r="B12" s="25" t="s">
        <v>0</v>
      </c>
      <c r="C12" s="26">
        <v>4.5</v>
      </c>
      <c r="D12" s="27" t="s">
        <v>2</v>
      </c>
      <c r="E12" s="62"/>
      <c r="F12" s="84"/>
      <c r="G12" s="65" t="s">
        <v>53</v>
      </c>
      <c r="H12" s="79">
        <f>C12/C11</f>
        <v>1</v>
      </c>
      <c r="I12" s="87"/>
    </row>
    <row r="13" spans="1:10" ht="18" x14ac:dyDescent="0.4">
      <c r="A13" s="1"/>
      <c r="B13" s="25" t="s">
        <v>25</v>
      </c>
      <c r="C13" s="26">
        <v>3</v>
      </c>
      <c r="D13" s="27" t="s">
        <v>2</v>
      </c>
      <c r="E13" s="62"/>
      <c r="F13" s="84"/>
      <c r="G13" s="64" t="s">
        <v>55</v>
      </c>
      <c r="H13" s="78">
        <f>H9*1000/(0.75*4*C18*C14^0.5*H10)</f>
        <v>0.40351156707817531</v>
      </c>
      <c r="I13" s="85" t="s">
        <v>2</v>
      </c>
    </row>
    <row r="14" spans="1:10" ht="18" x14ac:dyDescent="0.4">
      <c r="A14" s="1"/>
      <c r="B14" s="25" t="s">
        <v>5</v>
      </c>
      <c r="C14" s="26">
        <v>3000</v>
      </c>
      <c r="D14" s="27" t="s">
        <v>4</v>
      </c>
      <c r="E14" s="62"/>
      <c r="F14" s="84"/>
      <c r="G14" s="64" t="s">
        <v>55</v>
      </c>
      <c r="H14" s="77">
        <f>H9*1000/(0.75*(2+4/H12)*C14^0.5*H10)</f>
        <v>0.26900771138545021</v>
      </c>
      <c r="I14" s="85" t="s">
        <v>2</v>
      </c>
    </row>
    <row r="15" spans="1:10" ht="18" x14ac:dyDescent="0.4">
      <c r="B15" s="28" t="s">
        <v>20</v>
      </c>
      <c r="C15" s="26">
        <v>150</v>
      </c>
      <c r="D15" s="27" t="s">
        <v>50</v>
      </c>
      <c r="E15" s="62"/>
      <c r="F15" s="84"/>
      <c r="G15" s="64" t="s">
        <v>55</v>
      </c>
      <c r="H15" s="78">
        <f>H9*1000/(0.75*(H11*C22/H10+2)*C14^0.5*H10)</f>
        <v>0.52386049849096883</v>
      </c>
      <c r="I15" s="85" t="s">
        <v>2</v>
      </c>
    </row>
    <row r="16" spans="1:10" ht="18" x14ac:dyDescent="0.4">
      <c r="B16" s="28" t="s">
        <v>21</v>
      </c>
      <c r="C16" s="26">
        <v>100</v>
      </c>
      <c r="D16" s="27" t="s">
        <v>50</v>
      </c>
      <c r="E16" s="62"/>
      <c r="F16" s="84"/>
      <c r="G16" s="64" t="s">
        <v>57</v>
      </c>
      <c r="H16" s="78">
        <f>MAX(H13:H15)</f>
        <v>0.52386049849096883</v>
      </c>
      <c r="I16" s="85" t="s">
        <v>2</v>
      </c>
    </row>
    <row r="17" spans="2:12" ht="18" x14ac:dyDescent="0.4">
      <c r="B17" s="25" t="s">
        <v>6</v>
      </c>
      <c r="C17" s="26">
        <v>60000</v>
      </c>
      <c r="D17" s="27" t="s">
        <v>4</v>
      </c>
      <c r="E17" s="62"/>
      <c r="F17" s="84"/>
      <c r="G17" s="64" t="s">
        <v>59</v>
      </c>
      <c r="H17" s="80">
        <f>H16+4.5</f>
        <v>5.0238604984909685</v>
      </c>
      <c r="I17" s="85" t="s">
        <v>2</v>
      </c>
    </row>
    <row r="18" spans="2:12" ht="18.600000000000001" thickBot="1" x14ac:dyDescent="0.45">
      <c r="B18" s="28" t="s">
        <v>16</v>
      </c>
      <c r="C18" s="29">
        <v>1</v>
      </c>
      <c r="D18" s="27"/>
      <c r="E18" s="62"/>
      <c r="F18" s="88"/>
      <c r="G18" s="75" t="s">
        <v>61</v>
      </c>
      <c r="H18" s="89">
        <f>C21-H17</f>
        <v>2.1582813385651711E-2</v>
      </c>
      <c r="I18" s="90"/>
    </row>
    <row r="19" spans="2:12" ht="18.600000000000001" thickBot="1" x14ac:dyDescent="0.45">
      <c r="B19" s="25" t="s">
        <v>18</v>
      </c>
      <c r="C19" s="29">
        <v>2</v>
      </c>
      <c r="D19" s="27" t="s">
        <v>19</v>
      </c>
      <c r="E19" s="62"/>
    </row>
    <row r="20" spans="2:12" ht="18.600000000000001" thickBot="1" x14ac:dyDescent="0.45">
      <c r="B20" s="25" t="s">
        <v>22</v>
      </c>
      <c r="C20" s="29">
        <v>0</v>
      </c>
      <c r="D20" s="27" t="s">
        <v>15</v>
      </c>
      <c r="E20" s="62"/>
      <c r="F20" s="144" t="s">
        <v>64</v>
      </c>
      <c r="G20" s="145"/>
      <c r="H20" s="145"/>
      <c r="I20" s="146"/>
      <c r="J20" s="76"/>
    </row>
    <row r="21" spans="2:12" ht="18" x14ac:dyDescent="0.4">
      <c r="B21" s="25" t="s">
        <v>29</v>
      </c>
      <c r="C21" s="29">
        <v>5.0454433118766202</v>
      </c>
      <c r="D21" s="27" t="s">
        <v>2</v>
      </c>
      <c r="E21" s="62"/>
      <c r="F21" s="91"/>
      <c r="G21" s="92" t="s">
        <v>49</v>
      </c>
      <c r="H21" s="69">
        <f>(C25/2-C11/24-C22/12)*C26*C25</f>
        <v>0.53693247347386386</v>
      </c>
      <c r="I21" s="136" t="s">
        <v>84</v>
      </c>
      <c r="J21" s="76"/>
    </row>
    <row r="22" spans="2:12" ht="18" x14ac:dyDescent="0.4">
      <c r="B22" s="25" t="s">
        <v>1</v>
      </c>
      <c r="C22" s="35">
        <f>C21-C13-1.5</f>
        <v>0.54544331187662021</v>
      </c>
      <c r="D22" s="27" t="s">
        <v>2</v>
      </c>
      <c r="E22" s="62"/>
      <c r="F22" s="93"/>
      <c r="G22" s="66" t="s">
        <v>51</v>
      </c>
      <c r="H22" s="67">
        <f>H21*1000/(0.75*2*C18*C14^0.5*C25*12)</f>
        <v>0.27230558109136987</v>
      </c>
      <c r="I22" s="71" t="s">
        <v>2</v>
      </c>
      <c r="J22" s="76"/>
    </row>
    <row r="23" spans="2:12" ht="18" x14ac:dyDescent="0.4">
      <c r="B23" s="25" t="s">
        <v>17</v>
      </c>
      <c r="C23" s="135">
        <f>C19-C21*(C15+5)/12/1000-(C20-C21/12)*C16/1000</f>
        <v>1.9768750514872322</v>
      </c>
      <c r="D23" s="27" t="s">
        <v>19</v>
      </c>
      <c r="E23" s="62"/>
      <c r="F23" s="94"/>
      <c r="G23" s="66" t="s">
        <v>52</v>
      </c>
      <c r="H23" s="68">
        <f>H22+4.5</f>
        <v>4.7723055810913699</v>
      </c>
      <c r="I23" s="71" t="s">
        <v>2</v>
      </c>
      <c r="J23" s="76"/>
    </row>
    <row r="24" spans="2:12" ht="18.600000000000001" thickBot="1" x14ac:dyDescent="0.45">
      <c r="B24" s="60" t="s">
        <v>70</v>
      </c>
      <c r="C24" s="35">
        <f>((C8+C9)/C23)^0.5</f>
        <v>0.71123052836129808</v>
      </c>
      <c r="D24" s="137" t="s">
        <v>15</v>
      </c>
      <c r="E24" s="62"/>
      <c r="F24" s="95"/>
      <c r="G24" s="96" t="s">
        <v>60</v>
      </c>
      <c r="H24" s="72">
        <f>C21-H23</f>
        <v>0.27313773078525028</v>
      </c>
      <c r="I24" s="73" t="s">
        <v>2</v>
      </c>
      <c r="J24" s="76"/>
    </row>
    <row r="25" spans="2:12" ht="15.6" x14ac:dyDescent="0.3">
      <c r="B25" s="60" t="s">
        <v>62</v>
      </c>
      <c r="C25" s="26">
        <v>2</v>
      </c>
      <c r="D25" s="27" t="s">
        <v>15</v>
      </c>
      <c r="E25" s="62"/>
      <c r="J25" s="76"/>
      <c r="L25" s="12"/>
    </row>
    <row r="26" spans="2:12" ht="18" x14ac:dyDescent="0.4">
      <c r="B26" s="25" t="s">
        <v>26</v>
      </c>
      <c r="C26" s="35">
        <f>C10/C25^2</f>
        <v>0.35</v>
      </c>
      <c r="D26" s="27" t="s">
        <v>19</v>
      </c>
      <c r="E26" s="62"/>
    </row>
    <row r="27" spans="2:12" ht="15.6" x14ac:dyDescent="0.3">
      <c r="K27" s="36"/>
    </row>
    <row r="29" spans="2:12" ht="15.6" x14ac:dyDescent="0.3">
      <c r="B29" s="25" t="s">
        <v>31</v>
      </c>
      <c r="C29" s="26">
        <v>10</v>
      </c>
      <c r="D29" s="27" t="s">
        <v>2</v>
      </c>
      <c r="E29" s="62"/>
      <c r="F29" s="23"/>
      <c r="G29" s="23"/>
      <c r="H29" s="101" t="s">
        <v>69</v>
      </c>
      <c r="I29" s="98" t="s">
        <v>66</v>
      </c>
      <c r="J29" s="102" t="s">
        <v>68</v>
      </c>
    </row>
    <row r="30" spans="2:12" ht="15.6" x14ac:dyDescent="0.3">
      <c r="B30" s="31" t="s">
        <v>1</v>
      </c>
      <c r="C30" s="32">
        <f>C29-C13-1.5</f>
        <v>5.5</v>
      </c>
      <c r="D30" s="27" t="s">
        <v>2</v>
      </c>
      <c r="E30" s="62"/>
      <c r="F30" s="23"/>
      <c r="G30" s="100" t="s">
        <v>36</v>
      </c>
      <c r="H30" s="52">
        <f>$C$39/0.2</f>
        <v>2.1999999999999997</v>
      </c>
      <c r="I30" s="99">
        <f>H30+0.5</f>
        <v>2.6999999999999997</v>
      </c>
      <c r="J30" s="32">
        <f t="shared" ref="J30:J36" si="0">$C$25*12/I30</f>
        <v>8.8888888888888893</v>
      </c>
    </row>
    <row r="31" spans="2:12" ht="15.6" x14ac:dyDescent="0.3">
      <c r="F31" s="23"/>
      <c r="G31" s="100" t="s">
        <v>37</v>
      </c>
      <c r="H31" s="52">
        <f>$C$39/0.31</f>
        <v>1.4193548387096775</v>
      </c>
      <c r="I31" s="99">
        <f t="shared" ref="I31:I36" si="1">H31+0.5</f>
        <v>1.9193548387096775</v>
      </c>
      <c r="J31" s="32">
        <f t="shared" si="0"/>
        <v>12.504201680672269</v>
      </c>
    </row>
    <row r="32" spans="2:12" ht="15.6" x14ac:dyDescent="0.3">
      <c r="F32" s="23"/>
      <c r="G32" s="100" t="s">
        <v>38</v>
      </c>
      <c r="H32" s="52">
        <f>$C$39/0.44</f>
        <v>1</v>
      </c>
      <c r="I32" s="99">
        <f t="shared" si="1"/>
        <v>1.5</v>
      </c>
      <c r="J32" s="32">
        <f t="shared" si="0"/>
        <v>16</v>
      </c>
      <c r="K32" s="40"/>
    </row>
    <row r="33" spans="1:11" ht="18" x14ac:dyDescent="0.4">
      <c r="B33" s="25" t="s">
        <v>9</v>
      </c>
      <c r="C33" s="30">
        <f>(C25/2-C11/24)^2*C26*C25/2</f>
        <v>0.23105468749999999</v>
      </c>
      <c r="D33" s="27" t="s">
        <v>32</v>
      </c>
      <c r="E33" s="62"/>
      <c r="F33" s="23"/>
      <c r="G33" s="100" t="s">
        <v>39</v>
      </c>
      <c r="H33" s="52">
        <f>$C$39/0.6</f>
        <v>0.73333333333333339</v>
      </c>
      <c r="I33" s="99">
        <f t="shared" si="1"/>
        <v>1.2333333333333334</v>
      </c>
      <c r="J33" s="32">
        <f t="shared" si="0"/>
        <v>19.45945945945946</v>
      </c>
      <c r="K33" s="40"/>
    </row>
    <row r="34" spans="1:11" ht="18" x14ac:dyDescent="0.4">
      <c r="B34" s="25" t="s">
        <v>33</v>
      </c>
      <c r="C34" s="30">
        <f>C33*12000/0.9/C25/12/C30^2</f>
        <v>4.243428604224059</v>
      </c>
      <c r="D34" s="30" t="s">
        <v>4</v>
      </c>
      <c r="E34" s="44"/>
      <c r="F34" s="23"/>
      <c r="G34" s="100" t="s">
        <v>40</v>
      </c>
      <c r="H34" s="52">
        <f>$C$39/0.79</f>
        <v>0.55696202531645567</v>
      </c>
      <c r="I34" s="99">
        <f t="shared" si="1"/>
        <v>1.0569620253164556</v>
      </c>
      <c r="J34" s="32">
        <f t="shared" si="0"/>
        <v>22.706586826347309</v>
      </c>
    </row>
    <row r="35" spans="1:11" ht="18" x14ac:dyDescent="0.4">
      <c r="B35" s="28" t="s">
        <v>34</v>
      </c>
      <c r="C35" s="49">
        <f>0.85*C14/C17*(1-(1-2*C34/0.85/C14)^0.5)</f>
        <v>7.0782753578687855E-5</v>
      </c>
      <c r="D35" s="50"/>
      <c r="E35" s="48"/>
      <c r="F35" s="23"/>
      <c r="G35" s="100" t="s">
        <v>43</v>
      </c>
      <c r="H35" s="52">
        <f>$C$39/1</f>
        <v>0.44</v>
      </c>
      <c r="I35" s="99">
        <f t="shared" si="1"/>
        <v>0.94</v>
      </c>
      <c r="J35" s="32">
        <f t="shared" si="0"/>
        <v>25.531914893617024</v>
      </c>
    </row>
    <row r="36" spans="1:11" ht="19.2" x14ac:dyDescent="0.4">
      <c r="B36" s="25" t="s">
        <v>45</v>
      </c>
      <c r="C36" s="97">
        <f>C35*C25*12*C30</f>
        <v>9.3433234723867969E-3</v>
      </c>
      <c r="D36" s="27" t="s">
        <v>7</v>
      </c>
      <c r="E36" s="62"/>
      <c r="F36" s="24"/>
      <c r="G36" s="100" t="s">
        <v>67</v>
      </c>
      <c r="H36" s="52">
        <f>$C$39/1.27</f>
        <v>0.34645669291338582</v>
      </c>
      <c r="I36" s="99">
        <f t="shared" si="1"/>
        <v>0.84645669291338588</v>
      </c>
      <c r="J36" s="32">
        <f t="shared" si="0"/>
        <v>28.353488372093022</v>
      </c>
      <c r="K36" s="20"/>
    </row>
    <row r="37" spans="1:11" ht="19.5" customHeight="1" x14ac:dyDescent="0.4">
      <c r="B37" s="57" t="s">
        <v>44</v>
      </c>
      <c r="C37" s="97">
        <f>IF(C17=60000,0.0018*C25*12*C29,0.002*C25*12*C29)</f>
        <v>0.43200000000000005</v>
      </c>
      <c r="D37" s="27" t="s">
        <v>7</v>
      </c>
      <c r="E37" s="63"/>
      <c r="G37" s="151" t="s">
        <v>71</v>
      </c>
      <c r="H37" s="151"/>
      <c r="I37" s="151"/>
      <c r="J37" s="151"/>
      <c r="K37" s="20"/>
    </row>
    <row r="38" spans="1:11" ht="19.2" x14ac:dyDescent="0.4">
      <c r="B38" s="57" t="s">
        <v>65</v>
      </c>
      <c r="C38" s="97">
        <f>MAX(200/C17,3*C14^0.5/C17)*C25*12*C30</f>
        <v>0.44</v>
      </c>
      <c r="D38" s="27" t="s">
        <v>7</v>
      </c>
      <c r="E38" s="63"/>
      <c r="F38" s="104"/>
      <c r="G38" s="151"/>
      <c r="H38" s="151"/>
      <c r="I38" s="151"/>
      <c r="J38" s="151"/>
      <c r="K38" s="20"/>
    </row>
    <row r="39" spans="1:11" ht="19.2" x14ac:dyDescent="0.4">
      <c r="A39" s="1"/>
      <c r="B39" s="57" t="s">
        <v>46</v>
      </c>
      <c r="C39" s="32">
        <f>MAX(C36:C38)</f>
        <v>0.44</v>
      </c>
      <c r="D39" s="27" t="s">
        <v>7</v>
      </c>
      <c r="E39" s="63"/>
      <c r="F39" s="104"/>
      <c r="G39" s="151"/>
      <c r="H39" s="151"/>
      <c r="I39" s="151"/>
      <c r="J39" s="151"/>
      <c r="K39" s="16"/>
    </row>
    <row r="40" spans="1:11" x14ac:dyDescent="0.25">
      <c r="A40" s="1"/>
      <c r="C40" s="4"/>
      <c r="K40" s="4"/>
    </row>
    <row r="41" spans="1:11" x14ac:dyDescent="0.25">
      <c r="A41" s="1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2"/>
      <c r="C42" s="8"/>
      <c r="D42" s="8"/>
      <c r="E42" s="8"/>
      <c r="F42" s="8"/>
      <c r="G42" s="8"/>
      <c r="H42" s="8"/>
      <c r="I42" s="8"/>
      <c r="J42" s="8"/>
      <c r="K42" s="8"/>
    </row>
    <row r="43" spans="1:11" x14ac:dyDescent="0.25">
      <c r="A43" s="2"/>
      <c r="C43" s="8"/>
      <c r="D43" s="8"/>
      <c r="E43" s="8"/>
      <c r="F43" s="8"/>
      <c r="G43" s="8"/>
      <c r="H43" s="8"/>
      <c r="I43" s="8"/>
      <c r="J43" s="8"/>
      <c r="K43" s="8"/>
    </row>
    <row r="44" spans="1:11" x14ac:dyDescent="0.25">
      <c r="A44" s="2"/>
      <c r="B44" s="2"/>
      <c r="C44" s="8"/>
      <c r="D44" s="8"/>
      <c r="E44" s="8"/>
      <c r="F44" s="8"/>
      <c r="G44" s="8"/>
      <c r="H44" s="8"/>
      <c r="I44" s="8"/>
      <c r="J44" s="8"/>
      <c r="K44" s="8"/>
    </row>
  </sheetData>
  <mergeCells count="4">
    <mergeCell ref="F20:I20"/>
    <mergeCell ref="F8:I8"/>
    <mergeCell ref="G37:J39"/>
    <mergeCell ref="A1:J3"/>
  </mergeCells>
  <phoneticPr fontId="3" type="noConversion"/>
  <pageMargins left="0.75" right="0.75" top="1" bottom="1" header="0.5" footer="0.5"/>
  <pageSetup orientation="portrait" horizontalDpi="4294967293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1"/>
  <sheetViews>
    <sheetView workbookViewId="0">
      <selection activeCell="I30" sqref="I30"/>
    </sheetView>
  </sheetViews>
  <sheetFormatPr defaultRowHeight="13.2" x14ac:dyDescent="0.25"/>
  <cols>
    <col min="3" max="3" width="10.21875" customWidth="1"/>
    <col min="4" max="4" width="5.77734375" customWidth="1"/>
    <col min="5" max="5" width="7" customWidth="1"/>
    <col min="6" max="6" width="6.5546875" customWidth="1"/>
    <col min="7" max="7" width="8" customWidth="1"/>
    <col min="8" max="8" width="9.21875" customWidth="1"/>
    <col min="9" max="9" width="8.5546875" customWidth="1"/>
  </cols>
  <sheetData>
    <row r="1" spans="1:13" ht="21.6" thickBot="1" x14ac:dyDescent="0.45">
      <c r="A1" s="33" t="s">
        <v>83</v>
      </c>
      <c r="B1" s="37"/>
      <c r="C1" s="38"/>
      <c r="D1" s="38"/>
      <c r="E1" s="38"/>
      <c r="F1" s="34"/>
      <c r="G1" s="59"/>
      <c r="H1" s="134"/>
    </row>
    <row r="2" spans="1:13" ht="21.6" thickBot="1" x14ac:dyDescent="0.45">
      <c r="A2" s="21"/>
      <c r="B2" s="25" t="s">
        <v>11</v>
      </c>
      <c r="C2" s="42">
        <v>130</v>
      </c>
      <c r="D2" s="39" t="s">
        <v>10</v>
      </c>
      <c r="E2" s="61"/>
      <c r="F2" s="158" t="s">
        <v>63</v>
      </c>
      <c r="G2" s="149"/>
      <c r="H2" s="149"/>
      <c r="I2" s="150"/>
    </row>
    <row r="3" spans="1:13" ht="18" x14ac:dyDescent="0.4">
      <c r="B3" s="25" t="s">
        <v>12</v>
      </c>
      <c r="C3" s="42">
        <v>155</v>
      </c>
      <c r="D3" s="30" t="s">
        <v>10</v>
      </c>
      <c r="E3" s="44"/>
      <c r="F3" s="81"/>
      <c r="G3" s="74" t="s">
        <v>54</v>
      </c>
      <c r="H3" s="82">
        <f>(C4/C23*144-(C5+C16)*(C6+C16))*C23/144</f>
        <v>369.91230521317266</v>
      </c>
      <c r="I3" s="83" t="s">
        <v>10</v>
      </c>
    </row>
    <row r="4" spans="1:13" ht="18" x14ac:dyDescent="0.4">
      <c r="B4" s="25" t="s">
        <v>8</v>
      </c>
      <c r="C4" s="45">
        <f>1.2*C2+1.6*C3</f>
        <v>404</v>
      </c>
      <c r="D4" s="30" t="s">
        <v>10</v>
      </c>
      <c r="E4" s="44"/>
      <c r="F4" s="84"/>
      <c r="G4" s="64" t="s">
        <v>56</v>
      </c>
      <c r="H4" s="77">
        <f>2*(C5+C6)+C16*4</f>
        <v>126</v>
      </c>
      <c r="I4" s="85" t="s">
        <v>2</v>
      </c>
    </row>
    <row r="5" spans="1:13" ht="18" x14ac:dyDescent="0.4">
      <c r="A5" s="1"/>
      <c r="B5" s="25" t="s">
        <v>3</v>
      </c>
      <c r="C5" s="26">
        <v>12</v>
      </c>
      <c r="D5" s="27" t="s">
        <v>2</v>
      </c>
      <c r="E5" s="62"/>
      <c r="F5" s="84"/>
      <c r="G5" s="65" t="s">
        <v>58</v>
      </c>
      <c r="H5" s="78">
        <v>40</v>
      </c>
      <c r="I5" s="86"/>
    </row>
    <row r="6" spans="1:13" ht="18" x14ac:dyDescent="0.4">
      <c r="A6" s="1"/>
      <c r="B6" s="25" t="s">
        <v>0</v>
      </c>
      <c r="C6" s="26">
        <v>12</v>
      </c>
      <c r="D6" s="27" t="s">
        <v>2</v>
      </c>
      <c r="E6" s="62"/>
      <c r="F6" s="84"/>
      <c r="G6" s="65" t="s">
        <v>53</v>
      </c>
      <c r="H6" s="79">
        <f>C6/C5</f>
        <v>1</v>
      </c>
      <c r="I6" s="87"/>
    </row>
    <row r="7" spans="1:13" ht="18" x14ac:dyDescent="0.4">
      <c r="A7" s="1"/>
      <c r="B7" s="25" t="s">
        <v>25</v>
      </c>
      <c r="C7" s="26">
        <v>3</v>
      </c>
      <c r="D7" s="27" t="s">
        <v>2</v>
      </c>
      <c r="E7" s="62"/>
      <c r="F7" s="84"/>
      <c r="G7" s="64" t="s">
        <v>55</v>
      </c>
      <c r="H7" s="78">
        <f>H3*1000/(0.75*4*C12*C8^0.5*H4)</f>
        <v>17.866782527688759</v>
      </c>
      <c r="I7" s="85" t="s">
        <v>2</v>
      </c>
    </row>
    <row r="8" spans="1:13" ht="18" x14ac:dyDescent="0.4">
      <c r="A8" s="1"/>
      <c r="B8" s="25" t="s">
        <v>5</v>
      </c>
      <c r="C8" s="26">
        <v>3000</v>
      </c>
      <c r="D8" s="27" t="s">
        <v>4</v>
      </c>
      <c r="E8" s="62"/>
      <c r="F8" s="84"/>
      <c r="G8" s="64" t="s">
        <v>55</v>
      </c>
      <c r="H8" s="77">
        <f>H3*1000/(0.75*(2+4/H6)*C8^0.5*H4)</f>
        <v>11.911188351792505</v>
      </c>
      <c r="I8" s="85" t="s">
        <v>2</v>
      </c>
    </row>
    <row r="9" spans="1:13" ht="18" x14ac:dyDescent="0.4">
      <c r="B9" s="28" t="s">
        <v>20</v>
      </c>
      <c r="C9" s="26">
        <v>145</v>
      </c>
      <c r="D9" s="27" t="s">
        <v>50</v>
      </c>
      <c r="E9" s="62"/>
      <c r="F9" s="84"/>
      <c r="G9" s="64" t="s">
        <v>55</v>
      </c>
      <c r="H9" s="78">
        <f>H3*1000/(0.75*(H5*C16/H4+2)*C8^0.5*H4)</f>
        <v>8.7256379786386962</v>
      </c>
      <c r="I9" s="85" t="s">
        <v>2</v>
      </c>
      <c r="M9" s="117"/>
    </row>
    <row r="10" spans="1:13" ht="18" x14ac:dyDescent="0.4">
      <c r="B10" s="28" t="s">
        <v>21</v>
      </c>
      <c r="C10" s="26">
        <v>100</v>
      </c>
      <c r="D10" s="27" t="s">
        <v>50</v>
      </c>
      <c r="E10" s="62"/>
      <c r="F10" s="84"/>
      <c r="G10" s="64" t="s">
        <v>57</v>
      </c>
      <c r="H10" s="78">
        <f>MAX(H7:H9)</f>
        <v>17.866782527688759</v>
      </c>
      <c r="I10" s="85" t="s">
        <v>2</v>
      </c>
    </row>
    <row r="11" spans="1:13" ht="18" x14ac:dyDescent="0.4">
      <c r="B11" s="25" t="s">
        <v>6</v>
      </c>
      <c r="C11" s="26">
        <v>60000</v>
      </c>
      <c r="D11" s="27" t="s">
        <v>4</v>
      </c>
      <c r="E11" s="62"/>
      <c r="F11" s="84"/>
      <c r="G11" s="64" t="s">
        <v>59</v>
      </c>
      <c r="H11" s="80">
        <f>H10+4.5</f>
        <v>22.366782527688759</v>
      </c>
      <c r="I11" s="85" t="s">
        <v>2</v>
      </c>
    </row>
    <row r="12" spans="1:13" ht="18.600000000000001" thickBot="1" x14ac:dyDescent="0.45">
      <c r="B12" s="28" t="s">
        <v>16</v>
      </c>
      <c r="C12" s="29">
        <v>1</v>
      </c>
      <c r="D12" s="27"/>
      <c r="E12" s="62"/>
      <c r="F12" s="88"/>
      <c r="G12" s="75" t="s">
        <v>61</v>
      </c>
      <c r="H12" s="89">
        <f>C15-H11</f>
        <v>1.6332174723112409</v>
      </c>
      <c r="I12" s="90"/>
    </row>
    <row r="13" spans="1:13" ht="18.600000000000001" thickBot="1" x14ac:dyDescent="0.45">
      <c r="B13" s="25" t="s">
        <v>18</v>
      </c>
      <c r="C13" s="29">
        <v>4</v>
      </c>
      <c r="D13" s="27" t="s">
        <v>19</v>
      </c>
      <c r="E13" s="62"/>
    </row>
    <row r="14" spans="1:13" ht="18.600000000000001" thickBot="1" x14ac:dyDescent="0.45">
      <c r="B14" s="25" t="s">
        <v>22</v>
      </c>
      <c r="C14" s="29">
        <v>4</v>
      </c>
      <c r="D14" s="27" t="s">
        <v>15</v>
      </c>
      <c r="E14" s="62"/>
      <c r="F14" s="144" t="s">
        <v>64</v>
      </c>
      <c r="G14" s="145"/>
      <c r="H14" s="145"/>
      <c r="I14" s="146"/>
    </row>
    <row r="15" spans="1:13" ht="19.2" x14ac:dyDescent="0.4">
      <c r="B15" s="25" t="s">
        <v>29</v>
      </c>
      <c r="C15" s="29">
        <v>24</v>
      </c>
      <c r="D15" s="27" t="s">
        <v>2</v>
      </c>
      <c r="E15" s="62"/>
      <c r="F15" s="91"/>
      <c r="G15" s="92" t="s">
        <v>49</v>
      </c>
      <c r="H15" s="69">
        <f>(C21/2-C5/24-C16/12)*C23*C19</f>
        <v>128.413865222087</v>
      </c>
      <c r="I15" s="70" t="s">
        <v>7</v>
      </c>
    </row>
    <row r="16" spans="1:13" ht="18" x14ac:dyDescent="0.4">
      <c r="B16" s="25" t="s">
        <v>1</v>
      </c>
      <c r="C16" s="35">
        <f>C15-C7-1.5</f>
        <v>19.5</v>
      </c>
      <c r="D16" s="27" t="s">
        <v>2</v>
      </c>
      <c r="E16" s="62"/>
      <c r="F16" s="93"/>
      <c r="G16" s="66" t="s">
        <v>51</v>
      </c>
      <c r="H16" s="67">
        <f>H15*1000/(0.75*2*C12*C8^0.5*C19*12)</f>
        <v>18.607188010202435</v>
      </c>
      <c r="I16" s="71" t="s">
        <v>2</v>
      </c>
    </row>
    <row r="17" spans="2:12" ht="18" x14ac:dyDescent="0.4">
      <c r="B17" s="25" t="s">
        <v>17</v>
      </c>
      <c r="C17" s="35">
        <f>C13-C15*(C9+5)/12/1000-(C14-C15/12)*C10/1000</f>
        <v>3.5</v>
      </c>
      <c r="D17" s="27" t="s">
        <v>19</v>
      </c>
      <c r="E17" s="62"/>
      <c r="F17" s="94"/>
      <c r="G17" s="66" t="s">
        <v>52</v>
      </c>
      <c r="H17" s="68">
        <f>H16+4.5</f>
        <v>23.107188010202435</v>
      </c>
      <c r="I17" s="71" t="s">
        <v>2</v>
      </c>
    </row>
    <row r="18" spans="2:12" ht="18.600000000000001" thickBot="1" x14ac:dyDescent="0.45">
      <c r="B18" s="60" t="s">
        <v>75</v>
      </c>
      <c r="C18" s="35">
        <f>((C2+C3)/C17)</f>
        <v>81.428571428571431</v>
      </c>
      <c r="D18" s="27" t="s">
        <v>19</v>
      </c>
      <c r="E18" s="120"/>
      <c r="F18" s="95"/>
      <c r="G18" s="96" t="s">
        <v>60</v>
      </c>
      <c r="H18" s="72">
        <f>C15-H17</f>
        <v>0.89281198979756482</v>
      </c>
      <c r="I18" s="73" t="s">
        <v>2</v>
      </c>
    </row>
    <row r="19" spans="2:12" ht="16.2" x14ac:dyDescent="0.35">
      <c r="B19" s="116" t="s">
        <v>72</v>
      </c>
      <c r="C19" s="26">
        <v>7</v>
      </c>
      <c r="D19" s="27" t="s">
        <v>15</v>
      </c>
      <c r="E19" s="62"/>
    </row>
    <row r="20" spans="2:12" ht="18" x14ac:dyDescent="0.4">
      <c r="B20" s="60" t="s">
        <v>82</v>
      </c>
      <c r="C20" s="35">
        <f>C18/C19</f>
        <v>11.63265306122449</v>
      </c>
      <c r="D20" s="27" t="s">
        <v>15</v>
      </c>
      <c r="E20" s="62"/>
    </row>
    <row r="21" spans="2:12" ht="15.6" x14ac:dyDescent="0.3">
      <c r="B21" s="60" t="s">
        <v>62</v>
      </c>
      <c r="C21" s="29">
        <v>11.666600000000001</v>
      </c>
      <c r="D21" s="27" t="s">
        <v>15</v>
      </c>
      <c r="E21" s="62"/>
    </row>
    <row r="22" spans="2:12" ht="18" x14ac:dyDescent="0.4">
      <c r="B22" s="60" t="s">
        <v>77</v>
      </c>
      <c r="C22" s="35">
        <f>C19*C21</f>
        <v>81.666200000000003</v>
      </c>
      <c r="D22" s="27"/>
      <c r="E22" s="62"/>
    </row>
    <row r="23" spans="2:12" ht="18" x14ac:dyDescent="0.4">
      <c r="B23" s="25" t="s">
        <v>26</v>
      </c>
      <c r="C23" s="35">
        <f>C4/C22</f>
        <v>4.946967043893312</v>
      </c>
      <c r="D23" s="27" t="s">
        <v>19</v>
      </c>
      <c r="E23" s="62"/>
    </row>
    <row r="26" spans="2:12" ht="15.6" x14ac:dyDescent="0.3">
      <c r="B26" s="25" t="s">
        <v>31</v>
      </c>
      <c r="C26" s="26">
        <v>24</v>
      </c>
      <c r="D26" s="27" t="s">
        <v>2</v>
      </c>
      <c r="E26" s="62"/>
      <c r="F26" s="23"/>
    </row>
    <row r="27" spans="2:12" ht="15.6" x14ac:dyDescent="0.3">
      <c r="B27" s="31" t="s">
        <v>1</v>
      </c>
      <c r="C27" s="32">
        <f>C26-C7-1.5</f>
        <v>19.5</v>
      </c>
      <c r="D27" s="27" t="s">
        <v>2</v>
      </c>
      <c r="E27" s="62"/>
      <c r="F27" s="23"/>
    </row>
    <row r="28" spans="2:12" ht="15" x14ac:dyDescent="0.25">
      <c r="F28" s="23"/>
    </row>
    <row r="29" spans="2:12" ht="17.399999999999999" x14ac:dyDescent="0.3">
      <c r="B29" s="159" t="s">
        <v>74</v>
      </c>
      <c r="C29" s="160"/>
      <c r="D29" s="160"/>
      <c r="E29" s="160"/>
      <c r="F29" s="160"/>
      <c r="G29" s="160"/>
      <c r="H29" s="160"/>
      <c r="I29" s="161"/>
    </row>
    <row r="30" spans="2:12" ht="18" x14ac:dyDescent="0.4">
      <c r="B30" s="121" t="s">
        <v>9</v>
      </c>
      <c r="C30" s="126">
        <f>(C21/2-C5/24)^2*C23*C19/2</f>
        <v>492.49189616340664</v>
      </c>
      <c r="D30" s="122" t="s">
        <v>32</v>
      </c>
      <c r="E30" s="62"/>
      <c r="F30" s="23"/>
      <c r="G30" s="123" t="s">
        <v>69</v>
      </c>
      <c r="H30" s="124" t="s">
        <v>66</v>
      </c>
      <c r="I30" s="125" t="s">
        <v>68</v>
      </c>
      <c r="L30" s="117"/>
    </row>
    <row r="31" spans="2:12" ht="18" x14ac:dyDescent="0.4">
      <c r="B31" s="25" t="s">
        <v>33</v>
      </c>
      <c r="C31" s="32">
        <f>C30*12000/0.9/C19/12/C27^2</f>
        <v>205.58400223888069</v>
      </c>
      <c r="D31" s="30" t="s">
        <v>4</v>
      </c>
      <c r="E31" s="44"/>
      <c r="F31" s="100" t="s">
        <v>36</v>
      </c>
      <c r="G31" s="52">
        <f>$C$36/0.2</f>
        <v>29.294991618276768</v>
      </c>
      <c r="H31" s="99">
        <f>G31+0.5</f>
        <v>29.794991618276768</v>
      </c>
      <c r="I31" s="32">
        <f t="shared" ref="I31:I37" si="0">$C$21*12/H31</f>
        <v>4.6987494339190228</v>
      </c>
    </row>
    <row r="32" spans="2:12" ht="18" x14ac:dyDescent="0.4">
      <c r="B32" s="28" t="s">
        <v>34</v>
      </c>
      <c r="C32" s="49">
        <f>0.85*C8/C11*(1-(1-2*C31/0.85/C8)^0.5)</f>
        <v>3.5769220535136468E-3</v>
      </c>
      <c r="D32" s="50"/>
      <c r="E32" s="48"/>
      <c r="F32" s="100" t="s">
        <v>37</v>
      </c>
      <c r="G32" s="52">
        <f>$C$36/0.31</f>
        <v>18.899994592436624</v>
      </c>
      <c r="H32" s="99">
        <f t="shared" ref="H32:H37" si="1">G32+0.5</f>
        <v>19.399994592436624</v>
      </c>
      <c r="I32" s="32">
        <f t="shared" si="0"/>
        <v>7.2164556197650063</v>
      </c>
    </row>
    <row r="33" spans="1:9" ht="19.5" customHeight="1" x14ac:dyDescent="0.4">
      <c r="B33" s="25" t="s">
        <v>45</v>
      </c>
      <c r="C33" s="97">
        <f>C32*C19*12*C27</f>
        <v>5.8589983236553538</v>
      </c>
      <c r="D33" s="27" t="s">
        <v>7</v>
      </c>
      <c r="E33" s="62"/>
      <c r="F33" s="100" t="s">
        <v>38</v>
      </c>
      <c r="G33" s="52">
        <f>$C$36/0.44</f>
        <v>13.315905281034896</v>
      </c>
      <c r="H33" s="99">
        <f t="shared" si="1"/>
        <v>13.815905281034896</v>
      </c>
      <c r="I33" s="32">
        <f t="shared" si="0"/>
        <v>10.133190489672582</v>
      </c>
    </row>
    <row r="34" spans="1:9" ht="19.2" x14ac:dyDescent="0.4">
      <c r="B34" s="57" t="s">
        <v>44</v>
      </c>
      <c r="C34" s="97">
        <f>IF(C11=60000,0.0018*C19*12*C26,0.002*C19*12*C26)</f>
        <v>3.6288</v>
      </c>
      <c r="D34" s="27" t="s">
        <v>7</v>
      </c>
      <c r="E34" s="63"/>
      <c r="F34" s="100" t="s">
        <v>39</v>
      </c>
      <c r="G34" s="52">
        <f>$C$36/0.6</f>
        <v>9.7649972060922572</v>
      </c>
      <c r="H34" s="99">
        <f t="shared" si="1"/>
        <v>10.264997206092257</v>
      </c>
      <c r="I34" s="32">
        <f t="shared" si="0"/>
        <v>13.638503468555328</v>
      </c>
    </row>
    <row r="35" spans="1:9" ht="19.2" x14ac:dyDescent="0.4">
      <c r="B35" s="57" t="s">
        <v>65</v>
      </c>
      <c r="C35" s="97">
        <f>MAX(200/C11,3*C8^0.5/C11)*C19*12*C27</f>
        <v>5.4600000000000009</v>
      </c>
      <c r="D35" s="27" t="s">
        <v>7</v>
      </c>
      <c r="E35" s="63"/>
      <c r="F35" s="100" t="s">
        <v>40</v>
      </c>
      <c r="G35" s="52">
        <f>$C$36/0.79</f>
        <v>7.4164535742472832</v>
      </c>
      <c r="H35" s="99">
        <f t="shared" si="1"/>
        <v>7.9164535742472832</v>
      </c>
      <c r="I35" s="32">
        <f t="shared" si="0"/>
        <v>17.684585488560955</v>
      </c>
    </row>
    <row r="36" spans="1:9" ht="19.2" x14ac:dyDescent="0.4">
      <c r="A36" s="1"/>
      <c r="B36" s="57" t="s">
        <v>46</v>
      </c>
      <c r="C36" s="32">
        <f>MAX(C33:C35)</f>
        <v>5.8589983236553538</v>
      </c>
      <c r="D36" s="27" t="s">
        <v>7</v>
      </c>
      <c r="E36" s="63"/>
      <c r="F36" s="100" t="s">
        <v>43</v>
      </c>
      <c r="G36" s="52">
        <f>$C$36/1</f>
        <v>5.8589983236553538</v>
      </c>
      <c r="H36" s="99">
        <f t="shared" si="1"/>
        <v>6.3589983236553538</v>
      </c>
      <c r="I36" s="32">
        <f t="shared" si="0"/>
        <v>22.015920255743051</v>
      </c>
    </row>
    <row r="37" spans="1:9" ht="16.5" customHeight="1" x14ac:dyDescent="0.3">
      <c r="A37" s="1"/>
      <c r="C37" s="4"/>
      <c r="F37" s="100" t="s">
        <v>67</v>
      </c>
      <c r="G37" s="52">
        <f>$C$36/1.27</f>
        <v>4.6133845068152395</v>
      </c>
      <c r="H37" s="99">
        <f t="shared" si="1"/>
        <v>5.1133845068152395</v>
      </c>
      <c r="I37" s="32">
        <f t="shared" si="0"/>
        <v>27.378969802369795</v>
      </c>
    </row>
    <row r="38" spans="1:9" ht="15.75" customHeight="1" x14ac:dyDescent="0.25">
      <c r="A38" s="1"/>
      <c r="C38" s="5"/>
      <c r="D38" s="5"/>
      <c r="E38" s="5"/>
      <c r="F38" s="153" t="s">
        <v>71</v>
      </c>
      <c r="G38" s="143"/>
      <c r="H38" s="143"/>
      <c r="I38" s="154"/>
    </row>
    <row r="39" spans="1:9" x14ac:dyDescent="0.25">
      <c r="A39" s="2"/>
      <c r="C39" s="8"/>
      <c r="D39" s="8"/>
      <c r="E39" s="8"/>
      <c r="F39" s="155"/>
      <c r="G39" s="156"/>
      <c r="H39" s="156"/>
      <c r="I39" s="157"/>
    </row>
    <row r="40" spans="1:9" x14ac:dyDescent="0.25">
      <c r="A40" s="2"/>
      <c r="C40" s="8"/>
      <c r="D40" s="8"/>
      <c r="E40" s="8"/>
      <c r="F40" s="8"/>
      <c r="G40" s="8"/>
      <c r="H40" s="8"/>
      <c r="I40" s="8"/>
    </row>
    <row r="41" spans="1:9" ht="86.25" customHeight="1" x14ac:dyDescent="0.3">
      <c r="A41" s="2"/>
      <c r="B41" s="159" t="s">
        <v>76</v>
      </c>
      <c r="C41" s="160"/>
      <c r="D41" s="160"/>
      <c r="E41" s="160"/>
      <c r="F41" s="160"/>
      <c r="G41" s="160"/>
      <c r="H41" s="160"/>
      <c r="I41" s="161"/>
    </row>
    <row r="42" spans="1:9" ht="53.4" x14ac:dyDescent="0.4">
      <c r="B42" s="121" t="s">
        <v>9</v>
      </c>
      <c r="C42" s="126">
        <f>(C19/2-C6/24)^2*C23*C21/2</f>
        <v>259.71428571428572</v>
      </c>
      <c r="D42" s="122" t="s">
        <v>32</v>
      </c>
      <c r="E42" s="62"/>
      <c r="F42" s="133" t="s">
        <v>81</v>
      </c>
      <c r="G42" s="132" t="s">
        <v>80</v>
      </c>
      <c r="H42" s="131" t="s">
        <v>79</v>
      </c>
      <c r="I42" s="130" t="s">
        <v>78</v>
      </c>
    </row>
    <row r="43" spans="1:9" ht="18" x14ac:dyDescent="0.4">
      <c r="B43" s="25" t="s">
        <v>33</v>
      </c>
      <c r="C43" s="32">
        <f>C42*12000/0.9/C21/12/C27^2</f>
        <v>65.048876316808844</v>
      </c>
      <c r="D43" s="30" t="s">
        <v>4</v>
      </c>
      <c r="E43" s="44"/>
      <c r="F43" s="100" t="s">
        <v>36</v>
      </c>
      <c r="G43" s="52">
        <f>$C$48/0.2</f>
        <v>45.499740000000003</v>
      </c>
      <c r="H43" s="99">
        <f>G43+0.5</f>
        <v>45.999740000000003</v>
      </c>
      <c r="I43" s="32">
        <f>$C$51*H43</f>
        <v>34.499928214029339</v>
      </c>
    </row>
    <row r="44" spans="1:9" ht="18" x14ac:dyDescent="0.4">
      <c r="B44" s="28" t="s">
        <v>34</v>
      </c>
      <c r="C44" s="49">
        <f>0.85*C8/C11*(1-(1-2*C43/0.85/C8)^0.5)</f>
        <v>1.0983403084145172E-3</v>
      </c>
      <c r="D44" s="50"/>
      <c r="E44" s="48"/>
      <c r="F44" s="100" t="s">
        <v>37</v>
      </c>
      <c r="G44" s="52">
        <f>$C$48/0.31</f>
        <v>29.354670967741939</v>
      </c>
      <c r="H44" s="99">
        <f t="shared" ref="H44:H49" si="2">G44+0.5</f>
        <v>29.854670967741939</v>
      </c>
      <c r="I44" s="32">
        <f t="shared" ref="I44:I49" si="3">$C$51*H44</f>
        <v>22.391083193960718</v>
      </c>
    </row>
    <row r="45" spans="1:9" ht="19.2" x14ac:dyDescent="0.4">
      <c r="B45" s="25" t="s">
        <v>45</v>
      </c>
      <c r="C45" s="97">
        <f>C44*C21*12*C27</f>
        <v>2.9984519078628211</v>
      </c>
      <c r="D45" s="27" t="s">
        <v>7</v>
      </c>
      <c r="E45" s="62"/>
      <c r="F45" s="100" t="s">
        <v>38</v>
      </c>
      <c r="G45" s="52">
        <f>$C$48/0.44</f>
        <v>20.681700000000003</v>
      </c>
      <c r="H45" s="99">
        <f t="shared" si="2"/>
        <v>21.181700000000003</v>
      </c>
      <c r="I45" s="32">
        <f t="shared" si="3"/>
        <v>15.886331736899061</v>
      </c>
    </row>
    <row r="46" spans="1:9" ht="19.2" x14ac:dyDescent="0.4">
      <c r="B46" s="57" t="s">
        <v>44</v>
      </c>
      <c r="C46" s="97">
        <f>IF(C11=60000,0.0018*C21*12*C26,0.002*C21*12*C26)</f>
        <v>6.0479654400000005</v>
      </c>
      <c r="D46" s="27" t="s">
        <v>7</v>
      </c>
      <c r="E46" s="63"/>
      <c r="F46" s="100" t="s">
        <v>39</v>
      </c>
      <c r="G46" s="52">
        <f>$C$48/0.6</f>
        <v>15.166580000000003</v>
      </c>
      <c r="H46" s="99">
        <f t="shared" si="2"/>
        <v>15.666580000000003</v>
      </c>
      <c r="I46" s="32">
        <f t="shared" si="3"/>
        <v>11.749976964203446</v>
      </c>
    </row>
    <row r="47" spans="1:9" ht="19.2" x14ac:dyDescent="0.4">
      <c r="B47" s="57" t="s">
        <v>65</v>
      </c>
      <c r="C47" s="97">
        <f>MAX(200/C11,3*C8^0.5/C11)*C21*12*C27</f>
        <v>9.0999480000000013</v>
      </c>
      <c r="D47" s="27" t="s">
        <v>7</v>
      </c>
      <c r="E47" s="63"/>
      <c r="F47" s="100" t="s">
        <v>40</v>
      </c>
      <c r="G47" s="52">
        <f>$C$48/0.79</f>
        <v>11.518921518987343</v>
      </c>
      <c r="H47" s="99">
        <f t="shared" si="2"/>
        <v>12.018921518987343</v>
      </c>
      <c r="I47" s="32">
        <f t="shared" si="3"/>
        <v>9.0142233328952663</v>
      </c>
    </row>
    <row r="48" spans="1:9" ht="19.2" x14ac:dyDescent="0.4">
      <c r="B48" s="57" t="s">
        <v>46</v>
      </c>
      <c r="C48" s="32">
        <f>MAX(C45:C47)</f>
        <v>9.0999480000000013</v>
      </c>
      <c r="D48" s="27" t="s">
        <v>7</v>
      </c>
      <c r="E48" s="63"/>
      <c r="F48" s="100" t="s">
        <v>43</v>
      </c>
      <c r="G48" s="52">
        <f>$C$48/1</f>
        <v>9.0999480000000013</v>
      </c>
      <c r="H48" s="99">
        <f t="shared" si="2"/>
        <v>9.5999480000000013</v>
      </c>
      <c r="I48" s="32">
        <f t="shared" si="3"/>
        <v>7.1999867142382659</v>
      </c>
    </row>
    <row r="49" spans="2:9" ht="12.75" customHeight="1" x14ac:dyDescent="0.3">
      <c r="B49" s="128" t="s">
        <v>0</v>
      </c>
      <c r="C49" s="127">
        <f>C21/C19</f>
        <v>1.6666571428571431</v>
      </c>
      <c r="F49" s="100" t="s">
        <v>67</v>
      </c>
      <c r="G49" s="52">
        <f>$C$48/1.27</f>
        <v>7.1653133858267726</v>
      </c>
      <c r="H49" s="99">
        <f t="shared" si="2"/>
        <v>7.6653133858267726</v>
      </c>
      <c r="I49" s="32">
        <f t="shared" si="3"/>
        <v>5.7490055715328348</v>
      </c>
    </row>
    <row r="50" spans="2:9" ht="19.5" customHeight="1" x14ac:dyDescent="0.25">
      <c r="D50" s="5"/>
      <c r="E50" s="5"/>
      <c r="F50" s="153" t="s">
        <v>71</v>
      </c>
      <c r="G50" s="143"/>
      <c r="H50" s="143"/>
      <c r="I50" s="154"/>
    </row>
    <row r="51" spans="2:9" ht="15.6" x14ac:dyDescent="0.3">
      <c r="C51" s="129">
        <f>2/(C49+1)</f>
        <v>0.7500026785809949</v>
      </c>
      <c r="D51" s="8"/>
      <c r="E51" s="8"/>
      <c r="F51" s="155"/>
      <c r="G51" s="156"/>
      <c r="H51" s="156"/>
      <c r="I51" s="157"/>
    </row>
  </sheetData>
  <mergeCells count="6">
    <mergeCell ref="F50:I51"/>
    <mergeCell ref="F2:I2"/>
    <mergeCell ref="F14:I14"/>
    <mergeCell ref="B29:I29"/>
    <mergeCell ref="F38:I39"/>
    <mergeCell ref="B41:I4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49191" r:id="rId4">
          <objectPr defaultSize="0" autoPict="0" r:id="rId5">
            <anchor moveWithCells="1">
              <from>
                <xdr:col>1</xdr:col>
                <xdr:colOff>76200</xdr:colOff>
                <xdr:row>49</xdr:row>
                <xdr:rowOff>83820</xdr:rowOff>
              </from>
              <to>
                <xdr:col>2</xdr:col>
                <xdr:colOff>76200</xdr:colOff>
                <xdr:row>52</xdr:row>
                <xdr:rowOff>22860</xdr:rowOff>
              </to>
            </anchor>
          </objectPr>
        </oleObject>
      </mc:Choice>
      <mc:Fallback>
        <oleObject progId="Equation.3" shapeId="4919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Wall footing</vt:lpstr>
      <vt:lpstr>Square footing</vt:lpstr>
      <vt:lpstr>rect footing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H. Brown</dc:creator>
  <cp:lastModifiedBy>David</cp:lastModifiedBy>
  <cp:lastPrinted>2018-03-27T04:19:35Z</cp:lastPrinted>
  <dcterms:created xsi:type="dcterms:W3CDTF">2003-10-28T13:52:32Z</dcterms:created>
  <dcterms:modified xsi:type="dcterms:W3CDTF">2018-03-27T04:52:35Z</dcterms:modified>
</cp:coreProperties>
</file>