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029"/>
  <workbookPr codeName="ThisWorkbook" defaultThemeVersion="166925"/>
  <mc:AlternateContent xmlns:mc="http://schemas.openxmlformats.org/markup-compatibility/2006">
    <mc:Choice Requires="x15">
      <x15ac:absPath xmlns:x15ac="http://schemas.microsoft.com/office/spreadsheetml/2010/11/ac" url="C:\Users\David\github\structural\Steel\"/>
    </mc:Choice>
  </mc:AlternateContent>
  <xr:revisionPtr revIDLastSave="0" documentId="8_{1387A181-218C-417F-98ED-5E465016A820}" xr6:coauthVersionLast="28" xr6:coauthVersionMax="28" xr10:uidLastSave="{00000000-0000-0000-0000-000000000000}"/>
  <bookViews>
    <workbookView xWindow="0" yWindow="0" windowWidth="2124" windowHeight="3936" tabRatio="645"/>
  </bookViews>
  <sheets>
    <sheet name="Doc" sheetId="165" r:id="rId1"/>
    <sheet name="Base Plate" sheetId="176" r:id="rId2"/>
    <sheet name="Shear Lug" sheetId="171" r:id="rId3"/>
    <sheet name="Base Plate (Table)" sheetId="173" r:id="rId4"/>
  </sheets>
  <definedNames>
    <definedName name="_xlnm.Print_Area" localSheetId="1">'Base Plate'!$A$1:$I$54</definedName>
    <definedName name="_xlnm.Print_Area" localSheetId="3">'Base Plate (Table)'!$A$380:$AG$460</definedName>
    <definedName name="_xlnm.Print_Area" localSheetId="0">Doc!$A$1:$J$104</definedName>
    <definedName name="_xlnm.Print_Area" localSheetId="2">'Shear Lug'!$A$1:$I$53</definedName>
    <definedName name="_xlnm.Print_Titles" localSheetId="3">'Base Plate (Table)'!$402:$406</definedName>
  </definedNames>
  <calcPr calcId="171027" fullCalcOnLoad="1" concurrentCalc="0"/>
</workbook>
</file>

<file path=xl/calcChain.xml><?xml version="1.0" encoding="utf-8"?>
<calcChain xmlns="http://schemas.openxmlformats.org/spreadsheetml/2006/main">
  <c r="C21" i="176" l="1"/>
  <c r="N3" i="176"/>
  <c r="N4" i="176"/>
  <c r="N5" i="176"/>
  <c r="N6" i="176"/>
  <c r="R6" i="176"/>
  <c r="S6" i="176"/>
  <c r="N7" i="176"/>
  <c r="R7" i="176"/>
  <c r="S7" i="176"/>
  <c r="W7" i="176"/>
  <c r="N9" i="176"/>
  <c r="C36" i="176"/>
  <c r="N8" i="176"/>
  <c r="W8" i="176"/>
  <c r="W12" i="176"/>
  <c r="W9" i="176"/>
  <c r="W13" i="176"/>
  <c r="W14" i="176"/>
  <c r="W22" i="176"/>
  <c r="W23" i="176"/>
  <c r="W24" i="176"/>
  <c r="W25" i="176"/>
  <c r="W29" i="176"/>
  <c r="W30" i="176"/>
  <c r="X30" i="176"/>
  <c r="X31" i="176"/>
  <c r="W31" i="176"/>
  <c r="W32" i="176"/>
  <c r="W15" i="176"/>
  <c r="W16" i="176"/>
  <c r="W17" i="176"/>
  <c r="Y29" i="176"/>
  <c r="W18" i="176"/>
  <c r="W19" i="176"/>
  <c r="W20" i="176"/>
  <c r="W21" i="176"/>
  <c r="Y30" i="176"/>
  <c r="Y31" i="176"/>
  <c r="Y32" i="176"/>
  <c r="AA29" i="176"/>
  <c r="AA30" i="176"/>
  <c r="AA31" i="176"/>
  <c r="AA32" i="176"/>
  <c r="W34" i="176"/>
  <c r="N10" i="176"/>
  <c r="N11" i="176"/>
  <c r="C37" i="176"/>
  <c r="AM7" i="176"/>
  <c r="AP7" i="176"/>
  <c r="O8" i="176"/>
  <c r="R8" i="176"/>
  <c r="S8" i="176"/>
  <c r="R9" i="176"/>
  <c r="S9" i="176"/>
  <c r="N27" i="176"/>
  <c r="N29" i="176"/>
  <c r="N30" i="176"/>
  <c r="C42" i="176"/>
  <c r="N21" i="176"/>
  <c r="C43" i="176"/>
  <c r="AM9" i="176"/>
  <c r="AP9" i="176"/>
  <c r="F10" i="176"/>
  <c r="R10" i="176"/>
  <c r="S10" i="176"/>
  <c r="F11" i="176"/>
  <c r="R11" i="176"/>
  <c r="S11" i="176"/>
  <c r="N33" i="176"/>
  <c r="C48" i="176"/>
  <c r="N31" i="176"/>
  <c r="N32" i="176"/>
  <c r="C46" i="176"/>
  <c r="AM11" i="176"/>
  <c r="AP11" i="176"/>
  <c r="F12" i="176"/>
  <c r="N12" i="176"/>
  <c r="R12" i="176"/>
  <c r="S12" i="176"/>
  <c r="F13" i="176"/>
  <c r="N13" i="176"/>
  <c r="R13" i="176"/>
  <c r="S13" i="176"/>
  <c r="N34" i="176"/>
  <c r="N35" i="176"/>
  <c r="C50" i="176"/>
  <c r="AM13" i="176"/>
  <c r="AP13" i="176"/>
  <c r="F14" i="176"/>
  <c r="N14" i="176"/>
  <c r="R14" i="176"/>
  <c r="S14" i="176"/>
  <c r="N15" i="176"/>
  <c r="R15" i="176"/>
  <c r="S15" i="176"/>
  <c r="N16" i="176"/>
  <c r="R16" i="176"/>
  <c r="S16" i="176"/>
  <c r="F17" i="176"/>
  <c r="N17" i="176"/>
  <c r="R17" i="176"/>
  <c r="S17" i="176"/>
  <c r="N18" i="176"/>
  <c r="R18" i="176"/>
  <c r="S18" i="176"/>
  <c r="G19" i="176"/>
  <c r="I19" i="176"/>
  <c r="N19" i="176"/>
  <c r="R19" i="176"/>
  <c r="S19" i="176"/>
  <c r="N20" i="176"/>
  <c r="R20" i="176"/>
  <c r="S20" i="176"/>
  <c r="R21" i="176"/>
  <c r="S21" i="176"/>
  <c r="E22" i="176"/>
  <c r="N22" i="176"/>
  <c r="N23" i="176"/>
  <c r="N24" i="176"/>
  <c r="I25" i="176"/>
  <c r="N25" i="176"/>
  <c r="N26" i="176"/>
  <c r="F27" i="176"/>
  <c r="H27" i="176"/>
  <c r="N28" i="176"/>
  <c r="G29" i="176"/>
  <c r="AB29" i="176"/>
  <c r="AB30" i="176"/>
  <c r="AB31" i="176"/>
  <c r="C34" i="176"/>
  <c r="G33" i="176"/>
  <c r="C35" i="176"/>
  <c r="I36" i="176"/>
  <c r="N36" i="176"/>
  <c r="N37" i="176"/>
  <c r="C38" i="176"/>
  <c r="N38" i="176"/>
  <c r="C39" i="176"/>
  <c r="H39" i="176"/>
  <c r="N39" i="176"/>
  <c r="AM39" i="176"/>
  <c r="C41" i="176"/>
  <c r="C53" i="176"/>
  <c r="I42" i="176"/>
  <c r="C44" i="176"/>
  <c r="I44" i="176"/>
  <c r="AM44" i="176"/>
  <c r="C45" i="176"/>
  <c r="G45" i="176"/>
  <c r="C47" i="176"/>
  <c r="G47" i="176"/>
  <c r="C49" i="176"/>
  <c r="AM49" i="176"/>
  <c r="C51" i="176"/>
  <c r="AM51" i="176"/>
  <c r="F53" i="176"/>
  <c r="J17" i="173"/>
  <c r="DX415" i="173"/>
  <c r="J15" i="173"/>
  <c r="DX414" i="173"/>
  <c r="J13" i="173"/>
  <c r="DX413" i="173"/>
  <c r="J16" i="173"/>
  <c r="DX412" i="173"/>
  <c r="DX411" i="173"/>
  <c r="J12" i="173"/>
  <c r="DX410" i="173"/>
  <c r="DX409" i="173"/>
  <c r="J10" i="173"/>
  <c r="DX408" i="173"/>
  <c r="DX407" i="173"/>
  <c r="AJ415" i="173"/>
  <c r="DJ415" i="173"/>
  <c r="DP415" i="173"/>
  <c r="AJ414" i="173"/>
  <c r="DJ414" i="173"/>
  <c r="DP414" i="173"/>
  <c r="AJ413" i="173"/>
  <c r="DJ413" i="173"/>
  <c r="DP413" i="173"/>
  <c r="AJ412" i="173"/>
  <c r="DJ412" i="173"/>
  <c r="DP412" i="173"/>
  <c r="AJ411" i="173"/>
  <c r="DJ411" i="173"/>
  <c r="DP411" i="173"/>
  <c r="AJ410" i="173"/>
  <c r="DJ410" i="173"/>
  <c r="DP410" i="173"/>
  <c r="AJ409" i="173"/>
  <c r="DJ409" i="173"/>
  <c r="DP409" i="173"/>
  <c r="AJ408" i="173"/>
  <c r="DJ408" i="173"/>
  <c r="DP408" i="173"/>
  <c r="AJ407" i="173"/>
  <c r="DJ407" i="173"/>
  <c r="DP407" i="173"/>
  <c r="AW415" i="173"/>
  <c r="BC415" i="173"/>
  <c r="AW414" i="173"/>
  <c r="BC414" i="173"/>
  <c r="AW413" i="173"/>
  <c r="BC413" i="173"/>
  <c r="AW412" i="173"/>
  <c r="BC412" i="173"/>
  <c r="AW411" i="173"/>
  <c r="BC411" i="173"/>
  <c r="AW410" i="173"/>
  <c r="BC410" i="173"/>
  <c r="AW409" i="173"/>
  <c r="BC409" i="173"/>
  <c r="AW408" i="173"/>
  <c r="BC408" i="173"/>
  <c r="AW407" i="173"/>
  <c r="BC407" i="173"/>
  <c r="BK415" i="173"/>
  <c r="BK414" i="173"/>
  <c r="BK413" i="173"/>
  <c r="BK412" i="173"/>
  <c r="BK411" i="173"/>
  <c r="BK410" i="173"/>
  <c r="BK409" i="173"/>
  <c r="BK408" i="173"/>
  <c r="BK407" i="173"/>
  <c r="I7" i="173"/>
  <c r="J7" i="173"/>
  <c r="I8" i="173"/>
  <c r="J8" i="173"/>
  <c r="I9" i="173"/>
  <c r="J9" i="173"/>
  <c r="I10" i="173"/>
  <c r="I11" i="173"/>
  <c r="J11" i="173"/>
  <c r="I12" i="173"/>
  <c r="I13" i="173"/>
  <c r="I14" i="173"/>
  <c r="J14" i="173"/>
  <c r="I15" i="173"/>
  <c r="I16" i="173"/>
  <c r="I17" i="173"/>
  <c r="I18" i="173"/>
  <c r="J18" i="173"/>
  <c r="I19" i="173"/>
  <c r="J19" i="173"/>
  <c r="I20" i="173"/>
  <c r="J20" i="173"/>
  <c r="N390" i="173"/>
  <c r="AP407" i="173"/>
  <c r="AN407" i="173"/>
  <c r="AQ407" i="173"/>
  <c r="R407" i="173"/>
  <c r="AR407" i="173"/>
  <c r="S407" i="173"/>
  <c r="DC407" i="173"/>
  <c r="DA407" i="173"/>
  <c r="DD407" i="173"/>
  <c r="T407" i="173"/>
  <c r="DE407" i="173"/>
  <c r="U407" i="173"/>
  <c r="AT407" i="173"/>
  <c r="DG407" i="173"/>
  <c r="V407" i="173"/>
  <c r="AS407" i="173"/>
  <c r="DF407" i="173"/>
  <c r="W407" i="173"/>
  <c r="AV407" i="173"/>
  <c r="DI407" i="173"/>
  <c r="X407" i="173"/>
  <c r="AL407" i="173"/>
  <c r="AX407" i="173"/>
  <c r="AU407" i="173"/>
  <c r="AZ407" i="173"/>
  <c r="BA407" i="173"/>
  <c r="BB407" i="173"/>
  <c r="BD407" i="173"/>
  <c r="BE407" i="173"/>
  <c r="BF407" i="173"/>
  <c r="BG407" i="173"/>
  <c r="DK407" i="173"/>
  <c r="DH407" i="173"/>
  <c r="DM407" i="173"/>
  <c r="DN407" i="173"/>
  <c r="DO407" i="173"/>
  <c r="DQ407" i="173"/>
  <c r="DR407" i="173"/>
  <c r="DS407" i="173"/>
  <c r="DT407" i="173"/>
  <c r="Y407" i="173"/>
  <c r="BH407" i="173"/>
  <c r="DU407" i="173"/>
  <c r="Z407" i="173"/>
  <c r="BI407" i="173"/>
  <c r="DV407" i="173"/>
  <c r="AA407" i="173"/>
  <c r="BJ407" i="173"/>
  <c r="BL407" i="173"/>
  <c r="BM407" i="173"/>
  <c r="DW407" i="173"/>
  <c r="DY407" i="173"/>
  <c r="DZ407" i="173"/>
  <c r="AB407" i="173"/>
  <c r="BN407" i="173"/>
  <c r="EA407" i="173"/>
  <c r="AC407" i="173"/>
  <c r="AO407" i="173"/>
  <c r="BQ407" i="173"/>
  <c r="DB407" i="173"/>
  <c r="ED407" i="173"/>
  <c r="AD407" i="173"/>
  <c r="BO407" i="173"/>
  <c r="BP407" i="173"/>
  <c r="EB407" i="173"/>
  <c r="EC407" i="173"/>
  <c r="AE407" i="173"/>
  <c r="BR407" i="173"/>
  <c r="EE407" i="173"/>
  <c r="AF407" i="173"/>
  <c r="BS407" i="173"/>
  <c r="EF407" i="173"/>
  <c r="AG407" i="173"/>
  <c r="AH407" i="173"/>
  <c r="AI407" i="173"/>
  <c r="AK407" i="173"/>
  <c r="AM407" i="173"/>
  <c r="AY407" i="173"/>
  <c r="BU407" i="173"/>
  <c r="BV407" i="173"/>
  <c r="BW407" i="173"/>
  <c r="BX407" i="173"/>
  <c r="BY407" i="173"/>
  <c r="BZ407" i="173"/>
  <c r="CA407" i="173"/>
  <c r="CB407" i="173"/>
  <c r="CC407" i="173"/>
  <c r="CD407" i="173"/>
  <c r="CE407" i="173"/>
  <c r="CF407" i="173"/>
  <c r="CG407" i="173"/>
  <c r="CH407" i="173"/>
  <c r="CI407" i="173"/>
  <c r="CJ407" i="173"/>
  <c r="CK407" i="173"/>
  <c r="CL407" i="173"/>
  <c r="CM407" i="173"/>
  <c r="CN407" i="173"/>
  <c r="CO407" i="173"/>
  <c r="CP407" i="173"/>
  <c r="CQ407" i="173"/>
  <c r="CR407" i="173"/>
  <c r="CS407" i="173"/>
  <c r="CT407" i="173"/>
  <c r="CU407" i="173"/>
  <c r="CV407" i="173"/>
  <c r="CW407" i="173"/>
  <c r="CX407" i="173"/>
  <c r="CY407" i="173"/>
  <c r="CZ407" i="173"/>
  <c r="DL407" i="173"/>
  <c r="EH407" i="173"/>
  <c r="EI407" i="173"/>
  <c r="EJ407" i="173"/>
  <c r="EK407" i="173"/>
  <c r="EL407" i="173"/>
  <c r="EM407" i="173"/>
  <c r="EN407" i="173"/>
  <c r="EO407" i="173"/>
  <c r="EP407" i="173"/>
  <c r="EQ407" i="173"/>
  <c r="ER407" i="173"/>
  <c r="ES407" i="173"/>
  <c r="ET407" i="173"/>
  <c r="EU407" i="173"/>
  <c r="EV407" i="173"/>
  <c r="EW407" i="173"/>
  <c r="EX407" i="173"/>
  <c r="EY407" i="173"/>
  <c r="EZ407" i="173"/>
  <c r="FA407" i="173"/>
  <c r="FB407" i="173"/>
  <c r="FC407" i="173"/>
  <c r="FD407" i="173"/>
  <c r="FE407" i="173"/>
  <c r="FF407" i="173"/>
  <c r="FG407" i="173"/>
  <c r="FH407" i="173"/>
  <c r="FI407" i="173"/>
  <c r="FJ407" i="173"/>
  <c r="FK407" i="173"/>
  <c r="FL407" i="173"/>
  <c r="FM407" i="173"/>
  <c r="AP408" i="173"/>
  <c r="AN408" i="173"/>
  <c r="AQ408" i="173"/>
  <c r="R408" i="173"/>
  <c r="AR408" i="173"/>
  <c r="S408" i="173"/>
  <c r="DC408" i="173"/>
  <c r="DA408" i="173"/>
  <c r="DD408" i="173"/>
  <c r="T408" i="173"/>
  <c r="DE408" i="173"/>
  <c r="U408" i="173"/>
  <c r="AT408" i="173"/>
  <c r="DG408" i="173"/>
  <c r="V408" i="173"/>
  <c r="AS408" i="173"/>
  <c r="DF408" i="173"/>
  <c r="W408" i="173"/>
  <c r="AV408" i="173"/>
  <c r="DI408" i="173"/>
  <c r="X408" i="173"/>
  <c r="AL408" i="173"/>
  <c r="AX408" i="173"/>
  <c r="AU408" i="173"/>
  <c r="AZ408" i="173"/>
  <c r="BA408" i="173"/>
  <c r="BB408" i="173"/>
  <c r="BD408" i="173"/>
  <c r="BE408" i="173"/>
  <c r="BF408" i="173"/>
  <c r="BG408" i="173"/>
  <c r="DK408" i="173"/>
  <c r="DH408" i="173"/>
  <c r="DM408" i="173"/>
  <c r="DN408" i="173"/>
  <c r="DO408" i="173"/>
  <c r="DQ408" i="173"/>
  <c r="DR408" i="173"/>
  <c r="DS408" i="173"/>
  <c r="DT408" i="173"/>
  <c r="Y408" i="173"/>
  <c r="BH408" i="173"/>
  <c r="DU408" i="173"/>
  <c r="Z408" i="173"/>
  <c r="BI408" i="173"/>
  <c r="DV408" i="173"/>
  <c r="AA408" i="173"/>
  <c r="BJ408" i="173"/>
  <c r="BL408" i="173"/>
  <c r="BM408" i="173"/>
  <c r="DW408" i="173"/>
  <c r="DY408" i="173"/>
  <c r="DZ408" i="173"/>
  <c r="AB408" i="173"/>
  <c r="BN408" i="173"/>
  <c r="EA408" i="173"/>
  <c r="AC408" i="173"/>
  <c r="AO408" i="173"/>
  <c r="BQ408" i="173"/>
  <c r="DB408" i="173"/>
  <c r="ED408" i="173"/>
  <c r="AD408" i="173"/>
  <c r="BO408" i="173"/>
  <c r="BP408" i="173"/>
  <c r="EB408" i="173"/>
  <c r="EC408" i="173"/>
  <c r="AE408" i="173"/>
  <c r="BR408" i="173"/>
  <c r="EE408" i="173"/>
  <c r="AF408" i="173"/>
  <c r="BS408" i="173"/>
  <c r="EF408" i="173"/>
  <c r="AG408" i="173"/>
  <c r="AH408" i="173"/>
  <c r="AI408" i="173"/>
  <c r="AK408" i="173"/>
  <c r="AM408" i="173"/>
  <c r="AY408" i="173"/>
  <c r="BU408" i="173"/>
  <c r="BV408" i="173"/>
  <c r="BW408" i="173"/>
  <c r="BX408" i="173"/>
  <c r="BY408" i="173"/>
  <c r="BZ408" i="173"/>
  <c r="CA408" i="173"/>
  <c r="CB408" i="173"/>
  <c r="CC408" i="173"/>
  <c r="CD408" i="173"/>
  <c r="CE408" i="173"/>
  <c r="CF408" i="173"/>
  <c r="CG408" i="173"/>
  <c r="CH408" i="173"/>
  <c r="CI408" i="173"/>
  <c r="CJ408" i="173"/>
  <c r="CK408" i="173"/>
  <c r="CL408" i="173"/>
  <c r="CM408" i="173"/>
  <c r="CN408" i="173"/>
  <c r="CO408" i="173"/>
  <c r="CP408" i="173"/>
  <c r="CQ408" i="173"/>
  <c r="CR408" i="173"/>
  <c r="CS408" i="173"/>
  <c r="CT408" i="173"/>
  <c r="CU408" i="173"/>
  <c r="CV408" i="173"/>
  <c r="CW408" i="173"/>
  <c r="CX408" i="173"/>
  <c r="CY408" i="173"/>
  <c r="CZ408" i="173"/>
  <c r="DL408" i="173"/>
  <c r="EH408" i="173"/>
  <c r="EI408" i="173"/>
  <c r="EJ408" i="173"/>
  <c r="EK408" i="173"/>
  <c r="EL408" i="173"/>
  <c r="EM408" i="173"/>
  <c r="EN408" i="173"/>
  <c r="EO408" i="173"/>
  <c r="EP408" i="173"/>
  <c r="EQ408" i="173"/>
  <c r="ER408" i="173"/>
  <c r="ES408" i="173"/>
  <c r="ET408" i="173"/>
  <c r="EU408" i="173"/>
  <c r="EV408" i="173"/>
  <c r="EW408" i="173"/>
  <c r="EX408" i="173"/>
  <c r="EY408" i="173"/>
  <c r="EZ408" i="173"/>
  <c r="FA408" i="173"/>
  <c r="FB408" i="173"/>
  <c r="FC408" i="173"/>
  <c r="FD408" i="173"/>
  <c r="FE408" i="173"/>
  <c r="FF408" i="173"/>
  <c r="FG408" i="173"/>
  <c r="FH408" i="173"/>
  <c r="FI408" i="173"/>
  <c r="FJ408" i="173"/>
  <c r="FK408" i="173"/>
  <c r="FL408" i="173"/>
  <c r="FM408" i="173"/>
  <c r="AP409" i="173"/>
  <c r="AN409" i="173"/>
  <c r="AQ409" i="173"/>
  <c r="R409" i="173"/>
  <c r="AR409" i="173"/>
  <c r="S409" i="173"/>
  <c r="DC409" i="173"/>
  <c r="DA409" i="173"/>
  <c r="DD409" i="173"/>
  <c r="T409" i="173"/>
  <c r="DE409" i="173"/>
  <c r="U409" i="173"/>
  <c r="AT409" i="173"/>
  <c r="DG409" i="173"/>
  <c r="V409" i="173"/>
  <c r="AS409" i="173"/>
  <c r="DF409" i="173"/>
  <c r="W409" i="173"/>
  <c r="AV409" i="173"/>
  <c r="DI409" i="173"/>
  <c r="X409" i="173"/>
  <c r="BD409" i="173"/>
  <c r="AL409" i="173"/>
  <c r="AX409" i="173"/>
  <c r="AU409" i="173"/>
  <c r="AZ409" i="173"/>
  <c r="BA409" i="173"/>
  <c r="BB409" i="173"/>
  <c r="BI409" i="173"/>
  <c r="BE409" i="173"/>
  <c r="BF409" i="173"/>
  <c r="BG409" i="173"/>
  <c r="DQ409" i="173"/>
  <c r="DK409" i="173"/>
  <c r="DH409" i="173"/>
  <c r="DM409" i="173"/>
  <c r="DN409" i="173"/>
  <c r="DO409" i="173"/>
  <c r="DV409" i="173"/>
  <c r="DR409" i="173"/>
  <c r="DS409" i="173"/>
  <c r="DT409" i="173"/>
  <c r="Y409" i="173"/>
  <c r="BH409" i="173"/>
  <c r="DU409" i="173"/>
  <c r="Z409" i="173"/>
  <c r="AA409" i="173"/>
  <c r="BJ409" i="173"/>
  <c r="BL409" i="173"/>
  <c r="BM409" i="173"/>
  <c r="DW409" i="173"/>
  <c r="DY409" i="173"/>
  <c r="DZ409" i="173"/>
  <c r="AB409" i="173"/>
  <c r="BN409" i="173"/>
  <c r="EA409" i="173"/>
  <c r="AC409" i="173"/>
  <c r="AO409" i="173"/>
  <c r="BQ409" i="173"/>
  <c r="DB409" i="173"/>
  <c r="ED409" i="173"/>
  <c r="AD409" i="173"/>
  <c r="BO409" i="173"/>
  <c r="BP409" i="173"/>
  <c r="EB409" i="173"/>
  <c r="EC409" i="173"/>
  <c r="AE409" i="173"/>
  <c r="BR409" i="173"/>
  <c r="EE409" i="173"/>
  <c r="AF409" i="173"/>
  <c r="BS409" i="173"/>
  <c r="EF409" i="173"/>
  <c r="AG409" i="173"/>
  <c r="AH409" i="173"/>
  <c r="AI409" i="173"/>
  <c r="AK409" i="173"/>
  <c r="AM409" i="173"/>
  <c r="AY409" i="173"/>
  <c r="BU409" i="173"/>
  <c r="BV409" i="173"/>
  <c r="BW409" i="173"/>
  <c r="BX409" i="173"/>
  <c r="BY409" i="173"/>
  <c r="BZ409" i="173"/>
  <c r="CA409" i="173"/>
  <c r="CB409" i="173"/>
  <c r="CC409" i="173"/>
  <c r="CD409" i="173"/>
  <c r="CE409" i="173"/>
  <c r="CF409" i="173"/>
  <c r="CG409" i="173"/>
  <c r="CH409" i="173"/>
  <c r="CI409" i="173"/>
  <c r="CJ409" i="173"/>
  <c r="CK409" i="173"/>
  <c r="CL409" i="173"/>
  <c r="CM409" i="173"/>
  <c r="CN409" i="173"/>
  <c r="CO409" i="173"/>
  <c r="CP409" i="173"/>
  <c r="CQ409" i="173"/>
  <c r="CR409" i="173"/>
  <c r="CS409" i="173"/>
  <c r="CT409" i="173"/>
  <c r="CU409" i="173"/>
  <c r="CV409" i="173"/>
  <c r="CW409" i="173"/>
  <c r="CX409" i="173"/>
  <c r="CY409" i="173"/>
  <c r="CZ409" i="173"/>
  <c r="DL409" i="173"/>
  <c r="EH409" i="173"/>
  <c r="EI409" i="173"/>
  <c r="EJ409" i="173"/>
  <c r="EK409" i="173"/>
  <c r="EL409" i="173"/>
  <c r="EM409" i="173"/>
  <c r="EN409" i="173"/>
  <c r="EO409" i="173"/>
  <c r="EP409" i="173"/>
  <c r="EQ409" i="173"/>
  <c r="ER409" i="173"/>
  <c r="ES409" i="173"/>
  <c r="ET409" i="173"/>
  <c r="EU409" i="173"/>
  <c r="EV409" i="173"/>
  <c r="EW409" i="173"/>
  <c r="EX409" i="173"/>
  <c r="EY409" i="173"/>
  <c r="EZ409" i="173"/>
  <c r="FA409" i="173"/>
  <c r="FB409" i="173"/>
  <c r="FC409" i="173"/>
  <c r="FD409" i="173"/>
  <c r="FE409" i="173"/>
  <c r="FF409" i="173"/>
  <c r="FG409" i="173"/>
  <c r="FH409" i="173"/>
  <c r="FI409" i="173"/>
  <c r="FJ409" i="173"/>
  <c r="FK409" i="173"/>
  <c r="FL409" i="173"/>
  <c r="FM409" i="173"/>
  <c r="AP410" i="173"/>
  <c r="AN410" i="173"/>
  <c r="AQ410" i="173"/>
  <c r="R410" i="173"/>
  <c r="BV410" i="173"/>
  <c r="BU410" i="173"/>
  <c r="BX410" i="173"/>
  <c r="BW410" i="173"/>
  <c r="BY410" i="173"/>
  <c r="BZ410" i="173"/>
  <c r="CH410" i="173"/>
  <c r="CI410" i="173"/>
  <c r="CJ410" i="173"/>
  <c r="CK410" i="173"/>
  <c r="CL410" i="173"/>
  <c r="CQ410" i="173"/>
  <c r="CR410" i="173"/>
  <c r="CS410" i="173"/>
  <c r="CT410" i="173"/>
  <c r="CU410" i="173"/>
  <c r="CV410" i="173"/>
  <c r="CW410" i="173"/>
  <c r="CX410" i="173"/>
  <c r="CY410" i="173"/>
  <c r="CZ410" i="173"/>
  <c r="AR410" i="173"/>
  <c r="S410" i="173"/>
  <c r="DC410" i="173"/>
  <c r="DA410" i="173"/>
  <c r="DD410" i="173"/>
  <c r="T410" i="173"/>
  <c r="EI410" i="173"/>
  <c r="EH410" i="173"/>
  <c r="EK410" i="173"/>
  <c r="EJ410" i="173"/>
  <c r="EL410" i="173"/>
  <c r="EM410" i="173"/>
  <c r="EU410" i="173"/>
  <c r="EV410" i="173"/>
  <c r="EW410" i="173"/>
  <c r="EX410" i="173"/>
  <c r="EY410" i="173"/>
  <c r="FD410" i="173"/>
  <c r="FE410" i="173"/>
  <c r="FF410" i="173"/>
  <c r="FG410" i="173"/>
  <c r="FH410" i="173"/>
  <c r="FI410" i="173"/>
  <c r="FJ410" i="173"/>
  <c r="FK410" i="173"/>
  <c r="FL410" i="173"/>
  <c r="FM410" i="173"/>
  <c r="DE410" i="173"/>
  <c r="U410" i="173"/>
  <c r="AT410" i="173"/>
  <c r="DG410" i="173"/>
  <c r="V410" i="173"/>
  <c r="AS410" i="173"/>
  <c r="DF410" i="173"/>
  <c r="W410" i="173"/>
  <c r="AV410" i="173"/>
  <c r="DI410" i="173"/>
  <c r="X410" i="173"/>
  <c r="BD410" i="173"/>
  <c r="AL410" i="173"/>
  <c r="AX410" i="173"/>
  <c r="AU410" i="173"/>
  <c r="AZ410" i="173"/>
  <c r="BA410" i="173"/>
  <c r="BB410" i="173"/>
  <c r="BI410" i="173"/>
  <c r="BE410" i="173"/>
  <c r="BF410" i="173"/>
  <c r="BG410" i="173"/>
  <c r="DQ410" i="173"/>
  <c r="DK410" i="173"/>
  <c r="DH410" i="173"/>
  <c r="DM410" i="173"/>
  <c r="DN410" i="173"/>
  <c r="DO410" i="173"/>
  <c r="DV410" i="173"/>
  <c r="DR410" i="173"/>
  <c r="DS410" i="173"/>
  <c r="DT410" i="173"/>
  <c r="Y410" i="173"/>
  <c r="BH410" i="173"/>
  <c r="DU410" i="173"/>
  <c r="Z410" i="173"/>
  <c r="AA410" i="173"/>
  <c r="BJ410" i="173"/>
  <c r="BL410" i="173"/>
  <c r="BM410" i="173"/>
  <c r="DW410" i="173"/>
  <c r="DY410" i="173"/>
  <c r="DZ410" i="173"/>
  <c r="AB410" i="173"/>
  <c r="BN410" i="173"/>
  <c r="EA410" i="173"/>
  <c r="AC410" i="173"/>
  <c r="AO410" i="173"/>
  <c r="BQ410" i="173"/>
  <c r="DB410" i="173"/>
  <c r="ED410" i="173"/>
  <c r="AD410" i="173"/>
  <c r="BO410" i="173"/>
  <c r="BP410" i="173"/>
  <c r="EB410" i="173"/>
  <c r="EC410" i="173"/>
  <c r="AE410" i="173"/>
  <c r="BR410" i="173"/>
  <c r="EE410" i="173"/>
  <c r="AF410" i="173"/>
  <c r="BS410" i="173"/>
  <c r="EF410" i="173"/>
  <c r="AG410" i="173"/>
  <c r="AH410" i="173"/>
  <c r="AI410" i="173"/>
  <c r="AK410" i="173"/>
  <c r="AM410" i="173"/>
  <c r="AY410" i="173"/>
  <c r="CA410" i="173"/>
  <c r="CB410" i="173"/>
  <c r="CC410" i="173"/>
  <c r="CD410" i="173"/>
  <c r="CE410" i="173"/>
  <c r="CF410" i="173"/>
  <c r="CG410" i="173"/>
  <c r="CM410" i="173"/>
  <c r="CN410" i="173"/>
  <c r="CO410" i="173"/>
  <c r="CP410" i="173"/>
  <c r="DL410" i="173"/>
  <c r="EN410" i="173"/>
  <c r="EO410" i="173"/>
  <c r="EP410" i="173"/>
  <c r="EQ410" i="173"/>
  <c r="ER410" i="173"/>
  <c r="ES410" i="173"/>
  <c r="ET410" i="173"/>
  <c r="EZ410" i="173"/>
  <c r="FA410" i="173"/>
  <c r="FB410" i="173"/>
  <c r="FC410" i="173"/>
  <c r="AP411" i="173"/>
  <c r="AN411" i="173"/>
  <c r="AQ411" i="173"/>
  <c r="R411" i="173"/>
  <c r="BV411" i="173"/>
  <c r="BU411" i="173"/>
  <c r="BX411" i="173"/>
  <c r="BW411" i="173"/>
  <c r="BY411" i="173"/>
  <c r="BZ411" i="173"/>
  <c r="CH411" i="173"/>
  <c r="CI411" i="173"/>
  <c r="CJ411" i="173"/>
  <c r="CK411" i="173"/>
  <c r="CL411" i="173"/>
  <c r="CQ411" i="173"/>
  <c r="CR411" i="173"/>
  <c r="CS411" i="173"/>
  <c r="CT411" i="173"/>
  <c r="CU411" i="173"/>
  <c r="CV411" i="173"/>
  <c r="CW411" i="173"/>
  <c r="CX411" i="173"/>
  <c r="CY411" i="173"/>
  <c r="CZ411" i="173"/>
  <c r="AR411" i="173"/>
  <c r="S411" i="173"/>
  <c r="DC411" i="173"/>
  <c r="DA411" i="173"/>
  <c r="DD411" i="173"/>
  <c r="T411" i="173"/>
  <c r="EI411" i="173"/>
  <c r="EH411" i="173"/>
  <c r="EK411" i="173"/>
  <c r="EJ411" i="173"/>
  <c r="EL411" i="173"/>
  <c r="EM411" i="173"/>
  <c r="EU411" i="173"/>
  <c r="EV411" i="173"/>
  <c r="EW411" i="173"/>
  <c r="EX411" i="173"/>
  <c r="EY411" i="173"/>
  <c r="FD411" i="173"/>
  <c r="FE411" i="173"/>
  <c r="FF411" i="173"/>
  <c r="FG411" i="173"/>
  <c r="FH411" i="173"/>
  <c r="FI411" i="173"/>
  <c r="FJ411" i="173"/>
  <c r="FK411" i="173"/>
  <c r="FL411" i="173"/>
  <c r="FM411" i="173"/>
  <c r="DE411" i="173"/>
  <c r="U411" i="173"/>
  <c r="AT411" i="173"/>
  <c r="DG411" i="173"/>
  <c r="V411" i="173"/>
  <c r="AS411" i="173"/>
  <c r="DF411" i="173"/>
  <c r="W411" i="173"/>
  <c r="AV411" i="173"/>
  <c r="DI411" i="173"/>
  <c r="X411" i="173"/>
  <c r="BD411" i="173"/>
  <c r="AL411" i="173"/>
  <c r="AX411" i="173"/>
  <c r="AU411" i="173"/>
  <c r="AZ411" i="173"/>
  <c r="BA411" i="173"/>
  <c r="BB411" i="173"/>
  <c r="BI411" i="173"/>
  <c r="BE411" i="173"/>
  <c r="BF411" i="173"/>
  <c r="BG411" i="173"/>
  <c r="DQ411" i="173"/>
  <c r="DK411" i="173"/>
  <c r="DH411" i="173"/>
  <c r="DM411" i="173"/>
  <c r="DN411" i="173"/>
  <c r="DO411" i="173"/>
  <c r="DV411" i="173"/>
  <c r="DR411" i="173"/>
  <c r="DS411" i="173"/>
  <c r="DT411" i="173"/>
  <c r="Y411" i="173"/>
  <c r="BH411" i="173"/>
  <c r="DU411" i="173"/>
  <c r="Z411" i="173"/>
  <c r="AA411" i="173"/>
  <c r="BJ411" i="173"/>
  <c r="BL411" i="173"/>
  <c r="BM411" i="173"/>
  <c r="DW411" i="173"/>
  <c r="DY411" i="173"/>
  <c r="DZ411" i="173"/>
  <c r="AB411" i="173"/>
  <c r="BN411" i="173"/>
  <c r="EA411" i="173"/>
  <c r="AC411" i="173"/>
  <c r="AO411" i="173"/>
  <c r="BQ411" i="173"/>
  <c r="DB411" i="173"/>
  <c r="ED411" i="173"/>
  <c r="AD411" i="173"/>
  <c r="BO411" i="173"/>
  <c r="BP411" i="173"/>
  <c r="EB411" i="173"/>
  <c r="EC411" i="173"/>
  <c r="AE411" i="173"/>
  <c r="BR411" i="173"/>
  <c r="EE411" i="173"/>
  <c r="AF411" i="173"/>
  <c r="BS411" i="173"/>
  <c r="EF411" i="173"/>
  <c r="AG411" i="173"/>
  <c r="AH411" i="173"/>
  <c r="AI411" i="173"/>
  <c r="AK411" i="173"/>
  <c r="AM411" i="173"/>
  <c r="AY411" i="173"/>
  <c r="CA411" i="173"/>
  <c r="CB411" i="173"/>
  <c r="CC411" i="173"/>
  <c r="CD411" i="173"/>
  <c r="CE411" i="173"/>
  <c r="CF411" i="173"/>
  <c r="CG411" i="173"/>
  <c r="CM411" i="173"/>
  <c r="CN411" i="173"/>
  <c r="CO411" i="173"/>
  <c r="CP411" i="173"/>
  <c r="DL411" i="173"/>
  <c r="EN411" i="173"/>
  <c r="EO411" i="173"/>
  <c r="EP411" i="173"/>
  <c r="EQ411" i="173"/>
  <c r="ER411" i="173"/>
  <c r="ES411" i="173"/>
  <c r="ET411" i="173"/>
  <c r="EZ411" i="173"/>
  <c r="FA411" i="173"/>
  <c r="FB411" i="173"/>
  <c r="FC411" i="173"/>
  <c r="R412" i="173"/>
  <c r="AP412" i="173"/>
  <c r="AN412" i="173"/>
  <c r="BV412" i="173"/>
  <c r="BU412" i="173"/>
  <c r="BX412" i="173"/>
  <c r="BW412" i="173"/>
  <c r="BY412" i="173"/>
  <c r="BZ412" i="173"/>
  <c r="CL412" i="173"/>
  <c r="CM412" i="173"/>
  <c r="CO412" i="173"/>
  <c r="CP412" i="173"/>
  <c r="CN412" i="173"/>
  <c r="CQ412" i="173"/>
  <c r="CA412" i="173"/>
  <c r="CB412" i="173"/>
  <c r="CC412" i="173"/>
  <c r="CR412" i="173"/>
  <c r="CD412" i="173"/>
  <c r="CE412" i="173"/>
  <c r="CF412" i="173"/>
  <c r="CG412" i="173"/>
  <c r="CS412" i="173"/>
  <c r="CT412" i="173"/>
  <c r="CU412" i="173"/>
  <c r="CV412" i="173"/>
  <c r="CW412" i="173"/>
  <c r="CX412" i="173"/>
  <c r="CY412" i="173"/>
  <c r="CZ412" i="173"/>
  <c r="AQ412" i="173"/>
  <c r="AR412" i="173"/>
  <c r="S412" i="173"/>
  <c r="T412" i="173"/>
  <c r="DC412" i="173"/>
  <c r="DA412" i="173"/>
  <c r="EI412" i="173"/>
  <c r="EH412" i="173"/>
  <c r="EK412" i="173"/>
  <c r="EJ412" i="173"/>
  <c r="EL412" i="173"/>
  <c r="EM412" i="173"/>
  <c r="EY412" i="173"/>
  <c r="EZ412" i="173"/>
  <c r="FB412" i="173"/>
  <c r="FC412" i="173"/>
  <c r="FA412" i="173"/>
  <c r="FD412" i="173"/>
  <c r="EN412" i="173"/>
  <c r="EO412" i="173"/>
  <c r="EP412" i="173"/>
  <c r="FE412" i="173"/>
  <c r="EQ412" i="173"/>
  <c r="ER412" i="173"/>
  <c r="ES412" i="173"/>
  <c r="ET412" i="173"/>
  <c r="FF412" i="173"/>
  <c r="FG412" i="173"/>
  <c r="FH412" i="173"/>
  <c r="FI412" i="173"/>
  <c r="FJ412" i="173"/>
  <c r="FK412" i="173"/>
  <c r="FL412" i="173"/>
  <c r="FM412" i="173"/>
  <c r="DD412" i="173"/>
  <c r="DE412" i="173"/>
  <c r="U412" i="173"/>
  <c r="AT412" i="173"/>
  <c r="DG412" i="173"/>
  <c r="V412" i="173"/>
  <c r="AS412" i="173"/>
  <c r="DF412" i="173"/>
  <c r="W412" i="173"/>
  <c r="AV412" i="173"/>
  <c r="DI412" i="173"/>
  <c r="X412" i="173"/>
  <c r="BD412" i="173"/>
  <c r="AL412" i="173"/>
  <c r="AX412" i="173"/>
  <c r="AU412" i="173"/>
  <c r="AZ412" i="173"/>
  <c r="BA412" i="173"/>
  <c r="BB412" i="173"/>
  <c r="BI412" i="173"/>
  <c r="BE412" i="173"/>
  <c r="BF412" i="173"/>
  <c r="BG412" i="173"/>
  <c r="DQ412" i="173"/>
  <c r="DK412" i="173"/>
  <c r="DH412" i="173"/>
  <c r="DM412" i="173"/>
  <c r="DN412" i="173"/>
  <c r="DO412" i="173"/>
  <c r="DV412" i="173"/>
  <c r="DR412" i="173"/>
  <c r="DS412" i="173"/>
  <c r="DT412" i="173"/>
  <c r="Y412" i="173"/>
  <c r="BH412" i="173"/>
  <c r="DU412" i="173"/>
  <c r="Z412" i="173"/>
  <c r="AA412" i="173"/>
  <c r="BJ412" i="173"/>
  <c r="BL412" i="173"/>
  <c r="BM412" i="173"/>
  <c r="DW412" i="173"/>
  <c r="DY412" i="173"/>
  <c r="DZ412" i="173"/>
  <c r="AB412" i="173"/>
  <c r="BN412" i="173"/>
  <c r="EA412" i="173"/>
  <c r="AC412" i="173"/>
  <c r="AO412" i="173"/>
  <c r="BQ412" i="173"/>
  <c r="DB412" i="173"/>
  <c r="ED412" i="173"/>
  <c r="AD412" i="173"/>
  <c r="BO412" i="173"/>
  <c r="BP412" i="173"/>
  <c r="EB412" i="173"/>
  <c r="EC412" i="173"/>
  <c r="AE412" i="173"/>
  <c r="BR412" i="173"/>
  <c r="EE412" i="173"/>
  <c r="AF412" i="173"/>
  <c r="BS412" i="173"/>
  <c r="EF412" i="173"/>
  <c r="AG412" i="173"/>
  <c r="AH412" i="173"/>
  <c r="AI412" i="173"/>
  <c r="AK412" i="173"/>
  <c r="AM412" i="173"/>
  <c r="AY412" i="173"/>
  <c r="CH412" i="173"/>
  <c r="CI412" i="173"/>
  <c r="CJ412" i="173"/>
  <c r="CK412" i="173"/>
  <c r="DL412" i="173"/>
  <c r="EU412" i="173"/>
  <c r="EV412" i="173"/>
  <c r="EW412" i="173"/>
  <c r="EX412" i="173"/>
  <c r="AP413" i="173"/>
  <c r="AN413" i="173"/>
  <c r="AQ413" i="173"/>
  <c r="R413" i="173"/>
  <c r="AR413" i="173"/>
  <c r="S413" i="173"/>
  <c r="DC413" i="173"/>
  <c r="DA413" i="173"/>
  <c r="DD413" i="173"/>
  <c r="T413" i="173"/>
  <c r="DE413" i="173"/>
  <c r="U413" i="173"/>
  <c r="AT413" i="173"/>
  <c r="DG413" i="173"/>
  <c r="V413" i="173"/>
  <c r="AS413" i="173"/>
  <c r="DF413" i="173"/>
  <c r="W413" i="173"/>
  <c r="AV413" i="173"/>
  <c r="DI413" i="173"/>
  <c r="X413" i="173"/>
  <c r="BD413" i="173"/>
  <c r="BE413" i="173"/>
  <c r="BI413" i="173"/>
  <c r="BF413" i="173"/>
  <c r="BG413" i="173"/>
  <c r="DQ413" i="173"/>
  <c r="DR413" i="173"/>
  <c r="DV413" i="173"/>
  <c r="DS413" i="173"/>
  <c r="DT413" i="173"/>
  <c r="Y413" i="173"/>
  <c r="BH413" i="173"/>
  <c r="DU413" i="173"/>
  <c r="Z413" i="173"/>
  <c r="AA413" i="173"/>
  <c r="BJ413" i="173"/>
  <c r="BL413" i="173"/>
  <c r="BM413" i="173"/>
  <c r="DW413" i="173"/>
  <c r="DY413" i="173"/>
  <c r="DZ413" i="173"/>
  <c r="AB413" i="173"/>
  <c r="BN413" i="173"/>
  <c r="EA413" i="173"/>
  <c r="AC413" i="173"/>
  <c r="AO413" i="173"/>
  <c r="BQ413" i="173"/>
  <c r="DB413" i="173"/>
  <c r="ED413" i="173"/>
  <c r="AD413" i="173"/>
  <c r="BO413" i="173"/>
  <c r="BP413" i="173"/>
  <c r="EB413" i="173"/>
  <c r="EC413" i="173"/>
  <c r="AE413" i="173"/>
  <c r="BR413" i="173"/>
  <c r="EE413" i="173"/>
  <c r="AF413" i="173"/>
  <c r="BS413" i="173"/>
  <c r="EF413" i="173"/>
  <c r="AG413" i="173"/>
  <c r="AL413" i="173"/>
  <c r="AX413" i="173"/>
  <c r="AH413" i="173"/>
  <c r="AI413" i="173"/>
  <c r="AK413" i="173"/>
  <c r="AM413" i="173"/>
  <c r="AU413" i="173"/>
  <c r="AY413" i="173"/>
  <c r="AZ413" i="173"/>
  <c r="BA413" i="173"/>
  <c r="BB413" i="173"/>
  <c r="BU413" i="173"/>
  <c r="BV413" i="173"/>
  <c r="BW413" i="173"/>
  <c r="BX413" i="173"/>
  <c r="BY413" i="173"/>
  <c r="BZ413" i="173"/>
  <c r="CA413" i="173"/>
  <c r="CB413" i="173"/>
  <c r="CC413" i="173"/>
  <c r="CD413" i="173"/>
  <c r="CE413" i="173"/>
  <c r="CF413" i="173"/>
  <c r="CG413" i="173"/>
  <c r="CH413" i="173"/>
  <c r="CI413" i="173"/>
  <c r="CJ413" i="173"/>
  <c r="CK413" i="173"/>
  <c r="CL413" i="173"/>
  <c r="CM413" i="173"/>
  <c r="CN413" i="173"/>
  <c r="CO413" i="173"/>
  <c r="CP413" i="173"/>
  <c r="CQ413" i="173"/>
  <c r="CR413" i="173"/>
  <c r="CS413" i="173"/>
  <c r="CT413" i="173"/>
  <c r="CU413" i="173"/>
  <c r="CV413" i="173"/>
  <c r="CW413" i="173"/>
  <c r="CX413" i="173"/>
  <c r="CY413" i="173"/>
  <c r="CZ413" i="173"/>
  <c r="DH413" i="173"/>
  <c r="DK413" i="173"/>
  <c r="DL413" i="173"/>
  <c r="DM413" i="173"/>
  <c r="DN413" i="173"/>
  <c r="DO413" i="173"/>
  <c r="EH413" i="173"/>
  <c r="EI413" i="173"/>
  <c r="EJ413" i="173"/>
  <c r="EK413" i="173"/>
  <c r="EL413" i="173"/>
  <c r="EM413" i="173"/>
  <c r="EN413" i="173"/>
  <c r="EO413" i="173"/>
  <c r="EP413" i="173"/>
  <c r="EQ413" i="173"/>
  <c r="ER413" i="173"/>
  <c r="ES413" i="173"/>
  <c r="ET413" i="173"/>
  <c r="EU413" i="173"/>
  <c r="EV413" i="173"/>
  <c r="EW413" i="173"/>
  <c r="EX413" i="173"/>
  <c r="EY413" i="173"/>
  <c r="EZ413" i="173"/>
  <c r="FA413" i="173"/>
  <c r="FB413" i="173"/>
  <c r="FC413" i="173"/>
  <c r="FD413" i="173"/>
  <c r="FE413" i="173"/>
  <c r="FF413" i="173"/>
  <c r="FG413" i="173"/>
  <c r="FH413" i="173"/>
  <c r="FI413" i="173"/>
  <c r="FJ413" i="173"/>
  <c r="FK413" i="173"/>
  <c r="FL413" i="173"/>
  <c r="FM413" i="173"/>
  <c r="AP414" i="173"/>
  <c r="AN414" i="173"/>
  <c r="AQ414" i="173"/>
  <c r="R414" i="173"/>
  <c r="AR414" i="173"/>
  <c r="S414" i="173"/>
  <c r="DC414" i="173"/>
  <c r="DA414" i="173"/>
  <c r="DD414" i="173"/>
  <c r="T414" i="173"/>
  <c r="DE414" i="173"/>
  <c r="U414" i="173"/>
  <c r="AT414" i="173"/>
  <c r="DG414" i="173"/>
  <c r="V414" i="173"/>
  <c r="AS414" i="173"/>
  <c r="DF414" i="173"/>
  <c r="W414" i="173"/>
  <c r="AV414" i="173"/>
  <c r="DI414" i="173"/>
  <c r="X414" i="173"/>
  <c r="BD414" i="173"/>
  <c r="BE414" i="173"/>
  <c r="BI414" i="173"/>
  <c r="BF414" i="173"/>
  <c r="BG414" i="173"/>
  <c r="DQ414" i="173"/>
  <c r="DR414" i="173"/>
  <c r="DV414" i="173"/>
  <c r="DS414" i="173"/>
  <c r="DT414" i="173"/>
  <c r="Y414" i="173"/>
  <c r="BH414" i="173"/>
  <c r="DU414" i="173"/>
  <c r="Z414" i="173"/>
  <c r="AA414" i="173"/>
  <c r="BJ414" i="173"/>
  <c r="BL414" i="173"/>
  <c r="BM414" i="173"/>
  <c r="DW414" i="173"/>
  <c r="DY414" i="173"/>
  <c r="DZ414" i="173"/>
  <c r="AB414" i="173"/>
  <c r="BN414" i="173"/>
  <c r="EA414" i="173"/>
  <c r="AC414" i="173"/>
  <c r="AO414" i="173"/>
  <c r="BQ414" i="173"/>
  <c r="DB414" i="173"/>
  <c r="ED414" i="173"/>
  <c r="AD414" i="173"/>
  <c r="BO414" i="173"/>
  <c r="BP414" i="173"/>
  <c r="EB414" i="173"/>
  <c r="EC414" i="173"/>
  <c r="AE414" i="173"/>
  <c r="BR414" i="173"/>
  <c r="EE414" i="173"/>
  <c r="AF414" i="173"/>
  <c r="BS414" i="173"/>
  <c r="EF414" i="173"/>
  <c r="AG414" i="173"/>
  <c r="AL414" i="173"/>
  <c r="AX414" i="173"/>
  <c r="AH414" i="173"/>
  <c r="AI414" i="173"/>
  <c r="AK414" i="173"/>
  <c r="AM414" i="173"/>
  <c r="AU414" i="173"/>
  <c r="AY414" i="173"/>
  <c r="AZ414" i="173"/>
  <c r="BA414" i="173"/>
  <c r="BB414" i="173"/>
  <c r="BU414" i="173"/>
  <c r="BV414" i="173"/>
  <c r="BW414" i="173"/>
  <c r="BX414" i="173"/>
  <c r="BY414" i="173"/>
  <c r="BZ414" i="173"/>
  <c r="CA414" i="173"/>
  <c r="CB414" i="173"/>
  <c r="CC414" i="173"/>
  <c r="CD414" i="173"/>
  <c r="CE414" i="173"/>
  <c r="CF414" i="173"/>
  <c r="CG414" i="173"/>
  <c r="CH414" i="173"/>
  <c r="CI414" i="173"/>
  <c r="CJ414" i="173"/>
  <c r="CK414" i="173"/>
  <c r="CL414" i="173"/>
  <c r="CM414" i="173"/>
  <c r="CN414" i="173"/>
  <c r="CO414" i="173"/>
  <c r="CP414" i="173"/>
  <c r="CQ414" i="173"/>
  <c r="CR414" i="173"/>
  <c r="CS414" i="173"/>
  <c r="CT414" i="173"/>
  <c r="CU414" i="173"/>
  <c r="CV414" i="173"/>
  <c r="CW414" i="173"/>
  <c r="CX414" i="173"/>
  <c r="CY414" i="173"/>
  <c r="CZ414" i="173"/>
  <c r="DH414" i="173"/>
  <c r="DK414" i="173"/>
  <c r="DL414" i="173"/>
  <c r="DM414" i="173"/>
  <c r="DN414" i="173"/>
  <c r="DO414" i="173"/>
  <c r="EH414" i="173"/>
  <c r="EI414" i="173"/>
  <c r="EJ414" i="173"/>
  <c r="EK414" i="173"/>
  <c r="EL414" i="173"/>
  <c r="EM414" i="173"/>
  <c r="EN414" i="173"/>
  <c r="EO414" i="173"/>
  <c r="EP414" i="173"/>
  <c r="EQ414" i="173"/>
  <c r="ER414" i="173"/>
  <c r="ES414" i="173"/>
  <c r="ET414" i="173"/>
  <c r="EU414" i="173"/>
  <c r="EV414" i="173"/>
  <c r="EW414" i="173"/>
  <c r="EX414" i="173"/>
  <c r="EY414" i="173"/>
  <c r="EZ414" i="173"/>
  <c r="FA414" i="173"/>
  <c r="FB414" i="173"/>
  <c r="FC414" i="173"/>
  <c r="FD414" i="173"/>
  <c r="FE414" i="173"/>
  <c r="FF414" i="173"/>
  <c r="FG414" i="173"/>
  <c r="FH414" i="173"/>
  <c r="FI414" i="173"/>
  <c r="FJ414" i="173"/>
  <c r="FK414" i="173"/>
  <c r="FL414" i="173"/>
  <c r="FM414" i="173"/>
  <c r="AN415" i="173"/>
  <c r="AP415" i="173"/>
  <c r="AQ415" i="173"/>
  <c r="R415" i="173"/>
  <c r="BV415" i="173"/>
  <c r="BU415" i="173"/>
  <c r="BX415" i="173"/>
  <c r="BW415" i="173"/>
  <c r="BY415" i="173"/>
  <c r="BZ415" i="173"/>
  <c r="CL415" i="173"/>
  <c r="CM415" i="173"/>
  <c r="CO415" i="173"/>
  <c r="CP415" i="173"/>
  <c r="CN415" i="173"/>
  <c r="CQ415" i="173"/>
  <c r="CA415" i="173"/>
  <c r="CB415" i="173"/>
  <c r="CC415" i="173"/>
  <c r="CR415" i="173"/>
  <c r="CD415" i="173"/>
  <c r="CE415" i="173"/>
  <c r="CF415" i="173"/>
  <c r="CG415" i="173"/>
  <c r="CS415" i="173"/>
  <c r="CT415" i="173"/>
  <c r="CU415" i="173"/>
  <c r="CV415" i="173"/>
  <c r="CW415" i="173"/>
  <c r="CX415" i="173"/>
  <c r="CY415" i="173"/>
  <c r="CZ415" i="173"/>
  <c r="AR415" i="173"/>
  <c r="S415" i="173"/>
  <c r="DC415" i="173"/>
  <c r="DA415" i="173"/>
  <c r="DD415" i="173"/>
  <c r="T415" i="173"/>
  <c r="EI415" i="173"/>
  <c r="EH415" i="173"/>
  <c r="EK415" i="173"/>
  <c r="EJ415" i="173"/>
  <c r="EL415" i="173"/>
  <c r="EM415" i="173"/>
  <c r="EY415" i="173"/>
  <c r="EZ415" i="173"/>
  <c r="FB415" i="173"/>
  <c r="FC415" i="173"/>
  <c r="FA415" i="173"/>
  <c r="FD415" i="173"/>
  <c r="EN415" i="173"/>
  <c r="EO415" i="173"/>
  <c r="EP415" i="173"/>
  <c r="FE415" i="173"/>
  <c r="EQ415" i="173"/>
  <c r="ER415" i="173"/>
  <c r="ES415" i="173"/>
  <c r="ET415" i="173"/>
  <c r="FF415" i="173"/>
  <c r="FG415" i="173"/>
  <c r="FH415" i="173"/>
  <c r="FI415" i="173"/>
  <c r="FJ415" i="173"/>
  <c r="FK415" i="173"/>
  <c r="FL415" i="173"/>
  <c r="FM415" i="173"/>
  <c r="DE415" i="173"/>
  <c r="U415" i="173"/>
  <c r="DG415" i="173"/>
  <c r="AT415" i="173"/>
  <c r="V415" i="173"/>
  <c r="AS415" i="173"/>
  <c r="DF415" i="173"/>
  <c r="W415" i="173"/>
  <c r="DI415" i="173"/>
  <c r="AV415" i="173"/>
  <c r="X415" i="173"/>
  <c r="DQ415" i="173"/>
  <c r="DH415" i="173"/>
  <c r="AL415" i="173"/>
  <c r="DM415" i="173"/>
  <c r="DN415" i="173"/>
  <c r="DO415" i="173"/>
  <c r="DV415" i="173"/>
  <c r="DR415" i="173"/>
  <c r="DS415" i="173"/>
  <c r="DT415" i="173"/>
  <c r="BD415" i="173"/>
  <c r="AU415" i="173"/>
  <c r="AZ415" i="173"/>
  <c r="BA415" i="173"/>
  <c r="BB415" i="173"/>
  <c r="BI415" i="173"/>
  <c r="AX415" i="173"/>
  <c r="BE415" i="173"/>
  <c r="BF415" i="173"/>
  <c r="BG415" i="173"/>
  <c r="Y415" i="173"/>
  <c r="DU415" i="173"/>
  <c r="BH415" i="173"/>
  <c r="Z415" i="173"/>
  <c r="AA415" i="173"/>
  <c r="BJ415" i="173"/>
  <c r="BL415" i="173"/>
  <c r="BM415" i="173"/>
  <c r="DW415" i="173"/>
  <c r="DY415" i="173"/>
  <c r="DZ415" i="173"/>
  <c r="AB415" i="173"/>
  <c r="EA415" i="173"/>
  <c r="BN415" i="173"/>
  <c r="AC415" i="173"/>
  <c r="DB415" i="173"/>
  <c r="ED415" i="173"/>
  <c r="AO415" i="173"/>
  <c r="BQ415" i="173"/>
  <c r="AD415" i="173"/>
  <c r="BO415" i="173"/>
  <c r="BP415" i="173"/>
  <c r="EB415" i="173"/>
  <c r="EC415" i="173"/>
  <c r="AE415" i="173"/>
  <c r="EE415" i="173"/>
  <c r="BR415" i="173"/>
  <c r="AF415" i="173"/>
  <c r="EF415" i="173"/>
  <c r="BS415" i="173"/>
  <c r="AG415" i="173"/>
  <c r="AH415" i="173"/>
  <c r="AI415" i="173"/>
  <c r="AK415" i="173"/>
  <c r="AM415" i="173"/>
  <c r="AY415" i="173"/>
  <c r="CH415" i="173"/>
  <c r="CI415" i="173"/>
  <c r="CJ415" i="173"/>
  <c r="CK415" i="173"/>
  <c r="DK415" i="173"/>
  <c r="DL415" i="173"/>
  <c r="EU415" i="173"/>
  <c r="EV415" i="173"/>
  <c r="EW415" i="173"/>
  <c r="EX415" i="173"/>
  <c r="N5" i="171"/>
  <c r="N4" i="171"/>
  <c r="N7" i="171"/>
  <c r="N8" i="171"/>
  <c r="N21" i="171"/>
  <c r="N22" i="171"/>
  <c r="N10" i="171"/>
  <c r="C35" i="171"/>
  <c r="AB7" i="171"/>
  <c r="AE7" i="171"/>
  <c r="N13" i="171"/>
  <c r="C39" i="171"/>
  <c r="N12" i="171"/>
  <c r="C38" i="171"/>
  <c r="AB9" i="171"/>
  <c r="AE9" i="171"/>
  <c r="F11" i="171"/>
  <c r="N17" i="171"/>
  <c r="N16" i="171"/>
  <c r="N18" i="171"/>
  <c r="N19" i="171"/>
  <c r="C46" i="171"/>
  <c r="N15" i="171"/>
  <c r="C42" i="171"/>
  <c r="AB11" i="171"/>
  <c r="AE11" i="171"/>
  <c r="N23" i="171"/>
  <c r="C51" i="171"/>
  <c r="AB13" i="171"/>
  <c r="AE13" i="171"/>
  <c r="E16" i="171"/>
  <c r="I17" i="171"/>
  <c r="I18" i="171"/>
  <c r="H19" i="171"/>
  <c r="G22" i="171"/>
  <c r="B28" i="171"/>
  <c r="C31" i="171"/>
  <c r="C32" i="171"/>
  <c r="E32" i="171"/>
  <c r="E35" i="171"/>
  <c r="H36" i="171"/>
  <c r="AB36" i="171"/>
  <c r="E38" i="171"/>
  <c r="E39" i="171"/>
  <c r="H39" i="171"/>
  <c r="AB39" i="171"/>
  <c r="E42" i="171"/>
  <c r="C43" i="171"/>
  <c r="E43" i="171"/>
  <c r="C44" i="171"/>
  <c r="E44" i="171"/>
  <c r="C45" i="171"/>
  <c r="E45" i="171"/>
  <c r="H47" i="171"/>
  <c r="AB47" i="171"/>
  <c r="C49" i="171"/>
  <c r="C50" i="171"/>
  <c r="E50" i="171"/>
  <c r="H51" i="171"/>
  <c r="AB51" i="171"/>
</calcChain>
</file>

<file path=xl/comments1.xml><?xml version="1.0" encoding="utf-8"?>
<comments xmlns="http://schemas.openxmlformats.org/spreadsheetml/2006/main">
  <authors>
    <author>Bob Dalpiaz</author>
    <author>Alex Tomanovich</author>
    <author>O'Neal User</author>
    <author>O'Neal, Inc.</author>
    <author>4892</author>
    <author>ATOMANOV</author>
    <author>Alex Tomanovich, P.E.</author>
  </authors>
  <commentList>
    <comment ref="AL1" authorId="0" shapeId="0">
      <text>
        <r>
          <rPr>
            <sz val="8"/>
            <color indexed="81"/>
            <rFont val="Tahoma"/>
            <family val="2"/>
          </rPr>
          <t xml:space="preserve">              "</t>
        </r>
        <r>
          <rPr>
            <b/>
            <sz val="8"/>
            <color indexed="81"/>
            <rFont val="Tahoma"/>
            <family val="2"/>
          </rPr>
          <t>BASEPLT9.xls</t>
        </r>
        <r>
          <rPr>
            <sz val="8"/>
            <color indexed="81"/>
            <rFont val="Tahoma"/>
            <family val="2"/>
          </rPr>
          <t>"
written by:  Alex Tomanovich, P.E.</t>
        </r>
      </text>
    </comment>
    <comment ref="AP7" authorId="1" shapeId="0">
      <text>
        <r>
          <rPr>
            <sz val="8"/>
            <color indexed="81"/>
            <rFont val="Tahoma"/>
            <family val="2"/>
          </rPr>
          <t>If Fp &lt; fp(max), then increase base plate contact area by increasing the base plate length (N) and/or the base plate width (B).</t>
        </r>
      </text>
    </comment>
    <comment ref="AP9" authorId="1" shapeId="0">
      <text>
        <r>
          <rPr>
            <sz val="8"/>
            <color indexed="81"/>
            <rFont val="Tahoma"/>
            <family val="2"/>
          </rPr>
          <t>If Ta &lt; Tb, then either increase the anchor bolt size/diameter (db) or increase the total number of anchor bolts (Nb).</t>
        </r>
      </text>
    </comment>
    <comment ref="AP11" authorId="1" shapeId="0">
      <text>
        <r>
          <rPr>
            <sz val="8"/>
            <color indexed="81"/>
            <rFont val="Tahoma"/>
            <family val="2"/>
          </rPr>
          <t>If Va &lt; Vb, then either increase the anchor bolt size/diameter (db) or increase the total number of anchor bolts (Nb).</t>
        </r>
      </text>
    </comment>
    <comment ref="C12" authorId="2" shapeId="0">
      <text>
        <r>
          <rPr>
            <sz val="8"/>
            <color indexed="81"/>
            <rFont val="Tahoma"/>
            <family val="2"/>
          </rPr>
          <t>'P' is the axial load at the base of the column.  Sign convention is as follows:
  tension (uplift) load = positive (+)
  compression (downward) load = negative (-)</t>
        </r>
      </text>
    </comment>
    <comment ref="C13" authorId="3" shapeId="0">
      <text>
        <r>
          <rPr>
            <sz val="8"/>
            <color indexed="81"/>
            <rFont val="Tahoma"/>
            <family val="2"/>
          </rPr>
          <t>Note: if the user does not wish to consider friction between column base and grout to take a portion of the appled shear load, V(total), then input P(DL) = 0.  Considering friction will reduce the shear to be taken by bolts.
Sign convention: P(DL) = -down.
Note: in the value of P(DL) to be input, the user may elect to also include ONLY the portion of column axial live load which produces shear, if any.</t>
        </r>
      </text>
    </comment>
    <comment ref="AP13" authorId="1" shapeId="0">
      <text>
        <r>
          <rPr>
            <sz val="8"/>
            <color indexed="81"/>
            <rFont val="Tahoma"/>
            <family val="2"/>
          </rPr>
          <t>If S.R. &gt; 1.0, then either increase the anchor bolt size/diameter (db) or increase the total number of anchor bolts (Nb).</t>
        </r>
      </text>
    </comment>
    <comment ref="C14" authorId="2" shapeId="0">
      <text>
        <r>
          <rPr>
            <sz val="8"/>
            <color indexed="81"/>
            <rFont val="Tahoma"/>
            <family val="2"/>
          </rPr>
          <t>'V' is the horizontal shear load at the base of the column, normally taken parallel to the web of the column or in 'N' direction of the base plate.  However, user may input the vector sum of the simultaneous shear loads as:
  Vr = SQRT(Vx^2+Vy^2)</t>
        </r>
      </text>
    </comment>
    <comment ref="C15" authorId="2" shapeId="0">
      <text>
        <r>
          <rPr>
            <sz val="8"/>
            <color indexed="81"/>
            <rFont val="Tahoma"/>
            <family val="2"/>
          </rPr>
          <t>The moment at the base of the column, 'M', is assumed to be about the X-axis of the column.</t>
        </r>
      </text>
    </comment>
    <comment ref="C17" authorId="2" shapeId="0">
      <text>
        <r>
          <rPr>
            <sz val="8"/>
            <color indexed="81"/>
            <rFont val="Tahoma"/>
            <family val="2"/>
          </rPr>
          <t>The base plate length, 'N', is the length of the base plate parallel to the web (Y-axis) of the column.</t>
        </r>
      </text>
    </comment>
    <comment ref="C18" authorId="2" shapeId="0">
      <text>
        <r>
          <rPr>
            <sz val="8"/>
            <color indexed="81"/>
            <rFont val="Tahoma"/>
            <family val="2"/>
          </rPr>
          <t>The base plate length, 'B', is the length of the base plate parallel to the flanges (X-axis) of the column.</t>
        </r>
      </text>
    </comment>
    <comment ref="N19" authorId="1" shapeId="0">
      <text>
        <r>
          <rPr>
            <sz val="8"/>
            <color indexed="81"/>
            <rFont val="Tahoma"/>
            <family val="2"/>
          </rPr>
          <t xml:space="preserve">The procedure in Steel Design Guide Series #1 by AISC is not used here.
</t>
        </r>
      </text>
    </comment>
    <comment ref="N20" authorId="1" shapeId="0">
      <text>
        <r>
          <rPr>
            <sz val="8"/>
            <color indexed="81"/>
            <rFont val="Tahoma"/>
            <family val="2"/>
          </rPr>
          <t xml:space="preserve">The procedure in Steel Design Guide Series #1 by AISC is not used here.
</t>
        </r>
      </text>
    </comment>
    <comment ref="C21" authorId="2" shapeId="0">
      <text>
        <r>
          <rPr>
            <sz val="8"/>
            <color indexed="81"/>
            <rFont val="Tahoma"/>
            <family val="2"/>
          </rPr>
          <t>The total bearing area of the concrete support, 'A2', MUST have a minimum value of A2 = N*B.  For base plates supported on slabs or mats, use A2 = 4*(N*B).</t>
        </r>
      </text>
    </comment>
    <comment ref="C22" authorId="3" shapeId="0">
      <text>
        <r>
          <rPr>
            <sz val="8"/>
            <color indexed="81"/>
            <rFont val="Tahoma"/>
            <family val="2"/>
          </rPr>
          <t>Shear Coefficient, 'C':
C = 1.85 for base plate on top of grout bed.
C = 1.25 for base plate recessed in grout.
C = 1.10 for base plate embedded in concrete.
Reference: "Design of Headed Anchor Bolts"
by John G. Shipp and Edward R. Haninger
AISC Engineering Journal, 2nd Quarter - 1983.</t>
        </r>
      </text>
    </comment>
    <comment ref="C23" authorId="3" shapeId="0">
      <text>
        <r>
          <rPr>
            <sz val="8"/>
            <color indexed="81"/>
            <rFont val="Tahoma"/>
            <family val="2"/>
          </rPr>
          <t>Coefficient of Friction,'</t>
        </r>
        <r>
          <rPr>
            <sz val="8"/>
            <color indexed="81"/>
            <rFont val="Symbol"/>
            <family val="1"/>
            <charset val="2"/>
          </rPr>
          <t>m</t>
        </r>
        <r>
          <rPr>
            <sz val="8"/>
            <color indexed="81"/>
            <rFont val="Tahoma"/>
            <family val="2"/>
          </rPr>
          <t xml:space="preserve">:
</t>
        </r>
        <r>
          <rPr>
            <sz val="8"/>
            <color indexed="81"/>
            <rFont val="Symbol"/>
            <family val="1"/>
            <charset val="2"/>
          </rPr>
          <t>m</t>
        </r>
        <r>
          <rPr>
            <sz val="8"/>
            <color indexed="81"/>
            <rFont val="Tahoma"/>
            <family val="2"/>
          </rPr>
          <t xml:space="preserve"> = 0.55 for base plate on top of grout bed.
</t>
        </r>
        <r>
          <rPr>
            <sz val="8"/>
            <color indexed="81"/>
            <rFont val="Symbol"/>
            <family val="1"/>
            <charset val="2"/>
          </rPr>
          <t>m</t>
        </r>
        <r>
          <rPr>
            <sz val="8"/>
            <color indexed="81"/>
            <rFont val="Tahoma"/>
            <family val="2"/>
          </rPr>
          <t xml:space="preserve"> = 0.70 for base plate recessed in grout.
</t>
        </r>
        <r>
          <rPr>
            <sz val="8"/>
            <color indexed="81"/>
            <rFont val="Symbol"/>
            <family val="1"/>
            <charset val="2"/>
          </rPr>
          <t>m</t>
        </r>
        <r>
          <rPr>
            <sz val="8"/>
            <color indexed="81"/>
            <rFont val="Tahoma"/>
            <family val="2"/>
          </rPr>
          <t xml:space="preserve"> = 0.90 for base plate embedded in concrete.
Reference:  AISC "Steel Design Guide Series #1 -
                    Column Base Plates"</t>
        </r>
      </text>
    </comment>
    <comment ref="C25" authorId="2" shapeId="0">
      <text>
        <r>
          <rPr>
            <sz val="8"/>
            <color indexed="81"/>
            <rFont val="Tahoma"/>
            <family val="2"/>
          </rPr>
          <t>'Nb' is the total number of anchor bolts on both sides of the column flanges.  Note: anchor bolts MUST be in only 2 rows, one row outside of each column flange.</t>
        </r>
      </text>
    </comment>
    <comment ref="C28" authorId="1" shapeId="0">
      <text>
        <r>
          <rPr>
            <b/>
            <sz val="8"/>
            <color indexed="81"/>
            <rFont val="Tahoma"/>
            <family val="2"/>
          </rPr>
          <t xml:space="preserve">                                          ANCHOR BOLT DATA
</t>
        </r>
        <r>
          <rPr>
            <b/>
            <u/>
            <sz val="8"/>
            <color indexed="81"/>
            <rFont val="Tahoma"/>
            <family val="2"/>
          </rPr>
          <t>Bolt Dia. (db)          Oversized Hole Dia. (dh)          Min. Edge Distance (ED)</t>
        </r>
        <r>
          <rPr>
            <sz val="8"/>
            <color indexed="81"/>
            <rFont val="Tahoma"/>
            <family val="2"/>
          </rPr>
          <t xml:space="preserve">
      3/8"                                      11/16"                                          13/16"
      1/2"                                      13/16"                                          15/16"      
      5/8"                                      15/16"                                         1-1/16"
      3/4"                                     1-1/16"                                         1-3/16"
      7/8"                                     1-3/16"                                         1-5/16"
        1"                                       1-1/2"                                           1-1/2"
     1-1/8"                                   1-5/8"                                           1-3/4"
     1-1/4"                                   1-3/4"                                           1-7/8"
     1-3/8"                                   1-7/8"                                              2"
     1-1/2"                                       2"                                              2-1/4"
     1-3/4"                                   2-1/4"                                           2-7/16"
        2"                                       2-1/2"                                           2-3/4"
     2-1/4"                                   3-1/4"                                           3-5/16"
     2-1/2"                                   3-1/2"                                           3-5/8"
     2-3/4"                                   3-3/4"                                          3-15/16"
        3"                                          4"                                              4-1/4"
Note:  Minimum edge distances shown above are for base plates with either rolled,
           gas-cut, or saw-cut edges only.</t>
        </r>
      </text>
    </comment>
    <comment ref="C29" authorId="1" shapeId="0">
      <text>
        <r>
          <rPr>
            <b/>
            <sz val="8"/>
            <color indexed="81"/>
            <rFont val="Tahoma"/>
            <family val="2"/>
          </rPr>
          <t xml:space="preserve">                                          ANCHOR BOLT DATA
</t>
        </r>
        <r>
          <rPr>
            <b/>
            <u/>
            <sz val="8"/>
            <color indexed="81"/>
            <rFont val="Tahoma"/>
            <family val="2"/>
          </rPr>
          <t>Bolt Dia. (db)          Oversized Hole Dia. (dh)          Min. Edge Distance (ED)</t>
        </r>
        <r>
          <rPr>
            <sz val="8"/>
            <color indexed="81"/>
            <rFont val="Tahoma"/>
            <family val="2"/>
          </rPr>
          <t xml:space="preserve">
      3/8"                                      11/16"                                          13/16"
      1/2"                                      13/16"                                          15/16"      
      5/8"                                      15/16"                                         1-1/16"
      3/4"                                     1-1/16"                                         1-3/16"
      7/8"                                     1-3/16"                                         1-5/16"
        1"                                       1-1/2"                                           1-1/2"
     1-1/8"                                   1-5/8"                                           1-3/4"
     1-1/4"                                   1-3/4"                                           1-7/8"
     1-3/8"                                   1-7/8"                                              2"
     1-1/2"                                       2"                                              2-1/4"
     1-3/4"                                   2-1/4"                                           2-7/16"
        2"                                       2-1/2"                                           2-3/4"
     2-1/4"                                   3-1/4"                                           3-5/16"
     2-1/2"                                   3-1/2"                                           3-5/8"
     2-3/4"                                   3-3/4"                                          3-15/16"
        3"                                          4"                                              4-1/4"
Note:  Minimum edge distances shown above are for base plates with either rolled,
           gas-cut, or saw-cut edges only.</t>
        </r>
      </text>
    </comment>
    <comment ref="C34" authorId="2" shapeId="0">
      <text>
        <r>
          <rPr>
            <sz val="8"/>
            <color indexed="81"/>
            <rFont val="Tahoma"/>
            <family val="2"/>
          </rPr>
          <t>The eccentricity (e) is:  e = ABS(M*12/P)</t>
        </r>
      </text>
    </comment>
    <comment ref="C35" authorId="1" shapeId="0">
      <text>
        <r>
          <rPr>
            <b/>
            <u/>
            <sz val="8"/>
            <color indexed="81"/>
            <rFont val="Tahoma"/>
            <family val="2"/>
          </rPr>
          <t>Note:</t>
        </r>
        <r>
          <rPr>
            <b/>
            <sz val="8"/>
            <color indexed="81"/>
            <rFont val="Tahoma"/>
            <family val="2"/>
          </rPr>
          <t xml:space="preserve">  P = -P (which was input) for use in equations below.</t>
        </r>
        <r>
          <rPr>
            <sz val="8"/>
            <color indexed="81"/>
            <rFont val="Tahoma"/>
            <family val="2"/>
          </rPr>
          <t xml:space="preserve">
For case of axial compression load plus moment:
  when:  ABS(e) = M*12/P &gt; N/2-Xc/3  
    MR = Es/Ec = 29000/(57*SQRT(f'c*1000))  ,  As = (Nb/2)*</t>
        </r>
        <r>
          <rPr>
            <sz val="8"/>
            <color indexed="81"/>
            <rFont val="Symbol"/>
            <family val="1"/>
            <charset val="2"/>
          </rPr>
          <t>p</t>
        </r>
        <r>
          <rPr>
            <sz val="8"/>
            <color indexed="81"/>
            <rFont val="Tahoma"/>
            <family val="2"/>
          </rPr>
          <t>*db^2/4
    Xc^3 + 3*(e-N/2)*Xc^2 + 6*MR*As/B*((N/2-ED1)+e)*Xc - 6*MR*As/B*(N/2+(N/2-ED1))*((N/2-ED1)+e) = 0
    Solve cubic equation for Xc
  when:  N/6 &lt; ABS(e) &lt;= N/2-Xc/3
    Xc = 3*(N/2-e)
  when:  ABS(e) &lt;= N/6
    Xc = N
For case of axial tension load plus moment:
  when:  ABS(e) = M*12/P &gt; N/2-ED1
    MR = Es/Ec = 29000/(57*SQRT(f'c*1000))  ,  As = (Nb/2)*</t>
        </r>
        <r>
          <rPr>
            <sz val="8"/>
            <color indexed="81"/>
            <rFont val="Symbol"/>
            <family val="1"/>
            <charset val="2"/>
          </rPr>
          <t>p</t>
        </r>
        <r>
          <rPr>
            <sz val="8"/>
            <color indexed="81"/>
            <rFont val="Tahoma"/>
            <family val="2"/>
          </rPr>
          <t>*db^2/4
    Xc^3 + 3*(e-N/2)*Xc^2 + 6*MR*As/B*((N/2-ED1)+e)*Xc - 6*MR*As/B*(N/2+(N/2-ED1))*((N/2-ED1)+e) = 0
    Solve cubic equation for Xc
  when:  ABS(e) &lt;= N/2-ED1
    Xc = 0</t>
        </r>
      </text>
    </comment>
    <comment ref="C36" authorId="3" shapeId="0">
      <text>
        <r>
          <rPr>
            <sz val="8"/>
            <color indexed="81"/>
            <rFont val="Tahoma"/>
            <family val="2"/>
          </rPr>
          <t>Allowable concrete bearing stress, 'Fp', is determined as follows:
  for bearing on entire area of concrete support, 
    Fp = 0.35*f'c
  for bearing on less than entire area of concrete support, 
    Fp = 0.35*f'c*SQRT(A2/A1) &lt;= 0.70*f'c
      where:  A2 = Lpx*Lpy &gt;= N*B
                   A1 = N*B
Note: the total bearing area of the concrete support, 'A2', MUST have a minimum value of A2 = N*B.  For base plates supported on slabs or mats, use A2 = 4*(N*B).</t>
        </r>
      </text>
    </comment>
    <comment ref="C37" authorId="1" shapeId="0">
      <text>
        <r>
          <rPr>
            <b/>
            <u/>
            <sz val="8"/>
            <color indexed="8"/>
            <rFont val="Tahoma"/>
            <family val="2"/>
          </rPr>
          <t>Note</t>
        </r>
        <r>
          <rPr>
            <b/>
            <sz val="8"/>
            <color indexed="8"/>
            <rFont val="Tahoma"/>
            <family val="2"/>
          </rPr>
          <t>:  P = -P (which was input) for use in equations below.</t>
        </r>
        <r>
          <rPr>
            <sz val="8"/>
            <color indexed="81"/>
            <rFont val="Tahoma"/>
            <family val="2"/>
          </rPr>
          <t xml:space="preserve">
For case of axial compression load without moment:
  fp(max) = fp(min) = fp = P/(N*B)  
For case of axial compression load plus moment:
  when:  ABS(e) = M*12/P &gt; N/2-Xc/3
    T = -P*(N/2-Xc/3-e)/(N/2-Xc/3+(N/2-ED1))  ,  Tb = T/(Nb/2)
    fp(max) = 2*(P+T)/(Xc*B)
  when:   N/6 &lt; ABS(e) &lt;= N/2-Xc/3
    fp(max) = 2*P/(Xc*B)
  when:  ABS(e) &lt;= N/6
    fp(max) = ABS(P)/(N*B)*(1+6*e/N)
For case of axial tension load plus moment:
  when:  ABS(e) = M*12/P &gt; N/2-ED1
    Tb = -P*(N/2-ED1-M*12/P)/(2*(N/2-ED1))/(Nb/2)
    T = Tb*(Nb/2)
    fp(max) = 2*(P+T)/(Xc*B)
  when:   ABS(e) &lt;= N/2-ED1
    fp(max) = 0</t>
        </r>
      </text>
    </comment>
    <comment ref="C41" authorId="4" shapeId="0">
      <text>
        <r>
          <rPr>
            <u/>
            <sz val="8"/>
            <color indexed="81"/>
            <rFont val="Tahoma"/>
            <family val="2"/>
          </rPr>
          <t xml:space="preserve">            Allowable Tension Stress (Ft) on Anchor Bolts            
</t>
        </r>
        <r>
          <rPr>
            <sz val="8"/>
            <color indexed="81"/>
            <rFont val="Tahoma"/>
            <family val="2"/>
          </rPr>
          <t xml:space="preserve"> </t>
        </r>
        <r>
          <rPr>
            <u/>
            <sz val="8"/>
            <color indexed="81"/>
            <rFont val="Tahoma"/>
            <family val="2"/>
          </rPr>
          <t>Description of Anchor Bolts          Ft (ksi)    Fu (ksi)    Fy( ksi)</t>
        </r>
        <r>
          <rPr>
            <sz val="8"/>
            <color indexed="81"/>
            <rFont val="Tahoma"/>
            <family val="2"/>
          </rPr>
          <t xml:space="preserve">
          A307 bolts                          20.0          60.0         36.0
    A36 threaded rods                   19.1          58.0         36.0
   A572 threaded rods                  21.5          65.0         50.0
   A588 threaded rods                  23.1          70.0         50.0
   F1554 (Gr.36) th'd. rods           19.1          58.0         36.0
   F1554 (Gr.55) th'd. rods           24.8          75.0         55.0
   F1554 (Gr.105) th'd. rods         41.3         125.0       105.0
                       Note: Ft = 0.33*Fu                   </t>
        </r>
      </text>
    </comment>
    <comment ref="C42" authorId="5" shapeId="0">
      <text>
        <r>
          <rPr>
            <b/>
            <sz val="8"/>
            <color indexed="81"/>
            <rFont val="Tahoma"/>
            <family val="2"/>
          </rPr>
          <t xml:space="preserve">                                                                                              </t>
        </r>
        <r>
          <rPr>
            <b/>
            <u/>
            <sz val="8"/>
            <color indexed="81"/>
            <rFont val="Tahoma"/>
            <family val="2"/>
          </rPr>
          <t>Anchor Bolt Data</t>
        </r>
        <r>
          <rPr>
            <sz val="8"/>
            <color indexed="81"/>
            <rFont val="Tahoma"/>
            <family val="2"/>
          </rPr>
          <t xml:space="preserve">
</t>
        </r>
        <r>
          <rPr>
            <u/>
            <sz val="8"/>
            <color indexed="81"/>
            <rFont val="Tahoma"/>
            <family val="2"/>
          </rPr>
          <t xml:space="preserve">Nominal Diameter, db (in.)        Area, Ab (in.^2)                                                          Allowable Tension, Ta (kips)                                                           </t>
        </r>
        <r>
          <rPr>
            <sz val="8"/>
            <color indexed="81"/>
            <rFont val="Tahoma"/>
            <family val="2"/>
          </rPr>
          <t xml:space="preserve">    
                                                                                    </t>
        </r>
        <r>
          <rPr>
            <u/>
            <sz val="8"/>
            <color indexed="81"/>
            <rFont val="Tahoma"/>
            <family val="2"/>
          </rPr>
          <t xml:space="preserve">A307               A36               A572                A588        F1554 (36)       F1554 (55)     F1554 (105) 
</t>
        </r>
        <r>
          <rPr>
            <sz val="8"/>
            <color indexed="81"/>
            <rFont val="Tahoma"/>
            <family val="2"/>
          </rPr>
          <t xml:space="preserve">              3/8                                    0.1104                  2.21               2.11               2.37                 2.55              2.11                    2.74               4.56               </t>
        </r>
        <r>
          <rPr>
            <u/>
            <sz val="8"/>
            <color indexed="81"/>
            <rFont val="Tahoma"/>
            <family val="2"/>
          </rPr>
          <t xml:space="preserve">
</t>
        </r>
        <r>
          <rPr>
            <sz val="8"/>
            <color indexed="81"/>
            <rFont val="Tahoma"/>
            <family val="2"/>
          </rPr>
          <t xml:space="preserve">              1/2                                    0.1963                  3.93               3.75               4.22                 4.53              3.75                    4.87               8.11
              5/8                                    0.3068                  6.14               5.86               6.60                 7.09              5.86                    7.61              12.67
              3/4                                    0.4418                  8.84               8.44               9.50                10.21             8.84                   10.96             18.25
              7/8                                    0.6013                 12.03             11.48             12.93               13.89            11.48                  14.91             24.83
               1                                      0.7854                 15.71             15.00             16.89               18.14            15.00                  19.48             32.44
            1-1/8                                  0.9940                 19.88             18.98              21.37               22.96           18.98                  24.65             41.05
            1-1/4                                  1.2272                 24.54             23.44              26.38               28.35           23.44                  30.43             50.68
            1-3/8                                  1.4850                 29.70             28.36              31.93               34.30           28.36                  36.83             61.33
            1-1/2                                  1.7671                 35.34             33.75              37.99               40.82           33.75                  43.82             72.98
            1-3/4                                  2.4053                 48.11             45.94              51.71               55.56           45.94                  59.65             99.34
               2                                      3.1416                 62.83             60.00             67.54                72.57           60.00                  77.91            129.75
            2-1/4                                  3.9761                 79.50             75.94              85.49               91.85           75.94                  98.61             164.21
            2-1/2                                  4.9087                 98.17             93.76             105.54             113.39          93.76                 121.74            202.73
            2-3/4                                  5.9396                118.79           113.45            127.70             137.20         113.45                147.30            245.31
               3                                      7.0686                141.37           135.01           151.97             163.28          135.01                175.30            291.93
Note: allowable tension values are for no shear.</t>
        </r>
      </text>
    </comment>
    <comment ref="C43" authorId="1" shapeId="0">
      <text>
        <r>
          <rPr>
            <b/>
            <u/>
            <sz val="8"/>
            <color indexed="81"/>
            <rFont val="Tahoma"/>
            <family val="2"/>
          </rPr>
          <t>Note:</t>
        </r>
        <r>
          <rPr>
            <b/>
            <sz val="8"/>
            <color indexed="81"/>
            <rFont val="Tahoma"/>
            <family val="2"/>
          </rPr>
          <t xml:space="preserve">  P = -P (which was input) for use in equations below.</t>
        </r>
        <r>
          <rPr>
            <sz val="8"/>
            <color indexed="81"/>
            <rFont val="Tahoma"/>
            <family val="2"/>
          </rPr>
          <t xml:space="preserve">
For case of axial compression load plus moment:
  when:  ABS(e) = M*12/P &gt; N/2-Xc/3  ,  Tb &gt; 0
    T = -P*(N/2-Xc/3-e)/(N/2-Xc/3+(N/2-ED1))
    Tb = T/(Nb/2)
  when:  ABS(e) &lt;= N/2-Xc/3
    Tb = 0
For case of axial tension load plus moment:
  when:  ABS(e) &gt; N/2-ED1:
    Tb = -P*(N/2-Xc/3-M*12/P)/(N/2-Xc/3+(N/2-ED1))/(Nb/2)
  when:  ABS(e) &lt;= N/2-ED1:
    Tb = -P*(N/2-ED1-M*12/P)/(2*(N/2-ED1))/(Nb/2)</t>
        </r>
      </text>
    </comment>
    <comment ref="C45" authorId="4" shapeId="0">
      <text>
        <r>
          <rPr>
            <u/>
            <sz val="8"/>
            <color indexed="81"/>
            <rFont val="Tahoma"/>
            <family val="2"/>
          </rPr>
          <t xml:space="preserve">      Allowable Shear Stress (Fv) on Anchor Bolts    
Description of Anchor Bolts        Fv (ksi)    Fu (ksi)</t>
        </r>
        <r>
          <rPr>
            <sz val="8"/>
            <color indexed="81"/>
            <rFont val="Tahoma"/>
            <family val="2"/>
          </rPr>
          <t xml:space="preserve">
          A307 bolts                         10.0         60.0
    A36 threaded rods                    9.9         58.0
   A572 threaded rods                 11.1         65.0
   A588 threaded rods                 11.9         70.0
   F1554 (Gr.36) th'd. rods            9.9         58.0
   F1554 (Gr.55) th'd. rods           12.8        75.0 
   F1554 (Gr.105) th'd. rods         21.3       125.0
Note: Fv = 0.17*Fu  (for threads included in shear plane).                   </t>
        </r>
      </text>
    </comment>
    <comment ref="C46" authorId="5" shapeId="0">
      <text>
        <r>
          <rPr>
            <b/>
            <sz val="8"/>
            <color indexed="81"/>
            <rFont val="Tahoma"/>
            <family val="2"/>
          </rPr>
          <t xml:space="preserve">                                                                                                               </t>
        </r>
        <r>
          <rPr>
            <b/>
            <u/>
            <sz val="8"/>
            <color indexed="81"/>
            <rFont val="Tahoma"/>
            <family val="2"/>
          </rPr>
          <t>Anchor Bolt Data</t>
        </r>
        <r>
          <rPr>
            <sz val="8"/>
            <color indexed="81"/>
            <rFont val="Tahoma"/>
            <family val="2"/>
          </rPr>
          <t xml:space="preserve">
</t>
        </r>
        <r>
          <rPr>
            <u/>
            <sz val="8"/>
            <color indexed="81"/>
            <rFont val="Tahoma"/>
            <family val="2"/>
          </rPr>
          <t xml:space="preserve">Nominal Diameter, db (in.)       Area, Ab (in.^2)                                                                          Allowable Shear, Va (kips)                                                              
</t>
        </r>
        <r>
          <rPr>
            <sz val="8"/>
            <color indexed="81"/>
            <rFont val="Tahoma"/>
            <family val="2"/>
          </rPr>
          <t xml:space="preserve">                                                                                         </t>
        </r>
        <r>
          <rPr>
            <u/>
            <sz val="8"/>
            <color indexed="81"/>
            <rFont val="Tahoma"/>
            <family val="2"/>
          </rPr>
          <t xml:space="preserve">A307               A36               A572                A588          F1554 (36)          F1554 (55)          F1554 (105) 
</t>
        </r>
        <r>
          <rPr>
            <sz val="8"/>
            <color indexed="81"/>
            <rFont val="Tahoma"/>
            <family val="2"/>
          </rPr>
          <t xml:space="preserve">              3/8                                    0.1104                       1.10               1.09               1.23                 1.31              1.09                    1.41                    2.35                                     </t>
        </r>
        <r>
          <rPr>
            <u/>
            <sz val="8"/>
            <color indexed="81"/>
            <rFont val="Tahoma"/>
            <family val="2"/>
          </rPr>
          <t xml:space="preserve">
</t>
        </r>
        <r>
          <rPr>
            <sz val="8"/>
            <color indexed="81"/>
            <rFont val="Tahoma"/>
            <family val="2"/>
          </rPr>
          <t xml:space="preserve">              1/2                                    0.1963                       1.96               1.94               2.18                 2.34              1.94                    2.51                    4.18  
              5/8                                    0.3068                       3.07               3.04               3.41                 3.65              3.04                    3.93                    6.53             
              3/4                                    0.4418                       4.42               4.37               4.90                 5.26              4.37                    5.66                    9.41
              7/8                                    0.6013                       6.01               5.95               6.67                 7.16              5.95                    7.70                   12.81
               1                                      0.7854                       7.85               7.78               8.72                 9.35              7.78                   10.05                  16.73
            1-1/8                                  0.9940                       9.94               9.84              11.03               11.83             9.84                   12.72                   21.17
            1-1/4                                  1.2272                      12.27             12.15             13.62               14.60            12.15                  15.71                   26.14
            1-3/8                                  1.4850                      14.85             14.70             16.48               17.67            14.70                  19.01                   31.63
            1-1/2                                  1.7671                      17.67             17.49             19.62               21.03            17.49                  22.62                   37.64
            1-3/4                                  2.4053                      24.05             23.81             26.70               28.62            23.81                  30.79                   51.23
               2                                      3.1416                      31.42             31.10             34.87              37.38             31.10                  40.21                   66.92
            2-1/4                                  3.9761                      39.76             39.36             44.13               47.32            39.36                  50.89                   84.69
            2-1/2                                  4.9087                      49.09             48.60             54.49               58.41            48.60                  62.83                  104.56
            2-3/4                                  5.9396                      59.40             58.80             65.93               70.68            58.80                  76.03                  126.51
               3                                      7.0686                      70.69             69.98             78.46               84.12            69.98                  90.48                  150.56</t>
        </r>
        <r>
          <rPr>
            <u/>
            <sz val="8"/>
            <color indexed="81"/>
            <rFont val="Tahoma"/>
            <family val="2"/>
          </rPr>
          <t xml:space="preserve">
</t>
        </r>
        <r>
          <rPr>
            <sz val="8"/>
            <color indexed="81"/>
            <rFont val="Tahoma"/>
            <family val="2"/>
          </rPr>
          <t xml:space="preserve">
Note: allowable shear values are for no tension. </t>
        </r>
      </text>
    </comment>
    <comment ref="C47" authorId="3" shapeId="0">
      <text>
        <r>
          <rPr>
            <sz val="8"/>
            <color indexed="81"/>
            <rFont val="Tahoma"/>
            <family val="2"/>
          </rPr>
          <t>The actual shear to be taken by the anchor bolts with or without a portion taken out by friction between column base and grout, 'V(bolts)', is calculated as follows:
  V(bolts) = V(total)-1/2*</t>
        </r>
        <r>
          <rPr>
            <sz val="8"/>
            <color indexed="81"/>
            <rFont val="Symbol"/>
            <family val="1"/>
            <charset val="2"/>
          </rPr>
          <t>m</t>
        </r>
        <r>
          <rPr>
            <sz val="8"/>
            <color indexed="81"/>
            <rFont val="Tahoma"/>
            <family val="2"/>
          </rPr>
          <t>*P(DL)</t>
        </r>
      </text>
    </comment>
    <comment ref="C48" authorId="3" shapeId="0">
      <text>
        <r>
          <rPr>
            <sz val="8"/>
            <color indexed="81"/>
            <rFont val="Tahoma"/>
            <family val="2"/>
          </rPr>
          <t>The actual bolt shear, 'Vb', is calculated as follows:
  Vb = V(bolts)/Nb
  where:  V(bolts) = V(total)-1/2*</t>
        </r>
        <r>
          <rPr>
            <sz val="8"/>
            <color indexed="81"/>
            <rFont val="Symbol"/>
            <family val="1"/>
            <charset val="2"/>
          </rPr>
          <t>m</t>
        </r>
        <r>
          <rPr>
            <sz val="8"/>
            <color indexed="81"/>
            <rFont val="Tahoma"/>
            <family val="2"/>
          </rPr>
          <t>*P(DL)</t>
        </r>
      </text>
    </comment>
    <comment ref="C50" authorId="3" shapeId="0">
      <text>
        <r>
          <rPr>
            <sz val="8"/>
            <color indexed="81"/>
            <rFont val="Tahoma"/>
            <family val="2"/>
          </rPr>
          <t>Stress ratio for interaction of combined anchor bolt tension and shear is calculated as follows:
  S.R. = Tb/Ta+(C*Vb)/Va &lt;= 1.0
    where:  C = Shear Coefficient
                     = 1.85 for base plate on top of grout bed
                     = 1.25 for base plate recessed in grout
                     = 1.10 for base plate embedded in concrete
References: 1. "Design Aid: Anchor Bolt Interaction of Shear and Tension Loads"
                          by Mario N. Scacco 
                          AISC Engineering Journal, 4th Quarter - 1992.
                     2.  "Design of Headed Anchor Bolts"
                          by John G. Shipp and Edward R. Haninger
                          AISC Engineering Journal, 2nd Quarter - 1983.</t>
        </r>
      </text>
    </comment>
    <comment ref="C53" authorId="6" shapeId="0">
      <text>
        <r>
          <rPr>
            <b/>
            <u/>
            <sz val="8"/>
            <color indexed="81"/>
            <rFont val="Tahoma"/>
            <family val="2"/>
          </rPr>
          <t>Note</t>
        </r>
        <r>
          <rPr>
            <b/>
            <sz val="8"/>
            <color indexed="81"/>
            <rFont val="Tahoma"/>
            <family val="2"/>
          </rPr>
          <t>:  P = -P (which was input) for use in equations below.</t>
        </r>
        <r>
          <rPr>
            <sz val="8"/>
            <color indexed="81"/>
            <rFont val="Tahoma"/>
            <family val="2"/>
          </rPr>
          <t xml:space="preserve">
For column base plates subjected to concentric axial compression load without moment:
  fp = P/(N*B)  ,  m = (N-0.95*d)/2  ,  n = (B-0.8*bf)/2  ,  n' = SQRT(d*bf)/4
  q = 4*fp*d*bf/((d+bf)^2*Fp) &lt; 1.0  ,  </t>
        </r>
        <r>
          <rPr>
            <sz val="8"/>
            <color indexed="81"/>
            <rFont val="Symbol"/>
            <family val="1"/>
            <charset val="2"/>
          </rPr>
          <t>l</t>
        </r>
        <r>
          <rPr>
            <sz val="8"/>
            <color indexed="81"/>
            <rFont val="Tahoma"/>
            <family val="2"/>
          </rPr>
          <t xml:space="preserve"> = 2*(1-SQRT(1-q))/SQRT(q) &lt;= 1.0
  tp = 2*c*SQRT(fp/Fy)  ,  where: c = maximum of:  m, n, or </t>
        </r>
        <r>
          <rPr>
            <sz val="8"/>
            <color indexed="81"/>
            <rFont val="Symbol"/>
            <family val="1"/>
            <charset val="2"/>
          </rPr>
          <t>l</t>
        </r>
        <r>
          <rPr>
            <sz val="8"/>
            <color indexed="81"/>
            <rFont val="Tahoma"/>
            <family val="2"/>
          </rPr>
          <t>*n'
For column base plates subjected to axial load plus moment:
  If Xc &gt; m  ,  tp = maximum of:
    tp = SQRT(6*((fpmax-((fpmax-fpmin)/Xc)*m)*m^2/2+((fpmax-fpmin)/Xc)*m^3/3)/(0.75*Fy))
    tp = 2*n*SQRT((fpmax+fpmin)/2/Fy)
    tp = 2*(</t>
        </r>
        <r>
          <rPr>
            <sz val="8"/>
            <color indexed="81"/>
            <rFont val="Symbol"/>
            <family val="1"/>
            <charset val="2"/>
          </rPr>
          <t>l</t>
        </r>
        <r>
          <rPr>
            <sz val="8"/>
            <color indexed="81"/>
            <rFont val="Tahoma"/>
            <family val="2"/>
          </rPr>
          <t>*n')*SQRT((fpmax+fpmin)/2/Fy)
    tp = SQRT(6*Tb*(m-ED1)/be/(0.75*Fy))
  If Xc &lt;= m  ,  tp = maximum of:
    tp = SQRT(6*fpmax*Xc/2*(m-Xc/3)/(0.75*Fy))
    tp = SQRT(6*Tb*(m-ED1)/be/(0.75*Fy))
      where:  be = min. of: (m-ED1) or (B-2*ED2)/(2*(Nb/2-1)) + min. of: (m-ED1) or (B-2*ED2)/(2*(Nb/2-1)) or ED2</t>
        </r>
      </text>
    </comment>
    <comment ref="F53" authorId="3" shapeId="0">
      <text>
        <r>
          <rPr>
            <sz val="8"/>
            <color indexed="81"/>
            <rFont val="Tahoma"/>
            <family val="2"/>
          </rPr>
          <t>Adequate base plate rigidity is most likely assured if the distance from the face of the column to the edge of the base plate is &lt;= 4*tp.  See "General Anchorage to Concrete", TVA Civil Design Standard DS-C1.7.1 (Rev. 1984), page 25.)
Thus, suggested minimum base plate thickness to ensure assumption of plate rigidity is as follows:
  tp(min) &gt;= maximum of:  m/4  or  n/4
    where: m = (N-0.95*d)/2
                 n = (B-0.80*bf)/2</t>
        </r>
      </text>
    </comment>
  </commentList>
</comments>
</file>

<file path=xl/comments2.xml><?xml version="1.0" encoding="utf-8"?>
<comments xmlns="http://schemas.openxmlformats.org/spreadsheetml/2006/main">
  <authors>
    <author>Bob Dalpiaz</author>
    <author>Alex Tomanovich</author>
    <author>O'Neal, Inc.</author>
    <author>O'Neal User</author>
    <author xml:space="preserve"> </author>
  </authors>
  <commentList>
    <comment ref="AA1" authorId="0" shapeId="0">
      <text>
        <r>
          <rPr>
            <sz val="8"/>
            <color indexed="81"/>
            <rFont val="Tahoma"/>
            <family val="2"/>
          </rPr>
          <t xml:space="preserve">              "</t>
        </r>
        <r>
          <rPr>
            <b/>
            <sz val="8"/>
            <color indexed="81"/>
            <rFont val="Tahoma"/>
            <family val="2"/>
          </rPr>
          <t>BASEPLT9.xls</t>
        </r>
        <r>
          <rPr>
            <sz val="8"/>
            <color indexed="81"/>
            <rFont val="Tahoma"/>
            <family val="2"/>
          </rPr>
          <t>"
written by:  Alex Tomanovich, P.E.</t>
        </r>
      </text>
    </comment>
    <comment ref="AE7" authorId="1" shapeId="0">
      <text>
        <r>
          <rPr>
            <sz val="8"/>
            <color indexed="81"/>
            <rFont val="Tahoma"/>
            <family val="2"/>
          </rPr>
          <t>If t(req'd) &gt; t, then increase shear lug thickness used (t), or reduce bending in lug by either decreasing grout depth (G) or lug height (H).</t>
        </r>
      </text>
    </comment>
    <comment ref="AE9" authorId="1" shapeId="0">
      <text>
        <r>
          <rPr>
            <sz val="8"/>
            <color indexed="81"/>
            <rFont val="Tahoma"/>
            <family val="2"/>
          </rPr>
          <t>If Fp &lt; fp, then either decrease grout depth (G) or increase lug height (H) or lug width (W) , which may mean increasing the base plate width (B).</t>
        </r>
      </text>
    </comment>
    <comment ref="C11" authorId="2" shapeId="0">
      <text>
        <r>
          <rPr>
            <sz val="8"/>
            <color indexed="81"/>
            <rFont val="Tahoma"/>
            <family val="2"/>
          </rPr>
          <t>Note: if the user does not wish to consider friction between column base and grout to take a portion of the appled shear load, V(total), then input P(DL) = 0.  Considering friction will reduce the shear to be taken by lug.
Sign convention: P(DL) = -down.
Note: in the value of P(DL) to be input, the user may elect to also include ONLY the portion of column axial live load which produces shear, if any.</t>
        </r>
      </text>
    </comment>
    <comment ref="AE11" authorId="1" shapeId="0">
      <text>
        <r>
          <rPr>
            <sz val="8"/>
            <color indexed="81"/>
            <rFont val="Tahoma"/>
            <family val="2"/>
          </rPr>
          <t>If Vb(allow) &lt; Vu, then either decrease grout depth (G) or increase lug height (H) or lug width (W) , which may mean increasing the base plate width (B).  Also, can increase pier dimensions (Lpx and Lpy).</t>
        </r>
      </text>
    </comment>
    <comment ref="AE13" authorId="1" shapeId="0">
      <text>
        <r>
          <rPr>
            <sz val="8"/>
            <color indexed="81"/>
            <rFont val="Tahoma"/>
            <family val="2"/>
          </rPr>
          <t>If weld size req'd. &gt; weld size used, then increase shear lug thickness used (t), or reduce bending in lug by either decreasing grout depth (G) or lug height (H).</t>
        </r>
      </text>
    </comment>
    <comment ref="C14" authorId="3" shapeId="0">
      <text>
        <r>
          <rPr>
            <sz val="8"/>
            <color indexed="81"/>
            <rFont val="Tahoma"/>
            <family val="2"/>
          </rPr>
          <t>The base plate length, 'N', is the length of the base plate parallel to the web (Y-axis) of the column.</t>
        </r>
      </text>
    </comment>
    <comment ref="C15" authorId="3" shapeId="0">
      <text>
        <r>
          <rPr>
            <sz val="8"/>
            <color indexed="81"/>
            <rFont val="Tahoma"/>
            <family val="2"/>
          </rPr>
          <t>The base plate length, 'B', is the length of the base plate parallel to the flanges (X-axis) of the column.</t>
        </r>
      </text>
    </comment>
    <comment ref="C23" authorId="2" shapeId="0">
      <text>
        <r>
          <rPr>
            <sz val="8"/>
            <color indexed="81"/>
            <rFont val="Tahoma"/>
            <family val="2"/>
          </rPr>
          <t>Coefficient of Friction,'</t>
        </r>
        <r>
          <rPr>
            <sz val="8"/>
            <color indexed="81"/>
            <rFont val="Symbol"/>
            <family val="1"/>
            <charset val="2"/>
          </rPr>
          <t>m</t>
        </r>
        <r>
          <rPr>
            <sz val="8"/>
            <color indexed="81"/>
            <rFont val="Tahoma"/>
            <family val="2"/>
          </rPr>
          <t xml:space="preserve">:
</t>
        </r>
        <r>
          <rPr>
            <sz val="8"/>
            <color indexed="81"/>
            <rFont val="Symbol"/>
            <family val="1"/>
            <charset val="2"/>
          </rPr>
          <t>m</t>
        </r>
        <r>
          <rPr>
            <sz val="8"/>
            <color indexed="81"/>
            <rFont val="Tahoma"/>
            <family val="2"/>
          </rPr>
          <t xml:space="preserve"> = 0.55 for base plate on top of grout bed.
</t>
        </r>
        <r>
          <rPr>
            <sz val="8"/>
            <color indexed="81"/>
            <rFont val="Symbol"/>
            <family val="1"/>
            <charset val="2"/>
          </rPr>
          <t>m</t>
        </r>
        <r>
          <rPr>
            <sz val="8"/>
            <color indexed="81"/>
            <rFont val="Tahoma"/>
            <family val="2"/>
          </rPr>
          <t xml:space="preserve"> = 0.70 for base plate recessed in grout.
</t>
        </r>
        <r>
          <rPr>
            <sz val="8"/>
            <color indexed="81"/>
            <rFont val="Symbol"/>
            <family val="1"/>
            <charset val="2"/>
          </rPr>
          <t>m</t>
        </r>
        <r>
          <rPr>
            <sz val="8"/>
            <color indexed="81"/>
            <rFont val="Tahoma"/>
            <family val="2"/>
          </rPr>
          <t xml:space="preserve"> = 0.90 for base plate embedded in concrete.</t>
        </r>
      </text>
    </comment>
    <comment ref="I36" authorId="1" shapeId="0">
      <text>
        <r>
          <rPr>
            <sz val="8"/>
            <color indexed="81"/>
            <rFont val="Tahoma"/>
            <family val="2"/>
          </rPr>
          <t>If t(req'd) &gt; t, then increase shear lug thickness used (t), or reduce bending in lug by either decreasing grout depth (G) or lug height (H).</t>
        </r>
      </text>
    </comment>
    <comment ref="I39" authorId="1" shapeId="0">
      <text>
        <r>
          <rPr>
            <sz val="8"/>
            <color indexed="81"/>
            <rFont val="Tahoma"/>
            <family val="2"/>
          </rPr>
          <t>If Fp &lt; fp, then either decrease grout depth (G) or increase lug height (H) or lug width (W) , which may mean increasing the base plate width (B).</t>
        </r>
      </text>
    </comment>
    <comment ref="C45" authorId="4" shapeId="0">
      <text>
        <r>
          <rPr>
            <sz val="8"/>
            <color indexed="81"/>
            <rFont val="Tahoma"/>
            <family val="2"/>
          </rPr>
          <t>The concrete design shear strength for the lug is determined based on a uniform tension stress of 4*0.85*SQRT(f'c) acting on an effective stress area defined by projecting a 45 degree plane from the bearing edge of the shear lug to the free surface of the pier.  The effective (embedded) bearing area of the shear lug is to be excluded from the projected area.</t>
        </r>
      </text>
    </comment>
    <comment ref="I47" authorId="1" shapeId="0">
      <text>
        <r>
          <rPr>
            <sz val="8"/>
            <color indexed="81"/>
            <rFont val="Tahoma"/>
            <family val="2"/>
          </rPr>
          <t>If Vb(allow) &lt; Vu, then either decrease grout depth (G) or increase lug height (H) or lug width (W) , which may mean increasing the base plate width (B).  Also, can increase pier dimensions (Lpx and Lpy).</t>
        </r>
      </text>
    </comment>
    <comment ref="I51" authorId="1" shapeId="0">
      <text>
        <r>
          <rPr>
            <sz val="8"/>
            <color indexed="81"/>
            <rFont val="Tahoma"/>
            <family val="2"/>
          </rPr>
          <t>If weld size req'd. &gt; weld size used, then increase shear lug thickness used (t), or reduce bending in lug by either decreasing grout depth (G) or lug height (H).</t>
        </r>
      </text>
    </comment>
  </commentList>
</comments>
</file>

<file path=xl/comments3.xml><?xml version="1.0" encoding="utf-8"?>
<comments xmlns="http://schemas.openxmlformats.org/spreadsheetml/2006/main">
  <authors>
    <author>Bob Dalpiaz</author>
    <author>O'Neal, Inc.</author>
    <author>O'Neal User</author>
    <author>Alex Tomanovich</author>
    <author>Alex Tomanovich, P.E.</author>
    <author>ATOMANOV</author>
  </authors>
  <commentList>
    <comment ref="K380" authorId="0" shapeId="0">
      <text>
        <r>
          <rPr>
            <sz val="8"/>
            <color indexed="81"/>
            <rFont val="Arial"/>
            <family val="2"/>
          </rPr>
          <t xml:space="preserve">              "</t>
        </r>
        <r>
          <rPr>
            <b/>
            <sz val="8"/>
            <color indexed="81"/>
            <rFont val="Arial"/>
            <family val="2"/>
          </rPr>
          <t>BASEPLT9.xls</t>
        </r>
        <r>
          <rPr>
            <sz val="8"/>
            <color indexed="81"/>
            <rFont val="Arial"/>
            <family val="2"/>
          </rPr>
          <t>"
written by:  Alex Tomanovich, P.E.</t>
        </r>
      </text>
    </comment>
    <comment ref="AH380" authorId="0" shapeId="0">
      <text>
        <r>
          <rPr>
            <sz val="8"/>
            <color indexed="81"/>
            <rFont val="Tahoma"/>
            <family val="2"/>
          </rPr>
          <t xml:space="preserve">              "</t>
        </r>
        <r>
          <rPr>
            <b/>
            <sz val="8"/>
            <color indexed="81"/>
            <rFont val="Tahoma"/>
            <family val="2"/>
          </rPr>
          <t>BASEPLT9.xls</t>
        </r>
        <r>
          <rPr>
            <sz val="8"/>
            <color indexed="81"/>
            <rFont val="Tahoma"/>
            <family val="2"/>
          </rPr>
          <t>"
written by:  Alex Tomanovich, P.E.</t>
        </r>
      </text>
    </comment>
    <comment ref="D391" authorId="1" shapeId="0">
      <text>
        <r>
          <rPr>
            <sz val="10"/>
            <color indexed="81"/>
            <rFont val="Arial"/>
            <family val="2"/>
          </rPr>
          <t>Shear Coefficient, 'C':
C = 1.85 for base plate on top of grout bed.
C = 1.25 for base plate recessed in grout.
C = 1.10 for base plate embedded in concrete.
Reference: "Design of Headed Anchor Bolts"
by John G. Shipp and Edward R. Haninger
AISC Engineering Journal, 2nd Quarter - 1983.</t>
        </r>
      </text>
    </comment>
    <comment ref="H402" authorId="1" shapeId="0">
      <text>
        <r>
          <rPr>
            <sz val="10"/>
            <color indexed="81"/>
            <rFont val="Arial"/>
            <family val="2"/>
          </rPr>
          <t xml:space="preserve">The column "envelope" loads are the loads applied to the column base and are input in 2 cases as follows:
  1.  Case 1 is termed the maximum load condition, and is generally 
       either DL+LL or some combination of DL+LL+WL or DL+LL+EQ.  
       Case 1 will generally control the bearing pressure.
  2.  Case 2 is termed the minimum load condition, and is generally 
       either DL only or some combination of DL+WL or DL+EQ.  
       Case 2 will generally control the anchor bolt tension.
Note: The user need not input loads for both cases for situations of gravity (DL and LL) loads only.  However, the user should make sure to either clear the contents of all cells that are not used for load input data, or those cell values should be input = 0.
    </t>
        </r>
        <r>
          <rPr>
            <b/>
            <sz val="10"/>
            <color indexed="10"/>
            <rFont val="Arial"/>
            <family val="2"/>
          </rPr>
          <t>DO NOT use the "Space Bar" to clear the contents of cells!</t>
        </r>
      </text>
    </comment>
    <comment ref="Q402" authorId="1" shapeId="0">
      <text>
        <r>
          <rPr>
            <b/>
            <sz val="10"/>
            <color indexed="10"/>
            <rFont val="Arial"/>
            <family val="2"/>
          </rPr>
          <t>DO NOT use the "Space Bar" to clear the contents of cells!</t>
        </r>
      </text>
    </comment>
    <comment ref="M403" authorId="2" shapeId="0">
      <text>
        <r>
          <rPr>
            <sz val="10"/>
            <color indexed="81"/>
            <rFont val="Arial"/>
            <family val="2"/>
          </rPr>
          <t>The total bearing area of the concrete support, 'A2', MUST have a minimum value of A2 = Lpx*Lpy &gt;= N*B.  
  For base plates supported on piers, use A2 = Lpx*Lpy.  
  For base plates supported on slabs or mats, use A2 = 4*(N*B),  
    where Lpx = Lpy = SQRT(4*N*B) .</t>
        </r>
      </text>
    </comment>
    <comment ref="C404" authorId="2" shapeId="0">
      <text>
        <r>
          <rPr>
            <sz val="10"/>
            <color indexed="81"/>
            <rFont val="Arial"/>
            <family val="2"/>
          </rPr>
          <t>'P' is the axial load at the base of the column.  Sign convention is as follows:
  tension (uplift) load = positive (+)
  compression (downward) load = negative (-)</t>
        </r>
      </text>
    </comment>
    <comment ref="D404" authorId="2" shapeId="0">
      <text>
        <r>
          <rPr>
            <sz val="10"/>
            <color indexed="81"/>
            <rFont val="Arial"/>
            <family val="2"/>
          </rPr>
          <t>'V' is the horizontal shear load at the base of the column, normally taken parallel to the web of the column or in 'N' direction of the base plate.  However, user may input the vector sum of the simultaneous shear loads as:
  Vr = SQRT(Vx^2+Vy^2)
Note: the user may wish to consider friction between column base and grout to take a portion of appled shear load, V, thus reducing the shear to be taken by bolts.
The total shear to be taken by bolts, 'Vb(bolts)', is then calculated as follows:
  V(bolts) = V-1/2*</t>
        </r>
        <r>
          <rPr>
            <sz val="10"/>
            <color indexed="81"/>
            <rFont val="Symbol"/>
            <family val="1"/>
            <charset val="2"/>
          </rPr>
          <t>m</t>
        </r>
        <r>
          <rPr>
            <sz val="10"/>
            <color indexed="81"/>
            <rFont val="Arial"/>
            <family val="2"/>
          </rPr>
          <t>*P</t>
        </r>
        <r>
          <rPr>
            <sz val="8"/>
            <color indexed="81"/>
            <rFont val="Arial"/>
            <family val="2"/>
          </rPr>
          <t xml:space="preserve">(DL)
</t>
        </r>
        <r>
          <rPr>
            <sz val="10"/>
            <color indexed="81"/>
            <rFont val="Arial"/>
            <family val="2"/>
          </rPr>
          <t xml:space="preserve">      where: </t>
        </r>
        <r>
          <rPr>
            <sz val="10"/>
            <color indexed="81"/>
            <rFont val="Symbol"/>
            <family val="1"/>
            <charset val="2"/>
          </rPr>
          <t>m</t>
        </r>
        <r>
          <rPr>
            <sz val="10"/>
            <color indexed="81"/>
            <rFont val="Arial"/>
            <family val="2"/>
          </rPr>
          <t xml:space="preserve"> = Coefficient of Friction
                      = 0.55 for base plate on top of grout bed
                      = 0.70 for base plate recessed in grout
                      = 0.90 for base plate embedded in concrete
                  P</t>
        </r>
        <r>
          <rPr>
            <sz val="8"/>
            <color indexed="81"/>
            <rFont val="Arial"/>
            <family val="2"/>
          </rPr>
          <t>(DL)</t>
        </r>
        <r>
          <rPr>
            <sz val="10"/>
            <color indexed="81"/>
            <rFont val="Arial"/>
            <family val="2"/>
          </rPr>
          <t xml:space="preserve"> = portion of column load as dead load
Note: in the value of column dead load, 'P</t>
        </r>
        <r>
          <rPr>
            <sz val="8"/>
            <color indexed="81"/>
            <rFont val="Arial"/>
            <family val="2"/>
          </rPr>
          <t>(DL)</t>
        </r>
        <r>
          <rPr>
            <sz val="10"/>
            <color indexed="81"/>
            <rFont val="Arial"/>
            <family val="2"/>
          </rPr>
          <t xml:space="preserve">', user may elect to also include ONLY the portion of column axial live load which produces shear, if any.
</t>
        </r>
      </text>
    </comment>
    <comment ref="E404" authorId="2" shapeId="0">
      <text>
        <r>
          <rPr>
            <sz val="10"/>
            <color indexed="81"/>
            <rFont val="Arial"/>
            <family val="2"/>
          </rPr>
          <t>The moment at the base of the column, 'M', is assumed to be about the X-axis of the column.</t>
        </r>
      </text>
    </comment>
    <comment ref="F404" authorId="2" shapeId="0">
      <text>
        <r>
          <rPr>
            <sz val="10"/>
            <color indexed="81"/>
            <rFont val="Arial"/>
            <family val="2"/>
          </rPr>
          <t>'P' is the axial load at the base of the column.  Sign convention is as follows:
  tension (uplift) load = positive (+)
  compression (downward) load = negative (-)</t>
        </r>
      </text>
    </comment>
    <comment ref="G404" authorId="2" shapeId="0">
      <text>
        <r>
          <rPr>
            <sz val="10"/>
            <color indexed="81"/>
            <rFont val="Arial"/>
            <family val="2"/>
          </rPr>
          <t>'V' is the horizontal shear load at the base of the column, normally taken parallel to the web of the column or in 'N' direction of the base plate.  However, user may input the vector sum of the simultaneous shear loads as:
  Vr = SQRT(Vx^2+Vy^2)
Note: the user may wish to consider friction between column base and grout to take a portion of appled shear load, V, thus reducing the shear to be taken by bolts.
The total shear to be taken by bolts, 'Vb(bolts)', is then calculated as follows:
  V(bolts) = V-1/2*</t>
        </r>
        <r>
          <rPr>
            <sz val="10"/>
            <color indexed="81"/>
            <rFont val="Symbol"/>
            <family val="1"/>
            <charset val="2"/>
          </rPr>
          <t>m</t>
        </r>
        <r>
          <rPr>
            <sz val="10"/>
            <color indexed="81"/>
            <rFont val="Arial"/>
            <family val="2"/>
          </rPr>
          <t>*P</t>
        </r>
        <r>
          <rPr>
            <sz val="8"/>
            <color indexed="81"/>
            <rFont val="Arial"/>
            <family val="2"/>
          </rPr>
          <t xml:space="preserve">(DL)
</t>
        </r>
        <r>
          <rPr>
            <sz val="10"/>
            <color indexed="81"/>
            <rFont val="Arial"/>
            <family val="2"/>
          </rPr>
          <t xml:space="preserve">      where: </t>
        </r>
        <r>
          <rPr>
            <sz val="10"/>
            <color indexed="81"/>
            <rFont val="Symbol"/>
            <family val="1"/>
            <charset val="2"/>
          </rPr>
          <t>m</t>
        </r>
        <r>
          <rPr>
            <sz val="10"/>
            <color indexed="81"/>
            <rFont val="Arial"/>
            <family val="2"/>
          </rPr>
          <t xml:space="preserve"> = Coefficient of Friction
                      = 0.55 for base plate on top of grout bed
                      = 0.70 for base plate recessed in grout
                      = 0.90 for base plate embedded in concrete
                  P</t>
        </r>
        <r>
          <rPr>
            <sz val="8"/>
            <color indexed="81"/>
            <rFont val="Arial"/>
            <family val="2"/>
          </rPr>
          <t>(DL)</t>
        </r>
        <r>
          <rPr>
            <sz val="10"/>
            <color indexed="81"/>
            <rFont val="Arial"/>
            <family val="2"/>
          </rPr>
          <t xml:space="preserve"> = portion of column load as dead load
Note: in the value of column dead load, 'P</t>
        </r>
        <r>
          <rPr>
            <sz val="8"/>
            <color indexed="81"/>
            <rFont val="Arial"/>
            <family val="2"/>
          </rPr>
          <t>(DL)</t>
        </r>
        <r>
          <rPr>
            <sz val="10"/>
            <color indexed="81"/>
            <rFont val="Arial"/>
            <family val="2"/>
          </rPr>
          <t xml:space="preserve">', user may elect to also include ONLY the portion of column axial live load which produces shear, if any.
</t>
        </r>
      </text>
    </comment>
    <comment ref="H404" authorId="2" shapeId="0">
      <text>
        <r>
          <rPr>
            <sz val="10"/>
            <color indexed="81"/>
            <rFont val="Arial"/>
            <family val="2"/>
          </rPr>
          <t>The moment at the base of the column, 'M', is assumed to be about the X-axis of the column.</t>
        </r>
      </text>
    </comment>
    <comment ref="I404" authorId="2" shapeId="0">
      <text>
        <r>
          <rPr>
            <sz val="10"/>
            <color indexed="81"/>
            <rFont val="Arial"/>
            <family val="2"/>
          </rPr>
          <t>The base plate length, 'N', is the length of the base plate parallel to the web (Y-axis) of the column.</t>
        </r>
      </text>
    </comment>
    <comment ref="J404" authorId="2" shapeId="0">
      <text>
        <r>
          <rPr>
            <sz val="10"/>
            <color indexed="81"/>
            <rFont val="Arial"/>
            <family val="2"/>
          </rPr>
          <t>The base plate length, 'B', is the length of the base plate parallel to the flanges (X-axis) of the column.</t>
        </r>
      </text>
    </comment>
    <comment ref="K404" authorId="2" shapeId="0">
      <text>
        <r>
          <rPr>
            <sz val="10"/>
            <color indexed="81"/>
            <rFont val="Arial"/>
            <family val="2"/>
          </rPr>
          <t xml:space="preserve">This is trial base plate thickness to be input by user, which will be compared to required thickness in results.
Note: user may wish to compare input thickness to suggested minimum thickness to ensure rigidity, which is:
  tp(min) &gt;= Maximum of: m/4  or  n/4
    where: m = (N-0.95*d)/2
                 n = (B-0.80*bf)/2
</t>
        </r>
        <r>
          <rPr>
            <u/>
            <sz val="10"/>
            <color indexed="81"/>
            <rFont val="Arial"/>
            <family val="2"/>
          </rPr>
          <t>Note:</t>
        </r>
        <r>
          <rPr>
            <sz val="10"/>
            <color indexed="81"/>
            <rFont val="Arial"/>
            <family val="2"/>
          </rPr>
          <t xml:space="preserve"> suggested minimum base plate thickness for rigidity, is shown in Column AH.</t>
        </r>
      </text>
    </comment>
    <comment ref="L404" authorId="2" shapeId="0">
      <text>
        <r>
          <rPr>
            <sz val="10"/>
            <color indexed="81"/>
            <rFont val="Arial"/>
            <family val="2"/>
          </rPr>
          <t>Pier length, 'Lpx', MUST BE &gt;= base plate length, 'N'.</t>
        </r>
      </text>
    </comment>
    <comment ref="M404" authorId="2" shapeId="0">
      <text>
        <r>
          <rPr>
            <sz val="10"/>
            <color indexed="81"/>
            <rFont val="Arial"/>
            <family val="2"/>
          </rPr>
          <t>Pier width, 'Lpy', MUST BE &gt;= base plate width, 'B'.</t>
        </r>
      </text>
    </comment>
    <comment ref="N404" authorId="2" shapeId="0">
      <text>
        <r>
          <rPr>
            <sz val="10"/>
            <color indexed="81"/>
            <rFont val="Arial"/>
            <family val="2"/>
          </rPr>
          <t xml:space="preserve">'Nb' is the total number of anchor bolts on both sides of the column flanges.  Note: anchor bolts MUST be in only 2 rows, one row outside of each column flange.
</t>
        </r>
        <r>
          <rPr>
            <b/>
            <u/>
            <sz val="10"/>
            <color indexed="10"/>
            <rFont val="Arial"/>
            <family val="2"/>
          </rPr>
          <t>Note:</t>
        </r>
        <r>
          <rPr>
            <b/>
            <sz val="10"/>
            <color indexed="10"/>
            <rFont val="Arial"/>
            <family val="2"/>
          </rPr>
          <t xml:space="preserve"> MUST input whole number value
          of either 2, 4, 6, or 8.</t>
        </r>
      </text>
    </comment>
    <comment ref="O404" authorId="3" shapeId="0">
      <text>
        <r>
          <rPr>
            <sz val="10"/>
            <color indexed="81"/>
            <rFont val="Arial"/>
            <family val="2"/>
          </rPr>
          <t>Anchor bolt diameters permitted are:
  3/8", 1/2", 5/8", 3/4", 7/8", 1", 1-1/8", 1-1/4", 
  1-3/8", 1-1/2", 1-3/4", 2", 2-1/4", 2-1/2", 2-3/4", and 3".</t>
        </r>
      </text>
    </comment>
    <comment ref="P404" authorId="3" shapeId="0">
      <text>
        <r>
          <rPr>
            <b/>
            <sz val="10"/>
            <color indexed="81"/>
            <rFont val="Arial"/>
            <family val="2"/>
          </rPr>
          <t xml:space="preserve">                                          ANCHOR BOLT DATA
</t>
        </r>
        <r>
          <rPr>
            <b/>
            <u/>
            <sz val="10"/>
            <color indexed="81"/>
            <rFont val="Arial"/>
            <family val="2"/>
          </rPr>
          <t>Bolt Dia. (db)          Oversized Hole Dia. (dh)          Min. Edge Distance (ED)</t>
        </r>
        <r>
          <rPr>
            <sz val="10"/>
            <color indexed="81"/>
            <rFont val="Arial"/>
            <family val="2"/>
          </rPr>
          <t xml:space="preserve">
      3/8"                                      11/16"                                          13/16"
      1/2"                                      13/16"                                          15/16"      
      5/8"                                      15/16"                                         1-1/16"
      3/4"                                     1-1/16"                                         1-3/16"
      7/8"                                     1-3/16"                                         1-5/16"
        1"                                       1-1/2"                                           1-1/2"
     1-1/8"                                   1-5/8"                                           1-3/4"
     1-1/4"                                   1-3/4"                                           1-7/8"
     1-3/8"                                   1-7/8"                                              2"
     1-1/2"                                       2"                                              2-1/4"
     1-3/4"                                   2-1/4"                                           2-7/16"
        2"                                       2-1/2"                                           2-3/4"
     2-1/4"                                   3-1/4"                                           3-5/16"
     2-1/2"                                   3-1/2"                                           3-5/8"
     2-3/4"                                   3-3/4"                                          3-15/16"
        3"                                          4"                                              4-1/4"
Note:  Minimum edge distances shown above are for base plates with either rolled,
           gas-cut, or saw-cut edges only.</t>
        </r>
      </text>
    </comment>
    <comment ref="Q404" authorId="3" shapeId="0">
      <text>
        <r>
          <rPr>
            <b/>
            <sz val="10"/>
            <color indexed="81"/>
            <rFont val="Arial"/>
            <family val="2"/>
          </rPr>
          <t xml:space="preserve">                                          ANCHOR BOLT DATA
</t>
        </r>
        <r>
          <rPr>
            <b/>
            <u/>
            <sz val="10"/>
            <color indexed="81"/>
            <rFont val="Arial"/>
            <family val="2"/>
          </rPr>
          <t>Bolt Dia. (db)          Oversized Hole Dia. (dh)          Min. Edge Distance (ED)</t>
        </r>
        <r>
          <rPr>
            <sz val="10"/>
            <color indexed="81"/>
            <rFont val="Arial"/>
            <family val="2"/>
          </rPr>
          <t xml:space="preserve">
      3/8"                                      11/16"                                          13/16"
      1/2"                                      13/16"                                          15/16"      
      5/8"                                      15/16"                                         1-1/16"
      3/4"                                     1-1/16"                                         1-3/16"
      7/8"                                     1-3/16"                                         1-5/16"
        1"                                       1-1/2"                                           1-1/2"
     1-1/8"                                   1-5/8"                                           1-3/4"
     1-1/4"                                   1-3/4"                                           1-7/8"
     1-3/8"                                   1-7/8"                                              2"
     1-1/2"                                       2"                                              2-1/4"
     1-3/4"                                   2-1/4"                                           2-7/16"
        2"                                       2-1/2"                                           2-3/4"
     2-1/4"                                   3-1/4"                                           3-5/16"
     2-1/2"                                   3-1/2"                                           3-5/8"
     2-3/4"                                   3-3/4"                                          3-15/16"
        3"                                          4"                                              4-1/4"
Note:  Minimum edge distances shown above are for base plates with either rolled,
           gas-cut, or saw-cut edges only.</t>
        </r>
      </text>
    </comment>
    <comment ref="R404" authorId="2" shapeId="0">
      <text>
        <r>
          <rPr>
            <sz val="10"/>
            <color indexed="81"/>
            <rFont val="Arial"/>
            <family val="2"/>
          </rPr>
          <t>The eccentricity (e) for Load Case 1 is:
  e = ABS(M*12/P)</t>
        </r>
      </text>
    </comment>
    <comment ref="S404" authorId="3" shapeId="0">
      <text>
        <r>
          <rPr>
            <b/>
            <u/>
            <sz val="10"/>
            <color indexed="81"/>
            <rFont val="Arial"/>
            <family val="2"/>
          </rPr>
          <t>Note:  P = -P (which was input) for use in equations below.</t>
        </r>
        <r>
          <rPr>
            <sz val="10"/>
            <color indexed="81"/>
            <rFont val="Arial"/>
            <family val="2"/>
          </rPr>
          <t xml:space="preserve">
For case of axial compression load plus moment:
  when:  ABS(e) = M*12/P &gt; N/2-Xc/3  
    MR = Es/Ec = 29000/(57*SQRT(f'c*1000))  ,  As = (Nb/2)*p*db^2/4
    Xc^3 + 3*(e-N/2)*Xc^2 + 6*MR*As/B*((N/2-ED1)+e)*Xc - 6*MR*As/B*(N/2+(N/2-ED1))*((N/2-ED1)+e) = 0
    Solve cubic equation for Xc
  when:  N/6 &lt; ABS(e) &lt;= N/2-Xc/3
    Xc = 3*(N/2-e)
  when:  ABS(e) &lt;= N/6
    Xc = N
For case of axial tension load plus moment:
  when:  ABS(e) = M*12/P &gt; N/2-ED1
    MR = Es/Ec = 29000/(57*SQRT(f'c*1000))  ,  As = (Nb/2)*p*db^2/4
    Xc^3 + 3*(e-N/2)*Xc^2 + 6*MR*As/B*((N/2-ED1)+e)*Xc - 6*MR*As/B*(N/2+(N/2-ED1))*((N/2-ED1)+e) = 0
    Solve cubic equation for Xc
  when:  ABS(e) &lt;= N/2-ED1
    Xc = 0</t>
        </r>
      </text>
    </comment>
    <comment ref="T404" authorId="2" shapeId="0">
      <text>
        <r>
          <rPr>
            <sz val="10"/>
            <color indexed="81"/>
            <rFont val="Arial"/>
            <family val="2"/>
          </rPr>
          <t>The eccentricity (e) for Load Case 2 is:
  e = ABS(M*12/P)</t>
        </r>
      </text>
    </comment>
    <comment ref="U404" authorId="3" shapeId="0">
      <text>
        <r>
          <rPr>
            <b/>
            <u/>
            <sz val="10"/>
            <color indexed="81"/>
            <rFont val="Arial"/>
            <family val="2"/>
          </rPr>
          <t>Note:  P = -P (which was input) for use in equations below.</t>
        </r>
        <r>
          <rPr>
            <sz val="10"/>
            <color indexed="81"/>
            <rFont val="Arial"/>
            <family val="2"/>
          </rPr>
          <t xml:space="preserve">
For case of axial compression load plus moment:
  when:  ABS(e) = M*12/P &gt; N/2-Xc/3  
    MR = Es/Ec = 29000/(57*SQRT(f'c*1000))  ,  As = (Nb/2)*p*db^2/4
    Xc^3 + 3*(e-N/2)*Xc^2 + 6*MR*As/B*((N/2-ED1)+e)*Xc - 6*MR*As/B*(N/2+(N/2-ED1))*((N/2-ED1)+e) = 0
    Solve cubic equation for Xc
  when:  N/6 &lt; ABS(e) &lt;= N/2-Xc/3
    Xc = 3*(N/2-e)
  when:  ABS(e) &lt;= N/6
    Xc = N
For case of axial tension load plus moment:
  when:  ABS(e) = M*12/P &gt; N/2-ED1
    MR = Es/Ec = 29000/(57*SQRT(f'c*1000))  ,  As = (Nb/2)*p*db^2/4
    Xc^3 + 3*(e-N/2)*Xc^2 + 6*MR*As/B*((N/2-ED1)+e)*Xc - 6*MR*As/B*(N/2+(N/2-ED1))*((N/2-ED1)+e) = 0
    Solve cubic equation for Xc
  when:  ABS(e) &lt;= N/2-ED1
    Xc = 0</t>
        </r>
      </text>
    </comment>
    <comment ref="V404" authorId="3" shapeId="0">
      <text>
        <r>
          <rPr>
            <b/>
            <u/>
            <sz val="10"/>
            <color indexed="8"/>
            <rFont val="Arial"/>
            <family val="2"/>
          </rPr>
          <t>Note:  P = -P (which was input) for use in equations below.</t>
        </r>
        <r>
          <rPr>
            <sz val="10"/>
            <color indexed="8"/>
            <rFont val="Arial"/>
            <family val="2"/>
          </rPr>
          <t xml:space="preserve">
For case of axial compression load without moment:
  fp(max) = fp(min) = fp = P/(N*B)  
For case of axial compression load plus moment:
  when:  ABS(e) = M*12/P &gt; N/2-Xc/3
    T = -P*(N/2-Xc/3-e)/(N/2-Xc/3+(N/2-ED1))  ,  Tb = T/(Nb/2)
    fp(max) = 2*(P+T)/(Xc*B)
  when:   N/6 &lt; ABS(e) &lt;= N/2-Xc/3
    fp(max) = 2*P/(Xc*B)
  when:  ABS(e) &lt;= N/6
    fp(max) = ABS(P)/(N*B)*(1+6*e/N)
For case of axial tension load plus moment:
  when:  ABS(e) = M*12/P &gt; N/2-ED1
    Tb = -P*(N/2-ED1-M*12/P)/(2*(N/2-ED1))/(Nb/2)
    T = Tb*(Nb/2)
    fp(max) = 2*(P+T)/(Xc*B)
  when:   ABS(e) &lt;= N/2-ED1
    fp(max) = 0</t>
        </r>
      </text>
    </comment>
    <comment ref="W404" authorId="1" shapeId="0">
      <text>
        <r>
          <rPr>
            <sz val="10"/>
            <color indexed="81"/>
            <rFont val="Arial"/>
            <family val="2"/>
          </rPr>
          <t>Allowable concrete bearing stress, 'Fp', is determined as follows:
  for bearing on entire area of concrete support, 
    Fp = 0.35*f'c
  for bearing on less than entire area of concrete support, 
    Fp = 0.35*f'c*SQRT(A2/A1) &lt;= 0.70*f'c
      where:  A2 = Lpx*Lpy &gt;= N*B
                   A1 = N*B
Note: the total bearing area of the concrete support, 'A2', MUST have a minimum value of A2 = N*B.  For base plates supported on slabs or mats, use A2 = 4*(N*B).</t>
        </r>
      </text>
    </comment>
    <comment ref="Y404" authorId="4" shapeId="0">
      <text>
        <r>
          <rPr>
            <b/>
            <u/>
            <sz val="10"/>
            <color indexed="81"/>
            <rFont val="Arial"/>
            <family val="2"/>
          </rPr>
          <t>Note:  P = -P (which was input) for use in equations below.</t>
        </r>
        <r>
          <rPr>
            <sz val="10"/>
            <color indexed="81"/>
            <rFont val="Arial"/>
            <family val="2"/>
          </rPr>
          <t xml:space="preserve">
For column base plates subjected to concentric axial compression load without moment:
  fp = P/(N*B)  ,  m = (N-0.95*d)/2  ,  n = (B-0.8*bf)/2  ,  n' = SQRT(d*bf)/4
  q = 4*fp*d*bf/((d+bf)^2*Fp) &lt; 1.0  ,  l = 2*(1-SQRT(1-q))/SQRT(q) &lt;= 1.0
  tp = 2*c*SQRT(fp/Fy)  ,  where: c = maximum of:  m, n, or l*n'
For column base plates subjected to axial load plus moment:
  If Xc &gt; m  ,  tp = maximum of:
    tp = SQRT(6*((fpmax-((fpmax-fpmin)/Xc)*m)*m^2/2+((fpmax-fpmin)/Xc)*m^3/3)/(0.75*Fy))
    tp = 2*n*SQRT((fpmax+fpmin)/2/Fy)
    tp = 2*(l*n')*SQRT((fpmax+fpmin)/2/Fy)
    tp = SQRT(6*Tb*(m-ED1)/be/(0.75*Fy))
  If Xc &lt;= m  ,  tp = maximum of:
    tp = SQRT(6*fpmax*Xc/2*(m-Xc/3)/(0.75*Fy))
    tp = SQRT(6*Tb*(m-ED1)/be/(0.75*Fy))
      where:  be = min. of: (m-ED1) or (B-2*ED2)/(2*(Nb/2-1)) + min. of: (m-ED1) or (B-2*ED2)/(2*(Nb/2-1)) or ED2</t>
        </r>
      </text>
    </comment>
    <comment ref="AA404" authorId="3" shapeId="0">
      <text>
        <r>
          <rPr>
            <b/>
            <u/>
            <sz val="10"/>
            <color indexed="81"/>
            <rFont val="Arial"/>
            <family val="2"/>
          </rPr>
          <t>Note:  P = -P (which was input) for use in equations below.</t>
        </r>
        <r>
          <rPr>
            <sz val="10"/>
            <color indexed="81"/>
            <rFont val="Arial"/>
            <family val="2"/>
          </rPr>
          <t xml:space="preserve">
For case of axial compression load plus moment:
  when:  ABS(e) = M*12/P &gt; N/2-Xc/3  ,  Tb &gt; 0
    T = -P*(N/2-Xc/3-e)/(N/2-Xc/3+(N/2-ED1))
    Tb = T/(Nb/2)
  when:  ABS(e) &lt;= N/2-Xc/3
    Tb = 0
For case of axial tension load plus moment:
  when:  ABS(e) &gt; N/2-ED1:
    Tb = -P*(N/2-Xc/3-M*12/P)/(N/2-Xc/3+(N/2-ED1))/(Nb/2)
  when:  ABS(e) &lt;= N/2-ED1:
    Tb = -P*(N/2-ED1-M*12/P)/(2*(N/2-ED1))/(Nb/2)</t>
        </r>
      </text>
    </comment>
    <comment ref="AB404" authorId="5" shapeId="0">
      <text>
        <r>
          <rPr>
            <sz val="10"/>
            <color indexed="81"/>
            <rFont val="Arial"/>
            <family val="2"/>
          </rPr>
          <t xml:space="preserve">                                                                                                </t>
        </r>
        <r>
          <rPr>
            <b/>
            <u/>
            <sz val="10"/>
            <color indexed="81"/>
            <rFont val="Arial"/>
            <family val="2"/>
          </rPr>
          <t>Anchor Bolt Data</t>
        </r>
        <r>
          <rPr>
            <sz val="10"/>
            <color indexed="81"/>
            <rFont val="Arial"/>
            <family val="2"/>
          </rPr>
          <t xml:space="preserve">
</t>
        </r>
        <r>
          <rPr>
            <u/>
            <sz val="10"/>
            <color indexed="81"/>
            <rFont val="Arial"/>
            <family val="2"/>
          </rPr>
          <t xml:space="preserve">Nominal Diameter, db (in.)        Area, Ab (in.^2)                                                          Allowable Tension, Ta (kips)                                                            </t>
        </r>
        <r>
          <rPr>
            <sz val="10"/>
            <color indexed="81"/>
            <rFont val="Arial"/>
            <family val="2"/>
          </rPr>
          <t xml:space="preserve">     
                                                                                    </t>
        </r>
        <r>
          <rPr>
            <u/>
            <sz val="10"/>
            <color indexed="81"/>
            <rFont val="Arial"/>
            <family val="2"/>
          </rPr>
          <t xml:space="preserve">A307               A36               A572                A588      F1554 (36)       F1554 (55)     F1554 (105) 
</t>
        </r>
        <r>
          <rPr>
            <sz val="10"/>
            <color indexed="81"/>
            <rFont val="Arial"/>
            <family val="2"/>
          </rPr>
          <t xml:space="preserve">              1/2                                    0.1963                  3.93               3.75               4.22                 4.53              3.75                    4.87               8.11
              5/8                                    0.3068                  6.14               5.86               6.60                 7.09              5.86                    7.61              12.67
              3/4                                    0.4418                  8.84               8.44               9.50                10.21             8.84                   10.96             18.25
              7/8                                    0.6013                 12.03             11.48             12.93               13.89            11.48                  14.91             24.83
               1                                      0.7854                 15.71             15.00             16.89               18.14            15.00                  19.48             32.44
            1-1/8                                  0.9940                 19.88             18.98              21.37               22.96           18.98                  24.65             41.05
            1-1/4                                  1.2272                 24.54             23.44              26.38               28.35           23.44                  30.43             50.68
            1-3/8                                  1.4850                 29.70             28.36              31.93               34.30           28.36                  36.83             61.33
            1-1/2                                  1.7671                 35.34             33.75              37.99               40.82           33.75                  43.82             72.98
            1-3/4                                  2.4053                 48.11             45.94              51.71               55.56           45.94                  59.65             99.34
               2                                      3.1416                 62.83             60.00             67.54                72.57           60.00                  77.91            129.75
            2-1/4                                  3.9761                 79.50             75.94              85.49               91.85           75.94                  98.61             164.21
            2-1/2                                  4.9087                 98.17             93.76             105.54             113.39          93.76                 121.74            202.73
            2-3/4                                  5.9396                118.79           113.45            127.70             137.20         113.45                147.30            245.31
               3                                      7.0686                141.37           135.01           151.97             163.28          135.01                175.30            291.93
Note: allowable tension values are for no shear.
                  </t>
        </r>
        <r>
          <rPr>
            <u/>
            <sz val="10"/>
            <color indexed="81"/>
            <rFont val="Arial"/>
            <family val="2"/>
          </rPr>
          <t>Allowable Tension Stress and Min. Tensile Strength for Anchor Bolts</t>
        </r>
        <r>
          <rPr>
            <sz val="10"/>
            <color indexed="81"/>
            <rFont val="Arial"/>
            <family val="2"/>
          </rPr>
          <t xml:space="preserve">
                                  </t>
        </r>
        <r>
          <rPr>
            <u/>
            <sz val="10"/>
            <color indexed="81"/>
            <rFont val="Arial"/>
            <family val="2"/>
          </rPr>
          <t>Description of Anchor Bolts       Ft (ksi)    Fu (ksi)    Fy (ksi)</t>
        </r>
        <r>
          <rPr>
            <sz val="10"/>
            <color indexed="81"/>
            <rFont val="Arial"/>
            <family val="2"/>
          </rPr>
          <t xml:space="preserve">
                                           A307 bolts                          20.0          60.0        36.0
                                     A36 threaded rods                   19.1          58.0        36.0
                                    A572 threaded rods                  21.5          65.0        50.0
                                    A588 threaded rods                  23.1          70.0        50.0
                                    F1554 (Gr. 36) th'd. rods           19.1          58.0        36.0
                                    F1554 (Gr. 55) th'd. rods           24.8          75.0        55.0  
                                    F1554 (Gr. 105) th'd. rods         41.3         125.0      105.0                                
Note: Ft = 0.33*Fu.</t>
        </r>
      </text>
    </comment>
    <comment ref="AD404" authorId="1" shapeId="0">
      <text>
        <r>
          <rPr>
            <sz val="10"/>
            <color indexed="81"/>
            <rFont val="Arial"/>
            <family val="2"/>
          </rPr>
          <t>The actual bolt shear, 'Vb', is:
  Vb = V/Nb</t>
        </r>
      </text>
    </comment>
    <comment ref="AE404" authorId="5" shapeId="0">
      <text>
        <r>
          <rPr>
            <sz val="10"/>
            <color indexed="81"/>
            <rFont val="Arial"/>
            <family val="2"/>
          </rPr>
          <t xml:space="preserve">                                                                                                               </t>
        </r>
        <r>
          <rPr>
            <b/>
            <u/>
            <sz val="10"/>
            <color indexed="81"/>
            <rFont val="Arial"/>
            <family val="2"/>
          </rPr>
          <t>Anchor Bolt Data</t>
        </r>
        <r>
          <rPr>
            <sz val="10"/>
            <color indexed="81"/>
            <rFont val="Arial"/>
            <family val="2"/>
          </rPr>
          <t xml:space="preserve">
</t>
        </r>
        <r>
          <rPr>
            <u/>
            <sz val="10"/>
            <color indexed="81"/>
            <rFont val="Arial"/>
            <family val="2"/>
          </rPr>
          <t xml:space="preserve">Nominal Diameter, db (in.)       Area, Ab (in.^2)                                                                          Allowable Shear, Va (kips)                                                               </t>
        </r>
        <r>
          <rPr>
            <sz val="10"/>
            <color indexed="81"/>
            <rFont val="Arial"/>
            <family val="2"/>
          </rPr>
          <t xml:space="preserve">
                                                                                         </t>
        </r>
        <r>
          <rPr>
            <u/>
            <sz val="10"/>
            <color indexed="81"/>
            <rFont val="Arial"/>
            <family val="2"/>
          </rPr>
          <t xml:space="preserve">A307               A36               A588                A572          F1554 (36)          F1554 (55)          F1554 (105) </t>
        </r>
        <r>
          <rPr>
            <sz val="10"/>
            <color indexed="81"/>
            <rFont val="Arial"/>
            <family val="2"/>
          </rPr>
          <t xml:space="preserve"> 
              1/2                                    0.1963                       1.96               1.94               2.18                 2.34              1.94                    2.51                    4.18  
              5/8                                    0.3068                       3.07               3.04               3.41                 3.65              3.04                    3.93                    6.53             
              3/4                                    0.4418                       4.42               4.37               4.90                 5.26              4.37                    5.66                    9.41
              7/8                                    0.6013                       6.01               5.95               6.67                 7.16              5.95                    7.70                   12.81
               1                                      0.7854                       7.85               7.78               8.72                 9.35              7.78                   10.05                  16.73
            1-1/8                                  0.9940                       9.94               9.84              11.03               11.83             9.84                   12.72                   21.17
            1-1/4                                  1.2272                      12.27             12.15             13.62               14.60            12.15                  15.71                   26.14
            1-3/8                                  1.4850                      14.85             14.70             16.48               17.67            14.70                  19.01                   31.63
            1-1/2                                  1.7671                      17.67             17.49             19.62               21.03            17.49                  22.62                   37.64
            1-3/4                                  2.4053                      24.05             23.81             26.70               28.62            23.81                  30.79                   51.23
               2                                      3.1416                      31.42             31.10             34.87              37.38             31.10                  40.21                   66.92
            2-1/4                                  3.9761                      39.76             39.36             44.13               47.32            39.36                  50.89                   84.69
            2-1/2                                  4.9087                      49.09             48.60             54.49               58.41            48.60                  62.83                  104.56
            2-3/4                                  5.9396                      59.40             58.80             65.93               70.68            58.80                  76.03                  126.51
               3                                      7.0686                      70.69             69.98             78.46               84.12            69.98                  90.48                  150.56
Note: allowable shear values are for no tension. 
                            </t>
        </r>
        <r>
          <rPr>
            <u/>
            <sz val="10"/>
            <color indexed="81"/>
            <rFont val="Arial"/>
            <family val="2"/>
          </rPr>
          <t>Allowable Shear Stress on Anchor Bolts</t>
        </r>
        <r>
          <rPr>
            <sz val="10"/>
            <color indexed="81"/>
            <rFont val="Arial"/>
            <family val="2"/>
          </rPr>
          <t xml:space="preserve">
                            </t>
        </r>
        <r>
          <rPr>
            <u/>
            <sz val="10"/>
            <color indexed="81"/>
            <rFont val="Arial"/>
            <family val="2"/>
          </rPr>
          <t>Description of Anchor Bolts          Fv (ksi)</t>
        </r>
        <r>
          <rPr>
            <sz val="10"/>
            <color indexed="81"/>
            <rFont val="Arial"/>
            <family val="2"/>
          </rPr>
          <t xml:space="preserve">
                                         A307 bolts                         10.0
                                   A36 threaded rods                    9.9
                                  A572 threaded rods                 11.1
                                  A588 threaded rods                 11.9
                                  F1554 (Gr. 36) th'd. rods            9.9
                                  F1554 (Gr. 55) th'd. rods          12.8
                                  F1554 (Gr. 105) th'd. rods        21.3
Note: Fv = 0.17*Fu  (for threads included in shear plane).</t>
        </r>
      </text>
    </comment>
    <comment ref="AG404" authorId="1" shapeId="0">
      <text>
        <r>
          <rPr>
            <sz val="10"/>
            <color indexed="81"/>
            <rFont val="Arial"/>
            <family val="2"/>
          </rPr>
          <t>Stress ratio for interaction of combined anchor bolt tension and shear is calculated as follows:
  S.R. = Tb/Ta+(C*Vb)/Va &lt;= 1.0
    where:  C = Shear Coefficient
                     = 1.85 for base plate on top of grout bed
                     = 1.25 for base plate recessed in grout
                     = 1.10 for base plate embedded in concrete
References: 1. "Design Aid: Anchor Bolt Interaction of Shear and Tension Loads"
                          by Mario N. Scacco 
                          AISC Engineering Journal, 4th Quarter - 1992.
                     2.  "Design of Headed Anchor Bolts"
                          by John G. Shipp and Edward R. Haninger
                          AISC Engineering Journal, 2nd Quarter - 1983.</t>
        </r>
      </text>
    </comment>
    <comment ref="AH404" authorId="1" shapeId="0">
      <text>
        <r>
          <rPr>
            <sz val="10"/>
            <color indexed="81"/>
            <rFont val="Arial"/>
            <family val="2"/>
          </rPr>
          <t>Adequate base plate rigidity is most likely assured if the distance from the face of the column to the edge of the base plate is &lt;= 4*tp.  See "General Anchorage to Concrete", TVA Civil Design Standard DS-C1.7.1 (Rev. 1984), page 25.)
Thus, suggested minimum base plate thickness to ensure assumption of plate rigidity is as follows:
  tp(min) &gt;= maximum of:  m/4  or  n/4
    where: m = (N-0.95*d)/2
                 n = (B-0.80*bf)/2</t>
        </r>
      </text>
    </comment>
  </commentList>
</comments>
</file>

<file path=xl/sharedStrings.xml><?xml version="1.0" encoding="utf-8"?>
<sst xmlns="http://schemas.openxmlformats.org/spreadsheetml/2006/main" count="1679" uniqueCount="861">
  <si>
    <t>W36x300</t>
  </si>
  <si>
    <t>HP14x89</t>
  </si>
  <si>
    <t>HP14x102</t>
  </si>
  <si>
    <t>W40x221</t>
  </si>
  <si>
    <t>W33x169</t>
  </si>
  <si>
    <t>W40x327</t>
  </si>
  <si>
    <t>W21x55</t>
  </si>
  <si>
    <t>W21x48</t>
  </si>
  <si>
    <t>W6x8.5</t>
  </si>
  <si>
    <t>M8x6.2</t>
  </si>
  <si>
    <t>M6x3.7</t>
  </si>
  <si>
    <t>M4x8</t>
  </si>
  <si>
    <t>Bolt Diameter, db =</t>
  </si>
  <si>
    <t>W5x16</t>
  </si>
  <si>
    <t>W5x19</t>
  </si>
  <si>
    <t>W6x9</t>
  </si>
  <si>
    <t>W6x12</t>
  </si>
  <si>
    <t>W6x15</t>
  </si>
  <si>
    <t>W30x235</t>
  </si>
  <si>
    <t>W30x261</t>
  </si>
  <si>
    <t>W14x370</t>
  </si>
  <si>
    <t>W36x485</t>
  </si>
  <si>
    <t>W30x326</t>
  </si>
  <si>
    <t>W30x357</t>
  </si>
  <si>
    <t>W30x391</t>
  </si>
  <si>
    <t>x2 =</t>
  </si>
  <si>
    <t>W44x335</t>
  </si>
  <si>
    <t>W44x290</t>
  </si>
  <si>
    <t>d</t>
  </si>
  <si>
    <t>tw</t>
  </si>
  <si>
    <t>bf</t>
  </si>
  <si>
    <t>tf</t>
  </si>
  <si>
    <t>W24x84</t>
  </si>
  <si>
    <t>W24x94</t>
  </si>
  <si>
    <t>W24x103</t>
  </si>
  <si>
    <t>W24x104</t>
  </si>
  <si>
    <t>W24x117</t>
  </si>
  <si>
    <t>W24x131</t>
  </si>
  <si>
    <t>W24x146</t>
  </si>
  <si>
    <t>W24x162</t>
  </si>
  <si>
    <t>W24x176</t>
  </si>
  <si>
    <t>W24x192</t>
  </si>
  <si>
    <t>W27x407</t>
  </si>
  <si>
    <t>M5x18.9</t>
  </si>
  <si>
    <t>M6x4.4</t>
  </si>
  <si>
    <t>M8x6.5</t>
  </si>
  <si>
    <t>A307</t>
  </si>
  <si>
    <t>Job Number:</t>
  </si>
  <si>
    <t>Input Data:</t>
  </si>
  <si>
    <t>Results:</t>
  </si>
  <si>
    <t>kips</t>
  </si>
  <si>
    <t>Shape</t>
  </si>
  <si>
    <t>A</t>
  </si>
  <si>
    <r>
      <t>l</t>
    </r>
    <r>
      <rPr>
        <sz val="10"/>
        <color indexed="12"/>
        <rFont val="Arial"/>
        <family val="2"/>
      </rPr>
      <t xml:space="preserve"> =</t>
    </r>
  </si>
  <si>
    <t>R =</t>
  </si>
  <si>
    <t>Column Properties:</t>
  </si>
  <si>
    <t>n =</t>
  </si>
  <si>
    <t>W24x207</t>
  </si>
  <si>
    <t>W24x229</t>
  </si>
  <si>
    <t>W40x249</t>
  </si>
  <si>
    <t>n' =</t>
  </si>
  <si>
    <t>W6x20</t>
  </si>
  <si>
    <t>c =</t>
  </si>
  <si>
    <t>fp(max) =</t>
  </si>
  <si>
    <t>S5x14.75</t>
  </si>
  <si>
    <t>S6x12.5</t>
  </si>
  <si>
    <t>HP10x57</t>
  </si>
  <si>
    <t>HP12x53</t>
  </si>
  <si>
    <t>HP12x63</t>
  </si>
  <si>
    <t>HP12x74</t>
  </si>
  <si>
    <t>HP12x84</t>
  </si>
  <si>
    <t>HP13x60</t>
  </si>
  <si>
    <t>W12x136</t>
  </si>
  <si>
    <t>W12x152</t>
  </si>
  <si>
    <t>W12x170</t>
  </si>
  <si>
    <t>W12x190</t>
  </si>
  <si>
    <t>W12x210</t>
  </si>
  <si>
    <t>W12x230</t>
  </si>
  <si>
    <t>W12x252</t>
  </si>
  <si>
    <t>W10x15</t>
  </si>
  <si>
    <t>W10x17</t>
  </si>
  <si>
    <t>W36x230</t>
  </si>
  <si>
    <t>S10x35</t>
  </si>
  <si>
    <t>S12x31.8</t>
  </si>
  <si>
    <t>S12x35</t>
  </si>
  <si>
    <t>S12x40.8</t>
  </si>
  <si>
    <t>S12x50</t>
  </si>
  <si>
    <t>W40x192</t>
  </si>
  <si>
    <t>W40x199</t>
  </si>
  <si>
    <t>W40x215</t>
  </si>
  <si>
    <t>Column Size:</t>
  </si>
  <si>
    <t>m =</t>
  </si>
  <si>
    <t>W14x808</t>
  </si>
  <si>
    <t>W18x86</t>
  </si>
  <si>
    <t>S7x15.3</t>
  </si>
  <si>
    <t>S7x20</t>
  </si>
  <si>
    <t>S8x18.4</t>
  </si>
  <si>
    <t>S8x23</t>
  </si>
  <si>
    <t>S10x25.4</t>
  </si>
  <si>
    <t>Job Name:</t>
  </si>
  <si>
    <t>W6x16</t>
  </si>
  <si>
    <t>W10x60</t>
  </si>
  <si>
    <t>W10x68</t>
  </si>
  <si>
    <t>W10x77</t>
  </si>
  <si>
    <t>W10x88</t>
  </si>
  <si>
    <t>W10x100</t>
  </si>
  <si>
    <t>W10x112</t>
  </si>
  <si>
    <t>W12x14</t>
  </si>
  <si>
    <t>W12x16</t>
  </si>
  <si>
    <t>W12x19</t>
  </si>
  <si>
    <t>W12x22</t>
  </si>
  <si>
    <t>W12x26</t>
  </si>
  <si>
    <t>S4x9.5</t>
  </si>
  <si>
    <t>S5x10</t>
  </si>
  <si>
    <t>M14x18</t>
  </si>
  <si>
    <t>HP8x36</t>
  </si>
  <si>
    <t>S24x90</t>
  </si>
  <si>
    <t>S24x100</t>
  </si>
  <si>
    <t>S24x106</t>
  </si>
  <si>
    <t>W8x31</t>
  </si>
  <si>
    <t>W8x35</t>
  </si>
  <si>
    <t>Stress Ratio:</t>
  </si>
  <si>
    <t>W40x321</t>
  </si>
  <si>
    <t>M12x10</t>
  </si>
  <si>
    <t>M12x10.8</t>
  </si>
  <si>
    <t>d =</t>
  </si>
  <si>
    <t>q =</t>
  </si>
  <si>
    <t>tp(use) =</t>
  </si>
  <si>
    <t>W27x161</t>
  </si>
  <si>
    <t>W27x494</t>
  </si>
  <si>
    <t>W27x539</t>
  </si>
  <si>
    <t>W30x90</t>
  </si>
  <si>
    <t>W30x99</t>
  </si>
  <si>
    <t>W30x108</t>
  </si>
  <si>
    <t>W14x82</t>
  </si>
  <si>
    <t>W14x90</t>
  </si>
  <si>
    <t>W14x99</t>
  </si>
  <si>
    <t>W14x109</t>
  </si>
  <si>
    <t>W14x120</t>
  </si>
  <si>
    <t>W14x132</t>
  </si>
  <si>
    <t>W14x145</t>
  </si>
  <si>
    <t>W14x159</t>
  </si>
  <si>
    <t>W14x176</t>
  </si>
  <si>
    <t>W33x515</t>
  </si>
  <si>
    <t>W33x567</t>
  </si>
  <si>
    <t>W33x619</t>
  </si>
  <si>
    <t>W36x135</t>
  </si>
  <si>
    <t>W36x150</t>
  </si>
  <si>
    <t>Anchor Bolt Material =</t>
  </si>
  <si>
    <t>A36</t>
  </si>
  <si>
    <t>W33x291</t>
  </si>
  <si>
    <t>in.^2</t>
  </si>
  <si>
    <t>kips/bolt</t>
  </si>
  <si>
    <t>ksi</t>
  </si>
  <si>
    <t>W36x232</t>
  </si>
  <si>
    <t>ft.-kips</t>
  </si>
  <si>
    <t>Ah =</t>
  </si>
  <si>
    <t>W30x116</t>
  </si>
  <si>
    <t>W21x223</t>
  </si>
  <si>
    <t>W21x248</t>
  </si>
  <si>
    <t>W21x275</t>
  </si>
  <si>
    <t>W21x300</t>
  </si>
  <si>
    <t>W21x333</t>
  </si>
  <si>
    <t>W21x364</t>
  </si>
  <si>
    <t>Bearing Pressure:</t>
  </si>
  <si>
    <t>Moment @ Base, M =</t>
  </si>
  <si>
    <t>W12x40</t>
  </si>
  <si>
    <t>W12x45</t>
  </si>
  <si>
    <t>W12x50</t>
  </si>
  <si>
    <t>W12x58</t>
  </si>
  <si>
    <t>W36x245</t>
  </si>
  <si>
    <t>W36x256</t>
  </si>
  <si>
    <t>W36x260</t>
  </si>
  <si>
    <t>W12x65</t>
  </si>
  <si>
    <t>W12x72</t>
  </si>
  <si>
    <t>W12x79</t>
  </si>
  <si>
    <t>S3x5.7</t>
  </si>
  <si>
    <t>S3x7.5</t>
  </si>
  <si>
    <t>S4x7.7</t>
  </si>
  <si>
    <r>
      <t>l</t>
    </r>
    <r>
      <rPr>
        <sz val="10"/>
        <color indexed="12"/>
        <rFont val="Arial"/>
        <family val="2"/>
      </rPr>
      <t>*n' =</t>
    </r>
  </si>
  <si>
    <t>W30x433</t>
  </si>
  <si>
    <t>W8x48</t>
  </si>
  <si>
    <t>W8x58</t>
  </si>
  <si>
    <t>W8x67</t>
  </si>
  <si>
    <t>W10x12</t>
  </si>
  <si>
    <t>W33x318</t>
  </si>
  <si>
    <t>W33x354</t>
  </si>
  <si>
    <t>W33x387</t>
  </si>
  <si>
    <t>W33x424</t>
  </si>
  <si>
    <t>W33x468</t>
  </si>
  <si>
    <t>W16x50</t>
  </si>
  <si>
    <t>W16x57</t>
  </si>
  <si>
    <t>W16x67</t>
  </si>
  <si>
    <t>W16x77</t>
  </si>
  <si>
    <t>W16x89</t>
  </si>
  <si>
    <t>T =</t>
  </si>
  <si>
    <t>W27x281</t>
  </si>
  <si>
    <t>HP10x42</t>
  </si>
  <si>
    <t>W14x34</t>
  </si>
  <si>
    <t>W14x38</t>
  </si>
  <si>
    <t>W14x43</t>
  </si>
  <si>
    <t>W14x48</t>
  </si>
  <si>
    <t>W14x53</t>
  </si>
  <si>
    <t>W14x61</t>
  </si>
  <si>
    <t>W14x68</t>
  </si>
  <si>
    <t>W14x74</t>
  </si>
  <si>
    <t>W18x97</t>
  </si>
  <si>
    <t>fp(min) =</t>
  </si>
  <si>
    <t>Row No.:</t>
  </si>
  <si>
    <t>SUMMARY OF CHECKS:</t>
  </si>
  <si>
    <t>bf =</t>
  </si>
  <si>
    <t>W8x40</t>
  </si>
  <si>
    <t>For Axial Load with or without Moment</t>
  </si>
  <si>
    <t>W27x178</t>
  </si>
  <si>
    <t xml:space="preserve"> </t>
  </si>
  <si>
    <t>W18x258</t>
  </si>
  <si>
    <t>W18x283</t>
  </si>
  <si>
    <t>W30x132</t>
  </si>
  <si>
    <t>W30x148</t>
  </si>
  <si>
    <t>W30x173</t>
  </si>
  <si>
    <t>W30x191</t>
  </si>
  <si>
    <t>W10x33</t>
  </si>
  <si>
    <t>W10x39</t>
  </si>
  <si>
    <t>W10x45</t>
  </si>
  <si>
    <t>W10x49</t>
  </si>
  <si>
    <t>W12x53</t>
  </si>
  <si>
    <t>W40x244</t>
  </si>
  <si>
    <t>W33x130</t>
  </si>
  <si>
    <t>W33x141</t>
  </si>
  <si>
    <t>W33x152</t>
  </si>
  <si>
    <t>W12x87</t>
  </si>
  <si>
    <t>W12x96</t>
  </si>
  <si>
    <t>W12x106</t>
  </si>
  <si>
    <t>tf =</t>
  </si>
  <si>
    <t>W36x328</t>
  </si>
  <si>
    <t>W36x359</t>
  </si>
  <si>
    <t>Xc =</t>
  </si>
  <si>
    <t>Select:</t>
  </si>
  <si>
    <t>W30x477</t>
  </si>
  <si>
    <t>W30x526</t>
  </si>
  <si>
    <t>W30x581</t>
  </si>
  <si>
    <t>W33x118</t>
  </si>
  <si>
    <t>W30x292</t>
  </si>
  <si>
    <t>Length, Xc =</t>
  </si>
  <si>
    <t>Anchor Bolt Tension:</t>
  </si>
  <si>
    <t>Design Parameters:</t>
  </si>
  <si>
    <t>W18x143</t>
  </si>
  <si>
    <t>W18x158</t>
  </si>
  <si>
    <t>W18x175</t>
  </si>
  <si>
    <t>W30x211</t>
  </si>
  <si>
    <t>W40x466</t>
  </si>
  <si>
    <t>W44x285</t>
  </si>
  <si>
    <t>in.</t>
  </si>
  <si>
    <t>W24x62</t>
  </si>
  <si>
    <t>W24x68</t>
  </si>
  <si>
    <t>W24x76</t>
  </si>
  <si>
    <t>W12x30</t>
  </si>
  <si>
    <t>W12x35</t>
  </si>
  <si>
    <t>S24x121</t>
  </si>
  <si>
    <t>tp3 =</t>
  </si>
  <si>
    <t>x3 =</t>
  </si>
  <si>
    <t>W24x55</t>
  </si>
  <si>
    <t>W14x211</t>
  </si>
  <si>
    <t>W14x233</t>
  </si>
  <si>
    <t>W14x257</t>
  </si>
  <si>
    <t>W14x283</t>
  </si>
  <si>
    <t>W14x311</t>
  </si>
  <si>
    <t>W36x160</t>
  </si>
  <si>
    <t>W36x170</t>
  </si>
  <si>
    <t>W36x182</t>
  </si>
  <si>
    <t>W36x194</t>
  </si>
  <si>
    <t>W36x210</t>
  </si>
  <si>
    <t>S15x42.9</t>
  </si>
  <si>
    <t>W36x439</t>
  </si>
  <si>
    <t>S =</t>
  </si>
  <si>
    <t>Base Plate Length, N =</t>
  </si>
  <si>
    <t>Base Plate Width, B =</t>
  </si>
  <si>
    <t>W36x393</t>
  </si>
  <si>
    <t>HP14x117</t>
  </si>
  <si>
    <t>W27x307</t>
  </si>
  <si>
    <t>Total No. of Bolts, Nb =</t>
  </si>
  <si>
    <t>W14x665</t>
  </si>
  <si>
    <t>W14x730</t>
  </si>
  <si>
    <t>W16x26</t>
  </si>
  <si>
    <t>W16x31</t>
  </si>
  <si>
    <t>W18x106</t>
  </si>
  <si>
    <t>W18x119</t>
  </si>
  <si>
    <t>W18x130</t>
  </si>
  <si>
    <t>k/bolt</t>
  </si>
  <si>
    <t>Base Plate Thickness:</t>
  </si>
  <si>
    <t>e =</t>
  </si>
  <si>
    <t>S15x50</t>
  </si>
  <si>
    <t>S18x54.7</t>
  </si>
  <si>
    <t>S18x70</t>
  </si>
  <si>
    <t>W40x277</t>
  </si>
  <si>
    <t>W40x297</t>
  </si>
  <si>
    <t>W40x298</t>
  </si>
  <si>
    <t>W40x324</t>
  </si>
  <si>
    <t>W40x328</t>
  </si>
  <si>
    <t>W40x362</t>
  </si>
  <si>
    <t>W40x397</t>
  </si>
  <si>
    <t>W40x436</t>
  </si>
  <si>
    <t>W40x480</t>
  </si>
  <si>
    <t>CALCULATIONS:</t>
  </si>
  <si>
    <t>S6x17.25</t>
  </si>
  <si>
    <t>W24x370</t>
  </si>
  <si>
    <t>W24x408</t>
  </si>
  <si>
    <t>W24x450</t>
  </si>
  <si>
    <t>W24x492</t>
  </si>
  <si>
    <t>W18x55</t>
  </si>
  <si>
    <t>W18x60</t>
  </si>
  <si>
    <t>W18x65</t>
  </si>
  <si>
    <t>W18x71</t>
  </si>
  <si>
    <t>W18x76</t>
  </si>
  <si>
    <t>W27x194</t>
  </si>
  <si>
    <t>W27x217</t>
  </si>
  <si>
    <t>W27x235</t>
  </si>
  <si>
    <t>W27x258</t>
  </si>
  <si>
    <t>W10x19</t>
  </si>
  <si>
    <t>W10x22</t>
  </si>
  <si>
    <t>W12x279</t>
  </si>
  <si>
    <t>W12x305</t>
  </si>
  <si>
    <t>W12x336</t>
  </si>
  <si>
    <t>W6x25</t>
  </si>
  <si>
    <t>W8x10</t>
  </si>
  <si>
    <t>W8x13</t>
  </si>
  <si>
    <t>W8x15</t>
  </si>
  <si>
    <t>W8x18</t>
  </si>
  <si>
    <t>W8x21</t>
  </si>
  <si>
    <t>W8x24</t>
  </si>
  <si>
    <t>W4x13</t>
  </si>
  <si>
    <t>W14x426</t>
  </si>
  <si>
    <t>W14x455</t>
  </si>
  <si>
    <t>W14x500</t>
  </si>
  <si>
    <t>W14x550</t>
  </si>
  <si>
    <t>W14x605</t>
  </si>
  <si>
    <t>W14x193</t>
  </si>
  <si>
    <t>A =</t>
  </si>
  <si>
    <t>W33x201</t>
  </si>
  <si>
    <t>W33x221</t>
  </si>
  <si>
    <t>W12x120</t>
  </si>
  <si>
    <t>W36x527</t>
  </si>
  <si>
    <t>W36x588</t>
  </si>
  <si>
    <t>W36x650</t>
  </si>
  <si>
    <t>W36x720</t>
  </si>
  <si>
    <t>W36x798</t>
  </si>
  <si>
    <t>W36x848</t>
  </si>
  <si>
    <t>W40x149</t>
  </si>
  <si>
    <t>W40x167</t>
  </si>
  <si>
    <t>W40x183</t>
  </si>
  <si>
    <t>W16x100</t>
  </si>
  <si>
    <t>W18x35</t>
  </si>
  <si>
    <t>W18x40</t>
  </si>
  <si>
    <t>W18x46</t>
  </si>
  <si>
    <t>W18x50</t>
  </si>
  <si>
    <t>Plate Yield Stress, Fy =</t>
  </si>
  <si>
    <t>tp1 =</t>
  </si>
  <si>
    <t>x1 =</t>
  </si>
  <si>
    <t>W10x54</t>
  </si>
  <si>
    <t>Column Loadings:</t>
  </si>
  <si>
    <t>W14x342</t>
  </si>
  <si>
    <t>tw =</t>
  </si>
  <si>
    <t>Concrete Strength, f 'c =</t>
  </si>
  <si>
    <t>ksi.</t>
  </si>
  <si>
    <t>tp2 =</t>
  </si>
  <si>
    <t>W36x280</t>
  </si>
  <si>
    <t>W21x166</t>
  </si>
  <si>
    <t>W21x182</t>
  </si>
  <si>
    <t>W21x201</t>
  </si>
  <si>
    <t>W18x311</t>
  </si>
  <si>
    <t>W21x44</t>
  </si>
  <si>
    <t>W21x50</t>
  </si>
  <si>
    <t>W21x57</t>
  </si>
  <si>
    <t>W21x62</t>
  </si>
  <si>
    <t>W21x68</t>
  </si>
  <si>
    <t>W21x73</t>
  </si>
  <si>
    <t>W30x124</t>
  </si>
  <si>
    <t>HP13x87</t>
  </si>
  <si>
    <t>HP13x100</t>
  </si>
  <si>
    <t>HP14x73</t>
  </si>
  <si>
    <t>P =</t>
  </si>
  <si>
    <t>W44x262</t>
  </si>
  <si>
    <t>W44x230</t>
  </si>
  <si>
    <t>W40x531</t>
  </si>
  <si>
    <t>W40x593</t>
  </si>
  <si>
    <t>W40x655</t>
  </si>
  <si>
    <t>W44x198</t>
  </si>
  <si>
    <t>W44X224</t>
  </si>
  <si>
    <t>W44x248</t>
  </si>
  <si>
    <t>S20x66</t>
  </si>
  <si>
    <t>S20x75</t>
  </si>
  <si>
    <t>S20x86</t>
  </si>
  <si>
    <t>S20x96</t>
  </si>
  <si>
    <t>S24x80</t>
  </si>
  <si>
    <t>W27x336</t>
  </si>
  <si>
    <t>W27x368</t>
  </si>
  <si>
    <t>W27x448</t>
  </si>
  <si>
    <t>W40x268</t>
  </si>
  <si>
    <t>M12x11.8</t>
  </si>
  <si>
    <t>W14x398</t>
  </si>
  <si>
    <t>W27x84</t>
  </si>
  <si>
    <t>W27x94</t>
  </si>
  <si>
    <t>W27x102</t>
  </si>
  <si>
    <t>W27x114</t>
  </si>
  <si>
    <t>W27x129</t>
  </si>
  <si>
    <t>W27x146</t>
  </si>
  <si>
    <t>W16x36</t>
  </si>
  <si>
    <t>W16x40</t>
  </si>
  <si>
    <t>W16x45</t>
  </si>
  <si>
    <t>W21x402</t>
  </si>
  <si>
    <t>W8x28</t>
  </si>
  <si>
    <t>W40x503</t>
  </si>
  <si>
    <t>W40x431</t>
  </si>
  <si>
    <t>W40x372</t>
  </si>
  <si>
    <t>W40x392</t>
  </si>
  <si>
    <t>W40x331</t>
  </si>
  <si>
    <t>W40x278</t>
  </si>
  <si>
    <t>W40x264</t>
  </si>
  <si>
    <t>W40x235</t>
  </si>
  <si>
    <t>W40x211</t>
  </si>
  <si>
    <t>Solve Cubic Equation Directly for Bearing Length, 'Xc':</t>
  </si>
  <si>
    <t>W21x83</t>
  </si>
  <si>
    <t>W21x93</t>
  </si>
  <si>
    <t>W21x101</t>
  </si>
  <si>
    <t>W21x111</t>
  </si>
  <si>
    <t>W21x122</t>
  </si>
  <si>
    <t>W21x132</t>
  </si>
  <si>
    <t>W21x147</t>
  </si>
  <si>
    <t>W18x192</t>
  </si>
  <si>
    <t>W18x211</t>
  </si>
  <si>
    <t>W18x234</t>
  </si>
  <si>
    <t>M10x7.5</t>
  </si>
  <si>
    <t>M10x8</t>
  </si>
  <si>
    <t>M10x9</t>
  </si>
  <si>
    <t>W10x26</t>
  </si>
  <si>
    <t>W10x30</t>
  </si>
  <si>
    <t>W14x22</t>
  </si>
  <si>
    <t>W14x26</t>
  </si>
  <si>
    <t>W14x30</t>
  </si>
  <si>
    <t>W33x241</t>
  </si>
  <si>
    <t>W33x263</t>
  </si>
  <si>
    <t>HP13x73</t>
  </si>
  <si>
    <t>W24x250</t>
  </si>
  <si>
    <t>W24x279</t>
  </si>
  <si>
    <t>W24x306</t>
  </si>
  <si>
    <t>W24x335</t>
  </si>
  <si>
    <t>W40x174</t>
  </si>
  <si>
    <t>Checker:</t>
  </si>
  <si>
    <t>Subject:</t>
  </si>
  <si>
    <t>Originator:</t>
  </si>
  <si>
    <t>Program Description:</t>
  </si>
  <si>
    <t>Worksheet Name</t>
  </si>
  <si>
    <t>Description</t>
  </si>
  <si>
    <t>Doc</t>
  </si>
  <si>
    <t>This documentation sheet</t>
  </si>
  <si>
    <t>Program Assumptions and Limitations:</t>
  </si>
  <si>
    <t xml:space="preserve">      explanations of input or output items, equations used, data tables, etc.  (Note:  presence of a “comment box”</t>
  </si>
  <si>
    <t xml:space="preserve">      is denoted by a “red triangle” in the upper right-hand corner of a cell.  Merely move the mouse pointer to the </t>
  </si>
  <si>
    <t xml:space="preserve">      desired cell to view the contents of that particular "comment box".)</t>
  </si>
  <si>
    <t>STEEL COLUMN BASE PLATE ANALYSIS</t>
  </si>
  <si>
    <t>Base Plate</t>
  </si>
  <si>
    <t xml:space="preserve">plates.  Specifically, wide flange column base plates may be subjected to axial loads (compression or tension), </t>
  </si>
  <si>
    <t xml:space="preserve">1.   This program follows the procedures and guidelines of the AISC 9th Edition Allowable Stress (ASD) Manual </t>
  </si>
  <si>
    <t xml:space="preserve">           "Design of Welded Structures" - by Omer W. Blodgett (James F. Lincoln Arc Welding Foundation)</t>
  </si>
  <si>
    <t>S.R. =</t>
  </si>
  <si>
    <t xml:space="preserve">Steel column base plate analysis </t>
  </si>
  <si>
    <t xml:space="preserve">      the base plate at two locations.  One, at the column flange in compression using the bearing pressure </t>
  </si>
  <si>
    <t xml:space="preserve">          d.  For a base plate supported on a slab or mat, use  A2 = 4*(N*B).</t>
  </si>
  <si>
    <t xml:space="preserve">          c.  The minimum area of concrete support is:  A2(min) = N*B.</t>
  </si>
  <si>
    <t xml:space="preserve">          e.  Two (2) total rows of anchor bolts are allowed, one row outside of each column flange.</t>
  </si>
  <si>
    <t xml:space="preserve">          f.  There must be an equal number of anchor bolts in each of the two (2) rows.</t>
  </si>
  <si>
    <t xml:space="preserve">          a.  The column is centered on the base plate in both directions.</t>
  </si>
  <si>
    <t xml:space="preserve">          b.  Axial column load, 'P', can be = 0  for the case with moment.</t>
  </si>
  <si>
    <t xml:space="preserve">      </t>
  </si>
  <si>
    <t>"BASEPLT9" --- STEEL COLUMN BASE PLATE ANALYSIS</t>
  </si>
  <si>
    <t xml:space="preserve">"BASEPLT9" is a spreadsheet program written in MS-Excel for the purpose of analysis of steel column base </t>
  </si>
  <si>
    <t>in.^2 (not used)</t>
  </si>
  <si>
    <t>in. (not used)</t>
  </si>
  <si>
    <t>W, S, M, and HP Section Properties from AISC Version 3.0 CD</t>
  </si>
  <si>
    <t>Database (2001) and AISC 9th Edition Manual (1989)</t>
  </si>
  <si>
    <t xml:space="preserve">      Database", Version 3.0 (2001) as well as the AISC 9th Edition (ASD) Manual (1989).</t>
  </si>
  <si>
    <t>a*(x^3) + b*(x^2) + c*(x) + d = 0</t>
  </si>
  <si>
    <t>a =</t>
  </si>
  <si>
    <t>b =</t>
  </si>
  <si>
    <t>Solve Cubic Equation:</t>
  </si>
  <si>
    <t>f =</t>
  </si>
  <si>
    <t>= ((3*c/a)-(b^2/a^2))/3</t>
  </si>
  <si>
    <t>g =</t>
  </si>
  <si>
    <t>= ((2*b^3/a^3)-(9*b*c/a^2)+(27*d/a))/27</t>
  </si>
  <si>
    <t>h =</t>
  </si>
  <si>
    <t>= (g^2/4)+(f^3/27)</t>
  </si>
  <si>
    <t>i =</t>
  </si>
  <si>
    <t>= SQRT((g^2/4)-h)</t>
  </si>
  <si>
    <t>j =</t>
  </si>
  <si>
    <t>= i^(1/3)</t>
  </si>
  <si>
    <t>k =</t>
  </si>
  <si>
    <t>= ACOS(-(g/(2*i)))</t>
  </si>
  <si>
    <t>L =</t>
  </si>
  <si>
    <t>= j*(-1)</t>
  </si>
  <si>
    <t>M =</t>
  </si>
  <si>
    <t>= COS(k/3)</t>
  </si>
  <si>
    <t>N =</t>
  </si>
  <si>
    <t>= SQRT(3)*SIN(k/3)</t>
  </si>
  <si>
    <t>= (b/(3*a))*(-1)</t>
  </si>
  <si>
    <t>= -(g/2)+SQRT(h)</t>
  </si>
  <si>
    <t>= R^(1/3)</t>
  </si>
  <si>
    <t>= -(g/2)-SQRT(h)</t>
  </si>
  <si>
    <t>U =</t>
  </si>
  <si>
    <t>= T^(1/3)</t>
  </si>
  <si>
    <t>Roots of Cubic Equation:</t>
  </si>
  <si>
    <t>Case #1: If h &gt; 0</t>
  </si>
  <si>
    <t>Case #2: If h &lt;= 0</t>
  </si>
  <si>
    <t>Case #3: If f, g, h = 0</t>
  </si>
  <si>
    <t>Anchor Bolt Shear:</t>
  </si>
  <si>
    <t>Calculate required weld size</t>
  </si>
  <si>
    <t>k/in.</t>
  </si>
  <si>
    <t>M(lg) =</t>
  </si>
  <si>
    <t>M(lg) = (V(lg)/W)*(H+G)/2</t>
  </si>
  <si>
    <t>in-kips</t>
  </si>
  <si>
    <t>Lug Height, H =</t>
  </si>
  <si>
    <t>Lug Width, W =</t>
  </si>
  <si>
    <t>V(lg) =</t>
  </si>
  <si>
    <t>Rw =</t>
  </si>
  <si>
    <t>0.95*d</t>
  </si>
  <si>
    <t>Tb =</t>
  </si>
  <si>
    <t>Vb =</t>
  </si>
  <si>
    <t xml:space="preserve">        T=</t>
  </si>
  <si>
    <t>0.80*bf</t>
  </si>
  <si>
    <t>Shear Lug Design Loads:</t>
  </si>
  <si>
    <t>Shear Lug Thickness:</t>
  </si>
  <si>
    <t>Shear Lug</t>
  </si>
  <si>
    <t>STEEL COLUMN BASE - SHEAR LUG ANALYSIS</t>
  </si>
  <si>
    <t xml:space="preserve">Steel column base - shear lug analysis </t>
  </si>
  <si>
    <t>Base and Shear Lug Data:</t>
  </si>
  <si>
    <t>Base Plate Thk., tp =</t>
  </si>
  <si>
    <t xml:space="preserve">       Column</t>
  </si>
  <si>
    <t>Grout Thickness, G =</t>
  </si>
  <si>
    <t>Grout</t>
  </si>
  <si>
    <t>Shear, V(lg) =</t>
  </si>
  <si>
    <t>Moment, M(lg) =</t>
  </si>
  <si>
    <r>
      <t xml:space="preserve">          </t>
    </r>
    <r>
      <rPr>
        <b/>
        <u/>
        <sz val="10"/>
        <rFont val="Arial"/>
        <family val="2"/>
      </rPr>
      <t>Nomenclature</t>
    </r>
  </si>
  <si>
    <t>w</t>
  </si>
  <si>
    <t>Bolt</t>
  </si>
  <si>
    <t>Diameter</t>
  </si>
  <si>
    <t>Stress Area</t>
  </si>
  <si>
    <t>db (in.)</t>
  </si>
  <si>
    <t>Threads</t>
  </si>
  <si>
    <t>per Inch</t>
  </si>
  <si>
    <t>n</t>
  </si>
  <si>
    <t>Bolt tensile stress area:</t>
  </si>
  <si>
    <t>Bolt Tensile</t>
  </si>
  <si>
    <t>Abt =</t>
  </si>
  <si>
    <t>Abt = 0.7854*(db-0.9743/n)^2</t>
  </si>
  <si>
    <t>Abt (in^2)</t>
  </si>
  <si>
    <t>Eff. Width, be =</t>
  </si>
  <si>
    <t>Bolt Gross</t>
  </si>
  <si>
    <t>Area</t>
  </si>
  <si>
    <t>Abg (in^2)</t>
  </si>
  <si>
    <r>
      <t xml:space="preserve">Abg = </t>
    </r>
    <r>
      <rPr>
        <sz val="10"/>
        <color indexed="12"/>
        <rFont val="Symbol"/>
        <family val="1"/>
        <charset val="2"/>
      </rPr>
      <t>p</t>
    </r>
    <r>
      <rPr>
        <sz val="10"/>
        <color indexed="12"/>
        <rFont val="Arial"/>
        <family val="2"/>
      </rPr>
      <t>*db^2/4</t>
    </r>
  </si>
  <si>
    <t>Bolt gross area (for shear):</t>
  </si>
  <si>
    <t xml:space="preserve">Abg = </t>
  </si>
  <si>
    <t>Fyb =</t>
  </si>
  <si>
    <t>(for ASD)</t>
  </si>
  <si>
    <r>
      <t>f</t>
    </r>
    <r>
      <rPr>
        <sz val="10"/>
        <color indexed="10"/>
        <rFont val="Arial"/>
        <family val="2"/>
      </rPr>
      <t xml:space="preserve"> =</t>
    </r>
  </si>
  <si>
    <t>(C*Vb)/Vb(allow)+Tb/Tb(allow) &lt;= 1.0</t>
  </si>
  <si>
    <t>Shear Coef., C =</t>
  </si>
  <si>
    <t>Fv =</t>
  </si>
  <si>
    <t>Va =</t>
  </si>
  <si>
    <t>Ft =</t>
  </si>
  <si>
    <t>Ta =</t>
  </si>
  <si>
    <t>Fp =</t>
  </si>
  <si>
    <t>Vb = (f*Abt*Fyb-Tb)/C</t>
  </si>
  <si>
    <t>From: "Design of Headed Anchor Bolts"</t>
  </si>
  <si>
    <t>by: John G. Shipp and Edward R. Haninger</t>
  </si>
  <si>
    <t>(AISC Journal, 2nd Quarter 1983 - pages 58-69)</t>
  </si>
  <si>
    <t>Va(w/ tension) =</t>
  </si>
  <si>
    <t>Per AISC 9th Edition Manual (ASD) and "Design of Welded Structures" (O. Blodgett)</t>
  </si>
  <si>
    <r>
      <t xml:space="preserve">                  </t>
    </r>
    <r>
      <rPr>
        <b/>
        <u/>
        <sz val="10"/>
        <color indexed="8"/>
        <rFont val="Arial"/>
        <family val="2"/>
      </rPr>
      <t>Plan</t>
    </r>
  </si>
  <si>
    <r>
      <t xml:space="preserve">              </t>
    </r>
    <r>
      <rPr>
        <b/>
        <u/>
        <sz val="10"/>
        <color indexed="8"/>
        <rFont val="Arial"/>
        <family val="2"/>
      </rPr>
      <t>Elevation</t>
    </r>
  </si>
  <si>
    <t>fp =</t>
  </si>
  <si>
    <t>fp = V/(W*(H-G))</t>
  </si>
  <si>
    <t>Fp = 0.35*(f'c)</t>
  </si>
  <si>
    <t>Concrete Bearing at Lug:</t>
  </si>
  <si>
    <t>Concrete Shear in Front of Lug:</t>
  </si>
  <si>
    <t>Vu =</t>
  </si>
  <si>
    <t>Av =</t>
  </si>
  <si>
    <r>
      <t>f</t>
    </r>
    <r>
      <rPr>
        <sz val="10"/>
        <color indexed="12"/>
        <rFont val="Arial"/>
        <family val="2"/>
      </rPr>
      <t>Vc =</t>
    </r>
  </si>
  <si>
    <r>
      <t>f</t>
    </r>
    <r>
      <rPr>
        <sz val="10"/>
        <color indexed="12"/>
        <rFont val="Arial"/>
        <family val="2"/>
      </rPr>
      <t>Vc = 4*0.85*SQRT(f'c*1000)/1000*Av</t>
    </r>
  </si>
  <si>
    <t>Lug Yield Stress, Fy =</t>
  </si>
  <si>
    <t>EDy =</t>
  </si>
  <si>
    <t>EDx =</t>
  </si>
  <si>
    <t>Lug Thickness, t =</t>
  </si>
  <si>
    <t>t(req'd) =</t>
  </si>
  <si>
    <r>
      <t xml:space="preserve">Weld Size, </t>
    </r>
    <r>
      <rPr>
        <sz val="10"/>
        <color indexed="8"/>
        <rFont val="Symbol"/>
        <family val="1"/>
        <charset val="2"/>
      </rPr>
      <t>w</t>
    </r>
    <r>
      <rPr>
        <sz val="10"/>
        <color indexed="8"/>
        <rFont val="Arial"/>
        <family val="2"/>
      </rPr>
      <t xml:space="preserve"> =</t>
    </r>
  </si>
  <si>
    <r>
      <t>w</t>
    </r>
    <r>
      <rPr>
        <sz val="10"/>
        <color indexed="12"/>
        <rFont val="Arial"/>
        <family val="2"/>
      </rPr>
      <t>(req'd) =</t>
    </r>
  </si>
  <si>
    <r>
      <t>w</t>
    </r>
    <r>
      <rPr>
        <sz val="10"/>
        <color indexed="12"/>
        <rFont val="Arial"/>
        <family val="2"/>
      </rPr>
      <t>(req'd) = Rw/(0.7071*0.3*70)</t>
    </r>
  </si>
  <si>
    <r>
      <t>f</t>
    </r>
    <r>
      <rPr>
        <sz val="10"/>
        <color indexed="8"/>
        <rFont val="Arial"/>
        <family val="2"/>
      </rPr>
      <t>Vc =</t>
    </r>
  </si>
  <si>
    <t>s =</t>
  </si>
  <si>
    <r>
      <t>s = t+2*(1/3)*</t>
    </r>
    <r>
      <rPr>
        <sz val="10"/>
        <color indexed="8"/>
        <rFont val="Symbol"/>
        <family val="1"/>
        <charset val="2"/>
      </rPr>
      <t>w</t>
    </r>
    <r>
      <rPr>
        <sz val="10"/>
        <color indexed="8"/>
        <rFont val="Arial"/>
        <family val="2"/>
      </rPr>
      <t xml:space="preserve">  (moment arm between C.G. of welds)</t>
    </r>
  </si>
  <si>
    <r>
      <t>s = t+2*(1/3)*</t>
    </r>
    <r>
      <rPr>
        <sz val="10"/>
        <color indexed="12"/>
        <rFont val="Symbol"/>
        <family val="1"/>
        <charset val="2"/>
      </rPr>
      <t>w</t>
    </r>
    <r>
      <rPr>
        <sz val="10"/>
        <color indexed="12"/>
        <rFont val="Arial"/>
        <family val="2"/>
      </rPr>
      <t xml:space="preserve">  (moment arm between C.G. of welds)</t>
    </r>
  </si>
  <si>
    <t>and AC1 318-99 Code</t>
  </si>
  <si>
    <t>Vu = 1.7*V(lg)  (assume L.F. = 1.7)</t>
  </si>
  <si>
    <t>Shear Lug Welding:</t>
  </si>
  <si>
    <r>
      <t>f</t>
    </r>
    <r>
      <rPr>
        <sz val="10"/>
        <color indexed="8"/>
        <rFont val="Arial"/>
        <family val="2"/>
      </rPr>
      <t>Vc = 4*0.85*SQRT(f'c*1000)/1000*Av  (allowable)</t>
    </r>
  </si>
  <si>
    <t>Per AISC 9th Edition Manual (ASD), AISC "Steel Design Guide Series No. 1"</t>
  </si>
  <si>
    <t>Case 1: Maximum Load Condition</t>
  </si>
  <si>
    <t>Case 2: Minimum Load Condition</t>
  </si>
  <si>
    <t>COLUMN</t>
  </si>
  <si>
    <t>LOCATION</t>
  </si>
  <si>
    <t>Shear</t>
  </si>
  <si>
    <t>Axial</t>
  </si>
  <si>
    <t>Moment</t>
  </si>
  <si>
    <t>Length</t>
  </si>
  <si>
    <t>Width</t>
  </si>
  <si>
    <t>Lpx</t>
  </si>
  <si>
    <t>Lpy</t>
  </si>
  <si>
    <t>(kips)</t>
  </si>
  <si>
    <t>(ft-kips)</t>
  </si>
  <si>
    <t>V</t>
  </si>
  <si>
    <t>P</t>
  </si>
  <si>
    <t>M</t>
  </si>
  <si>
    <t>Depth</t>
  </si>
  <si>
    <t>Web Thk.</t>
  </si>
  <si>
    <t>Flg. Thk.</t>
  </si>
  <si>
    <t>Flg. Width</t>
  </si>
  <si>
    <t>Column Properties</t>
  </si>
  <si>
    <t>(in.^2)</t>
  </si>
  <si>
    <t>(in.)</t>
  </si>
  <si>
    <t>SIZE</t>
  </si>
  <si>
    <t>Base Plate Data</t>
  </si>
  <si>
    <t>N</t>
  </si>
  <si>
    <t>B</t>
  </si>
  <si>
    <t>Base Plate Yield Stress, Fy =</t>
  </si>
  <si>
    <t>Concrete Compressive Strength, f'c =</t>
  </si>
  <si>
    <t>Anchor Bolt Data</t>
  </si>
  <si>
    <t>Nb</t>
  </si>
  <si>
    <t>db</t>
  </si>
  <si>
    <t>Total No.</t>
  </si>
  <si>
    <t>Edge Dist.</t>
  </si>
  <si>
    <t>Shear Coefficient, C =</t>
  </si>
  <si>
    <t>Thickness</t>
  </si>
  <si>
    <t>tp</t>
  </si>
  <si>
    <r>
      <t>Axial Load, P</t>
    </r>
    <r>
      <rPr>
        <sz val="8"/>
        <color indexed="8"/>
        <rFont val="Arial"/>
        <family val="2"/>
      </rPr>
      <t>(DL)</t>
    </r>
    <r>
      <rPr>
        <sz val="10"/>
        <color indexed="8"/>
        <rFont val="Arial"/>
        <family val="2"/>
      </rPr>
      <t xml:space="preserve"> =</t>
    </r>
  </si>
  <si>
    <t>e</t>
  </si>
  <si>
    <t>Fp</t>
  </si>
  <si>
    <t>Xc</t>
  </si>
  <si>
    <t>fp(max)</t>
  </si>
  <si>
    <t>fp(min)</t>
  </si>
  <si>
    <t>m</t>
  </si>
  <si>
    <t>n'</t>
  </si>
  <si>
    <t>q</t>
  </si>
  <si>
    <t>l</t>
  </si>
  <si>
    <r>
      <t>l</t>
    </r>
    <r>
      <rPr>
        <sz val="10"/>
        <color indexed="12"/>
        <rFont val="Arial"/>
        <family val="2"/>
      </rPr>
      <t>*n'</t>
    </r>
  </si>
  <si>
    <t>c</t>
  </si>
  <si>
    <t>Tb</t>
  </si>
  <si>
    <t>tp1</t>
  </si>
  <si>
    <t>tp2</t>
  </si>
  <si>
    <t>tp3</t>
  </si>
  <si>
    <t>Abg</t>
  </si>
  <si>
    <t>Abt</t>
  </si>
  <si>
    <t>Ft</t>
  </si>
  <si>
    <t>Ta</t>
  </si>
  <si>
    <t>Fv</t>
  </si>
  <si>
    <t>Va</t>
  </si>
  <si>
    <t>Vb</t>
  </si>
  <si>
    <t>f</t>
  </si>
  <si>
    <t>tp(req'd)</t>
  </si>
  <si>
    <t>a</t>
  </si>
  <si>
    <t>b</t>
  </si>
  <si>
    <t>g</t>
  </si>
  <si>
    <t>h</t>
  </si>
  <si>
    <t>i</t>
  </si>
  <si>
    <t>j</t>
  </si>
  <si>
    <t>k</t>
  </si>
  <si>
    <t>L</t>
  </si>
  <si>
    <t>R</t>
  </si>
  <si>
    <t>S</t>
  </si>
  <si>
    <t>T</t>
  </si>
  <si>
    <t>U</t>
  </si>
  <si>
    <t>x1</t>
  </si>
  <si>
    <t>x2</t>
  </si>
  <si>
    <t>x3</t>
  </si>
  <si>
    <t xml:space="preserve">     N</t>
  </si>
  <si>
    <t xml:space="preserve">     m</t>
  </si>
  <si>
    <t xml:space="preserve">    m</t>
  </si>
  <si>
    <t xml:space="preserve">                   e = M*12/P</t>
  </si>
  <si>
    <t xml:space="preserve">      N</t>
  </si>
  <si>
    <t xml:space="preserve">         T=</t>
  </si>
  <si>
    <t xml:space="preserve">                Xc</t>
  </si>
  <si>
    <t>RESULTS</t>
  </si>
  <si>
    <t>(ksi)</t>
  </si>
  <si>
    <t>(actual)</t>
  </si>
  <si>
    <t>(allowable)</t>
  </si>
  <si>
    <t>Tb*(Nb/2)</t>
  </si>
  <si>
    <t>Pier Data</t>
  </si>
  <si>
    <t>DESIGN DATA</t>
  </si>
  <si>
    <t>Eccentricity</t>
  </si>
  <si>
    <t>Brg. Length</t>
  </si>
  <si>
    <r>
      <t>e</t>
    </r>
    <r>
      <rPr>
        <sz val="8"/>
        <color indexed="8"/>
        <rFont val="Arial"/>
        <family val="2"/>
      </rPr>
      <t>(case 1)</t>
    </r>
  </si>
  <si>
    <r>
      <t>e</t>
    </r>
    <r>
      <rPr>
        <sz val="8"/>
        <color indexed="8"/>
        <rFont val="Arial"/>
        <family val="2"/>
      </rPr>
      <t>(case 2)</t>
    </r>
  </si>
  <si>
    <r>
      <t>Xc</t>
    </r>
    <r>
      <rPr>
        <sz val="8"/>
        <color indexed="8"/>
        <rFont val="Arial"/>
        <family val="2"/>
      </rPr>
      <t>(case 1)</t>
    </r>
  </si>
  <si>
    <r>
      <t>Xc</t>
    </r>
    <r>
      <rPr>
        <sz val="8"/>
        <color indexed="8"/>
        <rFont val="Arial"/>
        <family val="2"/>
      </rPr>
      <t>(case 2)</t>
    </r>
  </si>
  <si>
    <r>
      <t xml:space="preserve">Coef. of Friction, </t>
    </r>
    <r>
      <rPr>
        <sz val="10"/>
        <color indexed="8"/>
        <rFont val="Symbol"/>
        <family val="1"/>
        <charset val="2"/>
      </rPr>
      <t>m</t>
    </r>
    <r>
      <rPr>
        <sz val="10"/>
        <color indexed="8"/>
        <rFont val="Arial"/>
        <family val="2"/>
      </rPr>
      <t xml:space="preserve"> =</t>
    </r>
  </si>
  <si>
    <t>Base Plate (Table)</t>
  </si>
  <si>
    <t>This program is a workbook consisting of four (4) worksheets, described as follows:</t>
  </si>
  <si>
    <t>Column Loads</t>
  </si>
  <si>
    <t>Roots for Case #1: If h &gt; 0</t>
  </si>
  <si>
    <t>Roots for Case #2: If h &lt;= 0</t>
  </si>
  <si>
    <t>Roots for Case #3: If f, g, h = 0</t>
  </si>
  <si>
    <t>Anchor Bolt Tension</t>
  </si>
  <si>
    <t>be</t>
  </si>
  <si>
    <t>Anchor Bolt Shear</t>
  </si>
  <si>
    <t>Cubic Equation for Bearing Length, 'Xc', where: a*(Xc^3) + b*(Xc^2) + c*(Xc) + d = 0</t>
  </si>
  <si>
    <t>Equation Coefficients</t>
  </si>
  <si>
    <t>Solution Parameters</t>
  </si>
  <si>
    <t>fp(max)/Fp</t>
  </si>
  <si>
    <t>Tb/Ta</t>
  </si>
  <si>
    <t>Vb/Va</t>
  </si>
  <si>
    <t>tp(req'd)/tp</t>
  </si>
  <si>
    <t xml:space="preserve">         (-down)</t>
  </si>
  <si>
    <t>(-down)</t>
  </si>
  <si>
    <t>ft-kips</t>
  </si>
  <si>
    <t>V =</t>
  </si>
  <si>
    <t>Pier Length, Lpx =</t>
  </si>
  <si>
    <t>Pier Width, Lpy =</t>
  </si>
  <si>
    <t>EDx =(Lpx-t)/2</t>
  </si>
  <si>
    <t>EDy =(Lpy-W)/2</t>
  </si>
  <si>
    <t>A-1</t>
  </si>
  <si>
    <t>A-2</t>
  </si>
  <si>
    <t>A-3</t>
  </si>
  <si>
    <t>A-4</t>
  </si>
  <si>
    <t>A-5</t>
  </si>
  <si>
    <t>A-6</t>
  </si>
  <si>
    <t>A-7</t>
  </si>
  <si>
    <t>A-8</t>
  </si>
  <si>
    <t>A-9</t>
  </si>
  <si>
    <t xml:space="preserve">       ED1</t>
  </si>
  <si>
    <t>ED1</t>
  </si>
  <si>
    <t>ED2</t>
  </si>
  <si>
    <t xml:space="preserve">      distribution, and the other at the column flange in tension using the tension in one bolt distributed over an </t>
  </si>
  <si>
    <t xml:space="preserve">      assumed width effective plate width based on edge distances and bolt spacing.  At both locations, the </t>
  </si>
  <si>
    <t xml:space="preserve">      moment and resulting base plate thickness are calculated using a "cantilever" length equal to the calculated </t>
  </si>
  <si>
    <t xml:space="preserve">      "m" distance from the AISC code.  Then, the larger of the two calculated thickness values is used for the </t>
  </si>
  <si>
    <t xml:space="preserve">      required base plate thickness.  (Note:  this program assumes that the anchor bolts are not located in plan </t>
  </si>
  <si>
    <t xml:space="preserve">      significantly beyond the ends of the column flange, so that corner-type plate bending does not control.)</t>
  </si>
  <si>
    <t>Eccentricities and Bearing Lengths</t>
  </si>
  <si>
    <t>Interaction</t>
  </si>
  <si>
    <t>Tb/Ta +</t>
  </si>
  <si>
    <t>C*Vb/Va</t>
  </si>
  <si>
    <t>Bolt Interaction</t>
  </si>
  <si>
    <t>C*Vb/Va+Tb/Ta</t>
  </si>
  <si>
    <t xml:space="preserve">      "Design Aid: Anchor Bolt Interaction of Shear and Tension Loads", by Mario N. Scacco</t>
  </si>
  <si>
    <t xml:space="preserve">      AISC Engineering Journal, 4th Quarter - 1992.</t>
  </si>
  <si>
    <t xml:space="preserve">      base plate and/or anchor bolts.  (Note: adequate base plate rigidity is most likely assured if the distance  </t>
  </si>
  <si>
    <t>3.   For interaction of anchor bolt tension and shear, this program follows the article:</t>
  </si>
  <si>
    <t>(Interaction) S.R. =</t>
  </si>
  <si>
    <t>Anchor Bolt Interaction Stress Ratio:</t>
  </si>
  <si>
    <t>Bearing Pressure Check</t>
  </si>
  <si>
    <t>Plate Thk. Check</t>
  </si>
  <si>
    <t>Bolt Tension Check</t>
  </si>
  <si>
    <t>Bolt Shear Check</t>
  </si>
  <si>
    <t>(req'd)</t>
  </si>
  <si>
    <t>Base Plate Required Thickness</t>
  </si>
  <si>
    <r>
      <t>Assumptions:</t>
    </r>
    <r>
      <rPr>
        <b/>
        <sz val="10"/>
        <color indexed="8"/>
        <rFont val="Arial"/>
        <family val="2"/>
      </rPr>
      <t xml:space="preserve">   1.</t>
    </r>
  </si>
  <si>
    <t>2.</t>
  </si>
  <si>
    <t>3.</t>
  </si>
  <si>
    <t>4.</t>
  </si>
  <si>
    <t>5.</t>
  </si>
  <si>
    <r>
      <t xml:space="preserve">  fp = P/(N*B)  ,  m = (N-0.95*d)/2  ,  n = (B-0.8*bf)/2  ,  n' = SQRT(d*bf)/4  ,  q = 4*fp*d*bf/((d+bf)^2*Fp) &lt; 1.0  ,  </t>
    </r>
    <r>
      <rPr>
        <sz val="10"/>
        <color indexed="8"/>
        <rFont val="Symbol"/>
        <family val="1"/>
        <charset val="2"/>
      </rPr>
      <t>l</t>
    </r>
    <r>
      <rPr>
        <sz val="10"/>
        <color indexed="8"/>
        <rFont val="Arial"/>
        <family val="2"/>
      </rPr>
      <t xml:space="preserve"> = 2*(1-SQRT(1-q))/SQRT(q) &lt;= 1.0</t>
    </r>
  </si>
  <si>
    <r>
      <t xml:space="preserve">  tp = 2*c*SQRT(fp/Fy)  ,  where: c = maximum of:  m, n, or </t>
    </r>
    <r>
      <rPr>
        <sz val="10"/>
        <color indexed="8"/>
        <rFont val="Symbol"/>
        <family val="1"/>
        <charset val="2"/>
      </rPr>
      <t>l</t>
    </r>
    <r>
      <rPr>
        <sz val="10"/>
        <color indexed="8"/>
        <rFont val="Arial"/>
        <family val="2"/>
      </rPr>
      <t>*n'</t>
    </r>
  </si>
  <si>
    <t xml:space="preserve">For interaction of anchor bolt tension and shear, this program follows the article:  "Design Aid: Anchor Bolt Interaction of Shear and Tension Loads", </t>
  </si>
  <si>
    <t xml:space="preserve">  Xc^3 + 3*(e-N/2)*Xc^2 + 6*MR*As/B*((N/2-ED1)+e)*Xc - 6*MR*As/B*(N/2+(N/2-ED1))*((N/2-ED1)+e) = 0  ,  and solve cubic equation for Xc</t>
  </si>
  <si>
    <t xml:space="preserve">      (2nd Revision, 1995) for wide flange column base plates subjected to axial compressive load only.</t>
  </si>
  <si>
    <t>6.</t>
  </si>
  <si>
    <t xml:space="preserve">2.   This program uses a "cubic equation" method of solution for column base plates subjected to axial </t>
  </si>
  <si>
    <t>7.</t>
  </si>
  <si>
    <t>8.</t>
  </si>
  <si>
    <t>The total number of anchor bolts on both sides of the column flanges is 'Nb'.  Anchor bolts MUST be in only 2 rows, one row outside of each column flange.</t>
  </si>
  <si>
    <t xml:space="preserve">Program follows the procedures and guidelines of the AISC 9th Edition Allowable Stress (ASD) Manual (2nd Revision, 1995) pages 3-106 to 3-110 for wide </t>
  </si>
  <si>
    <t>flange column base plates subjected to concentric axial compressive load only.</t>
  </si>
  <si>
    <t xml:space="preserve">Program uses a "cubic equation" method of solution for column base plates subjected to axial compression or tension load with major axis column bending </t>
  </si>
  <si>
    <t xml:space="preserve">      compression or tension load with major axis column bending as presented in the reference:</t>
  </si>
  <si>
    <t xml:space="preserve">  T = -P*(N/2-Xc/3-e)/(N/2-Xc/3+(N/2-ED1))  ,  Tb = T/(Nb/2)  ,  fp(max) = 2*(P+T)/(Xc*B)</t>
  </si>
  <si>
    <t xml:space="preserve">  MR = Es/Ec = 29000/(57*SQRT(f'c*1000))  ,  As = (Nb/2)*p*db^2/4</t>
  </si>
  <si>
    <t xml:space="preserve">  ABS(e) = M*12/P &gt; N/2-Xc/3  (for P = compression)  ,  ABS(e) = M*12/P &gt; N/2-ED1  (for P = tension)</t>
  </si>
  <si>
    <t>For case of concentric axial compression load without moment:</t>
  </si>
  <si>
    <t>as presented in "Design of Welded Structures" - by Omer W. Blodgett (James F. Lincoln Arc Welding Foundation), pages 3.3-6 to 3.3-10.</t>
  </si>
  <si>
    <t xml:space="preserve">Bearing Length and Bearing Pressures </t>
  </si>
  <si>
    <t>Eccentricity, Bearing Length, and Bearing Pressures:</t>
  </si>
  <si>
    <t>Eccentricity, e =</t>
  </si>
  <si>
    <t>(suggested)</t>
  </si>
  <si>
    <t>Plate Rigidity</t>
  </si>
  <si>
    <t>tp(min)</t>
  </si>
  <si>
    <t>Cubic Equation - Direct Solution</t>
  </si>
  <si>
    <t xml:space="preserve">  P = -P (which was input) for use in equations below</t>
  </si>
  <si>
    <t>For case of axial load (compression or tension) plus moment resulting in anchor bolt tension, with eccentricites (e) as shown below:</t>
  </si>
  <si>
    <t>Plate bending is calculated due to both plate bearing stress and anchor bolt tension, where effective plate width used for anchor bolt tension is as follows:</t>
  </si>
  <si>
    <t xml:space="preserve">      Suggested plate thickness for rigidity:</t>
  </si>
  <si>
    <t>in.    tp(min) &gt;= max. of  m/4  or  n/4</t>
  </si>
  <si>
    <t>Multiple steel column base plate analysis (table format)</t>
  </si>
  <si>
    <r>
      <t>Axial Load, P</t>
    </r>
    <r>
      <rPr>
        <sz val="8"/>
        <rFont val="Arial"/>
        <family val="2"/>
      </rPr>
      <t>(total)</t>
    </r>
    <r>
      <rPr>
        <sz val="10"/>
        <rFont val="Arial"/>
      </rPr>
      <t xml:space="preserve"> =</t>
    </r>
  </si>
  <si>
    <r>
      <t>P</t>
    </r>
    <r>
      <rPr>
        <sz val="8"/>
        <color indexed="12"/>
        <rFont val="Arial"/>
        <family val="2"/>
      </rPr>
      <t>(DL)</t>
    </r>
    <r>
      <rPr>
        <sz val="10"/>
        <color indexed="12"/>
        <rFont val="Arial"/>
        <family val="2"/>
      </rPr>
      <t xml:space="preserve"> =</t>
    </r>
  </si>
  <si>
    <r>
      <t>V(lg) = V-1/2*</t>
    </r>
    <r>
      <rPr>
        <sz val="10"/>
        <color indexed="8"/>
        <rFont val="Symbol"/>
        <family val="1"/>
        <charset val="2"/>
      </rPr>
      <t>m</t>
    </r>
    <r>
      <rPr>
        <sz val="10"/>
        <color indexed="8"/>
        <rFont val="Arial"/>
        <family val="2"/>
      </rPr>
      <t>*ABS(P</t>
    </r>
    <r>
      <rPr>
        <sz val="8"/>
        <color indexed="8"/>
        <rFont val="Arial"/>
        <family val="2"/>
      </rPr>
      <t>(DL)</t>
    </r>
    <r>
      <rPr>
        <sz val="10"/>
        <color indexed="8"/>
        <rFont val="Arial"/>
        <family val="2"/>
      </rPr>
      <t>)</t>
    </r>
  </si>
  <si>
    <r>
      <t>V(lg) = V-1/2*</t>
    </r>
    <r>
      <rPr>
        <sz val="10"/>
        <color indexed="12"/>
        <rFont val="Symbol"/>
        <family val="1"/>
        <charset val="2"/>
      </rPr>
      <t>m</t>
    </r>
    <r>
      <rPr>
        <sz val="10"/>
        <color indexed="12"/>
        <rFont val="Arial"/>
        <family val="2"/>
      </rPr>
      <t>*ABS(P</t>
    </r>
    <r>
      <rPr>
        <sz val="8"/>
        <color indexed="12"/>
        <rFont val="Arial"/>
        <family val="2"/>
      </rPr>
      <t>(DL)</t>
    </r>
    <r>
      <rPr>
        <sz val="10"/>
        <color indexed="12"/>
        <rFont val="Arial"/>
        <family val="2"/>
      </rPr>
      <t>)</t>
    </r>
  </si>
  <si>
    <r>
      <t>P</t>
    </r>
    <r>
      <rPr>
        <sz val="8"/>
        <color indexed="12"/>
        <rFont val="Arial"/>
        <family val="2"/>
      </rPr>
      <t>(total)</t>
    </r>
    <r>
      <rPr>
        <sz val="10"/>
        <color indexed="12"/>
        <rFont val="Arial"/>
        <family val="2"/>
      </rPr>
      <t xml:space="preserve"> =</t>
    </r>
  </si>
  <si>
    <r>
      <t>V</t>
    </r>
    <r>
      <rPr>
        <sz val="8"/>
        <color indexed="12"/>
        <rFont val="Arial"/>
        <family val="2"/>
      </rPr>
      <t>(total)</t>
    </r>
    <r>
      <rPr>
        <sz val="10"/>
        <color indexed="12"/>
        <rFont val="Arial"/>
        <family val="2"/>
      </rPr>
      <t xml:space="preserve"> =</t>
    </r>
  </si>
  <si>
    <r>
      <t>V</t>
    </r>
    <r>
      <rPr>
        <sz val="8"/>
        <color indexed="12"/>
        <rFont val="Arial"/>
        <family val="2"/>
      </rPr>
      <t>(bolts)</t>
    </r>
    <r>
      <rPr>
        <sz val="10"/>
        <color indexed="12"/>
        <rFont val="Arial"/>
        <family val="2"/>
      </rPr>
      <t xml:space="preserve"> =</t>
    </r>
  </si>
  <si>
    <r>
      <t>P</t>
    </r>
    <r>
      <rPr>
        <sz val="8"/>
        <color indexed="12"/>
        <rFont val="Arial"/>
        <family val="2"/>
      </rPr>
      <t>(DL)</t>
    </r>
    <r>
      <rPr>
        <sz val="10"/>
        <color indexed="12"/>
        <rFont val="Arial"/>
        <family val="2"/>
      </rPr>
      <t xml:space="preserve"> =</t>
    </r>
  </si>
  <si>
    <r>
      <t>fp</t>
    </r>
    <r>
      <rPr>
        <sz val="8"/>
        <color indexed="8"/>
        <rFont val="Arial"/>
        <family val="2"/>
      </rPr>
      <t>(max)</t>
    </r>
    <r>
      <rPr>
        <sz val="10"/>
        <color indexed="8"/>
        <rFont val="Arial"/>
        <family val="2"/>
      </rPr>
      <t xml:space="preserve"> =</t>
    </r>
  </si>
  <si>
    <r>
      <t>fp</t>
    </r>
    <r>
      <rPr>
        <sz val="8"/>
        <color indexed="8"/>
        <rFont val="Arial"/>
        <family val="2"/>
      </rPr>
      <t>(min)</t>
    </r>
    <r>
      <rPr>
        <sz val="10"/>
        <color indexed="8"/>
        <rFont val="Arial"/>
        <family val="2"/>
      </rPr>
      <t xml:space="preserve"> =</t>
    </r>
  </si>
  <si>
    <r>
      <t>Shear Load, V</t>
    </r>
    <r>
      <rPr>
        <sz val="8"/>
        <rFont val="Arial"/>
        <family val="2"/>
      </rPr>
      <t>(total)</t>
    </r>
    <r>
      <rPr>
        <sz val="10"/>
        <rFont val="Arial"/>
      </rPr>
      <t xml:space="preserve"> =</t>
    </r>
  </si>
  <si>
    <r>
      <t>Shear Load, V</t>
    </r>
    <r>
      <rPr>
        <sz val="8"/>
        <color indexed="8"/>
        <rFont val="Arial"/>
        <family val="2"/>
      </rPr>
      <t>(total)</t>
    </r>
    <r>
      <rPr>
        <sz val="10"/>
        <color indexed="8"/>
        <rFont val="Arial"/>
        <family val="2"/>
      </rPr>
      <t xml:space="preserve"> =</t>
    </r>
  </si>
  <si>
    <r>
      <t xml:space="preserve"> = V</t>
    </r>
    <r>
      <rPr>
        <sz val="8"/>
        <rFont val="Arial"/>
        <family val="2"/>
      </rPr>
      <t>(total)</t>
    </r>
    <r>
      <rPr>
        <sz val="8"/>
        <rFont val="Arial"/>
        <family val="2"/>
      </rPr>
      <t>-1/2*</t>
    </r>
    <r>
      <rPr>
        <sz val="8"/>
        <rFont val="Symbol"/>
        <family val="1"/>
        <charset val="2"/>
      </rPr>
      <t>m</t>
    </r>
    <r>
      <rPr>
        <sz val="8"/>
        <rFont val="Arial"/>
        <family val="2"/>
      </rPr>
      <t>*P</t>
    </r>
    <r>
      <rPr>
        <sz val="8"/>
        <rFont val="Arial"/>
        <family val="2"/>
      </rPr>
      <t>(DL)</t>
    </r>
  </si>
  <si>
    <t xml:space="preserve">4.   User has option to take out some of the total shear though friction between column base and grout based </t>
  </si>
  <si>
    <t xml:space="preserve">      on column dead load and coefficient of friction, thus reducing amount of shear to be taken by anchor bolts.</t>
  </si>
  <si>
    <t xml:space="preserve">5.   This program uses the database of member dimensions and section properties from the "AISC Shapes </t>
  </si>
  <si>
    <t xml:space="preserve">6.   This program assumes that the base plate is sufficiently rigid to assume linear distribution of load to the </t>
  </si>
  <si>
    <t>7.   Additional assumptions used in this program are as follows:</t>
  </si>
  <si>
    <t xml:space="preserve">8.   For cases with anchor bolt tension and base plate bearing, this program calculates the bending moment in </t>
  </si>
  <si>
    <t xml:space="preserve">10. The "Base Plate (Table)" worksheet enables the user to analyze/design virtually any number of individual </t>
  </si>
  <si>
    <t>11.  This program contains numerous “comment boxes” which contain a wide variety of information including</t>
  </si>
  <si>
    <r>
      <t>P</t>
    </r>
    <r>
      <rPr>
        <sz val="8"/>
        <color indexed="12"/>
        <rFont val="Arial"/>
        <family val="2"/>
      </rPr>
      <t>(total)</t>
    </r>
    <r>
      <rPr>
        <sz val="9"/>
        <color indexed="12"/>
        <rFont val="Arial"/>
        <family val="2"/>
      </rPr>
      <t xml:space="preserve"> =</t>
    </r>
  </si>
  <si>
    <t xml:space="preserve">with or without major-axis column bending, plus major-axis shear.  Base plate bearing pressure is checked as </t>
  </si>
  <si>
    <t xml:space="preserve">well as bolt tension, if applicable.  If shear is present, bolt shear as well as interaction of bolt tension and shear, </t>
  </si>
  <si>
    <t xml:space="preserve">if applicable, are calculated.  Finally, the required base plate thickness is calculated.  There is a separate </t>
  </si>
  <si>
    <t>worksheet for base plate shear lug design, when shear load is high and cannot be effectively handled by bolts.</t>
  </si>
  <si>
    <t>Page breaks may be placed at rows 460, 536, 612, 688, etc., in</t>
  </si>
  <si>
    <t>increments of 76 rows for full page printouts as required.</t>
  </si>
  <si>
    <t>COLUMN LOADS</t>
  </si>
  <si>
    <t>by Mario N. Scacco, AISC Engineering Journal, 4th Quarter - 1992.  Anchor bolt interaction formula is as follows:  Tb/Ta + (C*Vb)/Va &lt;= 1.0.</t>
  </si>
  <si>
    <t xml:space="preserve"> = Tb/Ta+(C*Vb)/Va</t>
  </si>
  <si>
    <t>A588</t>
  </si>
  <si>
    <t>A572</t>
  </si>
  <si>
    <r>
      <t>Bearing Area, A</t>
    </r>
    <r>
      <rPr>
        <sz val="8"/>
        <color indexed="8"/>
        <rFont val="Arial"/>
        <family val="2"/>
      </rPr>
      <t>2</t>
    </r>
    <r>
      <rPr>
        <sz val="10"/>
        <color indexed="8"/>
        <rFont val="Arial"/>
        <family val="2"/>
      </rPr>
      <t xml:space="preserve"> =</t>
    </r>
  </si>
  <si>
    <r>
      <t>Bolt Edge Dist., ED</t>
    </r>
    <r>
      <rPr>
        <sz val="8"/>
        <color indexed="8"/>
        <rFont val="Arial"/>
        <family val="2"/>
      </rPr>
      <t>1</t>
    </r>
    <r>
      <rPr>
        <sz val="10"/>
        <color indexed="8"/>
        <rFont val="Arial"/>
        <family val="2"/>
      </rPr>
      <t xml:space="preserve"> =</t>
    </r>
  </si>
  <si>
    <r>
      <t>Bolt Edge Dist., ED</t>
    </r>
    <r>
      <rPr>
        <sz val="8"/>
        <color indexed="8"/>
        <rFont val="Arial"/>
        <family val="2"/>
      </rPr>
      <t>2</t>
    </r>
    <r>
      <rPr>
        <sz val="10"/>
        <color indexed="8"/>
        <rFont val="Arial"/>
        <family val="2"/>
      </rPr>
      <t xml:space="preserve"> =</t>
    </r>
  </si>
  <si>
    <r>
      <t>tp</t>
    </r>
    <r>
      <rPr>
        <sz val="8"/>
        <rFont val="Arial"/>
        <family val="2"/>
      </rPr>
      <t>(min)</t>
    </r>
    <r>
      <rPr>
        <sz val="10"/>
        <rFont val="Arial"/>
      </rPr>
      <t xml:space="preserve"> =</t>
    </r>
  </si>
  <si>
    <r>
      <t>tp</t>
    </r>
    <r>
      <rPr>
        <sz val="8"/>
        <color indexed="8"/>
        <rFont val="Arial"/>
        <family val="2"/>
      </rPr>
      <t>(req'd)</t>
    </r>
    <r>
      <rPr>
        <sz val="10"/>
        <color indexed="8"/>
        <rFont val="Arial"/>
        <family val="2"/>
      </rPr>
      <t xml:space="preserve"> =</t>
    </r>
  </si>
  <si>
    <r>
      <t>V</t>
    </r>
    <r>
      <rPr>
        <sz val="8"/>
        <rFont val="Arial"/>
        <family val="2"/>
      </rPr>
      <t>(bolts)</t>
    </r>
    <r>
      <rPr>
        <sz val="10"/>
        <rFont val="Arial"/>
      </rPr>
      <t xml:space="preserve"> =</t>
    </r>
  </si>
  <si>
    <r>
      <t>w</t>
    </r>
    <r>
      <rPr>
        <sz val="8"/>
        <color indexed="8"/>
        <rFont val="Arial"/>
        <family val="2"/>
      </rPr>
      <t>(req'd)</t>
    </r>
    <r>
      <rPr>
        <sz val="10"/>
        <color indexed="8"/>
        <rFont val="Arial"/>
        <family val="2"/>
      </rPr>
      <t xml:space="preserve"> =</t>
    </r>
  </si>
  <si>
    <r>
      <t>w</t>
    </r>
    <r>
      <rPr>
        <sz val="8"/>
        <color indexed="8"/>
        <rFont val="Arial"/>
        <family val="2"/>
      </rPr>
      <t>(req'd)</t>
    </r>
    <r>
      <rPr>
        <sz val="10"/>
        <color indexed="8"/>
        <rFont val="Arial"/>
        <family val="2"/>
      </rPr>
      <t xml:space="preserve"> = Rw/(0.7071*0.3*70)</t>
    </r>
  </si>
  <si>
    <r>
      <t>t</t>
    </r>
    <r>
      <rPr>
        <sz val="8"/>
        <color indexed="8"/>
        <rFont val="Arial"/>
        <family val="2"/>
      </rPr>
      <t>(req'd)</t>
    </r>
    <r>
      <rPr>
        <sz val="10"/>
        <color indexed="8"/>
        <rFont val="Arial"/>
        <family val="2"/>
      </rPr>
      <t xml:space="preserve"> =</t>
    </r>
  </si>
  <si>
    <r>
      <t>t</t>
    </r>
    <r>
      <rPr>
        <sz val="8"/>
        <color indexed="12"/>
        <rFont val="Arial"/>
        <family val="2"/>
      </rPr>
      <t>(req'd)</t>
    </r>
    <r>
      <rPr>
        <sz val="10"/>
        <color indexed="12"/>
        <rFont val="Arial"/>
        <family val="2"/>
      </rPr>
      <t xml:space="preserve"> = SQRT(6*M(lg)/(0.75*Fy)) &lt;= t &lt;= tp</t>
    </r>
  </si>
  <si>
    <t xml:space="preserve">      from the face of the column to the edge of the base plate is &lt;= 4*tp.  See "General Anchorage to Concrete", </t>
  </si>
  <si>
    <t xml:space="preserve">      TVA Civil Design Standard DS-C1.7.1 (Rev. 1984), page 25.)</t>
  </si>
  <si>
    <t>F1554 (36)</t>
  </si>
  <si>
    <t>F1554 (105)</t>
  </si>
  <si>
    <t>F1554 (55)</t>
  </si>
  <si>
    <t>Anchor Bolt/Rod Data:</t>
  </si>
  <si>
    <t>Anchor Bolt/Rod Tension and Shear:</t>
  </si>
  <si>
    <t>Anchor Bolt/Rod Material =</t>
  </si>
  <si>
    <t>Av = (2*EDy+W)*(H-G+EDx)-(H-G)*W</t>
  </si>
  <si>
    <t xml:space="preserve">9.   The "Shear Lug" worksheet follows the AISC "Steel Design Guide Series #7 - Industrial Buildings - Roofs to </t>
  </si>
  <si>
    <t xml:space="preserve">      column bases or column load combinations.  Refer to that worksheet for list of specific assumptions used.</t>
  </si>
  <si>
    <t xml:space="preserve">      Column Anchorage" (page 33 and pages 38-40).</t>
  </si>
  <si>
    <t>in-kips/in.</t>
  </si>
  <si>
    <t>Rw = SQRT((M(lg)/s)^2+(V(lg)/(2*W))^2)</t>
  </si>
  <si>
    <t>kips ( - = down)</t>
  </si>
  <si>
    <t>Version 3.7</t>
  </si>
  <si>
    <t>Permitted anchor bolt diameters are:  3/8", 1/2", 5/8", 3/4", 7/8", 1", 1-1/8", 1-1/4", 1-3/8", 1-1/2", 1-3/4", 2", 2-1/4", 2, 1/2", 2-3/4", and 3".</t>
  </si>
  <si>
    <t xml:space="preserve">  be = Minimum of:  (m-ED1)  or  (B-2*ED2)/(2*(Nb/2-1))  +  Minimum of:  (m-ED1)  or  (B-2*ED2)/(2*(Nb/2-1))  or  ED2   (Note: Nb = either 2, 4, 6, or 8 bolts)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</si>
</sst>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5" formatCode="0.0000"/>
    <numFmt numFmtId="166" formatCode="0.000"/>
    <numFmt numFmtId="168" formatCode="0.000E+00"/>
    <numFmt numFmtId="169" formatCode="&quot;$&quot;#,##0\ ;\(&quot;$&quot;#,##0\)"/>
  </numFmts>
  <fonts count="59" x14ac:knownFonts="1">
    <font>
      <sz val="10"/>
      <name val="Arial"/>
    </font>
    <font>
      <sz val="10"/>
      <name val="Arial"/>
    </font>
    <font>
      <b/>
      <sz val="12"/>
      <name val="Arial"/>
      <family val="2"/>
    </font>
    <font>
      <b/>
      <sz val="10"/>
      <name val="Arial"/>
      <family val="2"/>
    </font>
    <font>
      <u/>
      <sz val="10"/>
      <color indexed="12"/>
      <name val="Arial"/>
      <family val="2"/>
    </font>
    <font>
      <b/>
      <sz val="10"/>
      <color indexed="10"/>
      <name val="Arial"/>
      <family val="2"/>
    </font>
    <font>
      <sz val="10"/>
      <color indexed="12"/>
      <name val="Arial"/>
      <family val="2"/>
    </font>
    <font>
      <b/>
      <sz val="10"/>
      <color indexed="12"/>
      <name val="Arial"/>
      <family val="2"/>
    </font>
    <font>
      <sz val="8"/>
      <color indexed="8"/>
      <name val="Arial"/>
      <family val="2"/>
    </font>
    <font>
      <sz val="10"/>
      <color indexed="8"/>
      <name val="Arial"/>
      <family val="2"/>
    </font>
    <font>
      <b/>
      <u/>
      <sz val="10"/>
      <name val="Arial"/>
      <family val="2"/>
    </font>
    <font>
      <sz val="10"/>
      <name val="Arial"/>
      <family val="2"/>
    </font>
    <font>
      <sz val="10"/>
      <color indexed="8"/>
      <name val="Arial"/>
      <family val="2"/>
    </font>
    <font>
      <b/>
      <u/>
      <sz val="10"/>
      <color indexed="8"/>
      <name val="Arial"/>
      <family val="2"/>
    </font>
    <font>
      <sz val="10"/>
      <color indexed="8"/>
      <name val="Symbol"/>
      <family val="1"/>
      <charset val="2"/>
    </font>
    <font>
      <sz val="10"/>
      <name val="Symbol"/>
      <family val="1"/>
      <charset val="2"/>
    </font>
    <font>
      <sz val="10"/>
      <color indexed="12"/>
      <name val="Arial"/>
      <family val="2"/>
    </font>
    <font>
      <sz val="10"/>
      <color indexed="24"/>
      <name val="Arial"/>
      <family val="2"/>
    </font>
    <font>
      <b/>
      <sz val="18"/>
      <color indexed="24"/>
      <name val="Arial"/>
      <family val="2"/>
    </font>
    <font>
      <b/>
      <sz val="12"/>
      <color indexed="24"/>
      <name val="Arial"/>
      <family val="2"/>
    </font>
    <font>
      <sz val="10"/>
      <color indexed="12"/>
      <name val="Symbol"/>
      <family val="1"/>
      <charset val="2"/>
    </font>
    <font>
      <sz val="10"/>
      <color indexed="10"/>
      <name val="Arial"/>
      <family val="2"/>
    </font>
    <font>
      <sz val="8"/>
      <color indexed="81"/>
      <name val="Tahoma"/>
      <family val="2"/>
    </font>
    <font>
      <sz val="8"/>
      <color indexed="12"/>
      <name val="Arial"/>
      <family val="2"/>
    </font>
    <font>
      <b/>
      <u/>
      <sz val="8"/>
      <color indexed="81"/>
      <name val="Tahoma"/>
      <family val="2"/>
    </font>
    <font>
      <b/>
      <u/>
      <sz val="10"/>
      <color indexed="12"/>
      <name val="Arial"/>
      <family val="2"/>
    </font>
    <font>
      <sz val="10"/>
      <color indexed="10"/>
      <name val="Arial"/>
      <family val="2"/>
    </font>
    <font>
      <sz val="8"/>
      <name val="Arial"/>
      <family val="2"/>
    </font>
    <font>
      <u/>
      <sz val="10"/>
      <color indexed="12"/>
      <name val="Arial"/>
      <family val="2"/>
    </font>
    <font>
      <sz val="8"/>
      <color indexed="81"/>
      <name val="Tahoma"/>
      <family val="2"/>
    </font>
    <font>
      <b/>
      <sz val="8"/>
      <color indexed="81"/>
      <name val="Tahoma"/>
      <family val="2"/>
    </font>
    <font>
      <b/>
      <u/>
      <sz val="12"/>
      <name val="Arial"/>
      <family val="2"/>
    </font>
    <font>
      <sz val="9"/>
      <name val="Arial"/>
      <family val="2"/>
    </font>
    <font>
      <b/>
      <sz val="9"/>
      <name val="Arial"/>
      <family val="2"/>
    </font>
    <font>
      <sz val="9"/>
      <color indexed="8"/>
      <name val="Arial"/>
      <family val="2"/>
    </font>
    <font>
      <sz val="8"/>
      <name val="Arial"/>
      <family val="2"/>
    </font>
    <font>
      <sz val="8"/>
      <color indexed="12"/>
      <name val="Arial"/>
      <family val="2"/>
    </font>
    <font>
      <b/>
      <sz val="10"/>
      <color indexed="8"/>
      <name val="Arial"/>
      <family val="2"/>
    </font>
    <font>
      <i/>
      <sz val="8"/>
      <color indexed="10"/>
      <name val="Arial"/>
      <family val="2"/>
    </font>
    <font>
      <sz val="9"/>
      <color indexed="12"/>
      <name val="Arial"/>
      <family val="2"/>
    </font>
    <font>
      <sz val="9"/>
      <color indexed="12"/>
      <name val="Arial"/>
      <family val="2"/>
    </font>
    <font>
      <sz val="10"/>
      <color indexed="10"/>
      <name val="Symbol"/>
      <family val="1"/>
      <charset val="2"/>
    </font>
    <font>
      <sz val="8"/>
      <color indexed="81"/>
      <name val="Symbol"/>
      <family val="1"/>
      <charset val="2"/>
    </font>
    <font>
      <sz val="8"/>
      <color indexed="8"/>
      <name val="Arial"/>
      <family val="2"/>
    </font>
    <font>
      <b/>
      <sz val="12"/>
      <color indexed="8"/>
      <name val="Arial"/>
      <family val="2"/>
    </font>
    <font>
      <i/>
      <sz val="8"/>
      <color indexed="10"/>
      <name val="Arial"/>
      <family val="2"/>
    </font>
    <font>
      <sz val="8"/>
      <color indexed="12"/>
      <name val="Symbol"/>
      <family val="1"/>
      <charset val="2"/>
    </font>
    <font>
      <sz val="10"/>
      <color indexed="81"/>
      <name val="Arial"/>
      <family val="2"/>
    </font>
    <font>
      <b/>
      <sz val="10"/>
      <color indexed="81"/>
      <name val="Arial"/>
      <family val="2"/>
    </font>
    <font>
      <b/>
      <u/>
      <sz val="10"/>
      <color indexed="81"/>
      <name val="Arial"/>
      <family val="2"/>
    </font>
    <font>
      <u/>
      <sz val="8"/>
      <color indexed="81"/>
      <name val="Tahoma"/>
      <family val="2"/>
    </font>
    <font>
      <b/>
      <u/>
      <sz val="8"/>
      <color indexed="8"/>
      <name val="Tahoma"/>
      <family val="2"/>
    </font>
    <font>
      <b/>
      <sz val="8"/>
      <color indexed="8"/>
      <name val="Tahoma"/>
      <family val="2"/>
    </font>
    <font>
      <u/>
      <sz val="10"/>
      <color indexed="81"/>
      <name val="Arial"/>
      <family val="2"/>
    </font>
    <font>
      <sz val="8"/>
      <name val="Symbol"/>
      <family val="1"/>
      <charset val="2"/>
    </font>
    <font>
      <sz val="10"/>
      <color indexed="81"/>
      <name val="Symbol"/>
      <family val="1"/>
      <charset val="2"/>
    </font>
    <font>
      <sz val="8"/>
      <color indexed="81"/>
      <name val="Arial"/>
      <family val="2"/>
    </font>
    <font>
      <b/>
      <sz val="8"/>
      <color indexed="81"/>
      <name val="Arial"/>
      <family val="2"/>
    </font>
    <font>
      <b/>
      <u/>
      <sz val="10"/>
      <color indexed="10"/>
      <name val="Arial"/>
      <family val="2"/>
    </font>
  </fonts>
  <fills count="5">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s>
  <borders count="41">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22"/>
      </bottom>
      <diagonal/>
    </border>
    <border>
      <left style="thin">
        <color indexed="64"/>
      </left>
      <right/>
      <top style="thin">
        <color indexed="64"/>
      </top>
      <bottom style="thin">
        <color indexed="22"/>
      </bottom>
      <diagonal/>
    </border>
    <border>
      <left style="thin">
        <color indexed="64"/>
      </left>
      <right/>
      <top style="thin">
        <color indexed="22"/>
      </top>
      <bottom style="thin">
        <color indexed="22"/>
      </bottom>
      <diagonal/>
    </border>
    <border>
      <left/>
      <right style="thin">
        <color indexed="22"/>
      </right>
      <top style="thin">
        <color indexed="64"/>
      </top>
      <bottom style="thin">
        <color indexed="22"/>
      </bottom>
      <diagonal/>
    </border>
    <border>
      <left/>
      <right style="thin">
        <color indexed="22"/>
      </right>
      <top style="thin">
        <color indexed="22"/>
      </top>
      <bottom style="thin">
        <color indexed="22"/>
      </bottom>
      <diagonal/>
    </border>
    <border>
      <left/>
      <right style="thin">
        <color indexed="22"/>
      </right>
      <top/>
      <bottom style="thin">
        <color indexed="22"/>
      </bottom>
      <diagonal/>
    </border>
    <border>
      <left style="thin">
        <color indexed="22"/>
      </left>
      <right style="thin">
        <color indexed="22"/>
      </right>
      <top/>
      <bottom style="thin">
        <color indexed="22"/>
      </bottom>
      <diagonal/>
    </border>
    <border>
      <left style="thin">
        <color indexed="22"/>
      </left>
      <right style="thin">
        <color indexed="64"/>
      </right>
      <top/>
      <bottom style="thin">
        <color indexed="22"/>
      </bottom>
      <diagonal/>
    </border>
    <border>
      <left/>
      <right style="thin">
        <color indexed="22"/>
      </right>
      <top style="thin">
        <color indexed="22"/>
      </top>
      <bottom style="thin">
        <color indexed="64"/>
      </bottom>
      <diagonal/>
    </border>
    <border>
      <left/>
      <right style="thin">
        <color indexed="64"/>
      </right>
      <top style="thin">
        <color indexed="64"/>
      </top>
      <bottom style="thin">
        <color indexed="22"/>
      </bottom>
      <diagonal/>
    </border>
    <border>
      <left/>
      <right style="thin">
        <color indexed="64"/>
      </right>
      <top style="thin">
        <color indexed="22"/>
      </top>
      <bottom style="thin">
        <color indexed="22"/>
      </bottom>
      <diagonal/>
    </border>
    <border>
      <left style="thin">
        <color indexed="64"/>
      </left>
      <right/>
      <top/>
      <bottom style="thin">
        <color indexed="22"/>
      </bottom>
      <diagonal/>
    </border>
  </borders>
  <cellStyleXfs count="8">
    <xf numFmtId="0" fontId="0" fillId="0" borderId="0"/>
    <xf numFmtId="3" fontId="17" fillId="0" borderId="0" applyFont="0" applyFill="0" applyBorder="0" applyAlignment="0" applyProtection="0"/>
    <xf numFmtId="169" fontId="17" fillId="0" borderId="0" applyFont="0" applyFill="0" applyBorder="0" applyAlignment="0" applyProtection="0"/>
    <xf numFmtId="0" fontId="17" fillId="0" borderId="0" applyFont="0" applyFill="0" applyBorder="0" applyAlignment="0" applyProtection="0"/>
    <xf numFmtId="2" fontId="17"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1" applyNumberFormat="0" applyFont="0" applyFill="0" applyAlignment="0" applyProtection="0"/>
  </cellStyleXfs>
  <cellXfs count="651">
    <xf numFmtId="0" fontId="0" fillId="0" borderId="0" xfId="0"/>
    <xf numFmtId="0" fontId="0" fillId="2" borderId="0" xfId="0" applyFill="1"/>
    <xf numFmtId="0" fontId="0" fillId="2" borderId="0" xfId="0" applyFill="1" applyBorder="1" applyAlignment="1" applyProtection="1">
      <alignment horizontal="centerContinuous"/>
      <protection hidden="1"/>
    </xf>
    <xf numFmtId="166" fontId="6" fillId="2" borderId="2" xfId="0" applyNumberFormat="1" applyFont="1" applyFill="1" applyBorder="1" applyAlignment="1" applyProtection="1">
      <alignment horizontal="center"/>
      <protection hidden="1"/>
    </xf>
    <xf numFmtId="2" fontId="6" fillId="2" borderId="0" xfId="0" applyNumberFormat="1" applyFont="1" applyFill="1" applyBorder="1" applyAlignment="1" applyProtection="1">
      <alignment horizontal="center"/>
      <protection hidden="1"/>
    </xf>
    <xf numFmtId="166" fontId="6" fillId="2" borderId="0" xfId="0" applyNumberFormat="1" applyFont="1" applyFill="1" applyBorder="1" applyAlignment="1" applyProtection="1">
      <alignment horizontal="center"/>
      <protection hidden="1"/>
    </xf>
    <xf numFmtId="165" fontId="9" fillId="2" borderId="0" xfId="0" applyNumberFormat="1" applyFont="1" applyFill="1" applyBorder="1" applyAlignment="1" applyProtection="1">
      <alignment horizontal="center"/>
      <protection hidden="1"/>
    </xf>
    <xf numFmtId="165" fontId="6" fillId="2" borderId="0" xfId="0" applyNumberFormat="1" applyFont="1" applyFill="1" applyBorder="1" applyAlignment="1" applyProtection="1">
      <alignment horizontal="center"/>
      <protection hidden="1"/>
    </xf>
    <xf numFmtId="165" fontId="16" fillId="2" borderId="0" xfId="0" applyNumberFormat="1" applyFont="1" applyFill="1" applyBorder="1" applyAlignment="1" applyProtection="1">
      <alignment horizontal="center"/>
      <protection hidden="1"/>
    </xf>
    <xf numFmtId="0" fontId="2" fillId="3" borderId="3" xfId="0" applyFont="1" applyFill="1" applyBorder="1" applyAlignment="1" applyProtection="1">
      <alignment horizontal="centerContinuous"/>
      <protection hidden="1"/>
    </xf>
    <xf numFmtId="0" fontId="0" fillId="2" borderId="0" xfId="0" applyFill="1" applyProtection="1">
      <protection hidden="1"/>
    </xf>
    <xf numFmtId="0" fontId="5" fillId="3" borderId="4" xfId="0" applyFont="1" applyFill="1" applyBorder="1" applyAlignment="1" applyProtection="1">
      <alignment horizontal="centerContinuous"/>
      <protection hidden="1"/>
    </xf>
    <xf numFmtId="0" fontId="0" fillId="2" borderId="0" xfId="0" applyFill="1" applyBorder="1" applyProtection="1">
      <protection hidden="1"/>
    </xf>
    <xf numFmtId="0" fontId="10" fillId="2" borderId="5" xfId="0" applyFont="1" applyFill="1" applyBorder="1" applyProtection="1">
      <protection hidden="1"/>
    </xf>
    <xf numFmtId="0" fontId="0" fillId="2" borderId="6" xfId="0" applyFill="1" applyBorder="1" applyProtection="1">
      <protection hidden="1"/>
    </xf>
    <xf numFmtId="0" fontId="0" fillId="3" borderId="7" xfId="0" applyFill="1" applyBorder="1" applyAlignment="1" applyProtection="1">
      <alignment horizontal="centerContinuous"/>
      <protection hidden="1"/>
    </xf>
    <xf numFmtId="0" fontId="3" fillId="3" borderId="7" xfId="0" applyFont="1" applyFill="1" applyBorder="1" applyAlignment="1" applyProtection="1">
      <alignment horizontal="centerContinuous"/>
      <protection hidden="1"/>
    </xf>
    <xf numFmtId="0" fontId="5" fillId="3" borderId="5" xfId="0" applyFont="1" applyFill="1" applyBorder="1" applyAlignment="1" applyProtection="1">
      <alignment horizontal="centerContinuous"/>
      <protection hidden="1"/>
    </xf>
    <xf numFmtId="0" fontId="5" fillId="3" borderId="0" xfId="0" applyFont="1" applyFill="1" applyBorder="1" applyAlignment="1" applyProtection="1">
      <alignment horizontal="centerContinuous"/>
      <protection hidden="1"/>
    </xf>
    <xf numFmtId="0" fontId="3" fillId="3" borderId="0" xfId="0" applyFont="1" applyFill="1" applyBorder="1" applyAlignment="1" applyProtection="1">
      <alignment horizontal="centerContinuous"/>
      <protection hidden="1"/>
    </xf>
    <xf numFmtId="0" fontId="0" fillId="3" borderId="0" xfId="0" applyFill="1" applyBorder="1" applyAlignment="1" applyProtection="1">
      <alignment horizontal="centerContinuous"/>
      <protection hidden="1"/>
    </xf>
    <xf numFmtId="0" fontId="0" fillId="2" borderId="5" xfId="0" applyFill="1" applyBorder="1" applyProtection="1">
      <protection hidden="1"/>
    </xf>
    <xf numFmtId="0" fontId="6"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16" fillId="2" borderId="0" xfId="0" applyFont="1" applyFill="1" applyProtection="1">
      <protection hidden="1"/>
    </xf>
    <xf numFmtId="0" fontId="4" fillId="2" borderId="0" xfId="0" applyFont="1" applyFill="1" applyBorder="1" applyProtection="1">
      <protection hidden="1"/>
    </xf>
    <xf numFmtId="0" fontId="16" fillId="2" borderId="0" xfId="0" applyFont="1" applyFill="1" applyAlignment="1" applyProtection="1">
      <alignment horizontal="left"/>
      <protection hidden="1"/>
    </xf>
    <xf numFmtId="0" fontId="25" fillId="2" borderId="0" xfId="0" applyFont="1" applyFill="1" applyProtection="1">
      <protection hidden="1"/>
    </xf>
    <xf numFmtId="0" fontId="16" fillId="2" borderId="0" xfId="0" applyFont="1" applyFill="1" applyAlignment="1" applyProtection="1">
      <alignment horizontal="right"/>
      <protection hidden="1"/>
    </xf>
    <xf numFmtId="0" fontId="16" fillId="2" borderId="0" xfId="0" applyFont="1" applyFill="1" applyAlignment="1" applyProtection="1">
      <alignment horizontal="center"/>
      <protection hidden="1"/>
    </xf>
    <xf numFmtId="0" fontId="9" fillId="2" borderId="0" xfId="0" applyFont="1" applyFill="1" applyAlignment="1" applyProtection="1">
      <alignment horizontal="center"/>
      <protection hidden="1"/>
    </xf>
    <xf numFmtId="0" fontId="21" fillId="2" borderId="0" xfId="0" applyFont="1" applyFill="1" applyAlignment="1" applyProtection="1">
      <alignment horizontal="center"/>
      <protection hidden="1"/>
    </xf>
    <xf numFmtId="0" fontId="7" fillId="2" borderId="0" xfId="0" applyFont="1" applyFill="1" applyAlignment="1" applyProtection="1">
      <alignment horizontal="center"/>
      <protection hidden="1"/>
    </xf>
    <xf numFmtId="0" fontId="16" fillId="2" borderId="0" xfId="0" applyFont="1" applyFill="1" applyBorder="1" applyProtection="1">
      <protection hidden="1"/>
    </xf>
    <xf numFmtId="166" fontId="16" fillId="2" borderId="0" xfId="0" applyNumberFormat="1" applyFont="1" applyFill="1" applyAlignment="1" applyProtection="1">
      <alignment horizontal="center"/>
      <protection hidden="1"/>
    </xf>
    <xf numFmtId="166" fontId="6" fillId="2" borderId="0" xfId="0" applyNumberFormat="1" applyFont="1" applyFill="1" applyAlignment="1" applyProtection="1">
      <alignment horizontal="center"/>
      <protection hidden="1"/>
    </xf>
    <xf numFmtId="0" fontId="0" fillId="2" borderId="0" xfId="0" applyFill="1" applyBorder="1" applyAlignment="1" applyProtection="1">
      <alignment horizontal="right"/>
      <protection hidden="1"/>
    </xf>
    <xf numFmtId="166" fontId="9" fillId="2" borderId="0" xfId="0" applyNumberFormat="1" applyFont="1" applyFill="1" applyBorder="1" applyAlignment="1" applyProtection="1">
      <alignment horizontal="center"/>
      <protection hidden="1"/>
    </xf>
    <xf numFmtId="0" fontId="0" fillId="2" borderId="0" xfId="0" applyFill="1" applyBorder="1" applyAlignment="1" applyProtection="1">
      <alignment horizontal="left"/>
      <protection hidden="1"/>
    </xf>
    <xf numFmtId="0" fontId="6" fillId="2" borderId="0" xfId="0" applyFont="1" applyFill="1" applyAlignment="1" applyProtection="1">
      <alignment horizontal="right"/>
      <protection hidden="1"/>
    </xf>
    <xf numFmtId="0" fontId="9" fillId="2" borderId="0" xfId="0" applyFont="1" applyFill="1" applyBorder="1" applyAlignment="1" applyProtection="1">
      <alignment horizontal="left"/>
      <protection hidden="1"/>
    </xf>
    <xf numFmtId="0" fontId="21" fillId="2" borderId="0" xfId="0" applyFont="1" applyFill="1" applyBorder="1" applyProtection="1">
      <protection hidden="1"/>
    </xf>
    <xf numFmtId="0" fontId="12" fillId="2" borderId="0" xfId="0" applyFont="1" applyFill="1" applyBorder="1" applyProtection="1">
      <protection hidden="1"/>
    </xf>
    <xf numFmtId="0" fontId="6" fillId="2" borderId="0" xfId="0" applyFont="1" applyFill="1" applyProtection="1">
      <protection hidden="1"/>
    </xf>
    <xf numFmtId="0" fontId="9" fillId="2" borderId="0" xfId="0" applyFont="1" applyFill="1" applyBorder="1" applyAlignment="1" applyProtection="1">
      <alignment horizontal="right"/>
      <protection hidden="1"/>
    </xf>
    <xf numFmtId="0" fontId="5" fillId="2" borderId="0" xfId="0" applyFont="1" applyFill="1" applyBorder="1" applyProtection="1">
      <protection hidden="1"/>
    </xf>
    <xf numFmtId="2" fontId="6" fillId="2" borderId="0" xfId="0" applyNumberFormat="1" applyFont="1" applyFill="1" applyAlignment="1" applyProtection="1">
      <alignment horizontal="center"/>
      <protection hidden="1"/>
    </xf>
    <xf numFmtId="0" fontId="0" fillId="2" borderId="5" xfId="0" applyFill="1" applyBorder="1" applyAlignment="1" applyProtection="1">
      <alignment horizontal="right"/>
      <protection hidden="1"/>
    </xf>
    <xf numFmtId="0" fontId="12" fillId="2" borderId="0" xfId="0" applyFont="1" applyFill="1" applyBorder="1" applyAlignment="1" applyProtection="1">
      <alignment horizontal="left"/>
      <protection hidden="1"/>
    </xf>
    <xf numFmtId="165" fontId="9" fillId="2" borderId="0" xfId="0" applyNumberFormat="1" applyFont="1" applyFill="1" applyBorder="1" applyAlignment="1" applyProtection="1">
      <alignment horizontal="right"/>
      <protection hidden="1"/>
    </xf>
    <xf numFmtId="0" fontId="13" fillId="2" borderId="5" xfId="0" applyFont="1" applyFill="1" applyBorder="1" applyProtection="1">
      <protection hidden="1"/>
    </xf>
    <xf numFmtId="0" fontId="0" fillId="2" borderId="8" xfId="0" applyFill="1" applyBorder="1" applyAlignment="1" applyProtection="1">
      <alignment horizontal="center"/>
      <protection hidden="1"/>
    </xf>
    <xf numFmtId="0" fontId="13" fillId="2" borderId="5" xfId="0" applyFont="1" applyFill="1" applyBorder="1" applyAlignment="1" applyProtection="1">
      <alignment horizontal="left"/>
      <protection hidden="1"/>
    </xf>
    <xf numFmtId="165" fontId="6" fillId="2" borderId="0" xfId="0" applyNumberFormat="1" applyFont="1" applyFill="1" applyAlignment="1" applyProtection="1">
      <alignment horizontal="center"/>
      <protection hidden="1"/>
    </xf>
    <xf numFmtId="0" fontId="16" fillId="2" borderId="6" xfId="0" applyFont="1" applyFill="1" applyBorder="1" applyProtection="1">
      <protection hidden="1"/>
    </xf>
    <xf numFmtId="0" fontId="16" fillId="2" borderId="0" xfId="0" applyFont="1" applyFill="1" applyAlignment="1" applyProtection="1">
      <protection hidden="1"/>
    </xf>
    <xf numFmtId="0" fontId="20" fillId="2" borderId="0" xfId="0" applyFont="1" applyFill="1" applyAlignment="1" applyProtection="1">
      <alignment horizontal="right"/>
      <protection hidden="1"/>
    </xf>
    <xf numFmtId="0" fontId="12" fillId="2" borderId="5" xfId="0" applyFont="1" applyFill="1" applyBorder="1" applyAlignment="1" applyProtection="1">
      <alignment horizontal="left"/>
      <protection hidden="1"/>
    </xf>
    <xf numFmtId="0" fontId="12" fillId="2" borderId="5" xfId="0" applyFont="1" applyFill="1" applyBorder="1" applyProtection="1">
      <protection hidden="1"/>
    </xf>
    <xf numFmtId="0" fontId="0" fillId="2" borderId="0" xfId="0" applyFill="1" applyBorder="1" applyAlignment="1" applyProtection="1">
      <protection hidden="1"/>
    </xf>
    <xf numFmtId="0" fontId="5" fillId="2" borderId="0" xfId="0" applyFont="1" applyFill="1" applyBorder="1" applyAlignment="1" applyProtection="1">
      <alignment horizontal="left"/>
      <protection hidden="1"/>
    </xf>
    <xf numFmtId="0" fontId="12" fillId="2" borderId="0" xfId="0" applyFont="1" applyFill="1" applyBorder="1" applyAlignment="1" applyProtection="1">
      <alignment horizontal="right"/>
      <protection hidden="1"/>
    </xf>
    <xf numFmtId="0" fontId="0" fillId="2" borderId="0" xfId="0" applyFill="1" applyBorder="1" applyAlignment="1" applyProtection="1">
      <alignment horizontal="center"/>
      <protection hidden="1"/>
    </xf>
    <xf numFmtId="14" fontId="0" fillId="2" borderId="0" xfId="0" applyNumberFormat="1" applyFill="1" applyBorder="1" applyAlignment="1" applyProtection="1">
      <alignment horizontal="center"/>
      <protection hidden="1"/>
    </xf>
    <xf numFmtId="18" fontId="0" fillId="2" borderId="0" xfId="0" applyNumberFormat="1" applyFill="1" applyBorder="1" applyAlignment="1" applyProtection="1">
      <alignment horizontal="center"/>
      <protection hidden="1"/>
    </xf>
    <xf numFmtId="0" fontId="16" fillId="2" borderId="0" xfId="0" applyFont="1" applyFill="1" applyBorder="1" applyAlignment="1" applyProtection="1">
      <alignment horizontal="left"/>
      <protection hidden="1"/>
    </xf>
    <xf numFmtId="166" fontId="6" fillId="2" borderId="0" xfId="0" applyNumberFormat="1" applyFont="1" applyFill="1" applyAlignment="1" applyProtection="1">
      <alignment horizontal="right"/>
      <protection hidden="1"/>
    </xf>
    <xf numFmtId="0" fontId="10" fillId="2" borderId="0" xfId="0" applyFont="1" applyFill="1" applyBorder="1" applyProtection="1">
      <protection hidden="1"/>
    </xf>
    <xf numFmtId="0" fontId="15" fillId="2" borderId="0" xfId="0" applyFont="1" applyFill="1" applyBorder="1" applyAlignment="1" applyProtection="1">
      <alignment horizontal="right"/>
      <protection hidden="1"/>
    </xf>
    <xf numFmtId="0" fontId="3" fillId="2" borderId="0" xfId="0" applyFont="1" applyFill="1" applyBorder="1" applyProtection="1">
      <protection hidden="1"/>
    </xf>
    <xf numFmtId="168" fontId="6" fillId="2" borderId="0" xfId="0" applyNumberFormat="1" applyFont="1" applyFill="1" applyAlignment="1" applyProtection="1">
      <alignment horizontal="right"/>
      <protection hidden="1"/>
    </xf>
    <xf numFmtId="0" fontId="6" fillId="2" borderId="0" xfId="0" applyFont="1" applyFill="1" applyBorder="1" applyProtection="1">
      <protection locked="0"/>
    </xf>
    <xf numFmtId="0" fontId="6" fillId="2" borderId="0" xfId="0" applyFont="1" applyFill="1" applyBorder="1" applyAlignment="1" applyProtection="1">
      <protection locked="0"/>
    </xf>
    <xf numFmtId="0" fontId="6" fillId="2" borderId="0" xfId="0" applyFont="1" applyFill="1" applyBorder="1" applyAlignment="1" applyProtection="1">
      <alignment horizontal="left"/>
      <protection locked="0"/>
    </xf>
    <xf numFmtId="0" fontId="26" fillId="2" borderId="0" xfId="0" applyFont="1" applyFill="1" applyProtection="1">
      <protection hidden="1"/>
    </xf>
    <xf numFmtId="168" fontId="6" fillId="2" borderId="0" xfId="0" applyNumberFormat="1" applyFont="1" applyFill="1" applyAlignment="1" applyProtection="1">
      <alignment horizontal="center"/>
      <protection hidden="1"/>
    </xf>
    <xf numFmtId="0" fontId="16" fillId="2" borderId="5" xfId="0" applyFont="1" applyFill="1" applyBorder="1" applyProtection="1">
      <protection hidden="1"/>
    </xf>
    <xf numFmtId="166" fontId="6" fillId="2" borderId="0" xfId="0" applyNumberFormat="1" applyFont="1" applyFill="1" applyBorder="1" applyAlignment="1" applyProtection="1">
      <alignment horizontal="right"/>
      <protection hidden="1"/>
    </xf>
    <xf numFmtId="168" fontId="16" fillId="2" borderId="0" xfId="0" applyNumberFormat="1" applyFont="1" applyFill="1" applyBorder="1" applyAlignment="1" applyProtection="1">
      <alignment horizontal="right"/>
      <protection hidden="1"/>
    </xf>
    <xf numFmtId="0" fontId="16" fillId="2" borderId="5" xfId="0" applyFont="1" applyFill="1" applyBorder="1" applyAlignment="1" applyProtection="1">
      <alignment horizontal="right"/>
      <protection hidden="1"/>
    </xf>
    <xf numFmtId="168" fontId="16" fillId="2" borderId="0" xfId="0" applyNumberFormat="1" applyFont="1" applyFill="1" applyBorder="1" applyAlignment="1" applyProtection="1">
      <alignment horizontal="center"/>
      <protection hidden="1"/>
    </xf>
    <xf numFmtId="0" fontId="16" fillId="2" borderId="0" xfId="0" quotePrefix="1" applyFont="1" applyFill="1" applyBorder="1" applyProtection="1">
      <protection hidden="1"/>
    </xf>
    <xf numFmtId="0" fontId="16" fillId="2" borderId="4" xfId="0" applyFont="1" applyFill="1" applyBorder="1" applyAlignment="1" applyProtection="1">
      <alignment horizontal="right"/>
      <protection hidden="1"/>
    </xf>
    <xf numFmtId="0" fontId="16" fillId="2" borderId="9" xfId="0" applyFont="1" applyFill="1" applyBorder="1" applyAlignment="1" applyProtection="1">
      <alignment horizontal="left"/>
      <protection hidden="1"/>
    </xf>
    <xf numFmtId="0" fontId="16" fillId="2" borderId="9" xfId="0" applyFont="1" applyFill="1" applyBorder="1" applyProtection="1">
      <protection hidden="1"/>
    </xf>
    <xf numFmtId="0" fontId="11" fillId="2" borderId="5" xfId="0" applyFont="1" applyFill="1" applyBorder="1" applyAlignment="1" applyProtection="1">
      <alignment horizontal="left"/>
      <protection hidden="1"/>
    </xf>
    <xf numFmtId="166" fontId="26" fillId="2" borderId="0" xfId="0" applyNumberFormat="1" applyFont="1" applyFill="1" applyAlignment="1" applyProtection="1">
      <alignment horizontal="center"/>
      <protection hidden="1"/>
    </xf>
    <xf numFmtId="2" fontId="16" fillId="2" borderId="0" xfId="0" applyNumberFormat="1" applyFont="1" applyFill="1" applyBorder="1" applyAlignment="1" applyProtection="1">
      <alignment horizontal="right"/>
      <protection hidden="1"/>
    </xf>
    <xf numFmtId="2" fontId="9" fillId="2" borderId="0" xfId="0" applyNumberFormat="1" applyFont="1" applyFill="1" applyBorder="1" applyAlignment="1" applyProtection="1">
      <alignment horizontal="right"/>
      <protection hidden="1"/>
    </xf>
    <xf numFmtId="168" fontId="16" fillId="2" borderId="0" xfId="0" applyNumberFormat="1" applyFont="1" applyFill="1" applyProtection="1">
      <protection hidden="1"/>
    </xf>
    <xf numFmtId="0" fontId="27" fillId="2" borderId="0" xfId="0" applyFont="1" applyFill="1" applyBorder="1" applyAlignment="1" applyProtection="1">
      <alignment horizontal="left"/>
      <protection hidden="1"/>
    </xf>
    <xf numFmtId="0" fontId="8" fillId="2" borderId="0" xfId="0" applyFont="1" applyFill="1" applyBorder="1" applyAlignment="1" applyProtection="1">
      <alignment horizontal="left"/>
      <protection hidden="1"/>
    </xf>
    <xf numFmtId="166" fontId="7" fillId="2" borderId="0" xfId="0" applyNumberFormat="1" applyFont="1" applyFill="1" applyAlignment="1" applyProtection="1">
      <alignment horizontal="center"/>
      <protection hidden="1"/>
    </xf>
    <xf numFmtId="0" fontId="7" fillId="2" borderId="0" xfId="0" applyFont="1" applyFill="1" applyAlignment="1" applyProtection="1">
      <alignment horizontal="right"/>
      <protection hidden="1"/>
    </xf>
    <xf numFmtId="166" fontId="7" fillId="2" borderId="0" xfId="0" applyNumberFormat="1" applyFont="1" applyFill="1" applyAlignment="1" applyProtection="1">
      <alignment horizontal="left"/>
      <protection hidden="1"/>
    </xf>
    <xf numFmtId="0" fontId="23" fillId="2" borderId="0" xfId="0" applyFont="1" applyFill="1" applyBorder="1" applyAlignment="1" applyProtection="1">
      <alignment horizontal="center"/>
      <protection hidden="1"/>
    </xf>
    <xf numFmtId="0" fontId="5" fillId="2" borderId="0" xfId="0" applyFont="1" applyFill="1" applyProtection="1">
      <protection hidden="1"/>
    </xf>
    <xf numFmtId="0" fontId="9" fillId="2" borderId="2" xfId="0" applyFont="1" applyFill="1" applyBorder="1" applyAlignment="1" applyProtection="1">
      <alignment horizontal="center"/>
      <protection hidden="1"/>
    </xf>
    <xf numFmtId="0" fontId="0" fillId="3" borderId="10" xfId="0" applyFill="1" applyBorder="1" applyAlignment="1" applyProtection="1">
      <alignment horizontal="centerContinuous"/>
      <protection hidden="1"/>
    </xf>
    <xf numFmtId="0" fontId="5" fillId="3" borderId="6" xfId="0" applyFont="1" applyFill="1" applyBorder="1" applyAlignment="1" applyProtection="1">
      <alignment horizontal="centerContinuous"/>
      <protection hidden="1"/>
    </xf>
    <xf numFmtId="0" fontId="9" fillId="2" borderId="2" xfId="0" applyFont="1" applyFill="1" applyBorder="1" applyAlignment="1" applyProtection="1">
      <alignment horizontal="center"/>
      <protection locked="0"/>
    </xf>
    <xf numFmtId="0" fontId="3" fillId="3" borderId="9" xfId="0" applyFont="1" applyFill="1" applyBorder="1" applyAlignment="1" applyProtection="1">
      <alignment horizontal="centerContinuous"/>
      <protection hidden="1"/>
    </xf>
    <xf numFmtId="0" fontId="0" fillId="3" borderId="9" xfId="0" applyFill="1" applyBorder="1" applyAlignment="1" applyProtection="1">
      <alignment horizontal="centerContinuous"/>
      <protection hidden="1"/>
    </xf>
    <xf numFmtId="0" fontId="5" fillId="3" borderId="11" xfId="0" applyFont="1" applyFill="1" applyBorder="1" applyAlignment="1" applyProtection="1">
      <alignment horizontal="centerContinuous"/>
      <protection hidden="1"/>
    </xf>
    <xf numFmtId="0" fontId="6" fillId="2" borderId="12" xfId="0" applyFont="1" applyFill="1" applyBorder="1" applyAlignment="1" applyProtection="1">
      <alignment horizontal="left"/>
      <protection locked="0"/>
    </xf>
    <xf numFmtId="49" fontId="6" fillId="2" borderId="13" xfId="0" applyNumberFormat="1" applyFont="1" applyFill="1" applyBorder="1" applyProtection="1">
      <protection locked="0"/>
    </xf>
    <xf numFmtId="49" fontId="0" fillId="2" borderId="13" xfId="0" applyNumberFormat="1" applyFill="1" applyBorder="1" applyProtection="1">
      <protection locked="0"/>
    </xf>
    <xf numFmtId="49" fontId="6" fillId="2" borderId="14" xfId="0" applyNumberFormat="1" applyFont="1" applyFill="1" applyBorder="1" applyAlignment="1" applyProtection="1">
      <alignment horizontal="left"/>
      <protection locked="0"/>
    </xf>
    <xf numFmtId="49" fontId="6" fillId="2" borderId="14" xfId="0" quotePrefix="1" applyNumberFormat="1" applyFont="1" applyFill="1" applyBorder="1" applyAlignment="1" applyProtection="1">
      <alignment horizontal="left"/>
      <protection locked="0"/>
    </xf>
    <xf numFmtId="2" fontId="6" fillId="2" borderId="15" xfId="0" applyNumberFormat="1" applyFont="1" applyFill="1" applyBorder="1" applyAlignment="1" applyProtection="1">
      <alignment horizontal="center"/>
      <protection hidden="1"/>
    </xf>
    <xf numFmtId="166" fontId="6" fillId="2" borderId="16" xfId="0" applyNumberFormat="1" applyFont="1" applyFill="1" applyBorder="1" applyAlignment="1" applyProtection="1">
      <alignment horizontal="center"/>
      <protection hidden="1"/>
    </xf>
    <xf numFmtId="166" fontId="6" fillId="2" borderId="17" xfId="0" applyNumberFormat="1" applyFont="1" applyFill="1" applyBorder="1" applyAlignment="1" applyProtection="1">
      <alignment horizontal="center"/>
      <protection hidden="1"/>
    </xf>
    <xf numFmtId="2" fontId="6" fillId="4" borderId="15" xfId="0" applyNumberFormat="1" applyFont="1" applyFill="1" applyBorder="1" applyAlignment="1" applyProtection="1">
      <alignment horizontal="center"/>
      <protection locked="0"/>
    </xf>
    <xf numFmtId="2" fontId="6" fillId="4" borderId="17" xfId="0" applyNumberFormat="1" applyFont="1" applyFill="1" applyBorder="1" applyAlignment="1" applyProtection="1">
      <alignment horizontal="center"/>
      <protection locked="0"/>
    </xf>
    <xf numFmtId="166" fontId="6" fillId="4" borderId="15" xfId="0" applyNumberFormat="1" applyFont="1" applyFill="1" applyBorder="1" applyAlignment="1" applyProtection="1">
      <alignment horizontal="center"/>
      <protection locked="0"/>
    </xf>
    <xf numFmtId="166" fontId="6" fillId="4" borderId="16" xfId="0" applyNumberFormat="1" applyFont="1" applyFill="1" applyBorder="1" applyAlignment="1" applyProtection="1">
      <alignment horizontal="center"/>
      <protection locked="0"/>
    </xf>
    <xf numFmtId="2" fontId="6" fillId="4" borderId="16" xfId="0" applyNumberFormat="1" applyFont="1" applyFill="1" applyBorder="1" applyAlignment="1" applyProtection="1">
      <alignment horizontal="center"/>
      <protection locked="0"/>
    </xf>
    <xf numFmtId="1" fontId="6" fillId="4" borderId="15" xfId="0" applyNumberFormat="1" applyFont="1" applyFill="1" applyBorder="1" applyAlignment="1" applyProtection="1">
      <alignment horizontal="center"/>
      <protection locked="0"/>
    </xf>
    <xf numFmtId="166" fontId="6" fillId="4" borderId="17" xfId="0" applyNumberFormat="1" applyFont="1" applyFill="1" applyBorder="1" applyAlignment="1" applyProtection="1">
      <alignment horizontal="center"/>
      <protection locked="0"/>
    </xf>
    <xf numFmtId="166" fontId="6" fillId="2" borderId="15" xfId="0" applyNumberFormat="1" applyFont="1" applyFill="1" applyBorder="1" applyAlignment="1" applyProtection="1">
      <alignment horizontal="center"/>
      <protection hidden="1"/>
    </xf>
    <xf numFmtId="2" fontId="6" fillId="2" borderId="16" xfId="0" applyNumberFormat="1" applyFont="1" applyFill="1" applyBorder="1" applyAlignment="1" applyProtection="1">
      <alignment horizontal="center"/>
      <protection hidden="1"/>
    </xf>
    <xf numFmtId="2" fontId="6" fillId="2" borderId="17" xfId="0" applyNumberFormat="1" applyFont="1" applyFill="1" applyBorder="1" applyAlignment="1" applyProtection="1">
      <alignment horizontal="center"/>
      <protection hidden="1"/>
    </xf>
    <xf numFmtId="165" fontId="9" fillId="2" borderId="0" xfId="0" applyNumberFormat="1" applyFont="1" applyFill="1" applyBorder="1" applyAlignment="1" applyProtection="1">
      <protection hidden="1"/>
    </xf>
    <xf numFmtId="2" fontId="9" fillId="2" borderId="0" xfId="0" applyNumberFormat="1" applyFont="1" applyFill="1" applyBorder="1" applyAlignment="1" applyProtection="1">
      <protection hidden="1"/>
    </xf>
    <xf numFmtId="0" fontId="6" fillId="2" borderId="6" xfId="0" applyFont="1" applyFill="1" applyBorder="1" applyAlignment="1" applyProtection="1">
      <protection locked="0"/>
    </xf>
    <xf numFmtId="0" fontId="6" fillId="2" borderId="0" xfId="0" applyFont="1" applyFill="1" applyBorder="1" applyAlignment="1" applyProtection="1">
      <alignment horizontal="centerContinuous"/>
      <protection locked="0"/>
    </xf>
    <xf numFmtId="0" fontId="6" fillId="2" borderId="0" xfId="0" applyFont="1" applyFill="1" applyBorder="1" applyAlignment="1" applyProtection="1">
      <alignment horizontal="center"/>
      <protection locked="0"/>
    </xf>
    <xf numFmtId="0" fontId="6" fillId="2" borderId="6" xfId="0" applyFont="1" applyFill="1" applyBorder="1" applyAlignment="1" applyProtection="1">
      <alignment horizontal="center"/>
      <protection locked="0"/>
    </xf>
    <xf numFmtId="14" fontId="6" fillId="2" borderId="10" xfId="0" applyNumberFormat="1" applyFont="1" applyFill="1" applyBorder="1" applyAlignment="1" applyProtection="1">
      <alignment horizontal="center"/>
      <protection locked="0"/>
    </xf>
    <xf numFmtId="18" fontId="6" fillId="2" borderId="6" xfId="0" applyNumberFormat="1" applyFont="1" applyFill="1" applyBorder="1" applyAlignment="1" applyProtection="1">
      <alignment horizontal="center"/>
      <protection locked="0"/>
    </xf>
    <xf numFmtId="0" fontId="23" fillId="0" borderId="2" xfId="0" applyFont="1" applyBorder="1" applyAlignment="1" applyProtection="1">
      <alignment horizontal="center"/>
      <protection hidden="1"/>
    </xf>
    <xf numFmtId="0" fontId="31" fillId="2" borderId="0" xfId="0" applyFont="1" applyFill="1" applyAlignment="1">
      <alignment horizontal="centerContinuous"/>
    </xf>
    <xf numFmtId="0" fontId="32" fillId="2" borderId="0" xfId="0" applyFont="1" applyFill="1" applyAlignment="1">
      <alignment horizontal="centerContinuous"/>
    </xf>
    <xf numFmtId="0" fontId="32" fillId="2" borderId="0" xfId="0" applyFont="1" applyFill="1"/>
    <xf numFmtId="0" fontId="10" fillId="2" borderId="0" xfId="0" applyFont="1" applyFill="1"/>
    <xf numFmtId="0" fontId="3" fillId="2" borderId="14" xfId="0" applyFont="1" applyFill="1" applyBorder="1" applyAlignment="1">
      <alignment horizontal="centerContinuous"/>
    </xf>
    <xf numFmtId="0" fontId="33" fillId="2" borderId="13" xfId="0" applyFont="1" applyFill="1" applyBorder="1" applyAlignment="1">
      <alignment horizontal="centerContinuous"/>
    </xf>
    <xf numFmtId="0" fontId="33" fillId="2" borderId="12" xfId="0" applyFont="1" applyFill="1" applyBorder="1" applyAlignment="1">
      <alignment horizontal="centerContinuous"/>
    </xf>
    <xf numFmtId="0" fontId="11" fillId="2" borderId="13" xfId="0" applyFont="1" applyFill="1" applyBorder="1" applyAlignment="1">
      <alignment horizontal="centerContinuous"/>
    </xf>
    <xf numFmtId="0" fontId="11" fillId="2" borderId="12" xfId="0" applyFont="1" applyFill="1" applyBorder="1" applyAlignment="1">
      <alignment horizontal="centerContinuous"/>
    </xf>
    <xf numFmtId="0" fontId="32" fillId="2" borderId="0" xfId="0" applyFont="1" applyFill="1" applyBorder="1" applyAlignment="1">
      <alignment horizontal="centerContinuous"/>
    </xf>
    <xf numFmtId="0" fontId="32" fillId="2" borderId="0" xfId="0" applyFont="1" applyFill="1" applyBorder="1"/>
    <xf numFmtId="0" fontId="21" fillId="2" borderId="0" xfId="0" applyFont="1" applyFill="1" applyProtection="1">
      <protection hidden="1"/>
    </xf>
    <xf numFmtId="166" fontId="6" fillId="2" borderId="0" xfId="0" applyNumberFormat="1" applyFont="1" applyFill="1" applyAlignment="1" applyProtection="1">
      <alignment horizontal="left"/>
      <protection hidden="1"/>
    </xf>
    <xf numFmtId="0" fontId="21" fillId="2" borderId="0" xfId="0" applyFont="1" applyFill="1" applyAlignment="1" applyProtection="1">
      <alignment horizontal="left"/>
      <protection hidden="1"/>
    </xf>
    <xf numFmtId="0" fontId="0" fillId="2" borderId="0" xfId="0" applyFill="1" applyAlignment="1" applyProtection="1">
      <alignment horizontal="left"/>
      <protection hidden="1"/>
    </xf>
    <xf numFmtId="0" fontId="34" fillId="2" borderId="0" xfId="0" applyFont="1" applyFill="1"/>
    <xf numFmtId="166" fontId="21" fillId="2" borderId="0" xfId="0" applyNumberFormat="1" applyFont="1" applyFill="1" applyAlignment="1" applyProtection="1">
      <alignment horizontal="center"/>
      <protection hidden="1"/>
    </xf>
    <xf numFmtId="165" fontId="21" fillId="2" borderId="0" xfId="0" applyNumberFormat="1" applyFont="1" applyFill="1" applyAlignment="1" applyProtection="1">
      <alignment horizontal="center"/>
      <protection hidden="1"/>
    </xf>
    <xf numFmtId="0" fontId="21" fillId="2" borderId="0" xfId="0" applyFont="1" applyFill="1" applyAlignment="1" applyProtection="1">
      <alignment horizontal="right"/>
      <protection hidden="1"/>
    </xf>
    <xf numFmtId="0" fontId="16" fillId="2" borderId="0" xfId="0" applyFont="1" applyFill="1" applyBorder="1" applyAlignment="1" applyProtection="1">
      <protection hidden="1"/>
    </xf>
    <xf numFmtId="0" fontId="16" fillId="2" borderId="4" xfId="0" applyFont="1" applyFill="1" applyBorder="1" applyAlignment="1" applyProtection="1">
      <alignment horizontal="centerContinuous"/>
      <protection hidden="1"/>
    </xf>
    <xf numFmtId="0" fontId="16" fillId="2" borderId="9" xfId="0" applyFont="1" applyFill="1" applyBorder="1" applyAlignment="1" applyProtection="1">
      <alignment horizontal="centerContinuous"/>
      <protection hidden="1"/>
    </xf>
    <xf numFmtId="0" fontId="16" fillId="2" borderId="11" xfId="0" applyFont="1" applyFill="1" applyBorder="1" applyAlignment="1" applyProtection="1">
      <alignment horizontal="centerContinuous"/>
      <protection hidden="1"/>
    </xf>
    <xf numFmtId="166" fontId="6" fillId="4" borderId="2" xfId="0" applyNumberFormat="1" applyFont="1" applyFill="1" applyBorder="1" applyAlignment="1" applyProtection="1">
      <alignment horizontal="center"/>
      <protection locked="0"/>
    </xf>
    <xf numFmtId="0" fontId="12" fillId="2" borderId="0" xfId="0" applyFont="1" applyFill="1" applyBorder="1" applyProtection="1"/>
    <xf numFmtId="0" fontId="0" fillId="2" borderId="5" xfId="0" applyFill="1" applyBorder="1" applyProtection="1"/>
    <xf numFmtId="0" fontId="12" fillId="2" borderId="0" xfId="0" applyFont="1" applyFill="1" applyBorder="1" applyAlignment="1" applyProtection="1">
      <alignment horizontal="right"/>
    </xf>
    <xf numFmtId="165" fontId="12" fillId="2" borderId="0" xfId="0" applyNumberFormat="1" applyFont="1" applyFill="1" applyBorder="1" applyAlignment="1" applyProtection="1">
      <alignment horizontal="center"/>
    </xf>
    <xf numFmtId="165" fontId="38" fillId="2" borderId="0" xfId="0" applyNumberFormat="1" applyFont="1" applyFill="1" applyBorder="1" applyAlignment="1" applyProtection="1">
      <alignment horizontal="left"/>
    </xf>
    <xf numFmtId="0" fontId="9" fillId="2" borderId="0" xfId="0" applyFont="1" applyFill="1" applyBorder="1" applyAlignment="1" applyProtection="1">
      <alignment horizontal="right"/>
    </xf>
    <xf numFmtId="165" fontId="9" fillId="2" borderId="5" xfId="0" applyNumberFormat="1" applyFont="1" applyFill="1" applyBorder="1" applyAlignment="1" applyProtection="1">
      <alignment horizontal="center"/>
    </xf>
    <xf numFmtId="165" fontId="9" fillId="2" borderId="0" xfId="0" applyNumberFormat="1" applyFont="1" applyFill="1" applyBorder="1" applyAlignment="1" applyProtection="1">
      <alignment horizontal="center"/>
    </xf>
    <xf numFmtId="0" fontId="37" fillId="2" borderId="0" xfId="0" applyFont="1" applyFill="1" applyBorder="1" applyAlignment="1" applyProtection="1">
      <alignment horizontal="right"/>
    </xf>
    <xf numFmtId="168" fontId="12" fillId="2" borderId="0" xfId="0" applyNumberFormat="1" applyFont="1" applyFill="1" applyBorder="1" applyAlignment="1" applyProtection="1">
      <alignment horizontal="center"/>
    </xf>
    <xf numFmtId="2" fontId="9" fillId="2" borderId="0" xfId="0" applyNumberFormat="1" applyFont="1" applyFill="1" applyBorder="1" applyAlignment="1" applyProtection="1">
      <alignment horizontal="center"/>
    </xf>
    <xf numFmtId="2" fontId="9" fillId="2" borderId="0" xfId="0" applyNumberFormat="1" applyFont="1" applyFill="1" applyBorder="1" applyAlignment="1" applyProtection="1">
      <alignment horizontal="right"/>
    </xf>
    <xf numFmtId="2" fontId="14" fillId="2" borderId="0" xfId="0" applyNumberFormat="1" applyFont="1" applyFill="1" applyBorder="1" applyAlignment="1" applyProtection="1">
      <alignment horizontal="left"/>
    </xf>
    <xf numFmtId="0" fontId="0" fillId="2" borderId="9" xfId="0" applyFill="1" applyBorder="1" applyProtection="1"/>
    <xf numFmtId="0" fontId="0" fillId="2" borderId="11" xfId="0" applyFill="1" applyBorder="1" applyProtection="1"/>
    <xf numFmtId="166" fontId="16" fillId="2" borderId="0" xfId="0" applyNumberFormat="1" applyFont="1" applyFill="1" applyBorder="1" applyAlignment="1" applyProtection="1">
      <alignment horizontal="center"/>
    </xf>
    <xf numFmtId="0" fontId="16" fillId="2" borderId="0" xfId="0" applyFont="1" applyFill="1" applyBorder="1" applyProtection="1"/>
    <xf numFmtId="168" fontId="36" fillId="2" borderId="0" xfId="0" applyNumberFormat="1" applyFont="1" applyFill="1" applyBorder="1" applyAlignment="1" applyProtection="1">
      <alignment horizontal="center"/>
      <protection hidden="1"/>
    </xf>
    <xf numFmtId="2" fontId="16" fillId="2" borderId="0" xfId="0" applyNumberFormat="1" applyFont="1" applyFill="1" applyBorder="1" applyAlignment="1" applyProtection="1">
      <alignment horizontal="left"/>
    </xf>
    <xf numFmtId="0" fontId="16" fillId="2" borderId="0" xfId="0" applyFont="1" applyFill="1" applyBorder="1" applyAlignment="1" applyProtection="1">
      <alignment horizontal="left"/>
    </xf>
    <xf numFmtId="165" fontId="16" fillId="2" borderId="0" xfId="0" applyNumberFormat="1" applyFont="1" applyFill="1" applyBorder="1" applyAlignment="1" applyProtection="1">
      <alignment horizontal="center"/>
    </xf>
    <xf numFmtId="0" fontId="16" fillId="2" borderId="0" xfId="0" applyFont="1" applyFill="1" applyBorder="1" applyAlignment="1" applyProtection="1"/>
    <xf numFmtId="2" fontId="16" fillId="2" borderId="6" xfId="0" applyNumberFormat="1" applyFont="1" applyFill="1" applyBorder="1" applyAlignment="1" applyProtection="1"/>
    <xf numFmtId="0" fontId="36" fillId="2" borderId="0" xfId="0" applyFont="1" applyFill="1" applyBorder="1" applyAlignment="1" applyProtection="1">
      <alignment horizontal="right"/>
    </xf>
    <xf numFmtId="166" fontId="36" fillId="2" borderId="0" xfId="0" applyNumberFormat="1" applyFont="1" applyFill="1" applyBorder="1" applyAlignment="1" applyProtection="1">
      <alignment horizontal="center"/>
    </xf>
    <xf numFmtId="168" fontId="36" fillId="2" borderId="0" xfId="0" applyNumberFormat="1" applyFont="1" applyFill="1" applyBorder="1" applyAlignment="1" applyProtection="1">
      <alignment horizontal="center"/>
    </xf>
    <xf numFmtId="166" fontId="36" fillId="2" borderId="0" xfId="0" quotePrefix="1" applyNumberFormat="1" applyFont="1" applyFill="1" applyBorder="1" applyAlignment="1" applyProtection="1">
      <alignment horizontal="center"/>
    </xf>
    <xf numFmtId="0" fontId="36" fillId="2" borderId="0" xfId="0" applyNumberFormat="1" applyFont="1" applyFill="1" applyBorder="1" applyAlignment="1" applyProtection="1">
      <alignment horizontal="center"/>
      <protection hidden="1"/>
    </xf>
    <xf numFmtId="0" fontId="16" fillId="2" borderId="5" xfId="0" applyFont="1" applyFill="1" applyBorder="1" applyProtection="1"/>
    <xf numFmtId="0" fontId="16" fillId="2" borderId="5" xfId="0" applyFont="1" applyFill="1" applyBorder="1" applyAlignment="1" applyProtection="1">
      <alignment horizontal="right"/>
    </xf>
    <xf numFmtId="166" fontId="16" fillId="2" borderId="6" xfId="0" applyNumberFormat="1" applyFont="1" applyFill="1" applyBorder="1" applyAlignment="1" applyProtection="1">
      <alignment horizontal="center"/>
      <protection hidden="1"/>
    </xf>
    <xf numFmtId="0" fontId="6" fillId="2" borderId="5" xfId="0" applyFont="1" applyFill="1" applyBorder="1" applyAlignment="1" applyProtection="1"/>
    <xf numFmtId="0" fontId="16" fillId="2" borderId="5" xfId="0" applyFont="1" applyFill="1" applyBorder="1" applyAlignment="1" applyProtection="1"/>
    <xf numFmtId="0" fontId="16" fillId="2" borderId="6" xfId="0" applyFont="1" applyFill="1" applyBorder="1" applyProtection="1"/>
    <xf numFmtId="165" fontId="12" fillId="2" borderId="6" xfId="0" applyNumberFormat="1" applyFont="1" applyFill="1" applyBorder="1" applyAlignment="1" applyProtection="1">
      <alignment horizontal="center"/>
    </xf>
    <xf numFmtId="166" fontId="36" fillId="2" borderId="9" xfId="0" applyNumberFormat="1" applyFont="1" applyFill="1" applyBorder="1" applyAlignment="1" applyProtection="1">
      <alignment horizontal="center"/>
      <protection hidden="1"/>
    </xf>
    <xf numFmtId="0" fontId="7" fillId="2" borderId="14" xfId="0" applyFont="1" applyFill="1" applyBorder="1" applyAlignment="1" applyProtection="1">
      <alignment horizontal="centerContinuous"/>
      <protection hidden="1"/>
    </xf>
    <xf numFmtId="0" fontId="16" fillId="2" borderId="13" xfId="0" applyFont="1" applyFill="1" applyBorder="1" applyAlignment="1" applyProtection="1">
      <alignment horizontal="centerContinuous"/>
      <protection hidden="1"/>
    </xf>
    <xf numFmtId="0" fontId="16" fillId="2" borderId="12" xfId="0" applyFont="1" applyFill="1" applyBorder="1" applyAlignment="1" applyProtection="1">
      <alignment horizontal="centerContinuous"/>
      <protection hidden="1"/>
    </xf>
    <xf numFmtId="0" fontId="6" fillId="2" borderId="13" xfId="0" applyFont="1" applyFill="1" applyBorder="1" applyAlignment="1" applyProtection="1">
      <alignment horizontal="left"/>
      <protection locked="0"/>
    </xf>
    <xf numFmtId="0" fontId="6" fillId="2" borderId="13" xfId="0" applyFont="1" applyFill="1" applyBorder="1" applyAlignment="1" applyProtection="1">
      <alignment horizontal="centerContinuous"/>
      <protection locked="0"/>
    </xf>
    <xf numFmtId="0" fontId="6" fillId="2" borderId="12" xfId="0" applyFont="1" applyFill="1" applyBorder="1" applyAlignment="1" applyProtection="1">
      <protection locked="0"/>
    </xf>
    <xf numFmtId="0" fontId="0" fillId="2" borderId="9" xfId="0" applyFill="1" applyBorder="1" applyProtection="1">
      <protection hidden="1"/>
    </xf>
    <xf numFmtId="2" fontId="9" fillId="2" borderId="9" xfId="0" applyNumberFormat="1" applyFont="1" applyFill="1" applyBorder="1" applyAlignment="1" applyProtection="1">
      <alignment horizontal="left"/>
      <protection hidden="1"/>
    </xf>
    <xf numFmtId="0" fontId="0" fillId="2" borderId="11" xfId="0" applyFill="1" applyBorder="1" applyProtection="1">
      <protection hidden="1"/>
    </xf>
    <xf numFmtId="166" fontId="6" fillId="2" borderId="0" xfId="0" applyNumberFormat="1" applyFont="1" applyFill="1" applyBorder="1" applyAlignment="1" applyProtection="1">
      <alignment horizontal="left"/>
      <protection hidden="1"/>
    </xf>
    <xf numFmtId="2" fontId="16" fillId="2" borderId="0" xfId="0" applyNumberFormat="1" applyFont="1" applyFill="1" applyAlignment="1" applyProtection="1">
      <alignment horizontal="center"/>
      <protection hidden="1"/>
    </xf>
    <xf numFmtId="0" fontId="6" fillId="2" borderId="2" xfId="0" applyFont="1" applyFill="1" applyBorder="1" applyAlignment="1" applyProtection="1">
      <alignment horizontal="left"/>
      <protection locked="0"/>
    </xf>
    <xf numFmtId="0" fontId="39" fillId="2" borderId="6" xfId="0" applyFont="1" applyFill="1" applyBorder="1" applyProtection="1">
      <protection hidden="1"/>
    </xf>
    <xf numFmtId="0" fontId="39" fillId="2" borderId="0" xfId="0" applyFont="1" applyFill="1" applyBorder="1" applyAlignment="1" applyProtection="1">
      <alignment horizontal="left"/>
      <protection hidden="1"/>
    </xf>
    <xf numFmtId="0" fontId="39" fillId="2" borderId="0" xfId="0" applyFont="1" applyFill="1" applyBorder="1" applyProtection="1">
      <protection hidden="1"/>
    </xf>
    <xf numFmtId="0" fontId="39" fillId="2" borderId="0" xfId="0" applyFont="1" applyFill="1" applyBorder="1" applyAlignment="1" applyProtection="1">
      <alignment horizontal="right"/>
      <protection hidden="1"/>
    </xf>
    <xf numFmtId="0" fontId="9" fillId="2" borderId="0" xfId="0" applyFont="1" applyFill="1" applyBorder="1" applyAlignment="1" applyProtection="1">
      <protection hidden="1"/>
    </xf>
    <xf numFmtId="0" fontId="11" fillId="2" borderId="0" xfId="0" applyFont="1" applyFill="1" applyBorder="1" applyProtection="1">
      <protection hidden="1"/>
    </xf>
    <xf numFmtId="0" fontId="9" fillId="2" borderId="0" xfId="0" applyFont="1" applyFill="1" applyBorder="1" applyProtection="1">
      <protection hidden="1"/>
    </xf>
    <xf numFmtId="0" fontId="9" fillId="2" borderId="6" xfId="0" applyFont="1" applyFill="1" applyBorder="1" applyProtection="1">
      <protection hidden="1"/>
    </xf>
    <xf numFmtId="168" fontId="9" fillId="2" borderId="6" xfId="0" applyNumberFormat="1" applyFont="1" applyFill="1" applyBorder="1" applyAlignment="1" applyProtection="1">
      <alignment horizontal="center"/>
      <protection hidden="1"/>
    </xf>
    <xf numFmtId="0" fontId="11" fillId="2" borderId="6" xfId="0" applyFont="1" applyFill="1" applyBorder="1" applyProtection="1">
      <protection hidden="1"/>
    </xf>
    <xf numFmtId="0" fontId="9" fillId="2" borderId="6" xfId="0" applyFont="1" applyFill="1" applyBorder="1" applyAlignment="1" applyProtection="1">
      <protection hidden="1"/>
    </xf>
    <xf numFmtId="0" fontId="40" fillId="2" borderId="0" xfId="0" applyFont="1" applyFill="1" applyBorder="1" applyAlignment="1" applyProtection="1">
      <protection hidden="1"/>
    </xf>
    <xf numFmtId="168" fontId="40" fillId="2" borderId="6" xfId="0" applyNumberFormat="1" applyFont="1" applyFill="1" applyBorder="1" applyAlignment="1" applyProtection="1">
      <alignment horizontal="center"/>
      <protection hidden="1"/>
    </xf>
    <xf numFmtId="168" fontId="8" fillId="2" borderId="6" xfId="0" applyNumberFormat="1" applyFont="1" applyFill="1" applyBorder="1" applyAlignment="1" applyProtection="1">
      <alignment horizontal="center"/>
      <protection hidden="1"/>
    </xf>
    <xf numFmtId="0" fontId="40" fillId="2" borderId="6" xfId="0" applyFont="1" applyFill="1" applyBorder="1" applyProtection="1">
      <protection hidden="1"/>
    </xf>
    <xf numFmtId="0" fontId="40" fillId="2" borderId="0" xfId="0" applyFont="1" applyFill="1" applyBorder="1" applyProtection="1">
      <protection hidden="1"/>
    </xf>
    <xf numFmtId="165" fontId="40" fillId="2" borderId="0" xfId="0" applyNumberFormat="1" applyFont="1" applyFill="1" applyBorder="1" applyAlignment="1" applyProtection="1">
      <protection hidden="1"/>
    </xf>
    <xf numFmtId="0" fontId="40" fillId="2" borderId="6" xfId="0" applyFont="1" applyFill="1" applyBorder="1" applyAlignment="1" applyProtection="1">
      <alignment vertical="top"/>
      <protection hidden="1"/>
    </xf>
    <xf numFmtId="166" fontId="40" fillId="2" borderId="0" xfId="0" applyNumberFormat="1" applyFont="1" applyFill="1" applyBorder="1" applyProtection="1">
      <protection hidden="1"/>
    </xf>
    <xf numFmtId="0" fontId="9" fillId="2" borderId="5" xfId="0" applyFont="1" applyFill="1" applyBorder="1" applyAlignment="1" applyProtection="1">
      <alignment horizontal="left"/>
      <protection hidden="1"/>
    </xf>
    <xf numFmtId="0" fontId="32" fillId="0" borderId="18" xfId="0" applyFont="1" applyFill="1" applyBorder="1" applyAlignment="1">
      <alignment horizontal="centerContinuous"/>
    </xf>
    <xf numFmtId="0" fontId="32" fillId="0" borderId="19" xfId="0" applyFont="1" applyFill="1" applyBorder="1" applyAlignment="1">
      <alignment horizontal="centerContinuous"/>
    </xf>
    <xf numFmtId="0" fontId="32" fillId="0" borderId="20" xfId="0" applyFont="1" applyFill="1" applyBorder="1" applyAlignment="1">
      <alignment horizontal="centerContinuous"/>
    </xf>
    <xf numFmtId="0" fontId="32" fillId="0" borderId="21" xfId="0" applyFont="1" applyFill="1" applyBorder="1" applyAlignment="1">
      <alignment horizontal="centerContinuous"/>
    </xf>
    <xf numFmtId="0" fontId="32" fillId="0" borderId="22" xfId="0" applyFont="1" applyFill="1" applyBorder="1" applyAlignment="1">
      <alignment horizontal="centerContinuous"/>
    </xf>
    <xf numFmtId="0" fontId="32" fillId="0" borderId="23" xfId="0" applyFont="1" applyFill="1" applyBorder="1" applyAlignment="1">
      <alignment horizontal="centerContinuous"/>
    </xf>
    <xf numFmtId="0" fontId="32" fillId="0" borderId="24" xfId="0" applyFont="1" applyFill="1" applyBorder="1" applyAlignment="1">
      <alignment horizontal="centerContinuous"/>
    </xf>
    <xf numFmtId="0" fontId="32" fillId="0" borderId="25" xfId="0" applyFont="1" applyFill="1" applyBorder="1" applyAlignment="1">
      <alignment horizontal="centerContinuous"/>
    </xf>
    <xf numFmtId="0" fontId="32" fillId="0" borderId="26" xfId="0" applyFont="1" applyFill="1" applyBorder="1" applyAlignment="1">
      <alignment horizontal="centerContinuous"/>
    </xf>
    <xf numFmtId="165" fontId="13" fillId="2" borderId="0" xfId="0" applyNumberFormat="1" applyFont="1" applyFill="1" applyBorder="1" applyAlignment="1" applyProtection="1">
      <protection hidden="1"/>
    </xf>
    <xf numFmtId="0" fontId="25" fillId="2" borderId="0" xfId="0" applyFont="1" applyFill="1" applyBorder="1" applyAlignment="1" applyProtection="1">
      <protection hidden="1"/>
    </xf>
    <xf numFmtId="0" fontId="0" fillId="2" borderId="6" xfId="0" applyFill="1" applyBorder="1" applyAlignment="1" applyProtection="1">
      <protection hidden="1"/>
    </xf>
    <xf numFmtId="166" fontId="40" fillId="2" borderId="0" xfId="0" applyNumberFormat="1" applyFont="1" applyFill="1" applyBorder="1" applyAlignment="1" applyProtection="1">
      <alignment horizontal="left"/>
      <protection hidden="1"/>
    </xf>
    <xf numFmtId="0" fontId="40" fillId="2" borderId="0" xfId="0" applyFont="1" applyFill="1" applyBorder="1" applyAlignment="1" applyProtection="1">
      <alignment horizontal="right"/>
      <protection hidden="1"/>
    </xf>
    <xf numFmtId="166" fontId="40" fillId="2" borderId="0" xfId="0" applyNumberFormat="1" applyFont="1" applyFill="1" applyBorder="1" applyAlignment="1" applyProtection="1">
      <alignment horizontal="right"/>
      <protection hidden="1"/>
    </xf>
    <xf numFmtId="2" fontId="40" fillId="2" borderId="0" xfId="0" applyNumberFormat="1" applyFont="1" applyFill="1" applyBorder="1" applyAlignment="1" applyProtection="1">
      <alignment horizontal="left"/>
      <protection hidden="1"/>
    </xf>
    <xf numFmtId="166" fontId="9" fillId="2" borderId="0" xfId="0" applyNumberFormat="1" applyFont="1" applyFill="1" applyBorder="1" applyProtection="1">
      <protection hidden="1"/>
    </xf>
    <xf numFmtId="0" fontId="3" fillId="2" borderId="0" xfId="0" applyFont="1" applyFill="1" applyBorder="1" applyAlignment="1" applyProtection="1">
      <alignment horizontal="left"/>
      <protection hidden="1"/>
    </xf>
    <xf numFmtId="0" fontId="16" fillId="2" borderId="10" xfId="0" applyFont="1" applyFill="1" applyBorder="1" applyAlignment="1" applyProtection="1">
      <alignment horizontal="center"/>
      <protection hidden="1"/>
    </xf>
    <xf numFmtId="0" fontId="16" fillId="2" borderId="6" xfId="0" applyFont="1" applyFill="1" applyBorder="1" applyAlignment="1" applyProtection="1">
      <alignment horizontal="center"/>
      <protection hidden="1"/>
    </xf>
    <xf numFmtId="0" fontId="16" fillId="2" borderId="27" xfId="0" applyFont="1" applyFill="1" applyBorder="1" applyAlignment="1" applyProtection="1">
      <alignment horizontal="center"/>
      <protection hidden="1"/>
    </xf>
    <xf numFmtId="0" fontId="16" fillId="2" borderId="28" xfId="0" applyFont="1" applyFill="1" applyBorder="1" applyAlignment="1" applyProtection="1">
      <alignment horizontal="center"/>
      <protection hidden="1"/>
    </xf>
    <xf numFmtId="166" fontId="16" fillId="2" borderId="15" xfId="0" applyNumberFormat="1" applyFont="1" applyFill="1" applyBorder="1" applyAlignment="1" applyProtection="1">
      <alignment horizontal="center"/>
      <protection hidden="1"/>
    </xf>
    <xf numFmtId="166" fontId="16" fillId="2" borderId="16" xfId="0" applyNumberFormat="1" applyFont="1" applyFill="1" applyBorder="1" applyAlignment="1" applyProtection="1">
      <alignment horizontal="center"/>
      <protection hidden="1"/>
    </xf>
    <xf numFmtId="166" fontId="16" fillId="2" borderId="17" xfId="0" applyNumberFormat="1" applyFont="1" applyFill="1" applyBorder="1" applyAlignment="1" applyProtection="1">
      <alignment horizontal="center"/>
      <protection hidden="1"/>
    </xf>
    <xf numFmtId="0" fontId="16" fillId="2" borderId="3" xfId="0" applyFont="1" applyFill="1" applyBorder="1" applyAlignment="1" applyProtection="1">
      <alignment horizontal="centerContinuous"/>
      <protection hidden="1"/>
    </xf>
    <xf numFmtId="0" fontId="16" fillId="2" borderId="7" xfId="0" applyFont="1" applyFill="1" applyBorder="1" applyAlignment="1" applyProtection="1">
      <alignment horizontal="centerContinuous"/>
      <protection hidden="1"/>
    </xf>
    <xf numFmtId="0" fontId="16" fillId="2" borderId="10" xfId="0" applyFont="1" applyFill="1" applyBorder="1" applyAlignment="1" applyProtection="1">
      <alignment horizontal="centerContinuous"/>
      <protection hidden="1"/>
    </xf>
    <xf numFmtId="2" fontId="21" fillId="2" borderId="0" xfId="0" applyNumberFormat="1" applyFont="1" applyFill="1" applyAlignment="1" applyProtection="1">
      <alignment horizontal="center"/>
      <protection hidden="1"/>
    </xf>
    <xf numFmtId="0" fontId="26" fillId="2" borderId="0" xfId="0" applyFont="1" applyFill="1" applyAlignment="1" applyProtection="1">
      <alignment horizontal="right"/>
      <protection hidden="1"/>
    </xf>
    <xf numFmtId="0" fontId="26" fillId="2" borderId="0" xfId="0" applyFont="1" applyFill="1" applyAlignment="1" applyProtection="1">
      <alignment horizontal="left"/>
      <protection hidden="1"/>
    </xf>
    <xf numFmtId="0" fontId="41" fillId="2" borderId="0" xfId="0" applyFont="1" applyFill="1" applyAlignment="1" applyProtection="1">
      <alignment horizontal="right"/>
      <protection hidden="1"/>
    </xf>
    <xf numFmtId="2" fontId="26" fillId="2" borderId="0" xfId="0" applyNumberFormat="1" applyFont="1" applyFill="1" applyAlignment="1" applyProtection="1">
      <alignment horizontal="center"/>
      <protection hidden="1"/>
    </xf>
    <xf numFmtId="0" fontId="35" fillId="2" borderId="0" xfId="0" applyFont="1" applyFill="1" applyBorder="1" applyProtection="1">
      <protection hidden="1"/>
    </xf>
    <xf numFmtId="0" fontId="16" fillId="2" borderId="0" xfId="0" applyFont="1" applyFill="1" applyBorder="1" applyAlignment="1" applyProtection="1">
      <alignment horizontal="right"/>
      <protection hidden="1"/>
    </xf>
    <xf numFmtId="166" fontId="21" fillId="2" borderId="0" xfId="0" applyNumberFormat="1" applyFont="1" applyFill="1" applyBorder="1" applyAlignment="1" applyProtection="1">
      <alignment horizontal="left"/>
      <protection hidden="1"/>
    </xf>
    <xf numFmtId="0" fontId="13" fillId="2" borderId="0" xfId="0" applyFont="1" applyFill="1" applyBorder="1" applyAlignment="1" applyProtection="1">
      <protection hidden="1"/>
    </xf>
    <xf numFmtId="166" fontId="13" fillId="2" borderId="0" xfId="0" applyNumberFormat="1" applyFont="1" applyFill="1" applyBorder="1" applyAlignment="1" applyProtection="1">
      <protection hidden="1"/>
    </xf>
    <xf numFmtId="0" fontId="37" fillId="2" borderId="0" xfId="0" applyFont="1" applyFill="1" applyBorder="1" applyAlignment="1" applyProtection="1">
      <protection hidden="1"/>
    </xf>
    <xf numFmtId="165" fontId="37" fillId="2" borderId="0" xfId="0" applyNumberFormat="1" applyFont="1" applyFill="1" applyBorder="1" applyAlignment="1" applyProtection="1">
      <protection hidden="1"/>
    </xf>
    <xf numFmtId="2" fontId="16" fillId="4" borderId="16" xfId="0" applyNumberFormat="1" applyFont="1" applyFill="1" applyBorder="1" applyAlignment="1" applyProtection="1">
      <alignment horizontal="center"/>
      <protection locked="0"/>
    </xf>
    <xf numFmtId="0" fontId="20" fillId="2" borderId="0" xfId="0" applyFont="1" applyFill="1" applyAlignment="1" applyProtection="1">
      <alignment horizontal="left"/>
      <protection hidden="1"/>
    </xf>
    <xf numFmtId="0" fontId="20" fillId="2" borderId="0" xfId="0" applyFont="1" applyFill="1" applyBorder="1" applyAlignment="1" applyProtection="1">
      <alignment horizontal="right"/>
      <protection hidden="1"/>
    </xf>
    <xf numFmtId="2" fontId="6" fillId="2" borderId="29" xfId="0" applyNumberFormat="1" applyFont="1" applyFill="1" applyBorder="1" applyAlignment="1" applyProtection="1">
      <alignment horizontal="center"/>
      <protection hidden="1"/>
    </xf>
    <xf numFmtId="2" fontId="6" fillId="2" borderId="8" xfId="0" applyNumberFormat="1" applyFont="1" applyFill="1" applyBorder="1" applyAlignment="1" applyProtection="1">
      <alignment horizontal="center"/>
      <protection hidden="1"/>
    </xf>
    <xf numFmtId="166" fontId="6" fillId="2" borderId="29" xfId="0" applyNumberFormat="1" applyFont="1" applyFill="1" applyBorder="1" applyAlignment="1" applyProtection="1">
      <alignment horizontal="center"/>
      <protection hidden="1"/>
    </xf>
    <xf numFmtId="166" fontId="16" fillId="4" borderId="16" xfId="0" applyNumberFormat="1" applyFont="1" applyFill="1" applyBorder="1" applyAlignment="1" applyProtection="1">
      <alignment horizontal="center"/>
      <protection locked="0"/>
    </xf>
    <xf numFmtId="165" fontId="16" fillId="4" borderId="16" xfId="0" applyNumberFormat="1" applyFont="1" applyFill="1" applyBorder="1" applyAlignment="1" applyProtection="1">
      <alignment horizontal="center"/>
      <protection locked="0"/>
    </xf>
    <xf numFmtId="0" fontId="14" fillId="2" borderId="0" xfId="0" applyFont="1" applyFill="1" applyBorder="1" applyAlignment="1" applyProtection="1">
      <alignment horizontal="right"/>
      <protection hidden="1"/>
    </xf>
    <xf numFmtId="0" fontId="14" fillId="2" borderId="0" xfId="0" applyFont="1" applyFill="1" applyBorder="1" applyAlignment="1" applyProtection="1">
      <alignment horizontal="left"/>
      <protection hidden="1"/>
    </xf>
    <xf numFmtId="0" fontId="44" fillId="3" borderId="3" xfId="0" applyFont="1" applyFill="1" applyBorder="1" applyAlignment="1" applyProtection="1">
      <alignment horizontal="centerContinuous"/>
      <protection hidden="1"/>
    </xf>
    <xf numFmtId="0" fontId="44" fillId="3" borderId="7" xfId="0" applyFont="1" applyFill="1" applyBorder="1" applyAlignment="1" applyProtection="1">
      <alignment horizontal="centerContinuous"/>
      <protection hidden="1"/>
    </xf>
    <xf numFmtId="0" fontId="12" fillId="3" borderId="7" xfId="0" applyFont="1" applyFill="1" applyBorder="1" applyAlignment="1" applyProtection="1">
      <alignment horizontal="centerContinuous"/>
      <protection hidden="1"/>
    </xf>
    <xf numFmtId="0" fontId="16" fillId="3" borderId="10" xfId="0" applyFont="1" applyFill="1" applyBorder="1" applyAlignment="1" applyProtection="1">
      <alignment horizontal="centerContinuous"/>
      <protection hidden="1"/>
    </xf>
    <xf numFmtId="2" fontId="16" fillId="2" borderId="0" xfId="0" applyNumberFormat="1" applyFont="1" applyFill="1" applyProtection="1">
      <protection hidden="1"/>
    </xf>
    <xf numFmtId="166" fontId="16" fillId="2" borderId="0" xfId="0" applyNumberFormat="1" applyFont="1" applyFill="1" applyProtection="1">
      <protection hidden="1"/>
    </xf>
    <xf numFmtId="0" fontId="37" fillId="3" borderId="0" xfId="0" applyFont="1" applyFill="1" applyBorder="1" applyAlignment="1" applyProtection="1">
      <alignment horizontal="centerContinuous"/>
      <protection hidden="1"/>
    </xf>
    <xf numFmtId="0" fontId="12" fillId="3" borderId="0" xfId="0" applyFont="1" applyFill="1" applyBorder="1" applyAlignment="1" applyProtection="1">
      <alignment horizontal="centerContinuous"/>
      <protection hidden="1"/>
    </xf>
    <xf numFmtId="0" fontId="16" fillId="3" borderId="6" xfId="0" applyFont="1" applyFill="1" applyBorder="1" applyAlignment="1" applyProtection="1">
      <alignment horizontal="centerContinuous"/>
      <protection hidden="1"/>
    </xf>
    <xf numFmtId="0" fontId="34" fillId="2" borderId="2" xfId="0" applyFont="1" applyFill="1" applyBorder="1" applyAlignment="1" applyProtection="1">
      <alignment horizontal="center"/>
      <protection hidden="1"/>
    </xf>
    <xf numFmtId="49" fontId="40" fillId="2" borderId="14" xfId="0" applyNumberFormat="1" applyFont="1" applyFill="1" applyBorder="1" applyAlignment="1" applyProtection="1">
      <alignment horizontal="left"/>
      <protection locked="0"/>
    </xf>
    <xf numFmtId="0" fontId="6" fillId="4" borderId="16" xfId="0" applyNumberFormat="1" applyFont="1" applyFill="1" applyBorder="1" applyAlignment="1" applyProtection="1">
      <alignment horizontal="center"/>
      <protection locked="0"/>
    </xf>
    <xf numFmtId="0" fontId="3" fillId="3" borderId="27" xfId="0" applyNumberFormat="1" applyFont="1" applyFill="1" applyBorder="1" applyAlignment="1" applyProtection="1">
      <alignment horizontal="center"/>
      <protection hidden="1"/>
    </xf>
    <xf numFmtId="0" fontId="3" fillId="3" borderId="28" xfId="0" applyNumberFormat="1" applyFont="1" applyFill="1" applyBorder="1" applyAlignment="1" applyProtection="1">
      <alignment horizontal="center"/>
      <protection hidden="1"/>
    </xf>
    <xf numFmtId="0" fontId="11" fillId="3" borderId="9" xfId="0" applyFont="1" applyFill="1" applyBorder="1" applyAlignment="1" applyProtection="1">
      <alignment horizontal="centerContinuous"/>
      <protection hidden="1"/>
    </xf>
    <xf numFmtId="0" fontId="11" fillId="3" borderId="4" xfId="0" applyFont="1" applyFill="1" applyBorder="1" applyAlignment="1" applyProtection="1">
      <alignment horizontal="centerContinuous"/>
      <protection hidden="1"/>
    </xf>
    <xf numFmtId="0" fontId="11" fillId="3" borderId="27" xfId="0" applyFont="1" applyFill="1" applyBorder="1" applyAlignment="1" applyProtection="1">
      <alignment horizontal="center"/>
      <protection hidden="1"/>
    </xf>
    <xf numFmtId="0" fontId="11" fillId="3" borderId="28" xfId="0" applyFont="1" applyFill="1" applyBorder="1" applyAlignment="1" applyProtection="1">
      <alignment horizontal="center"/>
      <protection hidden="1"/>
    </xf>
    <xf numFmtId="0" fontId="3" fillId="3" borderId="8" xfId="0" applyNumberFormat="1" applyFont="1" applyFill="1" applyBorder="1" applyAlignment="1" applyProtection="1">
      <alignment horizontal="center"/>
      <protection hidden="1"/>
    </xf>
    <xf numFmtId="0" fontId="27" fillId="3" borderId="8" xfId="0" applyFont="1" applyFill="1" applyBorder="1" applyAlignment="1" applyProtection="1">
      <alignment horizontal="center"/>
      <protection hidden="1"/>
    </xf>
    <xf numFmtId="0" fontId="6" fillId="4" borderId="15" xfId="0" applyNumberFormat="1" applyFont="1" applyFill="1" applyBorder="1" applyAlignment="1" applyProtection="1">
      <alignment horizontal="center"/>
      <protection locked="0"/>
    </xf>
    <xf numFmtId="2" fontId="6" fillId="4" borderId="19" xfId="0" applyNumberFormat="1" applyFont="1" applyFill="1" applyBorder="1" applyAlignment="1" applyProtection="1">
      <alignment horizontal="center"/>
      <protection locked="0"/>
    </xf>
    <xf numFmtId="166" fontId="6" fillId="4" borderId="18" xfId="0" applyNumberFormat="1" applyFont="1" applyFill="1" applyBorder="1" applyAlignment="1" applyProtection="1">
      <alignment horizontal="center"/>
      <protection locked="0"/>
    </xf>
    <xf numFmtId="166" fontId="6" fillId="4" borderId="19" xfId="0" applyNumberFormat="1" applyFont="1" applyFill="1" applyBorder="1" applyAlignment="1" applyProtection="1">
      <alignment horizontal="center"/>
      <protection locked="0"/>
    </xf>
    <xf numFmtId="2" fontId="6" fillId="4" borderId="21" xfId="0" applyNumberFormat="1" applyFont="1" applyFill="1" applyBorder="1" applyAlignment="1" applyProtection="1">
      <alignment horizontal="center"/>
      <protection locked="0"/>
    </xf>
    <xf numFmtId="2" fontId="6" fillId="4" borderId="22" xfId="0" applyNumberFormat="1" applyFont="1" applyFill="1" applyBorder="1" applyAlignment="1" applyProtection="1">
      <alignment horizontal="center"/>
      <protection locked="0"/>
    </xf>
    <xf numFmtId="2" fontId="6" fillId="4" borderId="23" xfId="0" applyNumberFormat="1" applyFont="1" applyFill="1" applyBorder="1" applyAlignment="1" applyProtection="1">
      <alignment horizontal="center"/>
      <protection locked="0"/>
    </xf>
    <xf numFmtId="166" fontId="6" fillId="4" borderId="21" xfId="0" applyNumberFormat="1" applyFont="1" applyFill="1" applyBorder="1" applyAlignment="1" applyProtection="1">
      <alignment horizontal="center"/>
      <protection locked="0"/>
    </xf>
    <xf numFmtId="166" fontId="6" fillId="4" borderId="22" xfId="0" applyNumberFormat="1" applyFont="1" applyFill="1" applyBorder="1" applyAlignment="1" applyProtection="1">
      <alignment horizontal="center"/>
      <protection locked="0"/>
    </xf>
    <xf numFmtId="0" fontId="16" fillId="2" borderId="0" xfId="0" applyFont="1" applyFill="1" applyProtection="1">
      <protection locked="0"/>
    </xf>
    <xf numFmtId="0" fontId="6" fillId="2" borderId="0" xfId="0" applyFont="1" applyFill="1" applyBorder="1" applyAlignment="1" applyProtection="1">
      <protection hidden="1"/>
    </xf>
    <xf numFmtId="0" fontId="6" fillId="2" borderId="0" xfId="0" applyFont="1" applyFill="1" applyAlignment="1" applyProtection="1">
      <protection hidden="1"/>
    </xf>
    <xf numFmtId="0" fontId="11" fillId="3" borderId="3" xfId="0" applyFont="1" applyFill="1" applyBorder="1" applyAlignment="1" applyProtection="1">
      <alignment horizontal="center"/>
      <protection hidden="1"/>
    </xf>
    <xf numFmtId="0" fontId="11" fillId="3" borderId="5" xfId="0" applyFont="1" applyFill="1" applyBorder="1" applyAlignment="1" applyProtection="1">
      <alignment horizontal="center"/>
      <protection hidden="1"/>
    </xf>
    <xf numFmtId="0" fontId="27" fillId="3" borderId="4" xfId="0" applyFont="1" applyFill="1" applyBorder="1" applyAlignment="1" applyProtection="1">
      <alignment horizontal="center"/>
      <protection hidden="1"/>
    </xf>
    <xf numFmtId="168" fontId="9" fillId="2" borderId="0" xfId="0" applyNumberFormat="1" applyFont="1" applyFill="1" applyBorder="1" applyAlignment="1" applyProtection="1">
      <alignment horizontal="center"/>
      <protection hidden="1"/>
    </xf>
    <xf numFmtId="168" fontId="40" fillId="2" borderId="0" xfId="0" applyNumberFormat="1" applyFont="1" applyFill="1" applyBorder="1" applyAlignment="1" applyProtection="1">
      <alignment horizontal="center"/>
      <protection hidden="1"/>
    </xf>
    <xf numFmtId="168" fontId="8" fillId="2" borderId="0" xfId="0" applyNumberFormat="1" applyFont="1" applyFill="1" applyBorder="1" applyAlignment="1" applyProtection="1">
      <alignment horizontal="center"/>
      <protection hidden="1"/>
    </xf>
    <xf numFmtId="0" fontId="40" fillId="2" borderId="0" xfId="0" applyFont="1" applyFill="1" applyBorder="1" applyAlignment="1" applyProtection="1">
      <alignment vertical="top"/>
      <protection hidden="1"/>
    </xf>
    <xf numFmtId="0" fontId="3" fillId="3" borderId="14" xfId="0" applyFont="1" applyFill="1" applyBorder="1" applyAlignment="1" applyProtection="1">
      <alignment horizontal="centerContinuous"/>
      <protection hidden="1"/>
    </xf>
    <xf numFmtId="0" fontId="3" fillId="3" borderId="13" xfId="0" applyFont="1" applyFill="1" applyBorder="1" applyAlignment="1" applyProtection="1">
      <alignment horizontal="centerContinuous"/>
      <protection hidden="1"/>
    </xf>
    <xf numFmtId="0" fontId="34" fillId="2" borderId="14" xfId="0" applyFont="1" applyFill="1" applyBorder="1" applyAlignment="1" applyProtection="1">
      <alignment horizontal="center"/>
      <protection hidden="1"/>
    </xf>
    <xf numFmtId="0" fontId="3" fillId="3" borderId="3" xfId="0" applyNumberFormat="1" applyFont="1" applyFill="1" applyBorder="1" applyAlignment="1" applyProtection="1">
      <alignment horizontal="center"/>
      <protection hidden="1"/>
    </xf>
    <xf numFmtId="0" fontId="6" fillId="4" borderId="30" xfId="0" applyNumberFormat="1" applyFont="1" applyFill="1" applyBorder="1" applyAlignment="1" applyProtection="1">
      <alignment horizontal="center"/>
      <protection locked="0"/>
    </xf>
    <xf numFmtId="0" fontId="6" fillId="4" borderId="31" xfId="0" applyNumberFormat="1" applyFont="1" applyFill="1" applyBorder="1" applyAlignment="1" applyProtection="1">
      <alignment horizontal="center"/>
      <protection locked="0"/>
    </xf>
    <xf numFmtId="0" fontId="34" fillId="2" borderId="12" xfId="0" applyFont="1" applyFill="1" applyBorder="1" applyAlignment="1" applyProtection="1">
      <alignment horizontal="center"/>
      <protection hidden="1"/>
    </xf>
    <xf numFmtId="49" fontId="40" fillId="2" borderId="7" xfId="0" applyNumberFormat="1" applyFont="1" applyFill="1" applyBorder="1" applyAlignment="1" applyProtection="1">
      <alignment horizontal="left"/>
      <protection locked="0"/>
    </xf>
    <xf numFmtId="49" fontId="40" fillId="2" borderId="10" xfId="0" applyNumberFormat="1" applyFont="1" applyFill="1" applyBorder="1" applyAlignment="1" applyProtection="1">
      <alignment horizontal="left"/>
      <protection locked="0"/>
    </xf>
    <xf numFmtId="0" fontId="11" fillId="3" borderId="14" xfId="0" applyFont="1" applyFill="1" applyBorder="1" applyAlignment="1" applyProtection="1">
      <alignment horizontal="centerContinuous"/>
      <protection hidden="1"/>
    </xf>
    <xf numFmtId="0" fontId="11" fillId="3" borderId="13" xfId="0" applyFont="1" applyFill="1" applyBorder="1" applyAlignment="1" applyProtection="1">
      <alignment horizontal="centerContinuous"/>
      <protection hidden="1"/>
    </xf>
    <xf numFmtId="0" fontId="11" fillId="3" borderId="12" xfId="0" applyFont="1" applyFill="1" applyBorder="1" applyAlignment="1" applyProtection="1">
      <alignment horizontal="centerContinuous"/>
      <protection hidden="1"/>
    </xf>
    <xf numFmtId="0" fontId="1" fillId="3" borderId="28" xfId="0" applyFont="1" applyFill="1" applyBorder="1" applyAlignment="1" applyProtection="1">
      <alignment horizontal="center"/>
      <protection hidden="1"/>
    </xf>
    <xf numFmtId="0" fontId="35" fillId="3" borderId="8" xfId="0" applyFont="1" applyFill="1" applyBorder="1" applyAlignment="1" applyProtection="1">
      <alignment horizontal="center"/>
      <protection hidden="1"/>
    </xf>
    <xf numFmtId="2" fontId="6" fillId="4" borderId="20" xfId="0" applyNumberFormat="1" applyFont="1" applyFill="1" applyBorder="1" applyAlignment="1" applyProtection="1">
      <alignment horizontal="center"/>
      <protection locked="0"/>
    </xf>
    <xf numFmtId="166" fontId="6" fillId="4" borderId="20" xfId="0" applyNumberFormat="1" applyFont="1" applyFill="1" applyBorder="1" applyAlignment="1" applyProtection="1">
      <alignment horizontal="center"/>
      <protection locked="0"/>
    </xf>
    <xf numFmtId="166" fontId="6" fillId="4" borderId="23" xfId="0" applyNumberFormat="1" applyFont="1" applyFill="1" applyBorder="1" applyAlignment="1" applyProtection="1">
      <alignment horizontal="center"/>
      <protection locked="0"/>
    </xf>
    <xf numFmtId="0" fontId="36" fillId="2" borderId="8" xfId="0" applyFont="1" applyFill="1" applyBorder="1" applyAlignment="1" applyProtection="1">
      <alignment horizontal="center"/>
      <protection hidden="1"/>
    </xf>
    <xf numFmtId="0" fontId="6" fillId="4" borderId="18" xfId="0" applyNumberFormat="1" applyFont="1" applyFill="1" applyBorder="1" applyAlignment="1" applyProtection="1">
      <alignment horizontal="center"/>
      <protection locked="0"/>
    </xf>
    <xf numFmtId="0" fontId="6" fillId="4" borderId="21" xfId="0" applyNumberFormat="1" applyFont="1" applyFill="1" applyBorder="1" applyAlignment="1" applyProtection="1">
      <alignment horizontal="center"/>
      <protection locked="0"/>
    </xf>
    <xf numFmtId="0" fontId="1" fillId="2" borderId="0" xfId="0" applyFont="1" applyFill="1" applyAlignment="1" applyProtection="1">
      <protection hidden="1"/>
    </xf>
    <xf numFmtId="166" fontId="1" fillId="2" borderId="0" xfId="0" applyNumberFormat="1" applyFont="1" applyFill="1" applyAlignment="1" applyProtection="1">
      <protection hidden="1"/>
    </xf>
    <xf numFmtId="0" fontId="1" fillId="3" borderId="14" xfId="0" applyFont="1" applyFill="1" applyBorder="1" applyAlignment="1" applyProtection="1">
      <alignment horizontal="centerContinuous"/>
      <protection hidden="1"/>
    </xf>
    <xf numFmtId="0" fontId="1" fillId="3" borderId="12" xfId="0" applyFont="1" applyFill="1" applyBorder="1" applyAlignment="1" applyProtection="1">
      <alignment horizontal="centerContinuous"/>
      <protection hidden="1"/>
    </xf>
    <xf numFmtId="0" fontId="1" fillId="3" borderId="27" xfId="0" applyFont="1" applyFill="1" applyBorder="1" applyAlignment="1" applyProtection="1">
      <alignment horizontal="center"/>
      <protection hidden="1"/>
    </xf>
    <xf numFmtId="2" fontId="6" fillId="4" borderId="18" xfId="0" applyNumberFormat="1" applyFont="1" applyFill="1" applyBorder="1" applyAlignment="1" applyProtection="1">
      <alignment horizontal="center"/>
      <protection locked="0"/>
    </xf>
    <xf numFmtId="2" fontId="16" fillId="4" borderId="8" xfId="0" applyNumberFormat="1" applyFont="1" applyFill="1" applyBorder="1" applyAlignment="1" applyProtection="1">
      <alignment horizontal="center"/>
      <protection locked="0"/>
    </xf>
    <xf numFmtId="2" fontId="6" fillId="4" borderId="32" xfId="0" applyNumberFormat="1" applyFont="1" applyFill="1" applyBorder="1" applyAlignment="1" applyProtection="1">
      <alignment horizontal="center"/>
      <protection locked="0"/>
    </xf>
    <xf numFmtId="2" fontId="6" fillId="4" borderId="33" xfId="0" applyNumberFormat="1" applyFont="1" applyFill="1" applyBorder="1" applyAlignment="1" applyProtection="1">
      <alignment horizontal="center"/>
      <protection locked="0"/>
    </xf>
    <xf numFmtId="0" fontId="36" fillId="2" borderId="11" xfId="0" applyFont="1" applyFill="1" applyBorder="1" applyAlignment="1" applyProtection="1">
      <alignment horizontal="center"/>
      <protection hidden="1"/>
    </xf>
    <xf numFmtId="0" fontId="1" fillId="3" borderId="6" xfId="0" applyFont="1" applyFill="1" applyBorder="1" applyAlignment="1" applyProtection="1">
      <alignment horizontal="center"/>
      <protection hidden="1"/>
    </xf>
    <xf numFmtId="0" fontId="27" fillId="3" borderId="11" xfId="0" applyFont="1" applyFill="1" applyBorder="1" applyAlignment="1" applyProtection="1">
      <alignment horizontal="center"/>
      <protection hidden="1"/>
    </xf>
    <xf numFmtId="0" fontId="9" fillId="3" borderId="28" xfId="0" applyFont="1" applyFill="1" applyBorder="1" applyAlignment="1" applyProtection="1">
      <alignment horizontal="center"/>
      <protection hidden="1"/>
    </xf>
    <xf numFmtId="0" fontId="1" fillId="3" borderId="10" xfId="0" applyFont="1" applyFill="1" applyBorder="1" applyAlignment="1" applyProtection="1">
      <alignment horizontal="center"/>
      <protection hidden="1"/>
    </xf>
    <xf numFmtId="0" fontId="35" fillId="3" borderId="28" xfId="0" applyFont="1" applyFill="1" applyBorder="1" applyAlignment="1" applyProtection="1">
      <alignment horizontal="center"/>
      <protection hidden="1"/>
    </xf>
    <xf numFmtId="0" fontId="35" fillId="3" borderId="6" xfId="0" applyFont="1" applyFill="1" applyBorder="1" applyAlignment="1" applyProtection="1">
      <alignment horizontal="center"/>
      <protection hidden="1"/>
    </xf>
    <xf numFmtId="0" fontId="1" fillId="3" borderId="13" xfId="0" applyFont="1" applyFill="1" applyBorder="1" applyAlignment="1" applyProtection="1">
      <alignment horizontal="centerContinuous"/>
      <protection hidden="1"/>
    </xf>
    <xf numFmtId="0" fontId="23" fillId="2" borderId="34" xfId="0" applyNumberFormat="1" applyFont="1" applyFill="1" applyBorder="1" applyAlignment="1" applyProtection="1">
      <alignment horizontal="center"/>
      <protection hidden="1"/>
    </xf>
    <xf numFmtId="0" fontId="23" fillId="2" borderId="35" xfId="0" applyNumberFormat="1" applyFont="1" applyFill="1" applyBorder="1" applyAlignment="1" applyProtection="1">
      <alignment horizontal="center"/>
      <protection hidden="1"/>
    </xf>
    <xf numFmtId="0" fontId="23" fillId="2" borderId="36" xfId="0" applyNumberFormat="1" applyFont="1" applyFill="1" applyBorder="1" applyAlignment="1" applyProtection="1">
      <alignment horizontal="center"/>
      <protection hidden="1"/>
    </xf>
    <xf numFmtId="0" fontId="23" fillId="2" borderId="33" xfId="0" applyNumberFormat="1" applyFont="1" applyFill="1" applyBorder="1" applyAlignment="1" applyProtection="1">
      <alignment horizontal="center"/>
      <protection hidden="1"/>
    </xf>
    <xf numFmtId="0" fontId="23" fillId="2" borderId="22" xfId="0" applyNumberFormat="1" applyFont="1" applyFill="1" applyBorder="1" applyAlignment="1" applyProtection="1">
      <alignment horizontal="center"/>
      <protection hidden="1"/>
    </xf>
    <xf numFmtId="0" fontId="23" fillId="2" borderId="23" xfId="0" applyNumberFormat="1" applyFont="1" applyFill="1" applyBorder="1" applyAlignment="1" applyProtection="1">
      <alignment horizontal="center"/>
      <protection hidden="1"/>
    </xf>
    <xf numFmtId="166" fontId="23" fillId="2" borderId="22" xfId="0" applyNumberFormat="1" applyFont="1" applyFill="1" applyBorder="1" applyAlignment="1" applyProtection="1">
      <alignment horizontal="center"/>
      <protection hidden="1"/>
    </xf>
    <xf numFmtId="2" fontId="23" fillId="2" borderId="22" xfId="0" applyNumberFormat="1" applyFont="1" applyFill="1" applyBorder="1" applyAlignment="1" applyProtection="1">
      <alignment horizontal="center"/>
      <protection hidden="1"/>
    </xf>
    <xf numFmtId="0" fontId="23" fillId="2" borderId="37" xfId="0" applyNumberFormat="1" applyFont="1" applyFill="1" applyBorder="1" applyAlignment="1" applyProtection="1">
      <alignment horizontal="center"/>
      <protection hidden="1"/>
    </xf>
    <xf numFmtId="0" fontId="23" fillId="2" borderId="25" xfId="0" applyNumberFormat="1" applyFont="1" applyFill="1" applyBorder="1" applyAlignment="1" applyProtection="1">
      <alignment horizontal="center"/>
      <protection hidden="1"/>
    </xf>
    <xf numFmtId="0" fontId="23" fillId="2" borderId="26" xfId="0" applyNumberFormat="1" applyFont="1" applyFill="1" applyBorder="1" applyAlignment="1" applyProtection="1">
      <alignment horizontal="center"/>
      <protection hidden="1"/>
    </xf>
    <xf numFmtId="0" fontId="23" fillId="2" borderId="34" xfId="0" applyFont="1" applyFill="1" applyBorder="1" applyAlignment="1" applyProtection="1">
      <alignment horizontal="center"/>
      <protection hidden="1"/>
    </xf>
    <xf numFmtId="0" fontId="23" fillId="2" borderId="35" xfId="0" applyFont="1" applyFill="1" applyBorder="1" applyAlignment="1" applyProtection="1">
      <alignment horizontal="center"/>
      <protection hidden="1"/>
    </xf>
    <xf numFmtId="0" fontId="23" fillId="2" borderId="36" xfId="0" applyFont="1" applyFill="1" applyBorder="1" applyAlignment="1" applyProtection="1">
      <alignment horizontal="center"/>
      <protection hidden="1"/>
    </xf>
    <xf numFmtId="0" fontId="23" fillId="2" borderId="33" xfId="0" applyFont="1" applyFill="1" applyBorder="1" applyAlignment="1" applyProtection="1">
      <alignment horizontal="center"/>
      <protection hidden="1"/>
    </xf>
    <xf numFmtId="0" fontId="23" fillId="2" borderId="22" xfId="0" applyFont="1" applyFill="1" applyBorder="1" applyAlignment="1" applyProtection="1">
      <alignment horizontal="center"/>
      <protection hidden="1"/>
    </xf>
    <xf numFmtId="0" fontId="23" fillId="2" borderId="23" xfId="0" applyFont="1" applyFill="1" applyBorder="1" applyAlignment="1" applyProtection="1">
      <alignment horizontal="center"/>
      <protection hidden="1"/>
    </xf>
    <xf numFmtId="0" fontId="23" fillId="2" borderId="37" xfId="0" applyFont="1" applyFill="1" applyBorder="1" applyAlignment="1" applyProtection="1">
      <alignment horizontal="center"/>
      <protection hidden="1"/>
    </xf>
    <xf numFmtId="0" fontId="23" fillId="2" borderId="25" xfId="0" applyFont="1" applyFill="1" applyBorder="1" applyAlignment="1" applyProtection="1">
      <alignment horizontal="center"/>
      <protection hidden="1"/>
    </xf>
    <xf numFmtId="0" fontId="23" fillId="2" borderId="26" xfId="0" applyFont="1" applyFill="1" applyBorder="1" applyAlignment="1" applyProtection="1">
      <alignment horizontal="center"/>
      <protection hidden="1"/>
    </xf>
    <xf numFmtId="166" fontId="16" fillId="4" borderId="19" xfId="0" applyNumberFormat="1" applyFont="1" applyFill="1" applyBorder="1" applyAlignment="1" applyProtection="1">
      <alignment horizontal="center"/>
      <protection locked="0"/>
    </xf>
    <xf numFmtId="166" fontId="16" fillId="4" borderId="22" xfId="0" applyNumberFormat="1" applyFont="1" applyFill="1" applyBorder="1" applyAlignment="1" applyProtection="1">
      <alignment horizontal="center"/>
      <protection locked="0"/>
    </xf>
    <xf numFmtId="49" fontId="40" fillId="2" borderId="13" xfId="0" applyNumberFormat="1" applyFont="1" applyFill="1" applyBorder="1" applyAlignment="1" applyProtection="1">
      <protection locked="0"/>
    </xf>
    <xf numFmtId="49" fontId="40" fillId="2" borderId="12" xfId="0" applyNumberFormat="1" applyFont="1" applyFill="1" applyBorder="1" applyAlignment="1" applyProtection="1">
      <protection locked="0"/>
    </xf>
    <xf numFmtId="0" fontId="39" fillId="2" borderId="0" xfId="0" applyFont="1" applyFill="1" applyBorder="1" applyAlignment="1" applyProtection="1">
      <alignment horizontal="center"/>
      <protection hidden="1"/>
    </xf>
    <xf numFmtId="0" fontId="37" fillId="3" borderId="3" xfId="0" applyFont="1" applyFill="1" applyBorder="1" applyAlignment="1" applyProtection="1">
      <alignment horizontal="centerContinuous"/>
      <protection hidden="1"/>
    </xf>
    <xf numFmtId="0" fontId="37" fillId="3" borderId="7" xfId="0" applyFont="1" applyFill="1" applyBorder="1" applyAlignment="1" applyProtection="1">
      <alignment horizontal="centerContinuous"/>
      <protection hidden="1"/>
    </xf>
    <xf numFmtId="0" fontId="37" fillId="3" borderId="10" xfId="0" applyFont="1" applyFill="1" applyBorder="1" applyAlignment="1" applyProtection="1">
      <alignment horizontal="centerContinuous"/>
      <protection hidden="1"/>
    </xf>
    <xf numFmtId="0" fontId="37" fillId="3" borderId="4" xfId="0" applyFont="1" applyFill="1" applyBorder="1" applyAlignment="1" applyProtection="1">
      <alignment horizontal="centerContinuous"/>
      <protection hidden="1"/>
    </xf>
    <xf numFmtId="0" fontId="37" fillId="3" borderId="9" xfId="0" applyFont="1" applyFill="1" applyBorder="1" applyAlignment="1" applyProtection="1">
      <alignment horizontal="centerContinuous"/>
      <protection hidden="1"/>
    </xf>
    <xf numFmtId="0" fontId="37" fillId="3" borderId="11" xfId="0" applyFont="1" applyFill="1" applyBorder="1" applyAlignment="1" applyProtection="1">
      <alignment horizontal="centerContinuous"/>
      <protection hidden="1"/>
    </xf>
    <xf numFmtId="165" fontId="36" fillId="2" borderId="15" xfId="0" applyNumberFormat="1" applyFont="1" applyFill="1" applyBorder="1" applyAlignment="1" applyProtection="1">
      <alignment horizontal="center"/>
      <protection hidden="1"/>
    </xf>
    <xf numFmtId="0" fontId="36" fillId="2" borderId="15" xfId="0" applyNumberFormat="1" applyFont="1" applyFill="1" applyBorder="1" applyAlignment="1" applyProtection="1">
      <alignment horizontal="center"/>
      <protection hidden="1"/>
    </xf>
    <xf numFmtId="165" fontId="36" fillId="2" borderId="16" xfId="0" applyNumberFormat="1" applyFont="1" applyFill="1" applyBorder="1" applyAlignment="1" applyProtection="1">
      <alignment horizontal="center"/>
      <protection hidden="1"/>
    </xf>
    <xf numFmtId="0" fontId="36" fillId="2" borderId="16" xfId="0" applyNumberFormat="1" applyFont="1" applyFill="1" applyBorder="1" applyAlignment="1" applyProtection="1">
      <alignment horizontal="center"/>
      <protection hidden="1"/>
    </xf>
    <xf numFmtId="165" fontId="36" fillId="2" borderId="17" xfId="0" applyNumberFormat="1" applyFont="1" applyFill="1" applyBorder="1" applyAlignment="1" applyProtection="1">
      <alignment horizontal="center"/>
      <protection hidden="1"/>
    </xf>
    <xf numFmtId="0" fontId="36" fillId="2" borderId="17" xfId="0" applyNumberFormat="1" applyFont="1" applyFill="1" applyBorder="1" applyAlignment="1" applyProtection="1">
      <alignment horizontal="center"/>
      <protection hidden="1"/>
    </xf>
    <xf numFmtId="0" fontId="9" fillId="3" borderId="2" xfId="0" applyFont="1" applyFill="1" applyBorder="1" applyAlignment="1" applyProtection="1">
      <alignment horizontal="center"/>
      <protection hidden="1"/>
    </xf>
    <xf numFmtId="0" fontId="9" fillId="3" borderId="2" xfId="0" applyNumberFormat="1" applyFont="1" applyFill="1" applyBorder="1" applyAlignment="1" applyProtection="1">
      <alignment horizontal="center"/>
      <protection hidden="1"/>
    </xf>
    <xf numFmtId="0" fontId="8" fillId="3" borderId="29" xfId="0" applyFont="1" applyFill="1" applyBorder="1" applyAlignment="1" applyProtection="1">
      <alignment horizontal="center"/>
      <protection hidden="1"/>
    </xf>
    <xf numFmtId="0" fontId="8" fillId="3" borderId="16" xfId="0" applyFont="1" applyFill="1" applyBorder="1" applyAlignment="1" applyProtection="1">
      <alignment horizontal="center"/>
      <protection hidden="1"/>
    </xf>
    <xf numFmtId="0" fontId="8" fillId="3" borderId="17" xfId="0" applyFont="1" applyFill="1" applyBorder="1" applyAlignment="1" applyProtection="1">
      <alignment horizontal="center"/>
      <protection hidden="1"/>
    </xf>
    <xf numFmtId="0" fontId="43" fillId="3" borderId="27" xfId="0" applyFont="1" applyFill="1" applyBorder="1" applyAlignment="1" applyProtection="1">
      <alignment horizontal="center"/>
      <protection hidden="1"/>
    </xf>
    <xf numFmtId="0" fontId="43" fillId="3" borderId="10" xfId="0" applyFont="1" applyFill="1" applyBorder="1" applyAlignment="1" applyProtection="1">
      <alignment horizontal="center"/>
      <protection hidden="1"/>
    </xf>
    <xf numFmtId="0" fontId="43" fillId="3" borderId="28" xfId="0" applyFont="1" applyFill="1" applyBorder="1" applyAlignment="1" applyProtection="1">
      <alignment horizontal="center"/>
      <protection hidden="1"/>
    </xf>
    <xf numFmtId="0" fontId="43" fillId="3" borderId="6" xfId="0" applyFont="1" applyFill="1" applyBorder="1" applyAlignment="1" applyProtection="1">
      <alignment horizontal="center"/>
      <protection hidden="1"/>
    </xf>
    <xf numFmtId="0" fontId="43" fillId="3" borderId="8" xfId="0" applyFont="1" applyFill="1" applyBorder="1" applyAlignment="1" applyProtection="1">
      <alignment horizontal="center"/>
      <protection hidden="1"/>
    </xf>
    <xf numFmtId="0" fontId="43" fillId="3" borderId="11" xfId="0" applyFont="1" applyFill="1" applyBorder="1" applyAlignment="1" applyProtection="1">
      <alignment horizontal="center"/>
      <protection hidden="1"/>
    </xf>
    <xf numFmtId="166" fontId="43" fillId="3" borderId="15" xfId="0" applyNumberFormat="1" applyFont="1" applyFill="1" applyBorder="1" applyAlignment="1" applyProtection="1">
      <alignment horizontal="center"/>
      <protection hidden="1"/>
    </xf>
    <xf numFmtId="166" fontId="43" fillId="3" borderId="16" xfId="0" applyNumberFormat="1" applyFont="1" applyFill="1" applyBorder="1" applyAlignment="1" applyProtection="1">
      <alignment horizontal="center"/>
      <protection hidden="1"/>
    </xf>
    <xf numFmtId="166" fontId="43" fillId="3" borderId="17" xfId="0" applyNumberFormat="1" applyFont="1" applyFill="1" applyBorder="1" applyAlignment="1" applyProtection="1">
      <alignment horizontal="center"/>
      <protection hidden="1"/>
    </xf>
    <xf numFmtId="0" fontId="5" fillId="3" borderId="9" xfId="0" applyFont="1" applyFill="1" applyBorder="1" applyAlignment="1" applyProtection="1">
      <alignment horizontal="centerContinuous"/>
      <protection hidden="1"/>
    </xf>
    <xf numFmtId="0" fontId="12" fillId="3" borderId="9" xfId="0" applyFont="1" applyFill="1" applyBorder="1" applyAlignment="1" applyProtection="1">
      <alignment horizontal="centerContinuous"/>
      <protection hidden="1"/>
    </xf>
    <xf numFmtId="0" fontId="16" fillId="3" borderId="11" xfId="0" applyFont="1" applyFill="1" applyBorder="1" applyAlignment="1" applyProtection="1">
      <alignment horizontal="centerContinuous"/>
      <protection hidden="1"/>
    </xf>
    <xf numFmtId="0" fontId="23" fillId="0" borderId="12" xfId="0" applyFont="1" applyBorder="1" applyAlignment="1" applyProtection="1">
      <alignment horizontal="center"/>
      <protection hidden="1"/>
    </xf>
    <xf numFmtId="0" fontId="16" fillId="2" borderId="7" xfId="0" applyFont="1" applyFill="1" applyBorder="1" applyProtection="1">
      <protection hidden="1"/>
    </xf>
    <xf numFmtId="0" fontId="16" fillId="2" borderId="10" xfId="0" applyFont="1" applyFill="1" applyBorder="1" applyProtection="1">
      <protection hidden="1"/>
    </xf>
    <xf numFmtId="0" fontId="43" fillId="2" borderId="0" xfId="0" applyFont="1" applyFill="1" applyBorder="1" applyProtection="1">
      <protection hidden="1"/>
    </xf>
    <xf numFmtId="0" fontId="12" fillId="3" borderId="28" xfId="0" applyFont="1" applyFill="1" applyBorder="1" applyAlignment="1" applyProtection="1">
      <alignment horizontal="center"/>
      <protection hidden="1"/>
    </xf>
    <xf numFmtId="0" fontId="8" fillId="3" borderId="27" xfId="0" applyFont="1" applyFill="1" applyBorder="1" applyAlignment="1" applyProtection="1">
      <alignment horizontal="center"/>
      <protection hidden="1"/>
    </xf>
    <xf numFmtId="0" fontId="35" fillId="3" borderId="4" xfId="0" applyFont="1" applyFill="1" applyBorder="1" applyAlignment="1" applyProtection="1">
      <alignment horizontal="center"/>
      <protection hidden="1"/>
    </xf>
    <xf numFmtId="0" fontId="35" fillId="3" borderId="11" xfId="0" applyFont="1" applyFill="1" applyBorder="1" applyAlignment="1" applyProtection="1">
      <alignment horizontal="center"/>
      <protection hidden="1"/>
    </xf>
    <xf numFmtId="0" fontId="16" fillId="3" borderId="7" xfId="0" applyFont="1" applyFill="1" applyBorder="1" applyAlignment="1" applyProtection="1">
      <alignment horizontal="centerContinuous"/>
      <protection hidden="1"/>
    </xf>
    <xf numFmtId="0" fontId="40" fillId="2" borderId="2" xfId="0" applyFont="1" applyFill="1" applyBorder="1" applyAlignment="1">
      <alignment horizontal="center"/>
    </xf>
    <xf numFmtId="0" fontId="40" fillId="2" borderId="2" xfId="0" applyNumberFormat="1" applyFont="1" applyFill="1" applyBorder="1" applyAlignment="1">
      <alignment horizontal="center"/>
    </xf>
    <xf numFmtId="0" fontId="40" fillId="2" borderId="29" xfId="0" applyFont="1" applyFill="1" applyBorder="1" applyAlignment="1">
      <alignment horizontal="center"/>
    </xf>
    <xf numFmtId="0" fontId="40" fillId="2" borderId="34" xfId="0" applyNumberFormat="1" applyFont="1" applyFill="1" applyBorder="1" applyAlignment="1">
      <alignment horizontal="center"/>
    </xf>
    <xf numFmtId="0" fontId="40" fillId="2" borderId="35" xfId="0" applyNumberFormat="1" applyFont="1" applyFill="1" applyBorder="1" applyAlignment="1">
      <alignment horizontal="center"/>
    </xf>
    <xf numFmtId="0" fontId="40" fillId="2" borderId="36" xfId="0" applyNumberFormat="1" applyFont="1" applyFill="1" applyBorder="1" applyAlignment="1">
      <alignment horizontal="center"/>
    </xf>
    <xf numFmtId="0" fontId="40" fillId="2" borderId="16" xfId="0" applyFont="1" applyFill="1" applyBorder="1" applyAlignment="1">
      <alignment horizontal="center"/>
    </xf>
    <xf numFmtId="0" fontId="40" fillId="2" borderId="33" xfId="0" applyNumberFormat="1" applyFont="1" applyFill="1" applyBorder="1" applyAlignment="1">
      <alignment horizontal="center"/>
    </xf>
    <xf numFmtId="0" fontId="40" fillId="2" borderId="22" xfId="0" applyNumberFormat="1" applyFont="1" applyFill="1" applyBorder="1" applyAlignment="1">
      <alignment horizontal="center"/>
    </xf>
    <xf numFmtId="0" fontId="40" fillId="2" borderId="23" xfId="0" applyNumberFormat="1" applyFont="1" applyFill="1" applyBorder="1" applyAlignment="1">
      <alignment horizontal="center"/>
    </xf>
    <xf numFmtId="166" fontId="40" fillId="2" borderId="22" xfId="0" applyNumberFormat="1" applyFont="1" applyFill="1" applyBorder="1" applyAlignment="1">
      <alignment horizontal="center"/>
    </xf>
    <xf numFmtId="2" fontId="40" fillId="2" borderId="22" xfId="0" applyNumberFormat="1" applyFont="1" applyFill="1" applyBorder="1" applyAlignment="1">
      <alignment horizontal="center"/>
    </xf>
    <xf numFmtId="0" fontId="40" fillId="2" borderId="17" xfId="0" applyFont="1" applyFill="1" applyBorder="1" applyAlignment="1">
      <alignment horizontal="center"/>
    </xf>
    <xf numFmtId="0" fontId="40" fillId="2" borderId="37" xfId="0" applyNumberFormat="1" applyFont="1" applyFill="1" applyBorder="1" applyAlignment="1">
      <alignment horizontal="center"/>
    </xf>
    <xf numFmtId="0" fontId="40" fillId="2" borderId="25" xfId="0" applyNumberFormat="1" applyFont="1" applyFill="1" applyBorder="1" applyAlignment="1">
      <alignment horizontal="center"/>
    </xf>
    <xf numFmtId="0" fontId="40" fillId="2" borderId="26" xfId="0" applyNumberFormat="1" applyFont="1" applyFill="1" applyBorder="1" applyAlignment="1">
      <alignment horizontal="center"/>
    </xf>
    <xf numFmtId="0" fontId="40" fillId="2" borderId="34" xfId="0" applyFont="1" applyFill="1" applyBorder="1" applyAlignment="1">
      <alignment horizontal="center"/>
    </xf>
    <xf numFmtId="0" fontId="40" fillId="2" borderId="35" xfId="0" applyFont="1" applyFill="1" applyBorder="1" applyAlignment="1">
      <alignment horizontal="center"/>
    </xf>
    <xf numFmtId="0" fontId="40" fillId="2" borderId="36" xfId="0" applyFont="1" applyFill="1" applyBorder="1" applyAlignment="1">
      <alignment horizontal="center"/>
    </xf>
    <xf numFmtId="0" fontId="40" fillId="2" borderId="33" xfId="0" applyFont="1" applyFill="1" applyBorder="1" applyAlignment="1">
      <alignment horizontal="center"/>
    </xf>
    <xf numFmtId="0" fontId="40" fillId="2" borderId="22" xfId="0" applyFont="1" applyFill="1" applyBorder="1" applyAlignment="1">
      <alignment horizontal="center"/>
    </xf>
    <xf numFmtId="0" fontId="40" fillId="2" borderId="23" xfId="0" applyFont="1" applyFill="1" applyBorder="1" applyAlignment="1">
      <alignment horizontal="center"/>
    </xf>
    <xf numFmtId="0" fontId="40" fillId="2" borderId="37" xfId="0" applyFont="1" applyFill="1" applyBorder="1" applyAlignment="1">
      <alignment horizontal="center"/>
    </xf>
    <xf numFmtId="0" fontId="40" fillId="2" borderId="25" xfId="0" applyFont="1" applyFill="1" applyBorder="1" applyAlignment="1">
      <alignment horizontal="center"/>
    </xf>
    <xf numFmtId="0" fontId="40" fillId="2" borderId="26" xfId="0" applyFont="1" applyFill="1" applyBorder="1" applyAlignment="1">
      <alignment horizontal="center"/>
    </xf>
    <xf numFmtId="0" fontId="40" fillId="2" borderId="27" xfId="0" applyFont="1" applyFill="1" applyBorder="1" applyAlignment="1" applyProtection="1">
      <alignment horizontal="center"/>
      <protection hidden="1"/>
    </xf>
    <xf numFmtId="0" fontId="40" fillId="2" borderId="28" xfId="0" applyFont="1" applyFill="1" applyBorder="1" applyAlignment="1" applyProtection="1">
      <alignment horizontal="center"/>
      <protection hidden="1"/>
    </xf>
    <xf numFmtId="0" fontId="40" fillId="2" borderId="8" xfId="0" applyFont="1" applyFill="1" applyBorder="1" applyAlignment="1" applyProtection="1">
      <alignment horizontal="center"/>
      <protection hidden="1"/>
    </xf>
    <xf numFmtId="0" fontId="40" fillId="2" borderId="3" xfId="0" applyFont="1" applyFill="1" applyBorder="1" applyAlignment="1" applyProtection="1">
      <alignment horizontal="centerContinuous"/>
      <protection hidden="1"/>
    </xf>
    <xf numFmtId="0" fontId="40" fillId="2" borderId="7" xfId="0" applyFont="1" applyFill="1" applyBorder="1" applyAlignment="1" applyProtection="1">
      <alignment horizontal="centerContinuous"/>
      <protection hidden="1"/>
    </xf>
    <xf numFmtId="0" fontId="40" fillId="2" borderId="10" xfId="0" applyFont="1" applyFill="1" applyBorder="1" applyAlignment="1" applyProtection="1">
      <alignment horizontal="centerContinuous"/>
      <protection hidden="1"/>
    </xf>
    <xf numFmtId="0" fontId="40" fillId="2" borderId="4" xfId="0" applyFont="1" applyFill="1" applyBorder="1" applyAlignment="1" applyProtection="1">
      <alignment horizontal="centerContinuous"/>
      <protection hidden="1"/>
    </xf>
    <xf numFmtId="0" fontId="40" fillId="2" borderId="9" xfId="0" applyFont="1" applyFill="1" applyBorder="1" applyAlignment="1" applyProtection="1">
      <alignment horizontal="centerContinuous"/>
      <protection hidden="1"/>
    </xf>
    <xf numFmtId="0" fontId="40" fillId="2" borderId="11" xfId="0" applyFont="1" applyFill="1" applyBorder="1" applyAlignment="1" applyProtection="1">
      <alignment horizontal="centerContinuous"/>
      <protection hidden="1"/>
    </xf>
    <xf numFmtId="0" fontId="39" fillId="2" borderId="0" xfId="0" applyFont="1" applyFill="1" applyBorder="1" applyAlignment="1" applyProtection="1">
      <protection hidden="1"/>
    </xf>
    <xf numFmtId="0" fontId="16" fillId="2" borderId="0" xfId="0" applyFont="1" applyFill="1" applyBorder="1" applyProtection="1">
      <protection locked="0"/>
    </xf>
    <xf numFmtId="0" fontId="25" fillId="2" borderId="0" xfId="0" applyFont="1" applyFill="1" applyBorder="1" applyProtection="1">
      <protection locked="0"/>
    </xf>
    <xf numFmtId="0" fontId="7" fillId="2" borderId="13" xfId="0" applyFont="1" applyFill="1" applyBorder="1" applyAlignment="1" applyProtection="1">
      <alignment horizontal="left"/>
      <protection hidden="1"/>
    </xf>
    <xf numFmtId="0" fontId="1" fillId="2" borderId="13" xfId="0" applyFont="1" applyFill="1" applyBorder="1" applyAlignment="1" applyProtection="1">
      <protection hidden="1"/>
    </xf>
    <xf numFmtId="0" fontId="1" fillId="2" borderId="12" xfId="0" applyFont="1" applyFill="1" applyBorder="1" applyAlignment="1" applyProtection="1">
      <protection hidden="1"/>
    </xf>
    <xf numFmtId="0" fontId="26" fillId="2" borderId="13" xfId="0" applyFont="1" applyFill="1" applyBorder="1" applyProtection="1">
      <protection hidden="1"/>
    </xf>
    <xf numFmtId="0" fontId="6" fillId="2" borderId="13" xfId="0" applyFont="1" applyFill="1" applyBorder="1" applyAlignment="1" applyProtection="1">
      <alignment horizontal="left"/>
      <protection hidden="1"/>
    </xf>
    <xf numFmtId="0" fontId="26" fillId="2" borderId="12" xfId="0" applyFont="1" applyFill="1" applyBorder="1" applyProtection="1">
      <protection hidden="1"/>
    </xf>
    <xf numFmtId="0" fontId="16" fillId="2" borderId="8" xfId="0" applyFont="1" applyFill="1" applyBorder="1" applyAlignment="1" applyProtection="1">
      <alignment horizontal="center"/>
      <protection hidden="1"/>
    </xf>
    <xf numFmtId="0" fontId="16" fillId="2" borderId="5" xfId="0" applyFont="1" applyFill="1" applyBorder="1" applyAlignment="1" applyProtection="1">
      <alignment horizontal="center"/>
      <protection hidden="1"/>
    </xf>
    <xf numFmtId="0" fontId="23" fillId="2" borderId="4" xfId="0" applyFont="1" applyFill="1" applyBorder="1" applyAlignment="1" applyProtection="1">
      <alignment horizontal="center"/>
      <protection hidden="1"/>
    </xf>
    <xf numFmtId="0" fontId="23" fillId="2" borderId="11" xfId="0" applyFont="1" applyFill="1" applyBorder="1" applyAlignment="1" applyProtection="1">
      <alignment horizontal="center"/>
      <protection hidden="1"/>
    </xf>
    <xf numFmtId="0" fontId="23" fillId="2" borderId="8" xfId="0" applyFont="1" applyFill="1" applyBorder="1" applyAlignment="1" applyProtection="1">
      <alignment horizontal="center"/>
      <protection hidden="1"/>
    </xf>
    <xf numFmtId="0" fontId="16" fillId="2" borderId="3" xfId="0" applyFont="1" applyFill="1" applyBorder="1" applyAlignment="1" applyProtection="1">
      <alignment horizontal="center"/>
      <protection hidden="1"/>
    </xf>
    <xf numFmtId="0" fontId="1" fillId="2" borderId="7" xfId="0" applyFont="1" applyFill="1" applyBorder="1" applyAlignment="1" applyProtection="1">
      <protection hidden="1"/>
    </xf>
    <xf numFmtId="166" fontId="1" fillId="2" borderId="7" xfId="0" applyNumberFormat="1" applyFont="1" applyFill="1" applyBorder="1" applyAlignment="1" applyProtection="1">
      <protection hidden="1"/>
    </xf>
    <xf numFmtId="0" fontId="6" fillId="2" borderId="7" xfId="0" applyFont="1" applyFill="1" applyBorder="1" applyAlignment="1" applyProtection="1">
      <protection hidden="1"/>
    </xf>
    <xf numFmtId="0" fontId="16" fillId="2" borderId="14" xfId="0" applyFont="1" applyFill="1" applyBorder="1" applyAlignment="1" applyProtection="1">
      <alignment horizontal="centerContinuous"/>
      <protection hidden="1"/>
    </xf>
    <xf numFmtId="0" fontId="6" fillId="2" borderId="27" xfId="0" applyFont="1" applyFill="1" applyBorder="1" applyAlignment="1" applyProtection="1">
      <alignment horizontal="center"/>
      <protection hidden="1"/>
    </xf>
    <xf numFmtId="0" fontId="20" fillId="2" borderId="27" xfId="0" applyFont="1" applyFill="1" applyBorder="1" applyAlignment="1" applyProtection="1">
      <alignment horizontal="center"/>
      <protection hidden="1"/>
    </xf>
    <xf numFmtId="0" fontId="46" fillId="2" borderId="8" xfId="0" applyFont="1" applyFill="1" applyBorder="1" applyAlignment="1" applyProtection="1">
      <alignment horizontal="center"/>
      <protection hidden="1"/>
    </xf>
    <xf numFmtId="0" fontId="26" fillId="2" borderId="13" xfId="0" applyFont="1" applyFill="1" applyBorder="1" applyAlignment="1" applyProtection="1">
      <alignment horizontal="centerContinuous"/>
      <protection hidden="1"/>
    </xf>
    <xf numFmtId="0" fontId="26" fillId="2" borderId="12" xfId="0" applyFont="1" applyFill="1" applyBorder="1" applyAlignment="1" applyProtection="1">
      <alignment horizontal="centerContinuous"/>
      <protection hidden="1"/>
    </xf>
    <xf numFmtId="0" fontId="16" fillId="2" borderId="2" xfId="0" applyFont="1" applyFill="1" applyBorder="1" applyAlignment="1" applyProtection="1">
      <alignment horizontal="center"/>
      <protection hidden="1"/>
    </xf>
    <xf numFmtId="0" fontId="16" fillId="2" borderId="0" xfId="0" applyFont="1" applyFill="1" applyBorder="1" applyAlignment="1" applyProtection="1">
      <alignment horizontal="centerContinuous"/>
      <protection hidden="1"/>
    </xf>
    <xf numFmtId="0" fontId="26" fillId="2" borderId="0" xfId="0" applyFont="1" applyFill="1" applyBorder="1" applyAlignment="1" applyProtection="1">
      <alignment horizontal="centerContinuous"/>
      <protection hidden="1"/>
    </xf>
    <xf numFmtId="0" fontId="26" fillId="2" borderId="7" xfId="0" applyFont="1" applyFill="1" applyBorder="1" applyAlignment="1" applyProtection="1">
      <alignment horizontal="centerContinuous"/>
      <protection hidden="1"/>
    </xf>
    <xf numFmtId="0" fontId="26" fillId="2" borderId="10" xfId="0" applyFont="1" applyFill="1" applyBorder="1" applyAlignment="1" applyProtection="1">
      <alignment horizontal="centerContinuous"/>
      <protection hidden="1"/>
    </xf>
    <xf numFmtId="2" fontId="16" fillId="2" borderId="3" xfId="0" applyNumberFormat="1" applyFont="1" applyFill="1" applyBorder="1" applyAlignment="1" applyProtection="1">
      <alignment horizontal="centerContinuous"/>
      <protection hidden="1"/>
    </xf>
    <xf numFmtId="0" fontId="6" fillId="2" borderId="6" xfId="0" applyFont="1" applyFill="1" applyBorder="1" applyAlignment="1" applyProtection="1">
      <alignment horizontal="center"/>
      <protection hidden="1"/>
    </xf>
    <xf numFmtId="0" fontId="40" fillId="2" borderId="0" xfId="0" applyFont="1" applyFill="1" applyBorder="1" applyAlignment="1" applyProtection="1">
      <alignment horizontal="left"/>
      <protection hidden="1"/>
    </xf>
    <xf numFmtId="0" fontId="8" fillId="3" borderId="28" xfId="0" applyFont="1" applyFill="1" applyBorder="1" applyAlignment="1" applyProtection="1">
      <alignment horizontal="center"/>
      <protection hidden="1"/>
    </xf>
    <xf numFmtId="2" fontId="16" fillId="2" borderId="0" xfId="0" applyNumberFormat="1" applyFont="1" applyFill="1" applyBorder="1" applyAlignment="1" applyProtection="1">
      <alignment horizontal="center"/>
      <protection hidden="1"/>
    </xf>
    <xf numFmtId="2" fontId="16" fillId="4" borderId="17" xfId="0" applyNumberFormat="1" applyFont="1" applyFill="1" applyBorder="1" applyAlignment="1" applyProtection="1">
      <alignment horizontal="center"/>
      <protection locked="0"/>
    </xf>
    <xf numFmtId="166" fontId="16" fillId="2" borderId="2" xfId="0" applyNumberFormat="1" applyFont="1" applyFill="1" applyBorder="1" applyAlignment="1" applyProtection="1">
      <alignment horizontal="center"/>
      <protection hidden="1"/>
    </xf>
    <xf numFmtId="0" fontId="4" fillId="2" borderId="0" xfId="0" applyFont="1" applyFill="1" applyProtection="1">
      <protection hidden="1"/>
    </xf>
    <xf numFmtId="0" fontId="6" fillId="2" borderId="0" xfId="0" applyFont="1" applyFill="1" applyBorder="1" applyAlignment="1" applyProtection="1">
      <alignment horizontal="right"/>
      <protection hidden="1"/>
    </xf>
    <xf numFmtId="0" fontId="28" fillId="2" borderId="0" xfId="0" applyFont="1" applyFill="1" applyProtection="1">
      <protection hidden="1"/>
    </xf>
    <xf numFmtId="0" fontId="1" fillId="2" borderId="0" xfId="0" applyFont="1" applyFill="1" applyProtection="1">
      <protection hidden="1"/>
    </xf>
    <xf numFmtId="166" fontId="16" fillId="2" borderId="0" xfId="0" applyNumberFormat="1" applyFont="1" applyFill="1" applyBorder="1" applyAlignment="1" applyProtection="1">
      <alignment horizontal="center"/>
      <protection hidden="1"/>
    </xf>
    <xf numFmtId="0" fontId="20" fillId="2" borderId="0" xfId="0" applyFont="1" applyFill="1" applyProtection="1">
      <protection hidden="1"/>
    </xf>
    <xf numFmtId="0" fontId="27" fillId="2" borderId="0" xfId="0" applyFont="1" applyFill="1" applyBorder="1" applyProtection="1">
      <protection hidden="1"/>
    </xf>
    <xf numFmtId="0" fontId="14" fillId="2" borderId="0" xfId="0" applyFont="1" applyFill="1" applyBorder="1" applyProtection="1">
      <protection hidden="1"/>
    </xf>
    <xf numFmtId="0" fontId="0" fillId="2" borderId="4" xfId="0" applyFill="1" applyBorder="1" applyProtection="1">
      <protection hidden="1"/>
    </xf>
    <xf numFmtId="0" fontId="0" fillId="2" borderId="9" xfId="0" applyFill="1" applyBorder="1" applyAlignment="1" applyProtection="1">
      <alignment horizontal="right"/>
      <protection hidden="1"/>
    </xf>
    <xf numFmtId="165" fontId="6" fillId="2" borderId="9" xfId="0" applyNumberFormat="1" applyFont="1" applyFill="1" applyBorder="1" applyAlignment="1" applyProtection="1">
      <alignment horizontal="center"/>
      <protection hidden="1"/>
    </xf>
    <xf numFmtId="0" fontId="35" fillId="2" borderId="9" xfId="0" applyFont="1" applyFill="1" applyBorder="1" applyProtection="1">
      <protection hidden="1"/>
    </xf>
    <xf numFmtId="166" fontId="6" fillId="2" borderId="35" xfId="0" applyNumberFormat="1" applyFont="1" applyFill="1" applyBorder="1" applyAlignment="1" applyProtection="1">
      <alignment horizontal="center"/>
    </xf>
    <xf numFmtId="166" fontId="6" fillId="2" borderId="36" xfId="0" applyNumberFormat="1" applyFont="1" applyFill="1" applyBorder="1" applyAlignment="1" applyProtection="1">
      <alignment horizontal="center"/>
    </xf>
    <xf numFmtId="166" fontId="6" fillId="2" borderId="32" xfId="0" applyNumberFormat="1" applyFont="1" applyFill="1" applyBorder="1" applyAlignment="1" applyProtection="1">
      <alignment horizontal="center"/>
    </xf>
    <xf numFmtId="166" fontId="6" fillId="2" borderId="20" xfId="0" applyNumberFormat="1" applyFont="1" applyFill="1" applyBorder="1" applyAlignment="1" applyProtection="1">
      <alignment horizontal="center"/>
    </xf>
    <xf numFmtId="166" fontId="6" fillId="2" borderId="19" xfId="0" applyNumberFormat="1" applyFont="1" applyFill="1" applyBorder="1" applyAlignment="1" applyProtection="1">
      <alignment horizontal="center"/>
    </xf>
    <xf numFmtId="2" fontId="6" fillId="2" borderId="32" xfId="0" applyNumberFormat="1" applyFont="1" applyFill="1" applyBorder="1" applyAlignment="1" applyProtection="1">
      <alignment horizontal="center"/>
    </xf>
    <xf numFmtId="2" fontId="6" fillId="2" borderId="19" xfId="0" applyNumberFormat="1" applyFont="1" applyFill="1" applyBorder="1" applyAlignment="1" applyProtection="1">
      <alignment horizontal="center"/>
    </xf>
    <xf numFmtId="2" fontId="23" fillId="2" borderId="18" xfId="0" applyNumberFormat="1" applyFont="1" applyFill="1" applyBorder="1" applyAlignment="1" applyProtection="1">
      <alignment horizontal="center"/>
    </xf>
    <xf numFmtId="166" fontId="23" fillId="2" borderId="19" xfId="0" applyNumberFormat="1" applyFont="1" applyFill="1" applyBorder="1" applyAlignment="1" applyProtection="1">
      <alignment horizontal="center"/>
    </xf>
    <xf numFmtId="166" fontId="23" fillId="2" borderId="20" xfId="0" applyNumberFormat="1" applyFont="1" applyFill="1" applyBorder="1" applyAlignment="1" applyProtection="1">
      <alignment horizontal="center"/>
    </xf>
    <xf numFmtId="2" fontId="23" fillId="2" borderId="19" xfId="0" applyNumberFormat="1" applyFont="1" applyFill="1" applyBorder="1" applyAlignment="1" applyProtection="1">
      <alignment horizontal="center"/>
    </xf>
    <xf numFmtId="168" fontId="23" fillId="2" borderId="19" xfId="0" applyNumberFormat="1" applyFont="1" applyFill="1" applyBorder="1" applyAlignment="1" applyProtection="1">
      <alignment horizontal="center"/>
    </xf>
    <xf numFmtId="166" fontId="23" fillId="2" borderId="35" xfId="0" applyNumberFormat="1" applyFont="1" applyFill="1" applyBorder="1" applyAlignment="1" applyProtection="1">
      <alignment horizontal="center"/>
    </xf>
    <xf numFmtId="165" fontId="23" fillId="2" borderId="35" xfId="0" applyNumberFormat="1" applyFont="1" applyFill="1" applyBorder="1" applyAlignment="1" applyProtection="1">
      <alignment horizontal="center"/>
    </xf>
    <xf numFmtId="2" fontId="23" fillId="2" borderId="35" xfId="0" applyNumberFormat="1" applyFont="1" applyFill="1" applyBorder="1" applyAlignment="1" applyProtection="1">
      <alignment horizontal="center"/>
    </xf>
    <xf numFmtId="166" fontId="23" fillId="2" borderId="19" xfId="0" quotePrefix="1" applyNumberFormat="1" applyFont="1" applyFill="1" applyBorder="1" applyAlignment="1" applyProtection="1">
      <alignment horizontal="center"/>
    </xf>
    <xf numFmtId="165" fontId="45" fillId="2" borderId="19" xfId="0" applyNumberFormat="1" applyFont="1" applyFill="1" applyBorder="1" applyAlignment="1" applyProtection="1">
      <alignment horizontal="left"/>
    </xf>
    <xf numFmtId="165" fontId="23" fillId="2" borderId="19" xfId="0" applyNumberFormat="1" applyFont="1" applyFill="1" applyBorder="1" applyAlignment="1" applyProtection="1">
      <alignment horizontal="center"/>
    </xf>
    <xf numFmtId="166" fontId="6" fillId="2" borderId="22" xfId="0" applyNumberFormat="1" applyFont="1" applyFill="1" applyBorder="1" applyAlignment="1" applyProtection="1">
      <alignment horizontal="center"/>
      <protection locked="0"/>
    </xf>
    <xf numFmtId="166" fontId="6" fillId="2" borderId="23" xfId="0" applyNumberFormat="1" applyFont="1" applyFill="1" applyBorder="1" applyAlignment="1" applyProtection="1">
      <alignment horizontal="center"/>
      <protection locked="0"/>
    </xf>
    <xf numFmtId="166" fontId="6" fillId="2" borderId="33" xfId="0" applyNumberFormat="1" applyFont="1" applyFill="1" applyBorder="1" applyAlignment="1" applyProtection="1">
      <alignment horizontal="center"/>
      <protection locked="0"/>
    </xf>
    <xf numFmtId="2" fontId="6" fillId="2" borderId="33" xfId="0" applyNumberFormat="1" applyFont="1" applyFill="1" applyBorder="1" applyAlignment="1" applyProtection="1">
      <alignment horizontal="center"/>
      <protection locked="0"/>
    </xf>
    <xf numFmtId="2" fontId="6" fillId="2" borderId="22" xfId="0" applyNumberFormat="1" applyFont="1" applyFill="1" applyBorder="1" applyAlignment="1" applyProtection="1">
      <alignment horizontal="center"/>
      <protection locked="0"/>
    </xf>
    <xf numFmtId="2" fontId="23" fillId="2" borderId="21" xfId="0" applyNumberFormat="1" applyFont="1" applyFill="1" applyBorder="1" applyAlignment="1" applyProtection="1">
      <alignment horizontal="center"/>
      <protection locked="0"/>
    </xf>
    <xf numFmtId="166" fontId="23" fillId="2" borderId="22" xfId="0" applyNumberFormat="1" applyFont="1" applyFill="1" applyBorder="1" applyAlignment="1" applyProtection="1">
      <alignment horizontal="center"/>
      <protection locked="0"/>
    </xf>
    <xf numFmtId="166" fontId="23" fillId="2" borderId="23" xfId="0" applyNumberFormat="1" applyFont="1" applyFill="1" applyBorder="1" applyAlignment="1" applyProtection="1">
      <alignment horizontal="center"/>
      <protection locked="0"/>
    </xf>
    <xf numFmtId="2" fontId="23" fillId="2" borderId="22" xfId="0" applyNumberFormat="1" applyFont="1" applyFill="1" applyBorder="1" applyAlignment="1" applyProtection="1">
      <alignment horizontal="center"/>
      <protection locked="0"/>
    </xf>
    <xf numFmtId="168" fontId="23" fillId="2" borderId="22" xfId="0" applyNumberFormat="1" applyFont="1" applyFill="1" applyBorder="1" applyAlignment="1" applyProtection="1">
      <alignment horizontal="center"/>
      <protection locked="0"/>
    </xf>
    <xf numFmtId="165" fontId="23" fillId="2" borderId="22" xfId="0" applyNumberFormat="1" applyFont="1" applyFill="1" applyBorder="1" applyAlignment="1" applyProtection="1">
      <alignment horizontal="center"/>
      <protection locked="0"/>
    </xf>
    <xf numFmtId="166" fontId="23" fillId="2" borderId="22" xfId="0" quotePrefix="1" applyNumberFormat="1" applyFont="1" applyFill="1" applyBorder="1" applyAlignment="1" applyProtection="1">
      <alignment horizontal="center"/>
      <protection locked="0"/>
    </xf>
    <xf numFmtId="165" fontId="45" fillId="2" borderId="22" xfId="0" applyNumberFormat="1" applyFont="1" applyFill="1" applyBorder="1" applyAlignment="1" applyProtection="1">
      <alignment horizontal="left"/>
      <protection locked="0"/>
    </xf>
    <xf numFmtId="2" fontId="23" fillId="2" borderId="23" xfId="0" applyNumberFormat="1" applyFont="1" applyFill="1" applyBorder="1" applyAlignment="1" applyProtection="1">
      <alignment horizontal="center"/>
      <protection locked="0"/>
    </xf>
    <xf numFmtId="2" fontId="23" fillId="2" borderId="32" xfId="0" applyNumberFormat="1" applyFont="1" applyFill="1" applyBorder="1" applyAlignment="1" applyProtection="1">
      <alignment horizontal="center"/>
    </xf>
    <xf numFmtId="2" fontId="23" fillId="2" borderId="33" xfId="0" applyNumberFormat="1" applyFont="1" applyFill="1" applyBorder="1" applyAlignment="1" applyProtection="1">
      <alignment horizontal="center"/>
      <protection locked="0"/>
    </xf>
    <xf numFmtId="0" fontId="7" fillId="2" borderId="14" xfId="0" applyFont="1" applyFill="1" applyBorder="1" applyAlignment="1" applyProtection="1">
      <protection hidden="1"/>
    </xf>
    <xf numFmtId="2" fontId="23" fillId="2" borderId="20" xfId="0" applyNumberFormat="1" applyFont="1" applyFill="1" applyBorder="1" applyAlignment="1" applyProtection="1">
      <alignment horizontal="center"/>
    </xf>
    <xf numFmtId="168" fontId="23" fillId="2" borderId="15" xfId="0" applyNumberFormat="1" applyFont="1" applyFill="1" applyBorder="1" applyAlignment="1" applyProtection="1">
      <alignment horizontal="center"/>
    </xf>
    <xf numFmtId="168" fontId="23" fillId="2" borderId="16" xfId="0" applyNumberFormat="1" applyFont="1" applyFill="1" applyBorder="1" applyAlignment="1" applyProtection="1">
      <alignment horizontal="center"/>
      <protection locked="0"/>
    </xf>
    <xf numFmtId="2" fontId="23" fillId="2" borderId="34" xfId="0" applyNumberFormat="1" applyFont="1" applyFill="1" applyBorder="1" applyAlignment="1" applyProtection="1">
      <alignment horizontal="center"/>
    </xf>
    <xf numFmtId="0" fontId="5" fillId="2" borderId="13" xfId="0" applyFont="1" applyFill="1" applyBorder="1" applyAlignment="1" applyProtection="1">
      <alignment horizontal="centerContinuous"/>
      <protection hidden="1"/>
    </xf>
    <xf numFmtId="0" fontId="0" fillId="2" borderId="13" xfId="0" applyFill="1" applyBorder="1" applyAlignment="1" applyProtection="1">
      <alignment horizontal="centerContinuous"/>
      <protection hidden="1"/>
    </xf>
    <xf numFmtId="0" fontId="6" fillId="2" borderId="14" xfId="0" applyFont="1" applyFill="1" applyBorder="1" applyAlignment="1" applyProtection="1">
      <alignment horizontal="centerContinuous"/>
      <protection hidden="1"/>
    </xf>
    <xf numFmtId="0" fontId="23" fillId="2" borderId="32" xfId="0" applyNumberFormat="1" applyFont="1" applyFill="1" applyBorder="1" applyAlignment="1" applyProtection="1">
      <alignment horizontal="center"/>
    </xf>
    <xf numFmtId="0" fontId="23" fillId="2" borderId="33" xfId="0" applyNumberFormat="1" applyFont="1" applyFill="1" applyBorder="1" applyAlignment="1" applyProtection="1">
      <alignment horizontal="center"/>
      <protection locked="0"/>
    </xf>
    <xf numFmtId="0" fontId="0" fillId="2" borderId="4" xfId="0" applyFill="1" applyBorder="1" applyAlignment="1" applyProtection="1">
      <protection hidden="1"/>
    </xf>
    <xf numFmtId="0" fontId="23" fillId="2" borderId="0" xfId="0" applyFont="1" applyFill="1" applyBorder="1" applyAlignment="1" applyProtection="1">
      <protection locked="0"/>
    </xf>
    <xf numFmtId="0" fontId="1" fillId="3" borderId="4" xfId="0" applyFont="1" applyFill="1" applyBorder="1" applyAlignment="1" applyProtection="1">
      <alignment horizontal="centerContinuous"/>
      <protection hidden="1"/>
    </xf>
    <xf numFmtId="0" fontId="1" fillId="3" borderId="11" xfId="0" applyFont="1" applyFill="1" applyBorder="1" applyAlignment="1" applyProtection="1">
      <alignment horizontal="centerContinuous"/>
      <protection hidden="1"/>
    </xf>
    <xf numFmtId="0" fontId="11" fillId="3" borderId="5" xfId="0" applyFont="1" applyFill="1" applyBorder="1" applyAlignment="1" applyProtection="1">
      <alignment horizontal="right"/>
      <protection hidden="1"/>
    </xf>
    <xf numFmtId="2" fontId="6" fillId="2" borderId="18" xfId="0" applyNumberFormat="1" applyFont="1" applyFill="1" applyBorder="1" applyAlignment="1" applyProtection="1">
      <alignment horizontal="center"/>
    </xf>
    <xf numFmtId="2" fontId="6" fillId="2" borderId="21" xfId="0" applyNumberFormat="1" applyFont="1" applyFill="1" applyBorder="1" applyAlignment="1" applyProtection="1">
      <alignment horizontal="center"/>
      <protection locked="0"/>
    </xf>
    <xf numFmtId="0" fontId="16" fillId="2" borderId="14" xfId="0" applyFont="1" applyFill="1" applyBorder="1" applyProtection="1">
      <protection hidden="1"/>
    </xf>
    <xf numFmtId="0" fontId="6" fillId="2" borderId="13" xfId="0" applyFont="1" applyFill="1" applyBorder="1" applyAlignment="1" applyProtection="1">
      <alignment horizontal="center"/>
      <protection hidden="1"/>
    </xf>
    <xf numFmtId="166" fontId="23" fillId="2" borderId="38" xfId="0" applyNumberFormat="1" applyFont="1" applyFill="1" applyBorder="1" applyAlignment="1" applyProtection="1">
      <alignment horizontal="center"/>
    </xf>
    <xf numFmtId="166" fontId="23" fillId="2" borderId="39" xfId="0" applyNumberFormat="1" applyFont="1" applyFill="1" applyBorder="1" applyAlignment="1" applyProtection="1">
      <alignment horizontal="center"/>
      <protection locked="0"/>
    </xf>
    <xf numFmtId="166" fontId="6" fillId="2" borderId="16" xfId="0" applyNumberFormat="1" applyFont="1" applyFill="1" applyBorder="1" applyAlignment="1" applyProtection="1">
      <alignment horizontal="center"/>
    </xf>
    <xf numFmtId="166" fontId="23" fillId="2" borderId="16" xfId="0" applyNumberFormat="1" applyFont="1" applyFill="1" applyBorder="1" applyAlignment="1" applyProtection="1">
      <alignment horizontal="center"/>
      <protection locked="0"/>
    </xf>
    <xf numFmtId="166" fontId="6" fillId="2" borderId="16" xfId="0" applyNumberFormat="1" applyFont="1" applyFill="1" applyBorder="1" applyAlignment="1" applyProtection="1">
      <alignment horizontal="center"/>
      <protection locked="0"/>
    </xf>
    <xf numFmtId="0" fontId="27" fillId="3" borderId="6" xfId="0" applyFont="1" applyFill="1" applyBorder="1" applyAlignment="1" applyProtection="1">
      <alignment horizontal="center"/>
      <protection hidden="1"/>
    </xf>
    <xf numFmtId="0" fontId="11" fillId="3" borderId="10" xfId="0" applyFont="1" applyFill="1" applyBorder="1" applyAlignment="1" applyProtection="1">
      <alignment horizontal="centerContinuous"/>
      <protection hidden="1"/>
    </xf>
    <xf numFmtId="0" fontId="1" fillId="3" borderId="8" xfId="0" applyFont="1" applyFill="1" applyBorder="1" applyAlignment="1" applyProtection="1">
      <alignment horizontal="center"/>
      <protection hidden="1"/>
    </xf>
    <xf numFmtId="0" fontId="1" fillId="3" borderId="7" xfId="0" applyFont="1" applyFill="1" applyBorder="1" applyAlignment="1" applyProtection="1">
      <alignment horizontal="center"/>
      <protection hidden="1"/>
    </xf>
    <xf numFmtId="0" fontId="1" fillId="3" borderId="5" xfId="0" applyFont="1" applyFill="1" applyBorder="1" applyAlignment="1" applyProtection="1">
      <alignment horizontal="center"/>
      <protection hidden="1"/>
    </xf>
    <xf numFmtId="166" fontId="6" fillId="2" borderId="29" xfId="0" applyNumberFormat="1" applyFont="1" applyFill="1" applyBorder="1" applyAlignment="1" applyProtection="1">
      <alignment horizontal="center"/>
    </xf>
    <xf numFmtId="0" fontId="1" fillId="3" borderId="2" xfId="0" applyFont="1" applyFill="1" applyBorder="1" applyAlignment="1" applyProtection="1">
      <alignment horizontal="center"/>
      <protection hidden="1"/>
    </xf>
    <xf numFmtId="165" fontId="23" fillId="2" borderId="34" xfId="0" applyNumberFormat="1" applyFont="1" applyFill="1" applyBorder="1" applyAlignment="1" applyProtection="1">
      <alignment horizontal="center"/>
    </xf>
    <xf numFmtId="165" fontId="23" fillId="2" borderId="33" xfId="0" applyNumberFormat="1" applyFont="1" applyFill="1" applyBorder="1" applyAlignment="1" applyProtection="1">
      <alignment horizontal="center"/>
      <protection locked="0"/>
    </xf>
    <xf numFmtId="165" fontId="23" fillId="2" borderId="32" xfId="0" applyNumberFormat="1" applyFont="1" applyFill="1" applyBorder="1" applyAlignment="1" applyProtection="1">
      <alignment horizontal="center"/>
    </xf>
    <xf numFmtId="49" fontId="13" fillId="2" borderId="0" xfId="0" applyNumberFormat="1" applyFont="1" applyFill="1" applyBorder="1" applyAlignment="1" applyProtection="1">
      <alignment horizontal="right"/>
      <protection hidden="1"/>
    </xf>
    <xf numFmtId="0" fontId="9" fillId="2" borderId="9" xfId="0" applyFont="1" applyFill="1" applyBorder="1" applyProtection="1">
      <protection hidden="1"/>
    </xf>
    <xf numFmtId="0" fontId="9" fillId="2" borderId="11" xfId="0" applyFont="1" applyFill="1" applyBorder="1" applyProtection="1">
      <protection hidden="1"/>
    </xf>
    <xf numFmtId="0" fontId="9" fillId="2" borderId="9" xfId="0" applyFont="1" applyFill="1" applyBorder="1" applyAlignment="1" applyProtection="1">
      <alignment horizontal="left"/>
      <protection hidden="1"/>
    </xf>
    <xf numFmtId="2" fontId="9" fillId="2" borderId="0" xfId="0" applyNumberFormat="1" applyFont="1" applyFill="1" applyBorder="1" applyProtection="1">
      <protection hidden="1"/>
    </xf>
    <xf numFmtId="0" fontId="9" fillId="2" borderId="0" xfId="0" applyFont="1" applyFill="1" applyBorder="1" applyProtection="1">
      <protection locked="0"/>
    </xf>
    <xf numFmtId="0" fontId="9" fillId="2" borderId="0" xfId="0" applyFont="1" applyFill="1" applyProtection="1">
      <protection locked="0"/>
    </xf>
    <xf numFmtId="49" fontId="9" fillId="2" borderId="0" xfId="0" applyNumberFormat="1" applyFont="1" applyFill="1" applyAlignment="1" applyProtection="1">
      <alignment horizontal="right"/>
      <protection hidden="1"/>
    </xf>
    <xf numFmtId="49" fontId="9" fillId="2" borderId="0" xfId="0" applyNumberFormat="1" applyFont="1" applyFill="1" applyBorder="1" applyAlignment="1" applyProtection="1">
      <alignment horizontal="right"/>
      <protection hidden="1"/>
    </xf>
    <xf numFmtId="49" fontId="9" fillId="2" borderId="9" xfId="0" applyNumberFormat="1" applyFont="1" applyFill="1" applyBorder="1" applyAlignment="1" applyProtection="1">
      <alignment horizontal="right"/>
      <protection hidden="1"/>
    </xf>
    <xf numFmtId="0" fontId="9" fillId="2" borderId="0" xfId="0" applyFont="1" applyFill="1" applyProtection="1">
      <protection hidden="1"/>
    </xf>
    <xf numFmtId="49" fontId="37" fillId="2" borderId="0" xfId="0" applyNumberFormat="1" applyFont="1" applyFill="1" applyBorder="1" applyAlignment="1" applyProtection="1">
      <alignment horizontal="right"/>
      <protection hidden="1"/>
    </xf>
    <xf numFmtId="0" fontId="12" fillId="2" borderId="0" xfId="0" applyFont="1" applyFill="1" applyProtection="1">
      <protection hidden="1"/>
    </xf>
    <xf numFmtId="0" fontId="12" fillId="2" borderId="0" xfId="0" applyFont="1" applyFill="1" applyAlignment="1" applyProtection="1">
      <alignment horizontal="left"/>
      <protection hidden="1"/>
    </xf>
    <xf numFmtId="0" fontId="9" fillId="2" borderId="0" xfId="0" applyFont="1" applyFill="1" applyAlignment="1" applyProtection="1">
      <alignment horizontal="left"/>
      <protection hidden="1"/>
    </xf>
    <xf numFmtId="0" fontId="6" fillId="2" borderId="4" xfId="0" applyFont="1" applyFill="1" applyBorder="1" applyAlignment="1" applyProtection="1">
      <alignment horizontal="center"/>
      <protection hidden="1"/>
    </xf>
    <xf numFmtId="0" fontId="6" fillId="2" borderId="8" xfId="0" applyFont="1" applyFill="1" applyBorder="1" applyAlignment="1" applyProtection="1">
      <alignment horizontal="center"/>
      <protection hidden="1"/>
    </xf>
    <xf numFmtId="0" fontId="11" fillId="3" borderId="7" xfId="0" applyFont="1" applyFill="1" applyBorder="1" applyAlignment="1" applyProtection="1">
      <alignment horizontal="centerContinuous"/>
      <protection hidden="1"/>
    </xf>
    <xf numFmtId="2" fontId="6" fillId="2" borderId="0" xfId="0" applyNumberFormat="1" applyFont="1" applyFill="1" applyProtection="1">
      <protection hidden="1"/>
    </xf>
    <xf numFmtId="166" fontId="6" fillId="2" borderId="0" xfId="0" applyNumberFormat="1" applyFont="1" applyFill="1" applyProtection="1">
      <protection hidden="1"/>
    </xf>
    <xf numFmtId="166" fontId="6" fillId="2" borderId="0" xfId="0" applyNumberFormat="1" applyFont="1" applyFill="1" applyBorder="1" applyProtection="1">
      <protection hidden="1"/>
    </xf>
    <xf numFmtId="0" fontId="6" fillId="2" borderId="0" xfId="0" applyFont="1" applyFill="1" applyBorder="1" applyAlignment="1" applyProtection="1">
      <alignment horizontal="left"/>
      <protection hidden="1"/>
    </xf>
    <xf numFmtId="2" fontId="6" fillId="2" borderId="0" xfId="0" applyNumberFormat="1" applyFont="1" applyFill="1" applyBorder="1" applyProtection="1">
      <protection hidden="1"/>
    </xf>
    <xf numFmtId="49" fontId="6" fillId="2" borderId="0" xfId="0" applyNumberFormat="1" applyFont="1" applyFill="1" applyBorder="1" applyProtection="1">
      <protection hidden="1"/>
    </xf>
    <xf numFmtId="0" fontId="6" fillId="2" borderId="0" xfId="0" applyNumberFormat="1" applyFont="1" applyFill="1" applyBorder="1" applyAlignment="1" applyProtection="1">
      <alignment horizontal="right"/>
      <protection hidden="1"/>
    </xf>
    <xf numFmtId="49" fontId="6" fillId="2" borderId="0" xfId="0" applyNumberFormat="1" applyFont="1" applyFill="1" applyProtection="1">
      <protection hidden="1"/>
    </xf>
    <xf numFmtId="2" fontId="6" fillId="2" borderId="0" xfId="0" applyNumberFormat="1" applyFont="1" applyFill="1" applyAlignment="1" applyProtection="1">
      <alignment horizontal="left"/>
      <protection hidden="1"/>
    </xf>
    <xf numFmtId="166" fontId="6" fillId="2" borderId="0" xfId="0" applyNumberFormat="1" applyFont="1" applyFill="1" applyAlignment="1" applyProtection="1">
      <protection hidden="1"/>
    </xf>
    <xf numFmtId="0" fontId="6" fillId="2" borderId="0" xfId="0" applyNumberFormat="1" applyFont="1" applyFill="1" applyAlignment="1" applyProtection="1">
      <alignment horizontal="left"/>
      <protection hidden="1"/>
    </xf>
    <xf numFmtId="2" fontId="6" fillId="2" borderId="0" xfId="0" applyNumberFormat="1" applyFont="1" applyFill="1" applyAlignment="1" applyProtection="1">
      <protection hidden="1"/>
    </xf>
    <xf numFmtId="166" fontId="23" fillId="2" borderId="18" xfId="0" applyNumberFormat="1" applyFont="1" applyFill="1" applyBorder="1" applyAlignment="1" applyProtection="1">
      <alignment horizontal="center"/>
    </xf>
    <xf numFmtId="166" fontId="23" fillId="2" borderId="21" xfId="0" applyNumberFormat="1" applyFont="1" applyFill="1" applyBorder="1" applyAlignment="1" applyProtection="1">
      <alignment horizontal="center"/>
      <protection locked="0"/>
    </xf>
    <xf numFmtId="166" fontId="6" fillId="2" borderId="40" xfId="0" applyNumberFormat="1" applyFont="1" applyFill="1" applyBorder="1" applyAlignment="1" applyProtection="1">
      <alignment horizontal="center"/>
    </xf>
    <xf numFmtId="166" fontId="6" fillId="2" borderId="31" xfId="0" applyNumberFormat="1" applyFont="1" applyFill="1" applyBorder="1" applyAlignment="1" applyProtection="1">
      <alignment horizontal="center"/>
      <protection locked="0"/>
    </xf>
    <xf numFmtId="0" fontId="11" fillId="2" borderId="0" xfId="0" applyFont="1" applyFill="1" applyBorder="1" applyAlignment="1" applyProtection="1">
      <alignment horizontal="left"/>
      <protection hidden="1"/>
    </xf>
    <xf numFmtId="0" fontId="16" fillId="2" borderId="13" xfId="0" applyFont="1" applyFill="1" applyBorder="1" applyAlignment="1" applyProtection="1">
      <alignment horizontal="center"/>
      <protection hidden="1"/>
    </xf>
    <xf numFmtId="166" fontId="36" fillId="2" borderId="16" xfId="0" applyNumberFormat="1" applyFont="1" applyFill="1" applyBorder="1" applyAlignment="1" applyProtection="1">
      <alignment horizontal="center"/>
      <protection hidden="1"/>
    </xf>
    <xf numFmtId="166" fontId="36" fillId="2" borderId="17" xfId="0" applyNumberFormat="1" applyFont="1" applyFill="1" applyBorder="1" applyAlignment="1" applyProtection="1">
      <alignment horizontal="center"/>
      <protection hidden="1"/>
    </xf>
    <xf numFmtId="166" fontId="0" fillId="2" borderId="0" xfId="0" applyNumberFormat="1" applyFill="1" applyBorder="1" applyAlignment="1" applyProtection="1">
      <protection hidden="1"/>
    </xf>
    <xf numFmtId="0" fontId="32" fillId="2" borderId="0" xfId="0" applyFont="1" applyFill="1" applyProtection="1">
      <protection hidden="1"/>
    </xf>
    <xf numFmtId="0" fontId="6" fillId="2" borderId="5" xfId="0" applyFont="1" applyFill="1" applyBorder="1" applyAlignment="1" applyProtection="1">
      <protection locked="0"/>
    </xf>
    <xf numFmtId="0" fontId="6" fillId="2" borderId="0" xfId="0" applyNumberFormat="1" applyFont="1" applyFill="1" applyBorder="1" applyAlignment="1" applyProtection="1">
      <protection locked="0"/>
    </xf>
    <xf numFmtId="166" fontId="6" fillId="2" borderId="0" xfId="0" applyNumberFormat="1" applyFont="1" applyFill="1" applyBorder="1" applyAlignment="1" applyProtection="1">
      <protection locked="0"/>
    </xf>
    <xf numFmtId="0" fontId="6" fillId="2" borderId="4" xfId="0" applyFont="1" applyFill="1" applyBorder="1" applyAlignment="1" applyProtection="1">
      <protection locked="0"/>
    </xf>
    <xf numFmtId="0" fontId="6" fillId="2" borderId="9" xfId="0" applyFont="1" applyFill="1" applyBorder="1" applyAlignment="1" applyProtection="1">
      <protection locked="0"/>
    </xf>
    <xf numFmtId="0" fontId="6" fillId="2" borderId="7" xfId="0" applyFont="1" applyFill="1" applyBorder="1" applyProtection="1">
      <protection locked="0"/>
    </xf>
    <xf numFmtId="2" fontId="6" fillId="2" borderId="0" xfId="0" applyNumberFormat="1" applyFont="1" applyFill="1" applyBorder="1" applyAlignment="1" applyProtection="1">
      <alignment horizontal="center"/>
      <protection locked="0"/>
    </xf>
    <xf numFmtId="0" fontId="11" fillId="2" borderId="6" xfId="0" applyFont="1" applyFill="1" applyBorder="1" applyAlignment="1" applyProtection="1">
      <alignment horizontal="right"/>
      <protection hidden="1"/>
    </xf>
    <xf numFmtId="2" fontId="16" fillId="2" borderId="28" xfId="0" applyNumberFormat="1" applyFont="1" applyFill="1" applyBorder="1" applyAlignment="1" applyProtection="1">
      <alignment horizontal="center"/>
      <protection hidden="1"/>
    </xf>
    <xf numFmtId="0" fontId="35" fillId="2" borderId="0" xfId="0" quotePrefix="1" applyFont="1" applyFill="1" applyBorder="1" applyAlignment="1" applyProtection="1">
      <alignment horizontal="left"/>
      <protection hidden="1"/>
    </xf>
    <xf numFmtId="0" fontId="1" fillId="2" borderId="0" xfId="0" applyFont="1" applyFill="1" applyBorder="1" applyAlignment="1" applyProtection="1">
      <alignment horizontal="right"/>
      <protection hidden="1"/>
    </xf>
    <xf numFmtId="166" fontId="8" fillId="2" borderId="0" xfId="0" quotePrefix="1" applyNumberFormat="1" applyFont="1" applyFill="1" applyBorder="1" applyAlignment="1" applyProtection="1">
      <alignment horizontal="left"/>
      <protection hidden="1"/>
    </xf>
    <xf numFmtId="0" fontId="7" fillId="2" borderId="0" xfId="0" applyFont="1" applyFill="1" applyAlignment="1" applyProtection="1">
      <alignment horizontal="centerContinuous"/>
      <protection hidden="1"/>
    </xf>
    <xf numFmtId="0" fontId="6" fillId="2" borderId="0" xfId="0" applyFont="1" applyFill="1" applyBorder="1" applyAlignment="1" applyProtection="1">
      <alignment horizontal="centerContinuous"/>
      <protection hidden="1"/>
    </xf>
    <xf numFmtId="0" fontId="6" fillId="2" borderId="0" xfId="0" applyFont="1" applyFill="1" applyAlignment="1" applyProtection="1">
      <alignment horizontal="centerContinuous"/>
      <protection locked="0"/>
    </xf>
    <xf numFmtId="166" fontId="6" fillId="2" borderId="0" xfId="0" applyNumberFormat="1" applyFont="1" applyFill="1" applyAlignment="1" applyProtection="1">
      <alignment horizontal="centerContinuous"/>
      <protection hidden="1"/>
    </xf>
    <xf numFmtId="2" fontId="6" fillId="2" borderId="0" xfId="0" applyNumberFormat="1" applyFont="1" applyFill="1" applyAlignment="1" applyProtection="1">
      <alignment horizontal="centerContinuous"/>
      <protection hidden="1"/>
    </xf>
    <xf numFmtId="0" fontId="6" fillId="2" borderId="0" xfId="0" applyFont="1" applyFill="1" applyAlignment="1" applyProtection="1">
      <alignment horizontal="centerContinuous"/>
      <protection hidden="1"/>
    </xf>
    <xf numFmtId="166" fontId="6" fillId="2" borderId="35" xfId="0" applyNumberFormat="1" applyFont="1" applyFill="1" applyBorder="1" applyAlignment="1" applyProtection="1">
      <alignment horizontal="center"/>
      <protection locked="0"/>
    </xf>
    <xf numFmtId="166" fontId="6" fillId="2" borderId="22" xfId="0" applyNumberFormat="1" applyFont="1" applyFill="1" applyBorder="1" applyAlignment="1" applyProtection="1">
      <alignment horizontal="center"/>
    </xf>
    <xf numFmtId="166" fontId="6" fillId="2" borderId="23" xfId="0" applyNumberFormat="1" applyFont="1" applyFill="1" applyBorder="1" applyAlignment="1" applyProtection="1">
      <alignment horizontal="center"/>
    </xf>
    <xf numFmtId="166" fontId="6" fillId="2" borderId="33" xfId="0" applyNumberFormat="1" applyFont="1" applyFill="1" applyBorder="1" applyAlignment="1" applyProtection="1">
      <alignment horizontal="center"/>
    </xf>
    <xf numFmtId="2" fontId="6" fillId="2" borderId="33" xfId="0" applyNumberFormat="1" applyFont="1" applyFill="1" applyBorder="1" applyAlignment="1" applyProtection="1">
      <alignment horizontal="center"/>
    </xf>
    <xf numFmtId="2" fontId="6" fillId="2" borderId="22" xfId="0" applyNumberFormat="1" applyFont="1" applyFill="1" applyBorder="1" applyAlignment="1" applyProtection="1">
      <alignment horizontal="center"/>
    </xf>
    <xf numFmtId="2" fontId="6" fillId="2" borderId="21" xfId="0" applyNumberFormat="1" applyFont="1" applyFill="1" applyBorder="1" applyAlignment="1" applyProtection="1">
      <alignment horizontal="center"/>
    </xf>
    <xf numFmtId="166" fontId="6" fillId="2" borderId="31" xfId="0" applyNumberFormat="1" applyFont="1" applyFill="1" applyBorder="1" applyAlignment="1" applyProtection="1">
      <alignment horizontal="center"/>
    </xf>
    <xf numFmtId="2" fontId="23" fillId="2" borderId="21" xfId="0" applyNumberFormat="1" applyFont="1" applyFill="1" applyBorder="1" applyAlignment="1" applyProtection="1">
      <alignment horizontal="center"/>
    </xf>
    <xf numFmtId="166" fontId="23" fillId="2" borderId="22" xfId="0" applyNumberFormat="1" applyFont="1" applyFill="1" applyBorder="1" applyAlignment="1" applyProtection="1">
      <alignment horizontal="center"/>
    </xf>
    <xf numFmtId="166" fontId="23" fillId="2" borderId="23" xfId="0" applyNumberFormat="1" applyFont="1" applyFill="1" applyBorder="1" applyAlignment="1" applyProtection="1">
      <alignment horizontal="center"/>
    </xf>
    <xf numFmtId="2" fontId="23" fillId="2" borderId="22" xfId="0" applyNumberFormat="1" applyFont="1" applyFill="1" applyBorder="1" applyAlignment="1" applyProtection="1">
      <alignment horizontal="center"/>
    </xf>
    <xf numFmtId="2" fontId="23" fillId="2" borderId="23" xfId="0" applyNumberFormat="1" applyFont="1" applyFill="1" applyBorder="1" applyAlignment="1" applyProtection="1">
      <alignment horizontal="center"/>
    </xf>
    <xf numFmtId="168" fontId="23" fillId="2" borderId="16" xfId="0" applyNumberFormat="1" applyFont="1" applyFill="1" applyBorder="1" applyAlignment="1" applyProtection="1">
      <alignment horizontal="center"/>
    </xf>
    <xf numFmtId="166" fontId="23" fillId="2" borderId="21" xfId="0" applyNumberFormat="1" applyFont="1" applyFill="1" applyBorder="1" applyAlignment="1" applyProtection="1">
      <alignment horizontal="center"/>
    </xf>
    <xf numFmtId="165" fontId="23" fillId="2" borderId="33" xfId="0" applyNumberFormat="1" applyFont="1" applyFill="1" applyBorder="1" applyAlignment="1" applyProtection="1">
      <alignment horizontal="center"/>
    </xf>
    <xf numFmtId="165" fontId="23" fillId="2" borderId="22" xfId="0" applyNumberFormat="1" applyFont="1" applyFill="1" applyBorder="1" applyAlignment="1" applyProtection="1">
      <alignment horizontal="center"/>
    </xf>
    <xf numFmtId="2" fontId="23" fillId="2" borderId="33" xfId="0" applyNumberFormat="1" applyFont="1" applyFill="1" applyBorder="1" applyAlignment="1" applyProtection="1">
      <alignment horizontal="center"/>
    </xf>
    <xf numFmtId="166" fontId="23" fillId="2" borderId="39" xfId="0" applyNumberFormat="1" applyFont="1" applyFill="1" applyBorder="1" applyAlignment="1" applyProtection="1">
      <alignment horizontal="center"/>
    </xf>
    <xf numFmtId="0" fontId="23" fillId="2" borderId="33" xfId="0" applyNumberFormat="1" applyFont="1" applyFill="1" applyBorder="1" applyAlignment="1" applyProtection="1">
      <alignment horizontal="center"/>
    </xf>
    <xf numFmtId="168" fontId="23" fillId="2" borderId="22" xfId="0" applyNumberFormat="1" applyFont="1" applyFill="1" applyBorder="1" applyAlignment="1" applyProtection="1">
      <alignment horizontal="center"/>
    </xf>
    <xf numFmtId="166" fontId="23" fillId="2" borderId="22" xfId="0" quotePrefix="1" applyNumberFormat="1" applyFont="1" applyFill="1" applyBorder="1" applyAlignment="1" applyProtection="1">
      <alignment horizontal="center"/>
    </xf>
    <xf numFmtId="165" fontId="45" fillId="2" borderId="22" xfId="0" applyNumberFormat="1" applyFont="1" applyFill="1" applyBorder="1" applyAlignment="1" applyProtection="1">
      <alignment horizontal="left"/>
    </xf>
    <xf numFmtId="166" fontId="23" fillId="2" borderId="16" xfId="0" applyNumberFormat="1" applyFont="1" applyFill="1" applyBorder="1" applyAlignment="1" applyProtection="1">
      <alignment horizontal="center"/>
    </xf>
    <xf numFmtId="0" fontId="16" fillId="2" borderId="0" xfId="0" applyFont="1" applyFill="1" applyAlignment="1" applyProtection="1">
      <alignment horizontal="center"/>
      <protection locked="0"/>
    </xf>
    <xf numFmtId="0" fontId="36" fillId="2" borderId="0" xfId="0" quotePrefix="1" applyFont="1" applyFill="1" applyBorder="1" applyAlignment="1" applyProtection="1">
      <alignment horizontal="left"/>
    </xf>
    <xf numFmtId="166" fontId="36" fillId="2" borderId="0" xfId="0" quotePrefix="1" applyNumberFormat="1" applyFont="1" applyFill="1" applyBorder="1" applyAlignment="1" applyProtection="1">
      <alignment horizontal="left"/>
    </xf>
    <xf numFmtId="165" fontId="43" fillId="2" borderId="0" xfId="0" applyNumberFormat="1" applyFont="1" applyFill="1" applyBorder="1" applyAlignment="1" applyProtection="1">
      <alignment horizontal="right"/>
    </xf>
    <xf numFmtId="0" fontId="43" fillId="2" borderId="0" xfId="0" applyFont="1" applyFill="1" applyBorder="1" applyAlignment="1" applyProtection="1">
      <alignment horizontal="right"/>
    </xf>
    <xf numFmtId="0" fontId="36" fillId="2" borderId="15" xfId="0" applyFont="1" applyFill="1" applyBorder="1" applyAlignment="1" applyProtection="1">
      <alignment horizontal="center"/>
      <protection hidden="1"/>
    </xf>
    <xf numFmtId="166" fontId="16" fillId="2" borderId="0" xfId="0" applyNumberFormat="1" applyFont="1" applyFill="1" applyAlignment="1" applyProtection="1">
      <alignment horizontal="center"/>
      <protection locked="0"/>
    </xf>
  </cellXfs>
  <cellStyles count="8">
    <cellStyle name="Comma0" xfId="1"/>
    <cellStyle name="Currency0" xfId="2"/>
    <cellStyle name="Date" xfId="3"/>
    <cellStyle name="Fixed" xfId="4"/>
    <cellStyle name="Heading 1" xfId="5" builtinId="16" customBuiltin="1"/>
    <cellStyle name="Heading 2" xfId="6" builtinId="17" customBuiltin="1"/>
    <cellStyle name="Normal" xfId="0" builtinId="0"/>
    <cellStyle name="Total" xfId="7" builtinId="25" customBuiltin="1"/>
  </cellStyles>
  <dxfs count="10">
    <dxf>
      <font>
        <b val="0"/>
        <i val="0"/>
        <condense val="0"/>
        <extend val="0"/>
        <color indexed="10"/>
      </font>
    </dxf>
    <dxf>
      <font>
        <b val="0"/>
        <i val="0"/>
        <condense val="0"/>
        <extend val="0"/>
        <color indexed="12"/>
      </font>
    </dxf>
    <dxf>
      <font>
        <b val="0"/>
        <i/>
        <condense val="0"/>
        <extend val="0"/>
        <color indexed="10"/>
      </font>
    </dxf>
    <dxf>
      <font>
        <b val="0"/>
        <i val="0"/>
        <condense val="0"/>
        <extend val="0"/>
        <color indexed="10"/>
      </font>
    </dxf>
    <dxf>
      <font>
        <b val="0"/>
        <i/>
        <condense val="0"/>
        <extend val="0"/>
        <color indexed="10"/>
      </font>
    </dxf>
    <dxf>
      <font>
        <b val="0"/>
        <i val="0"/>
        <condense val="0"/>
        <extend val="0"/>
        <color indexed="10"/>
      </font>
    </dxf>
    <dxf>
      <font>
        <b/>
        <i val="0"/>
        <condense val="0"/>
        <extend val="0"/>
        <color indexed="10"/>
      </font>
    </dxf>
    <dxf>
      <font>
        <b/>
        <i val="0"/>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0</xdr:colOff>
      <xdr:row>32</xdr:row>
      <xdr:rowOff>68580</xdr:rowOff>
    </xdr:from>
    <xdr:to>
      <xdr:col>8</xdr:col>
      <xdr:colOff>129540</xdr:colOff>
      <xdr:row>47</xdr:row>
      <xdr:rowOff>129540</xdr:rowOff>
    </xdr:to>
    <xdr:grpSp>
      <xdr:nvGrpSpPr>
        <xdr:cNvPr id="957452" name="Group 12">
          <a:extLst>
            <a:ext uri="{FF2B5EF4-FFF2-40B4-BE49-F238E27FC236}">
              <a16:creationId xmlns:a16="http://schemas.microsoft.com/office/drawing/2014/main" id="{723267B1-4C59-4B06-8D18-07BF2711314D}"/>
            </a:ext>
          </a:extLst>
        </xdr:cNvPr>
        <xdr:cNvGrpSpPr>
          <a:grpSpLocks/>
        </xdr:cNvGrpSpPr>
      </xdr:nvGrpSpPr>
      <xdr:grpSpPr bwMode="auto">
        <a:xfrm>
          <a:off x="3474720" y="5463540"/>
          <a:ext cx="1988820" cy="2575560"/>
          <a:chOff x="355" y="555"/>
          <a:chExt cx="203" cy="261"/>
        </a:xfrm>
      </xdr:grpSpPr>
      <xdr:sp macro="" textlink="">
        <xdr:nvSpPr>
          <xdr:cNvPr id="957453" name="Rectangle 13">
            <a:extLst>
              <a:ext uri="{FF2B5EF4-FFF2-40B4-BE49-F238E27FC236}">
                <a16:creationId xmlns:a16="http://schemas.microsoft.com/office/drawing/2014/main" id="{1B25D933-F658-4DE2-BED1-134B53847F68}"/>
              </a:ext>
            </a:extLst>
          </xdr:cNvPr>
          <xdr:cNvSpPr>
            <a:spLocks noChangeArrowheads="1"/>
          </xdr:cNvSpPr>
        </xdr:nvSpPr>
        <xdr:spPr bwMode="auto">
          <a:xfrm>
            <a:off x="355" y="701"/>
            <a:ext cx="170" cy="17"/>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7454" name="Rectangle 14">
            <a:extLst>
              <a:ext uri="{FF2B5EF4-FFF2-40B4-BE49-F238E27FC236}">
                <a16:creationId xmlns:a16="http://schemas.microsoft.com/office/drawing/2014/main" id="{2AEAE284-9F7D-471E-9C21-2BF49C5A52BD}"/>
              </a:ext>
            </a:extLst>
          </xdr:cNvPr>
          <xdr:cNvSpPr>
            <a:spLocks noChangeArrowheads="1"/>
          </xdr:cNvSpPr>
        </xdr:nvSpPr>
        <xdr:spPr bwMode="auto">
          <a:xfrm>
            <a:off x="394" y="597"/>
            <a:ext cx="11" cy="104"/>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7455" name="Rectangle 15">
            <a:extLst>
              <a:ext uri="{FF2B5EF4-FFF2-40B4-BE49-F238E27FC236}">
                <a16:creationId xmlns:a16="http://schemas.microsoft.com/office/drawing/2014/main" id="{0688B116-86E8-4F7B-B796-DBE832ACC74C}"/>
              </a:ext>
            </a:extLst>
          </xdr:cNvPr>
          <xdr:cNvSpPr>
            <a:spLocks noChangeArrowheads="1"/>
          </xdr:cNvSpPr>
        </xdr:nvSpPr>
        <xdr:spPr bwMode="auto">
          <a:xfrm>
            <a:off x="475" y="597"/>
            <a:ext cx="11" cy="104"/>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7456" name="Line 16">
            <a:extLst>
              <a:ext uri="{FF2B5EF4-FFF2-40B4-BE49-F238E27FC236}">
                <a16:creationId xmlns:a16="http://schemas.microsoft.com/office/drawing/2014/main" id="{D21C2E07-B6FD-4860-88AE-9C02F656FE1A}"/>
              </a:ext>
            </a:extLst>
          </xdr:cNvPr>
          <xdr:cNvSpPr>
            <a:spLocks noChangeShapeType="1"/>
          </xdr:cNvSpPr>
        </xdr:nvSpPr>
        <xdr:spPr bwMode="auto">
          <a:xfrm>
            <a:off x="379" y="597"/>
            <a:ext cx="4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457" name="Line 17">
            <a:extLst>
              <a:ext uri="{FF2B5EF4-FFF2-40B4-BE49-F238E27FC236}">
                <a16:creationId xmlns:a16="http://schemas.microsoft.com/office/drawing/2014/main" id="{1514A034-D5E0-48CF-9464-86E08A7A489E}"/>
              </a:ext>
            </a:extLst>
          </xdr:cNvPr>
          <xdr:cNvSpPr>
            <a:spLocks noChangeShapeType="1"/>
          </xdr:cNvSpPr>
        </xdr:nvSpPr>
        <xdr:spPr bwMode="auto">
          <a:xfrm>
            <a:off x="452" y="597"/>
            <a:ext cx="4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458" name="Line 18">
            <a:extLst>
              <a:ext uri="{FF2B5EF4-FFF2-40B4-BE49-F238E27FC236}">
                <a16:creationId xmlns:a16="http://schemas.microsoft.com/office/drawing/2014/main" id="{37D6CCD2-110B-472C-973A-F291E8B28C50}"/>
              </a:ext>
            </a:extLst>
          </xdr:cNvPr>
          <xdr:cNvSpPr>
            <a:spLocks noChangeShapeType="1"/>
          </xdr:cNvSpPr>
        </xdr:nvSpPr>
        <xdr:spPr bwMode="auto">
          <a:xfrm flipV="1">
            <a:off x="428" y="588"/>
            <a:ext cx="9" cy="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459" name="Line 19">
            <a:extLst>
              <a:ext uri="{FF2B5EF4-FFF2-40B4-BE49-F238E27FC236}">
                <a16:creationId xmlns:a16="http://schemas.microsoft.com/office/drawing/2014/main" id="{A234A89C-DF42-4E78-95A9-48AF2BE13F4E}"/>
              </a:ext>
            </a:extLst>
          </xdr:cNvPr>
          <xdr:cNvSpPr>
            <a:spLocks noChangeShapeType="1"/>
          </xdr:cNvSpPr>
        </xdr:nvSpPr>
        <xdr:spPr bwMode="auto">
          <a:xfrm flipH="1">
            <a:off x="443" y="597"/>
            <a:ext cx="9" cy="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460" name="Line 20">
            <a:extLst>
              <a:ext uri="{FF2B5EF4-FFF2-40B4-BE49-F238E27FC236}">
                <a16:creationId xmlns:a16="http://schemas.microsoft.com/office/drawing/2014/main" id="{A1659961-1A72-4452-BF7E-3CEEA2405C96}"/>
              </a:ext>
            </a:extLst>
          </xdr:cNvPr>
          <xdr:cNvSpPr>
            <a:spLocks noChangeShapeType="1"/>
          </xdr:cNvSpPr>
        </xdr:nvSpPr>
        <xdr:spPr bwMode="auto">
          <a:xfrm>
            <a:off x="437" y="588"/>
            <a:ext cx="5"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461" name="AutoShape 21">
            <a:extLst>
              <a:ext uri="{FF2B5EF4-FFF2-40B4-BE49-F238E27FC236}">
                <a16:creationId xmlns:a16="http://schemas.microsoft.com/office/drawing/2014/main" id="{504E02DB-455F-4BAA-A069-A5143BC21737}"/>
              </a:ext>
            </a:extLst>
          </xdr:cNvPr>
          <xdr:cNvSpPr>
            <a:spLocks noChangeArrowheads="1"/>
          </xdr:cNvSpPr>
        </xdr:nvSpPr>
        <xdr:spPr bwMode="auto">
          <a:xfrm rot="10800000">
            <a:off x="415" y="718"/>
            <a:ext cx="110" cy="49"/>
          </a:xfrm>
          <a:prstGeom prst="rtTriangle">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7462" name="Line 22">
            <a:extLst>
              <a:ext uri="{FF2B5EF4-FFF2-40B4-BE49-F238E27FC236}">
                <a16:creationId xmlns:a16="http://schemas.microsoft.com/office/drawing/2014/main" id="{8B0ED3EC-E367-4206-A236-25A6D2B7D590}"/>
              </a:ext>
            </a:extLst>
          </xdr:cNvPr>
          <xdr:cNvSpPr>
            <a:spLocks noChangeShapeType="1"/>
          </xdr:cNvSpPr>
        </xdr:nvSpPr>
        <xdr:spPr bwMode="auto">
          <a:xfrm flipV="1">
            <a:off x="525" y="718"/>
            <a:ext cx="0" cy="4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57463" name="Line 23">
            <a:extLst>
              <a:ext uri="{FF2B5EF4-FFF2-40B4-BE49-F238E27FC236}">
                <a16:creationId xmlns:a16="http://schemas.microsoft.com/office/drawing/2014/main" id="{1487ABF9-EE4E-4692-BF52-A297EBA49DCE}"/>
              </a:ext>
            </a:extLst>
          </xdr:cNvPr>
          <xdr:cNvSpPr>
            <a:spLocks noChangeShapeType="1"/>
          </xdr:cNvSpPr>
        </xdr:nvSpPr>
        <xdr:spPr bwMode="auto">
          <a:xfrm flipV="1">
            <a:off x="510" y="718"/>
            <a:ext cx="0" cy="4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57464" name="Line 24">
            <a:extLst>
              <a:ext uri="{FF2B5EF4-FFF2-40B4-BE49-F238E27FC236}">
                <a16:creationId xmlns:a16="http://schemas.microsoft.com/office/drawing/2014/main" id="{A01C3AE3-C2DF-4E19-91EE-E3DBAECE3292}"/>
              </a:ext>
            </a:extLst>
          </xdr:cNvPr>
          <xdr:cNvSpPr>
            <a:spLocks noChangeShapeType="1"/>
          </xdr:cNvSpPr>
        </xdr:nvSpPr>
        <xdr:spPr bwMode="auto">
          <a:xfrm flipV="1">
            <a:off x="495" y="717"/>
            <a:ext cx="0" cy="3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57465" name="Line 25">
            <a:extLst>
              <a:ext uri="{FF2B5EF4-FFF2-40B4-BE49-F238E27FC236}">
                <a16:creationId xmlns:a16="http://schemas.microsoft.com/office/drawing/2014/main" id="{A25C98B2-46A5-4CC1-9463-756F73BC404B}"/>
              </a:ext>
            </a:extLst>
          </xdr:cNvPr>
          <xdr:cNvSpPr>
            <a:spLocks noChangeShapeType="1"/>
          </xdr:cNvSpPr>
        </xdr:nvSpPr>
        <xdr:spPr bwMode="auto">
          <a:xfrm flipV="1">
            <a:off x="479" y="718"/>
            <a:ext cx="0" cy="2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57466" name="Line 26">
            <a:extLst>
              <a:ext uri="{FF2B5EF4-FFF2-40B4-BE49-F238E27FC236}">
                <a16:creationId xmlns:a16="http://schemas.microsoft.com/office/drawing/2014/main" id="{ECF61087-68F4-4765-A5C8-17EC9930220E}"/>
              </a:ext>
            </a:extLst>
          </xdr:cNvPr>
          <xdr:cNvSpPr>
            <a:spLocks noChangeShapeType="1"/>
          </xdr:cNvSpPr>
        </xdr:nvSpPr>
        <xdr:spPr bwMode="auto">
          <a:xfrm flipV="1">
            <a:off x="464" y="718"/>
            <a:ext cx="0" cy="2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57467" name="Line 27">
            <a:extLst>
              <a:ext uri="{FF2B5EF4-FFF2-40B4-BE49-F238E27FC236}">
                <a16:creationId xmlns:a16="http://schemas.microsoft.com/office/drawing/2014/main" id="{EABBC820-3019-474E-9457-DDEE64F9081A}"/>
              </a:ext>
            </a:extLst>
          </xdr:cNvPr>
          <xdr:cNvSpPr>
            <a:spLocks noChangeShapeType="1"/>
          </xdr:cNvSpPr>
        </xdr:nvSpPr>
        <xdr:spPr bwMode="auto">
          <a:xfrm flipV="1">
            <a:off x="449" y="718"/>
            <a:ext cx="0" cy="1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57468" name="Line 28">
            <a:extLst>
              <a:ext uri="{FF2B5EF4-FFF2-40B4-BE49-F238E27FC236}">
                <a16:creationId xmlns:a16="http://schemas.microsoft.com/office/drawing/2014/main" id="{8C786AC1-8218-47AB-BE75-FF48947FA220}"/>
              </a:ext>
            </a:extLst>
          </xdr:cNvPr>
          <xdr:cNvSpPr>
            <a:spLocks noChangeShapeType="1"/>
          </xdr:cNvSpPr>
        </xdr:nvSpPr>
        <xdr:spPr bwMode="auto">
          <a:xfrm flipV="1">
            <a:off x="434" y="718"/>
            <a:ext cx="0" cy="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57469" name="Line 29">
            <a:extLst>
              <a:ext uri="{FF2B5EF4-FFF2-40B4-BE49-F238E27FC236}">
                <a16:creationId xmlns:a16="http://schemas.microsoft.com/office/drawing/2014/main" id="{0C6064B4-DFC8-4293-9D04-9EE4FC07F8A5}"/>
              </a:ext>
            </a:extLst>
          </xdr:cNvPr>
          <xdr:cNvSpPr>
            <a:spLocks noChangeShapeType="1"/>
          </xdr:cNvSpPr>
        </xdr:nvSpPr>
        <xdr:spPr bwMode="auto">
          <a:xfrm>
            <a:off x="415" y="723"/>
            <a:ext cx="0" cy="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470" name="Line 30">
            <a:extLst>
              <a:ext uri="{FF2B5EF4-FFF2-40B4-BE49-F238E27FC236}">
                <a16:creationId xmlns:a16="http://schemas.microsoft.com/office/drawing/2014/main" id="{7DD77E60-3F39-43C7-A3CE-27CD7D992CBC}"/>
              </a:ext>
            </a:extLst>
          </xdr:cNvPr>
          <xdr:cNvSpPr>
            <a:spLocks noChangeShapeType="1"/>
          </xdr:cNvSpPr>
        </xdr:nvSpPr>
        <xdr:spPr bwMode="auto">
          <a:xfrm>
            <a:off x="525" y="771"/>
            <a:ext cx="0" cy="4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471" name="Line 31">
            <a:extLst>
              <a:ext uri="{FF2B5EF4-FFF2-40B4-BE49-F238E27FC236}">
                <a16:creationId xmlns:a16="http://schemas.microsoft.com/office/drawing/2014/main" id="{10351727-FFE6-4094-B7EA-2717FDB410EE}"/>
              </a:ext>
            </a:extLst>
          </xdr:cNvPr>
          <xdr:cNvSpPr>
            <a:spLocks noChangeShapeType="1"/>
          </xdr:cNvSpPr>
        </xdr:nvSpPr>
        <xdr:spPr bwMode="auto">
          <a:xfrm>
            <a:off x="415" y="775"/>
            <a:ext cx="11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7472" name="Line 32">
            <a:extLst>
              <a:ext uri="{FF2B5EF4-FFF2-40B4-BE49-F238E27FC236}">
                <a16:creationId xmlns:a16="http://schemas.microsoft.com/office/drawing/2014/main" id="{40E3DB4C-E7E8-4E96-9CF1-F261ACFE4BAA}"/>
              </a:ext>
            </a:extLst>
          </xdr:cNvPr>
          <xdr:cNvSpPr>
            <a:spLocks noChangeShapeType="1"/>
          </xdr:cNvSpPr>
        </xdr:nvSpPr>
        <xdr:spPr bwMode="auto">
          <a:xfrm>
            <a:off x="558" y="555"/>
            <a:ext cx="0" cy="76"/>
          </a:xfrm>
          <a:prstGeom prst="line">
            <a:avLst/>
          </a:prstGeom>
          <a:noFill/>
          <a:ln w="15875">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a:noFill/>
              </a14:hiddenFill>
            </a:ext>
          </a:extLst>
        </xdr:spPr>
      </xdr:sp>
      <xdr:sp macro="" textlink="">
        <xdr:nvSpPr>
          <xdr:cNvPr id="957473" name="Line 33">
            <a:extLst>
              <a:ext uri="{FF2B5EF4-FFF2-40B4-BE49-F238E27FC236}">
                <a16:creationId xmlns:a16="http://schemas.microsoft.com/office/drawing/2014/main" id="{A79D3687-6D76-4092-8001-FA083F283599}"/>
              </a:ext>
            </a:extLst>
          </xdr:cNvPr>
          <xdr:cNvSpPr>
            <a:spLocks noChangeShapeType="1"/>
          </xdr:cNvSpPr>
        </xdr:nvSpPr>
        <xdr:spPr bwMode="auto">
          <a:xfrm>
            <a:off x="439" y="556"/>
            <a:ext cx="0" cy="96"/>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957474" name="Line 34">
            <a:extLst>
              <a:ext uri="{FF2B5EF4-FFF2-40B4-BE49-F238E27FC236}">
                <a16:creationId xmlns:a16="http://schemas.microsoft.com/office/drawing/2014/main" id="{65ACE936-1FBF-4D92-BD36-F66765AC02B8}"/>
              </a:ext>
            </a:extLst>
          </xdr:cNvPr>
          <xdr:cNvSpPr>
            <a:spLocks noChangeShapeType="1"/>
          </xdr:cNvSpPr>
        </xdr:nvSpPr>
        <xdr:spPr bwMode="auto">
          <a:xfrm>
            <a:off x="439" y="568"/>
            <a:ext cx="11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7475" name="Line 35">
            <a:extLst>
              <a:ext uri="{FF2B5EF4-FFF2-40B4-BE49-F238E27FC236}">
                <a16:creationId xmlns:a16="http://schemas.microsoft.com/office/drawing/2014/main" id="{EE1ADD67-188C-4B9B-BE6E-C2A2E7663321}"/>
              </a:ext>
            </a:extLst>
          </xdr:cNvPr>
          <xdr:cNvSpPr>
            <a:spLocks noChangeShapeType="1"/>
          </xdr:cNvSpPr>
        </xdr:nvSpPr>
        <xdr:spPr bwMode="auto">
          <a:xfrm>
            <a:off x="529" y="718"/>
            <a:ext cx="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476" name="Line 36">
            <a:extLst>
              <a:ext uri="{FF2B5EF4-FFF2-40B4-BE49-F238E27FC236}">
                <a16:creationId xmlns:a16="http://schemas.microsoft.com/office/drawing/2014/main" id="{87EAE4BA-EA2C-4F56-B885-8138236EC7EE}"/>
              </a:ext>
            </a:extLst>
          </xdr:cNvPr>
          <xdr:cNvSpPr>
            <a:spLocks noChangeShapeType="1"/>
          </xdr:cNvSpPr>
        </xdr:nvSpPr>
        <xdr:spPr bwMode="auto">
          <a:xfrm>
            <a:off x="529" y="767"/>
            <a:ext cx="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477" name="Line 37">
            <a:extLst>
              <a:ext uri="{FF2B5EF4-FFF2-40B4-BE49-F238E27FC236}">
                <a16:creationId xmlns:a16="http://schemas.microsoft.com/office/drawing/2014/main" id="{951B4BC3-13FC-4C48-8A5D-613AF699CFFA}"/>
              </a:ext>
            </a:extLst>
          </xdr:cNvPr>
          <xdr:cNvSpPr>
            <a:spLocks noChangeShapeType="1"/>
          </xdr:cNvSpPr>
        </xdr:nvSpPr>
        <xdr:spPr bwMode="auto">
          <a:xfrm>
            <a:off x="543" y="718"/>
            <a:ext cx="0" cy="4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7478" name="Line 38">
            <a:extLst>
              <a:ext uri="{FF2B5EF4-FFF2-40B4-BE49-F238E27FC236}">
                <a16:creationId xmlns:a16="http://schemas.microsoft.com/office/drawing/2014/main" id="{5CE6699B-7CAD-4EEA-94C6-96224FFA99BF}"/>
              </a:ext>
            </a:extLst>
          </xdr:cNvPr>
          <xdr:cNvSpPr>
            <a:spLocks noChangeShapeType="1"/>
          </xdr:cNvSpPr>
        </xdr:nvSpPr>
        <xdr:spPr bwMode="auto">
          <a:xfrm>
            <a:off x="529" y="701"/>
            <a:ext cx="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479" name="Line 39">
            <a:extLst>
              <a:ext uri="{FF2B5EF4-FFF2-40B4-BE49-F238E27FC236}">
                <a16:creationId xmlns:a16="http://schemas.microsoft.com/office/drawing/2014/main" id="{477D1805-C2B2-40FA-B4EC-DC9F254C6291}"/>
              </a:ext>
            </a:extLst>
          </xdr:cNvPr>
          <xdr:cNvSpPr>
            <a:spLocks noChangeShapeType="1"/>
          </xdr:cNvSpPr>
        </xdr:nvSpPr>
        <xdr:spPr bwMode="auto">
          <a:xfrm flipV="1">
            <a:off x="543" y="701"/>
            <a:ext cx="0" cy="1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480" name="Line 40">
            <a:extLst>
              <a:ext uri="{FF2B5EF4-FFF2-40B4-BE49-F238E27FC236}">
                <a16:creationId xmlns:a16="http://schemas.microsoft.com/office/drawing/2014/main" id="{4D9FD7F9-3CDC-4CC9-9B5E-FFB579E4A071}"/>
              </a:ext>
            </a:extLst>
          </xdr:cNvPr>
          <xdr:cNvSpPr>
            <a:spLocks noChangeShapeType="1"/>
          </xdr:cNvSpPr>
        </xdr:nvSpPr>
        <xdr:spPr bwMode="auto">
          <a:xfrm flipV="1">
            <a:off x="543" y="680"/>
            <a:ext cx="0" cy="21"/>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57481" name="Line 41">
            <a:extLst>
              <a:ext uri="{FF2B5EF4-FFF2-40B4-BE49-F238E27FC236}">
                <a16:creationId xmlns:a16="http://schemas.microsoft.com/office/drawing/2014/main" id="{3F31483E-01DE-4C56-9D25-AB975D6BC47C}"/>
              </a:ext>
            </a:extLst>
          </xdr:cNvPr>
          <xdr:cNvSpPr>
            <a:spLocks noChangeShapeType="1"/>
          </xdr:cNvSpPr>
        </xdr:nvSpPr>
        <xdr:spPr bwMode="auto">
          <a:xfrm>
            <a:off x="355" y="804"/>
            <a:ext cx="17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7482" name="Line 42">
            <a:extLst>
              <a:ext uri="{FF2B5EF4-FFF2-40B4-BE49-F238E27FC236}">
                <a16:creationId xmlns:a16="http://schemas.microsoft.com/office/drawing/2014/main" id="{7BDD57CA-194A-42EB-935A-DCC6841BC017}"/>
              </a:ext>
            </a:extLst>
          </xdr:cNvPr>
          <xdr:cNvSpPr>
            <a:spLocks noChangeShapeType="1"/>
          </xdr:cNvSpPr>
        </xdr:nvSpPr>
        <xdr:spPr bwMode="auto">
          <a:xfrm>
            <a:off x="374" y="718"/>
            <a:ext cx="0" cy="52"/>
          </a:xfrm>
          <a:prstGeom prst="line">
            <a:avLst/>
          </a:prstGeom>
          <a:noFill/>
          <a:ln w="15875">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a:noFill/>
              </a14:hiddenFill>
            </a:ext>
          </a:extLst>
        </xdr:spPr>
      </xdr:sp>
      <xdr:sp macro="" textlink="">
        <xdr:nvSpPr>
          <xdr:cNvPr id="957483" name="Line 43">
            <a:extLst>
              <a:ext uri="{FF2B5EF4-FFF2-40B4-BE49-F238E27FC236}">
                <a16:creationId xmlns:a16="http://schemas.microsoft.com/office/drawing/2014/main" id="{628CB2B3-36EE-4780-BD4F-2A11A0D16C74}"/>
              </a:ext>
            </a:extLst>
          </xdr:cNvPr>
          <xdr:cNvSpPr>
            <a:spLocks noChangeShapeType="1"/>
          </xdr:cNvSpPr>
        </xdr:nvSpPr>
        <xdr:spPr bwMode="auto">
          <a:xfrm flipH="1">
            <a:off x="486" y="660"/>
            <a:ext cx="1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sp macro="" textlink="">
        <xdr:nvSpPr>
          <xdr:cNvPr id="957484" name="Rectangle 44">
            <a:extLst>
              <a:ext uri="{FF2B5EF4-FFF2-40B4-BE49-F238E27FC236}">
                <a16:creationId xmlns:a16="http://schemas.microsoft.com/office/drawing/2014/main" id="{0E3CF55D-2914-4C3E-A15F-DE6A1FED5F7D}"/>
              </a:ext>
            </a:extLst>
          </xdr:cNvPr>
          <xdr:cNvSpPr>
            <a:spLocks noChangeArrowheads="1"/>
          </xdr:cNvSpPr>
        </xdr:nvSpPr>
        <xdr:spPr bwMode="auto">
          <a:xfrm>
            <a:off x="361" y="697"/>
            <a:ext cx="26" cy="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7485" name="Rectangle 45">
            <a:extLst>
              <a:ext uri="{FF2B5EF4-FFF2-40B4-BE49-F238E27FC236}">
                <a16:creationId xmlns:a16="http://schemas.microsoft.com/office/drawing/2014/main" id="{DDD0A2DC-CCEF-4F6B-BBB9-37A69FAD8C60}"/>
              </a:ext>
            </a:extLst>
          </xdr:cNvPr>
          <xdr:cNvSpPr>
            <a:spLocks noChangeArrowheads="1"/>
          </xdr:cNvSpPr>
        </xdr:nvSpPr>
        <xdr:spPr bwMode="auto">
          <a:xfrm>
            <a:off x="493" y="697"/>
            <a:ext cx="26" cy="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7486" name="Rectangle 46">
            <a:extLst>
              <a:ext uri="{FF2B5EF4-FFF2-40B4-BE49-F238E27FC236}">
                <a16:creationId xmlns:a16="http://schemas.microsoft.com/office/drawing/2014/main" id="{EFC6EAC4-EE31-499A-AE2E-9E45262BD522}"/>
              </a:ext>
            </a:extLst>
          </xdr:cNvPr>
          <xdr:cNvSpPr>
            <a:spLocks noChangeArrowheads="1"/>
          </xdr:cNvSpPr>
        </xdr:nvSpPr>
        <xdr:spPr bwMode="auto">
          <a:xfrm>
            <a:off x="365" y="687"/>
            <a:ext cx="18" cy="1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7487" name="Rectangle 47">
            <a:extLst>
              <a:ext uri="{FF2B5EF4-FFF2-40B4-BE49-F238E27FC236}">
                <a16:creationId xmlns:a16="http://schemas.microsoft.com/office/drawing/2014/main" id="{5B031FED-D340-4ED6-99FD-D45A37B0E865}"/>
              </a:ext>
            </a:extLst>
          </xdr:cNvPr>
          <xdr:cNvSpPr>
            <a:spLocks noChangeArrowheads="1"/>
          </xdr:cNvSpPr>
        </xdr:nvSpPr>
        <xdr:spPr bwMode="auto">
          <a:xfrm>
            <a:off x="497" y="687"/>
            <a:ext cx="18" cy="1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7488" name="Rectangle 48" descr="Narrow horizontal">
            <a:extLst>
              <a:ext uri="{FF2B5EF4-FFF2-40B4-BE49-F238E27FC236}">
                <a16:creationId xmlns:a16="http://schemas.microsoft.com/office/drawing/2014/main" id="{BC1FBE5A-27C0-4A2F-8856-886B9074CF5C}"/>
              </a:ext>
            </a:extLst>
          </xdr:cNvPr>
          <xdr:cNvSpPr>
            <a:spLocks noChangeArrowheads="1"/>
          </xdr:cNvSpPr>
        </xdr:nvSpPr>
        <xdr:spPr bwMode="auto">
          <a:xfrm>
            <a:off x="368" y="680"/>
            <a:ext cx="12" cy="7"/>
          </a:xfrm>
          <a:prstGeom prst="rect">
            <a:avLst/>
          </a:prstGeom>
          <a:pattFill prst="narHorz">
            <a:fgClr>
              <a:srgbClr val="00000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7489" name="Rectangle 49">
            <a:extLst>
              <a:ext uri="{FF2B5EF4-FFF2-40B4-BE49-F238E27FC236}">
                <a16:creationId xmlns:a16="http://schemas.microsoft.com/office/drawing/2014/main" id="{E50F62CF-E1C4-4B7C-9A27-55564EFAC1A7}"/>
              </a:ext>
            </a:extLst>
          </xdr:cNvPr>
          <xdr:cNvSpPr>
            <a:spLocks noChangeArrowheads="1"/>
          </xdr:cNvSpPr>
        </xdr:nvSpPr>
        <xdr:spPr bwMode="auto">
          <a:xfrm>
            <a:off x="371" y="687"/>
            <a:ext cx="6" cy="1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7490" name="Rectangle 50" descr="Narrow horizontal">
            <a:extLst>
              <a:ext uri="{FF2B5EF4-FFF2-40B4-BE49-F238E27FC236}">
                <a16:creationId xmlns:a16="http://schemas.microsoft.com/office/drawing/2014/main" id="{81B2007D-18A7-4C22-9029-C4436A69DFDC}"/>
              </a:ext>
            </a:extLst>
          </xdr:cNvPr>
          <xdr:cNvSpPr>
            <a:spLocks noChangeArrowheads="1"/>
          </xdr:cNvSpPr>
        </xdr:nvSpPr>
        <xdr:spPr bwMode="auto">
          <a:xfrm>
            <a:off x="500" y="680"/>
            <a:ext cx="12" cy="7"/>
          </a:xfrm>
          <a:prstGeom prst="rect">
            <a:avLst/>
          </a:prstGeom>
          <a:pattFill prst="narHorz">
            <a:fgClr>
              <a:srgbClr val="00000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7491" name="Rectangle 51">
            <a:extLst>
              <a:ext uri="{FF2B5EF4-FFF2-40B4-BE49-F238E27FC236}">
                <a16:creationId xmlns:a16="http://schemas.microsoft.com/office/drawing/2014/main" id="{4F4B3ACF-F756-415E-9544-9D4D4F76DC0B}"/>
              </a:ext>
            </a:extLst>
          </xdr:cNvPr>
          <xdr:cNvSpPr>
            <a:spLocks noChangeArrowheads="1"/>
          </xdr:cNvSpPr>
        </xdr:nvSpPr>
        <xdr:spPr bwMode="auto">
          <a:xfrm>
            <a:off x="503" y="687"/>
            <a:ext cx="6" cy="1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7492" name="Line 52">
            <a:extLst>
              <a:ext uri="{FF2B5EF4-FFF2-40B4-BE49-F238E27FC236}">
                <a16:creationId xmlns:a16="http://schemas.microsoft.com/office/drawing/2014/main" id="{FF9DB865-D595-4570-816D-6C1920EB7DED}"/>
              </a:ext>
            </a:extLst>
          </xdr:cNvPr>
          <xdr:cNvSpPr>
            <a:spLocks noChangeShapeType="1"/>
          </xdr:cNvSpPr>
        </xdr:nvSpPr>
        <xdr:spPr bwMode="auto">
          <a:xfrm flipV="1">
            <a:off x="367" y="701"/>
            <a:ext cx="0" cy="17"/>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7493" name="Line 53">
            <a:extLst>
              <a:ext uri="{FF2B5EF4-FFF2-40B4-BE49-F238E27FC236}">
                <a16:creationId xmlns:a16="http://schemas.microsoft.com/office/drawing/2014/main" id="{4097F145-2288-44A8-AD06-F6CD54213EAD}"/>
              </a:ext>
            </a:extLst>
          </xdr:cNvPr>
          <xdr:cNvSpPr>
            <a:spLocks noChangeShapeType="1"/>
          </xdr:cNvSpPr>
        </xdr:nvSpPr>
        <xdr:spPr bwMode="auto">
          <a:xfrm flipV="1">
            <a:off x="381" y="701"/>
            <a:ext cx="0" cy="17"/>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7494" name="Line 54">
            <a:extLst>
              <a:ext uri="{FF2B5EF4-FFF2-40B4-BE49-F238E27FC236}">
                <a16:creationId xmlns:a16="http://schemas.microsoft.com/office/drawing/2014/main" id="{626B8E74-E879-4A8F-BE65-56E86A48B16C}"/>
              </a:ext>
            </a:extLst>
          </xdr:cNvPr>
          <xdr:cNvSpPr>
            <a:spLocks noChangeShapeType="1"/>
          </xdr:cNvSpPr>
        </xdr:nvSpPr>
        <xdr:spPr bwMode="auto">
          <a:xfrm flipV="1">
            <a:off x="513" y="701"/>
            <a:ext cx="0" cy="17"/>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7495" name="Line 55">
            <a:extLst>
              <a:ext uri="{FF2B5EF4-FFF2-40B4-BE49-F238E27FC236}">
                <a16:creationId xmlns:a16="http://schemas.microsoft.com/office/drawing/2014/main" id="{6F23B793-A82D-4CBA-9869-DA3F9E540CC5}"/>
              </a:ext>
            </a:extLst>
          </xdr:cNvPr>
          <xdr:cNvSpPr>
            <a:spLocks noChangeShapeType="1"/>
          </xdr:cNvSpPr>
        </xdr:nvSpPr>
        <xdr:spPr bwMode="auto">
          <a:xfrm flipV="1">
            <a:off x="499" y="701"/>
            <a:ext cx="0" cy="17"/>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7496" name="Line 56">
            <a:extLst>
              <a:ext uri="{FF2B5EF4-FFF2-40B4-BE49-F238E27FC236}">
                <a16:creationId xmlns:a16="http://schemas.microsoft.com/office/drawing/2014/main" id="{B75811B5-51B4-4ABC-B166-A9DAF2471891}"/>
              </a:ext>
            </a:extLst>
          </xdr:cNvPr>
          <xdr:cNvSpPr>
            <a:spLocks noChangeShapeType="1"/>
          </xdr:cNvSpPr>
        </xdr:nvSpPr>
        <xdr:spPr bwMode="auto">
          <a:xfrm flipH="1">
            <a:off x="355" y="721"/>
            <a:ext cx="0" cy="9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4</xdr:col>
      <xdr:colOff>320040</xdr:colOff>
      <xdr:row>16</xdr:row>
      <xdr:rowOff>68580</xdr:rowOff>
    </xdr:from>
    <xdr:to>
      <xdr:col>8</xdr:col>
      <xdr:colOff>106680</xdr:colOff>
      <xdr:row>30</xdr:row>
      <xdr:rowOff>0</xdr:rowOff>
    </xdr:to>
    <xdr:grpSp>
      <xdr:nvGrpSpPr>
        <xdr:cNvPr id="957497" name="Group 57">
          <a:extLst>
            <a:ext uri="{FF2B5EF4-FFF2-40B4-BE49-F238E27FC236}">
              <a16:creationId xmlns:a16="http://schemas.microsoft.com/office/drawing/2014/main" id="{EFACACEE-AE85-4E7D-B512-7DE8EE76BECB}"/>
            </a:ext>
          </a:extLst>
        </xdr:cNvPr>
        <xdr:cNvGrpSpPr>
          <a:grpSpLocks/>
        </xdr:cNvGrpSpPr>
      </xdr:nvGrpSpPr>
      <xdr:grpSpPr bwMode="auto">
        <a:xfrm>
          <a:off x="3169920" y="2781300"/>
          <a:ext cx="2270760" cy="2278380"/>
          <a:chOff x="324" y="283"/>
          <a:chExt cx="232" cy="231"/>
        </a:xfrm>
      </xdr:grpSpPr>
      <xdr:sp macro="" textlink="">
        <xdr:nvSpPr>
          <xdr:cNvPr id="957498" name="Rectangle 58">
            <a:extLst>
              <a:ext uri="{FF2B5EF4-FFF2-40B4-BE49-F238E27FC236}">
                <a16:creationId xmlns:a16="http://schemas.microsoft.com/office/drawing/2014/main" id="{5D2BBD5E-6716-4812-AA37-8BCA8F2EF12E}"/>
              </a:ext>
            </a:extLst>
          </xdr:cNvPr>
          <xdr:cNvSpPr>
            <a:spLocks noChangeArrowheads="1"/>
          </xdr:cNvSpPr>
        </xdr:nvSpPr>
        <xdr:spPr bwMode="auto">
          <a:xfrm>
            <a:off x="355" y="307"/>
            <a:ext cx="172" cy="137"/>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7499" name="Rectangle 59" descr="Dark downward diagonal">
            <a:extLst>
              <a:ext uri="{FF2B5EF4-FFF2-40B4-BE49-F238E27FC236}">
                <a16:creationId xmlns:a16="http://schemas.microsoft.com/office/drawing/2014/main" id="{0510FAC6-8989-4E51-8767-87613F14672B}"/>
              </a:ext>
            </a:extLst>
          </xdr:cNvPr>
          <xdr:cNvSpPr>
            <a:spLocks noChangeArrowheads="1"/>
          </xdr:cNvSpPr>
        </xdr:nvSpPr>
        <xdr:spPr bwMode="auto">
          <a:xfrm>
            <a:off x="394" y="333"/>
            <a:ext cx="11" cy="85"/>
          </a:xfrm>
          <a:prstGeom prst="rect">
            <a:avLst/>
          </a:prstGeom>
          <a:pattFill prst="dkDnDiag">
            <a:fgClr>
              <a:srgbClr xmlns:mc="http://schemas.openxmlformats.org/markup-compatibility/2006" xmlns:a14="http://schemas.microsoft.com/office/drawing/2010/main" val="000000" mc:Ignorable="a14" a14:legacySpreadsheetColorIndex="8"/>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7500" name="Rectangle 60" descr="Dark downward diagonal">
            <a:extLst>
              <a:ext uri="{FF2B5EF4-FFF2-40B4-BE49-F238E27FC236}">
                <a16:creationId xmlns:a16="http://schemas.microsoft.com/office/drawing/2014/main" id="{6A6C729F-4FFD-414B-B2F8-7659A356DC08}"/>
              </a:ext>
            </a:extLst>
          </xdr:cNvPr>
          <xdr:cNvSpPr>
            <a:spLocks noChangeArrowheads="1"/>
          </xdr:cNvSpPr>
        </xdr:nvSpPr>
        <xdr:spPr bwMode="auto">
          <a:xfrm>
            <a:off x="476" y="333"/>
            <a:ext cx="11" cy="85"/>
          </a:xfrm>
          <a:prstGeom prst="rect">
            <a:avLst/>
          </a:prstGeom>
          <a:pattFill prst="dkDnDiag">
            <a:fgClr>
              <a:srgbClr xmlns:mc="http://schemas.openxmlformats.org/markup-compatibility/2006" xmlns:a14="http://schemas.microsoft.com/office/drawing/2010/main" val="000000" mc:Ignorable="a14" a14:legacySpreadsheetColorIndex="8"/>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7501" name="Rectangle 61" descr="Dark downward diagonal">
            <a:extLst>
              <a:ext uri="{FF2B5EF4-FFF2-40B4-BE49-F238E27FC236}">
                <a16:creationId xmlns:a16="http://schemas.microsoft.com/office/drawing/2014/main" id="{5C984319-F9F2-467D-860E-10FA3FF58052}"/>
              </a:ext>
            </a:extLst>
          </xdr:cNvPr>
          <xdr:cNvSpPr>
            <a:spLocks noChangeArrowheads="1"/>
          </xdr:cNvSpPr>
        </xdr:nvSpPr>
        <xdr:spPr bwMode="auto">
          <a:xfrm>
            <a:off x="405" y="372"/>
            <a:ext cx="71" cy="8"/>
          </a:xfrm>
          <a:prstGeom prst="rect">
            <a:avLst/>
          </a:prstGeom>
          <a:pattFill prst="dkDnDiag">
            <a:fgClr>
              <a:srgbClr xmlns:mc="http://schemas.openxmlformats.org/markup-compatibility/2006" xmlns:a14="http://schemas.microsoft.com/office/drawing/2010/main" val="000000" mc:Ignorable="a14" a14:legacySpreadsheetColorIndex="8"/>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7502" name="Oval 62">
            <a:extLst>
              <a:ext uri="{FF2B5EF4-FFF2-40B4-BE49-F238E27FC236}">
                <a16:creationId xmlns:a16="http://schemas.microsoft.com/office/drawing/2014/main" id="{4F990EC5-2E29-4DAF-B4C1-B3B2D0C85CB6}"/>
              </a:ext>
            </a:extLst>
          </xdr:cNvPr>
          <xdr:cNvSpPr>
            <a:spLocks noChangeArrowheads="1"/>
          </xdr:cNvSpPr>
        </xdr:nvSpPr>
        <xdr:spPr bwMode="auto">
          <a:xfrm>
            <a:off x="366" y="325"/>
            <a:ext cx="14" cy="14"/>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957503" name="Oval 63">
            <a:extLst>
              <a:ext uri="{FF2B5EF4-FFF2-40B4-BE49-F238E27FC236}">
                <a16:creationId xmlns:a16="http://schemas.microsoft.com/office/drawing/2014/main" id="{B82E0EEF-FCFC-4187-90DD-783BAA995CB5}"/>
              </a:ext>
            </a:extLst>
          </xdr:cNvPr>
          <xdr:cNvSpPr>
            <a:spLocks noChangeArrowheads="1"/>
          </xdr:cNvSpPr>
        </xdr:nvSpPr>
        <xdr:spPr bwMode="auto">
          <a:xfrm>
            <a:off x="502" y="413"/>
            <a:ext cx="14" cy="14"/>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957504" name="Oval 64">
            <a:extLst>
              <a:ext uri="{FF2B5EF4-FFF2-40B4-BE49-F238E27FC236}">
                <a16:creationId xmlns:a16="http://schemas.microsoft.com/office/drawing/2014/main" id="{82A302FB-D775-4413-A88E-D5D0B32D53FA}"/>
              </a:ext>
            </a:extLst>
          </xdr:cNvPr>
          <xdr:cNvSpPr>
            <a:spLocks noChangeArrowheads="1"/>
          </xdr:cNvSpPr>
        </xdr:nvSpPr>
        <xdr:spPr bwMode="auto">
          <a:xfrm>
            <a:off x="366" y="411"/>
            <a:ext cx="14" cy="14"/>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957505" name="Oval 65">
            <a:extLst>
              <a:ext uri="{FF2B5EF4-FFF2-40B4-BE49-F238E27FC236}">
                <a16:creationId xmlns:a16="http://schemas.microsoft.com/office/drawing/2014/main" id="{3F871973-2EB5-432C-9D9C-F0E130263B26}"/>
              </a:ext>
            </a:extLst>
          </xdr:cNvPr>
          <xdr:cNvSpPr>
            <a:spLocks noChangeArrowheads="1"/>
          </xdr:cNvSpPr>
        </xdr:nvSpPr>
        <xdr:spPr bwMode="auto">
          <a:xfrm>
            <a:off x="502" y="325"/>
            <a:ext cx="14" cy="14"/>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957506" name="Line 66">
            <a:extLst>
              <a:ext uri="{FF2B5EF4-FFF2-40B4-BE49-F238E27FC236}">
                <a16:creationId xmlns:a16="http://schemas.microsoft.com/office/drawing/2014/main" id="{20FAEA1C-762D-4CDA-8407-E513F7B17FF5}"/>
              </a:ext>
            </a:extLst>
          </xdr:cNvPr>
          <xdr:cNvSpPr>
            <a:spLocks noChangeShapeType="1"/>
          </xdr:cNvSpPr>
        </xdr:nvSpPr>
        <xdr:spPr bwMode="auto">
          <a:xfrm>
            <a:off x="490" y="342"/>
            <a:ext cx="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507" name="Line 67">
            <a:extLst>
              <a:ext uri="{FF2B5EF4-FFF2-40B4-BE49-F238E27FC236}">
                <a16:creationId xmlns:a16="http://schemas.microsoft.com/office/drawing/2014/main" id="{3948CE86-0C9D-4C0C-BA1C-F357B8B1C030}"/>
              </a:ext>
            </a:extLst>
          </xdr:cNvPr>
          <xdr:cNvSpPr>
            <a:spLocks noChangeShapeType="1"/>
          </xdr:cNvSpPr>
        </xdr:nvSpPr>
        <xdr:spPr bwMode="auto">
          <a:xfrm>
            <a:off x="490" y="409"/>
            <a:ext cx="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508" name="Line 68">
            <a:extLst>
              <a:ext uri="{FF2B5EF4-FFF2-40B4-BE49-F238E27FC236}">
                <a16:creationId xmlns:a16="http://schemas.microsoft.com/office/drawing/2014/main" id="{0E86225B-F49F-48A6-8947-DE55BE9998B5}"/>
              </a:ext>
            </a:extLst>
          </xdr:cNvPr>
          <xdr:cNvSpPr>
            <a:spLocks noChangeShapeType="1"/>
          </xdr:cNvSpPr>
        </xdr:nvSpPr>
        <xdr:spPr bwMode="auto">
          <a:xfrm flipH="1">
            <a:off x="398" y="447"/>
            <a:ext cx="0" cy="3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509" name="Line 69">
            <a:extLst>
              <a:ext uri="{FF2B5EF4-FFF2-40B4-BE49-F238E27FC236}">
                <a16:creationId xmlns:a16="http://schemas.microsoft.com/office/drawing/2014/main" id="{CD1D0D41-AC71-4C7A-8B48-1FB3D8A93588}"/>
              </a:ext>
            </a:extLst>
          </xdr:cNvPr>
          <xdr:cNvSpPr>
            <a:spLocks noChangeShapeType="1"/>
          </xdr:cNvSpPr>
        </xdr:nvSpPr>
        <xdr:spPr bwMode="auto">
          <a:xfrm flipH="1">
            <a:off x="484" y="422"/>
            <a:ext cx="0" cy="5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510" name="Line 70">
            <a:extLst>
              <a:ext uri="{FF2B5EF4-FFF2-40B4-BE49-F238E27FC236}">
                <a16:creationId xmlns:a16="http://schemas.microsoft.com/office/drawing/2014/main" id="{AA4FC73B-0019-4718-B5C7-615D9ACB63B6}"/>
              </a:ext>
            </a:extLst>
          </xdr:cNvPr>
          <xdr:cNvSpPr>
            <a:spLocks noChangeShapeType="1"/>
          </xdr:cNvSpPr>
        </xdr:nvSpPr>
        <xdr:spPr bwMode="auto">
          <a:xfrm>
            <a:off x="529" y="307"/>
            <a:ext cx="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511" name="Line 71">
            <a:extLst>
              <a:ext uri="{FF2B5EF4-FFF2-40B4-BE49-F238E27FC236}">
                <a16:creationId xmlns:a16="http://schemas.microsoft.com/office/drawing/2014/main" id="{6655F45E-6C49-4382-81B7-343AB681D1D8}"/>
              </a:ext>
            </a:extLst>
          </xdr:cNvPr>
          <xdr:cNvSpPr>
            <a:spLocks noChangeShapeType="1"/>
          </xdr:cNvSpPr>
        </xdr:nvSpPr>
        <xdr:spPr bwMode="auto">
          <a:xfrm>
            <a:off x="529" y="444"/>
            <a:ext cx="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512" name="Line 72">
            <a:extLst>
              <a:ext uri="{FF2B5EF4-FFF2-40B4-BE49-F238E27FC236}">
                <a16:creationId xmlns:a16="http://schemas.microsoft.com/office/drawing/2014/main" id="{65395CA6-352A-4D91-B2DE-F913C515417B}"/>
              </a:ext>
            </a:extLst>
          </xdr:cNvPr>
          <xdr:cNvSpPr>
            <a:spLocks noChangeShapeType="1"/>
          </xdr:cNvSpPr>
        </xdr:nvSpPr>
        <xdr:spPr bwMode="auto">
          <a:xfrm>
            <a:off x="543" y="307"/>
            <a:ext cx="0" cy="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7513" name="Line 73">
            <a:extLst>
              <a:ext uri="{FF2B5EF4-FFF2-40B4-BE49-F238E27FC236}">
                <a16:creationId xmlns:a16="http://schemas.microsoft.com/office/drawing/2014/main" id="{6C2F74A2-E382-4628-9410-D928AB325650}"/>
              </a:ext>
            </a:extLst>
          </xdr:cNvPr>
          <xdr:cNvSpPr>
            <a:spLocks noChangeShapeType="1"/>
          </xdr:cNvSpPr>
        </xdr:nvSpPr>
        <xdr:spPr bwMode="auto">
          <a:xfrm>
            <a:off x="543" y="342"/>
            <a:ext cx="0" cy="67"/>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7514" name="Line 74">
            <a:extLst>
              <a:ext uri="{FF2B5EF4-FFF2-40B4-BE49-F238E27FC236}">
                <a16:creationId xmlns:a16="http://schemas.microsoft.com/office/drawing/2014/main" id="{9D85C2CF-CEA4-45F4-A88E-7734074AA737}"/>
              </a:ext>
            </a:extLst>
          </xdr:cNvPr>
          <xdr:cNvSpPr>
            <a:spLocks noChangeShapeType="1"/>
          </xdr:cNvSpPr>
        </xdr:nvSpPr>
        <xdr:spPr bwMode="auto">
          <a:xfrm>
            <a:off x="543" y="409"/>
            <a:ext cx="0" cy="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7515" name="Line 75">
            <a:extLst>
              <a:ext uri="{FF2B5EF4-FFF2-40B4-BE49-F238E27FC236}">
                <a16:creationId xmlns:a16="http://schemas.microsoft.com/office/drawing/2014/main" id="{6EEE80C6-AAAF-4F4D-8806-3AAB225252C8}"/>
              </a:ext>
            </a:extLst>
          </xdr:cNvPr>
          <xdr:cNvSpPr>
            <a:spLocks noChangeShapeType="1"/>
          </xdr:cNvSpPr>
        </xdr:nvSpPr>
        <xdr:spPr bwMode="auto">
          <a:xfrm>
            <a:off x="355" y="448"/>
            <a:ext cx="0" cy="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516" name="Line 76">
            <a:extLst>
              <a:ext uri="{FF2B5EF4-FFF2-40B4-BE49-F238E27FC236}">
                <a16:creationId xmlns:a16="http://schemas.microsoft.com/office/drawing/2014/main" id="{B80034DB-8129-488B-8F83-BD3134E7969A}"/>
              </a:ext>
            </a:extLst>
          </xdr:cNvPr>
          <xdr:cNvSpPr>
            <a:spLocks noChangeShapeType="1"/>
          </xdr:cNvSpPr>
        </xdr:nvSpPr>
        <xdr:spPr bwMode="auto">
          <a:xfrm>
            <a:off x="527" y="448"/>
            <a:ext cx="0" cy="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517" name="Line 77">
            <a:extLst>
              <a:ext uri="{FF2B5EF4-FFF2-40B4-BE49-F238E27FC236}">
                <a16:creationId xmlns:a16="http://schemas.microsoft.com/office/drawing/2014/main" id="{1FBB5CFD-6F33-45B8-B170-F02650F4B32B}"/>
              </a:ext>
            </a:extLst>
          </xdr:cNvPr>
          <xdr:cNvSpPr>
            <a:spLocks noChangeShapeType="1"/>
          </xdr:cNvSpPr>
        </xdr:nvSpPr>
        <xdr:spPr bwMode="auto">
          <a:xfrm>
            <a:off x="355" y="466"/>
            <a:ext cx="4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7518" name="Line 78">
            <a:extLst>
              <a:ext uri="{FF2B5EF4-FFF2-40B4-BE49-F238E27FC236}">
                <a16:creationId xmlns:a16="http://schemas.microsoft.com/office/drawing/2014/main" id="{58D75836-EECD-44DC-AB9F-A4CD84EEF367}"/>
              </a:ext>
            </a:extLst>
          </xdr:cNvPr>
          <xdr:cNvSpPr>
            <a:spLocks noChangeShapeType="1"/>
          </xdr:cNvSpPr>
        </xdr:nvSpPr>
        <xdr:spPr bwMode="auto">
          <a:xfrm>
            <a:off x="398" y="466"/>
            <a:ext cx="8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7519" name="Line 79">
            <a:extLst>
              <a:ext uri="{FF2B5EF4-FFF2-40B4-BE49-F238E27FC236}">
                <a16:creationId xmlns:a16="http://schemas.microsoft.com/office/drawing/2014/main" id="{06AB6EF6-10BB-49E8-9385-AF0DE0579C61}"/>
              </a:ext>
            </a:extLst>
          </xdr:cNvPr>
          <xdr:cNvSpPr>
            <a:spLocks noChangeShapeType="1"/>
          </xdr:cNvSpPr>
        </xdr:nvSpPr>
        <xdr:spPr bwMode="auto">
          <a:xfrm>
            <a:off x="484" y="466"/>
            <a:ext cx="4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7520" name="Line 80">
            <a:extLst>
              <a:ext uri="{FF2B5EF4-FFF2-40B4-BE49-F238E27FC236}">
                <a16:creationId xmlns:a16="http://schemas.microsoft.com/office/drawing/2014/main" id="{5D14E8D6-203B-4E9B-8BEA-0B89466D056A}"/>
              </a:ext>
            </a:extLst>
          </xdr:cNvPr>
          <xdr:cNvSpPr>
            <a:spLocks noChangeShapeType="1"/>
          </xdr:cNvSpPr>
        </xdr:nvSpPr>
        <xdr:spPr bwMode="auto">
          <a:xfrm>
            <a:off x="355" y="501"/>
            <a:ext cx="17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7521" name="Line 81">
            <a:extLst>
              <a:ext uri="{FF2B5EF4-FFF2-40B4-BE49-F238E27FC236}">
                <a16:creationId xmlns:a16="http://schemas.microsoft.com/office/drawing/2014/main" id="{0A4244D6-06C6-47F2-A2AD-3A4220FA7E7E}"/>
              </a:ext>
            </a:extLst>
          </xdr:cNvPr>
          <xdr:cNvSpPr>
            <a:spLocks noChangeShapeType="1"/>
          </xdr:cNvSpPr>
        </xdr:nvSpPr>
        <xdr:spPr bwMode="auto">
          <a:xfrm flipH="1">
            <a:off x="325" y="307"/>
            <a:ext cx="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522" name="Line 82">
            <a:extLst>
              <a:ext uri="{FF2B5EF4-FFF2-40B4-BE49-F238E27FC236}">
                <a16:creationId xmlns:a16="http://schemas.microsoft.com/office/drawing/2014/main" id="{8500F3EF-DCDF-4DE8-8F33-2A96A0492C4D}"/>
              </a:ext>
            </a:extLst>
          </xdr:cNvPr>
          <xdr:cNvSpPr>
            <a:spLocks noChangeShapeType="1"/>
          </xdr:cNvSpPr>
        </xdr:nvSpPr>
        <xdr:spPr bwMode="auto">
          <a:xfrm flipH="1">
            <a:off x="325" y="444"/>
            <a:ext cx="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523" name="Line 83">
            <a:extLst>
              <a:ext uri="{FF2B5EF4-FFF2-40B4-BE49-F238E27FC236}">
                <a16:creationId xmlns:a16="http://schemas.microsoft.com/office/drawing/2014/main" id="{CAD1172D-059F-4844-99DB-50F22B5A8CEC}"/>
              </a:ext>
            </a:extLst>
          </xdr:cNvPr>
          <xdr:cNvSpPr>
            <a:spLocks noChangeShapeType="1"/>
          </xdr:cNvSpPr>
        </xdr:nvSpPr>
        <xdr:spPr bwMode="auto">
          <a:xfrm>
            <a:off x="337" y="307"/>
            <a:ext cx="0" cy="137"/>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7524" name="Line 84">
            <a:extLst>
              <a:ext uri="{FF2B5EF4-FFF2-40B4-BE49-F238E27FC236}">
                <a16:creationId xmlns:a16="http://schemas.microsoft.com/office/drawing/2014/main" id="{940FD53B-34C9-4105-8602-2C6492D7D0BD}"/>
              </a:ext>
            </a:extLst>
          </xdr:cNvPr>
          <xdr:cNvSpPr>
            <a:spLocks noChangeShapeType="1"/>
          </xdr:cNvSpPr>
        </xdr:nvSpPr>
        <xdr:spPr bwMode="auto">
          <a:xfrm flipH="1">
            <a:off x="398" y="342"/>
            <a:ext cx="84" cy="0"/>
          </a:xfrm>
          <a:prstGeom prst="line">
            <a:avLst/>
          </a:prstGeom>
          <a:noFill/>
          <a:ln w="12700">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7525" name="Line 85">
            <a:extLst>
              <a:ext uri="{FF2B5EF4-FFF2-40B4-BE49-F238E27FC236}">
                <a16:creationId xmlns:a16="http://schemas.microsoft.com/office/drawing/2014/main" id="{259A17A4-8968-4922-BF40-EFBEEBBC24BC}"/>
              </a:ext>
            </a:extLst>
          </xdr:cNvPr>
          <xdr:cNvSpPr>
            <a:spLocks noChangeShapeType="1"/>
          </xdr:cNvSpPr>
        </xdr:nvSpPr>
        <xdr:spPr bwMode="auto">
          <a:xfrm flipH="1">
            <a:off x="398" y="409"/>
            <a:ext cx="84" cy="0"/>
          </a:xfrm>
          <a:prstGeom prst="line">
            <a:avLst/>
          </a:prstGeom>
          <a:noFill/>
          <a:ln w="12700">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7526" name="Line 86">
            <a:extLst>
              <a:ext uri="{FF2B5EF4-FFF2-40B4-BE49-F238E27FC236}">
                <a16:creationId xmlns:a16="http://schemas.microsoft.com/office/drawing/2014/main" id="{CC3E56C1-366A-49B2-B7F8-3A4053F5948F}"/>
              </a:ext>
            </a:extLst>
          </xdr:cNvPr>
          <xdr:cNvSpPr>
            <a:spLocks noChangeShapeType="1"/>
          </xdr:cNvSpPr>
        </xdr:nvSpPr>
        <xdr:spPr bwMode="auto">
          <a:xfrm>
            <a:off x="483" y="342"/>
            <a:ext cx="0" cy="67"/>
          </a:xfrm>
          <a:prstGeom prst="line">
            <a:avLst/>
          </a:prstGeom>
          <a:noFill/>
          <a:ln w="12700">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7527" name="Line 87">
            <a:extLst>
              <a:ext uri="{FF2B5EF4-FFF2-40B4-BE49-F238E27FC236}">
                <a16:creationId xmlns:a16="http://schemas.microsoft.com/office/drawing/2014/main" id="{F1C1B05A-8238-4B9F-BA0B-D9B496A8D1E4}"/>
              </a:ext>
            </a:extLst>
          </xdr:cNvPr>
          <xdr:cNvSpPr>
            <a:spLocks noChangeShapeType="1"/>
          </xdr:cNvSpPr>
        </xdr:nvSpPr>
        <xdr:spPr bwMode="auto">
          <a:xfrm flipV="1">
            <a:off x="398" y="342"/>
            <a:ext cx="0" cy="67"/>
          </a:xfrm>
          <a:prstGeom prst="line">
            <a:avLst/>
          </a:prstGeom>
          <a:noFill/>
          <a:ln w="12700">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7528" name="Line 88">
            <a:extLst>
              <a:ext uri="{FF2B5EF4-FFF2-40B4-BE49-F238E27FC236}">
                <a16:creationId xmlns:a16="http://schemas.microsoft.com/office/drawing/2014/main" id="{ADBCE676-66E7-481D-9623-808B5775F55F}"/>
              </a:ext>
            </a:extLst>
          </xdr:cNvPr>
          <xdr:cNvSpPr>
            <a:spLocks noChangeShapeType="1"/>
          </xdr:cNvSpPr>
        </xdr:nvSpPr>
        <xdr:spPr bwMode="auto">
          <a:xfrm flipV="1">
            <a:off x="373" y="307"/>
            <a:ext cx="25" cy="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7529" name="Line 89">
            <a:extLst>
              <a:ext uri="{FF2B5EF4-FFF2-40B4-BE49-F238E27FC236}">
                <a16:creationId xmlns:a16="http://schemas.microsoft.com/office/drawing/2014/main" id="{812D8A90-94E3-4CB5-9CBA-2986368F03DB}"/>
              </a:ext>
            </a:extLst>
          </xdr:cNvPr>
          <xdr:cNvSpPr>
            <a:spLocks noChangeShapeType="1"/>
          </xdr:cNvSpPr>
        </xdr:nvSpPr>
        <xdr:spPr bwMode="auto">
          <a:xfrm flipV="1">
            <a:off x="398" y="307"/>
            <a:ext cx="0" cy="5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7530" name="Line 90">
            <a:extLst>
              <a:ext uri="{FF2B5EF4-FFF2-40B4-BE49-F238E27FC236}">
                <a16:creationId xmlns:a16="http://schemas.microsoft.com/office/drawing/2014/main" id="{B41D6569-3780-419E-814A-F674B2EE80DE}"/>
              </a:ext>
            </a:extLst>
          </xdr:cNvPr>
          <xdr:cNvSpPr>
            <a:spLocks noChangeShapeType="1"/>
          </xdr:cNvSpPr>
        </xdr:nvSpPr>
        <xdr:spPr bwMode="auto">
          <a:xfrm>
            <a:off x="373" y="332"/>
            <a:ext cx="25" cy="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7531" name="Line 91">
            <a:extLst>
              <a:ext uri="{FF2B5EF4-FFF2-40B4-BE49-F238E27FC236}">
                <a16:creationId xmlns:a16="http://schemas.microsoft.com/office/drawing/2014/main" id="{02B729CA-A05D-4EC9-8928-5D2A773E4F44}"/>
              </a:ext>
            </a:extLst>
          </xdr:cNvPr>
          <xdr:cNvSpPr>
            <a:spLocks noChangeShapeType="1"/>
          </xdr:cNvSpPr>
        </xdr:nvSpPr>
        <xdr:spPr bwMode="auto">
          <a:xfrm flipV="1">
            <a:off x="373" y="393"/>
            <a:ext cx="25" cy="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7532" name="Line 92">
            <a:extLst>
              <a:ext uri="{FF2B5EF4-FFF2-40B4-BE49-F238E27FC236}">
                <a16:creationId xmlns:a16="http://schemas.microsoft.com/office/drawing/2014/main" id="{133D69EA-3834-43A9-BD1C-BA4F563EEE32}"/>
              </a:ext>
            </a:extLst>
          </xdr:cNvPr>
          <xdr:cNvSpPr>
            <a:spLocks noChangeShapeType="1"/>
          </xdr:cNvSpPr>
        </xdr:nvSpPr>
        <xdr:spPr bwMode="auto">
          <a:xfrm>
            <a:off x="373" y="418"/>
            <a:ext cx="25" cy="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7533" name="Line 93">
            <a:extLst>
              <a:ext uri="{FF2B5EF4-FFF2-40B4-BE49-F238E27FC236}">
                <a16:creationId xmlns:a16="http://schemas.microsoft.com/office/drawing/2014/main" id="{2F7ECCD3-4321-4185-A4DB-A07B741471E8}"/>
              </a:ext>
            </a:extLst>
          </xdr:cNvPr>
          <xdr:cNvSpPr>
            <a:spLocks noChangeShapeType="1"/>
          </xdr:cNvSpPr>
        </xdr:nvSpPr>
        <xdr:spPr bwMode="auto">
          <a:xfrm flipV="1">
            <a:off x="398" y="393"/>
            <a:ext cx="0" cy="5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7534" name="Line 94">
            <a:extLst>
              <a:ext uri="{FF2B5EF4-FFF2-40B4-BE49-F238E27FC236}">
                <a16:creationId xmlns:a16="http://schemas.microsoft.com/office/drawing/2014/main" id="{C6360B7D-E93F-4A7D-9416-C1FDC27F471F}"/>
              </a:ext>
            </a:extLst>
          </xdr:cNvPr>
          <xdr:cNvSpPr>
            <a:spLocks noChangeShapeType="1"/>
          </xdr:cNvSpPr>
        </xdr:nvSpPr>
        <xdr:spPr bwMode="auto">
          <a:xfrm>
            <a:off x="402" y="357"/>
            <a:ext cx="3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535" name="Line 95">
            <a:extLst>
              <a:ext uri="{FF2B5EF4-FFF2-40B4-BE49-F238E27FC236}">
                <a16:creationId xmlns:a16="http://schemas.microsoft.com/office/drawing/2014/main" id="{E52A1F69-5872-4DB0-8ED5-2E12623B8FA0}"/>
              </a:ext>
            </a:extLst>
          </xdr:cNvPr>
          <xdr:cNvSpPr>
            <a:spLocks noChangeShapeType="1"/>
          </xdr:cNvSpPr>
        </xdr:nvSpPr>
        <xdr:spPr bwMode="auto">
          <a:xfrm flipV="1">
            <a:off x="420" y="307"/>
            <a:ext cx="0" cy="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7536" name="Text Box 96">
            <a:extLst>
              <a:ext uri="{FF2B5EF4-FFF2-40B4-BE49-F238E27FC236}">
                <a16:creationId xmlns:a16="http://schemas.microsoft.com/office/drawing/2014/main" id="{AAC46CE6-2ADF-4737-BA97-8C4488159E53}"/>
              </a:ext>
            </a:extLst>
          </xdr:cNvPr>
          <xdr:cNvSpPr txBox="1">
            <a:spLocks noChangeArrowheads="1"/>
          </xdr:cNvSpPr>
        </xdr:nvSpPr>
        <xdr:spPr bwMode="auto">
          <a:xfrm>
            <a:off x="421" y="324"/>
            <a:ext cx="24"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be</a:t>
            </a:r>
          </a:p>
        </xdr:txBody>
      </xdr:sp>
      <xdr:sp macro="" textlink="">
        <xdr:nvSpPr>
          <xdr:cNvPr id="957537" name="Line 97">
            <a:extLst>
              <a:ext uri="{FF2B5EF4-FFF2-40B4-BE49-F238E27FC236}">
                <a16:creationId xmlns:a16="http://schemas.microsoft.com/office/drawing/2014/main" id="{218EC009-6D97-48B4-A8A3-D5E589970159}"/>
              </a:ext>
            </a:extLst>
          </xdr:cNvPr>
          <xdr:cNvSpPr>
            <a:spLocks noChangeShapeType="1"/>
          </xdr:cNvSpPr>
        </xdr:nvSpPr>
        <xdr:spPr bwMode="auto">
          <a:xfrm>
            <a:off x="490" y="332"/>
            <a:ext cx="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7538" name="Line 98">
            <a:extLst>
              <a:ext uri="{FF2B5EF4-FFF2-40B4-BE49-F238E27FC236}">
                <a16:creationId xmlns:a16="http://schemas.microsoft.com/office/drawing/2014/main" id="{2322FCB4-5A91-4F11-9F53-15E77E63369F}"/>
              </a:ext>
            </a:extLst>
          </xdr:cNvPr>
          <xdr:cNvSpPr>
            <a:spLocks noChangeShapeType="1"/>
          </xdr:cNvSpPr>
        </xdr:nvSpPr>
        <xdr:spPr bwMode="auto">
          <a:xfrm flipH="1" flipV="1">
            <a:off x="493" y="307"/>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7539" name="Line 99">
            <a:extLst>
              <a:ext uri="{FF2B5EF4-FFF2-40B4-BE49-F238E27FC236}">
                <a16:creationId xmlns:a16="http://schemas.microsoft.com/office/drawing/2014/main" id="{54255D95-8CEE-4A3A-B941-94A3956F27C6}"/>
              </a:ext>
            </a:extLst>
          </xdr:cNvPr>
          <xdr:cNvSpPr>
            <a:spLocks noChangeShapeType="1"/>
          </xdr:cNvSpPr>
        </xdr:nvSpPr>
        <xdr:spPr bwMode="auto">
          <a:xfrm flipV="1">
            <a:off x="373" y="283"/>
            <a:ext cx="0" cy="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57540" name="Line 100">
            <a:extLst>
              <a:ext uri="{FF2B5EF4-FFF2-40B4-BE49-F238E27FC236}">
                <a16:creationId xmlns:a16="http://schemas.microsoft.com/office/drawing/2014/main" id="{D238BD53-E551-4C6E-A33A-D43CA740BFE9}"/>
              </a:ext>
            </a:extLst>
          </xdr:cNvPr>
          <xdr:cNvSpPr>
            <a:spLocks noChangeShapeType="1"/>
          </xdr:cNvSpPr>
        </xdr:nvSpPr>
        <xdr:spPr bwMode="auto">
          <a:xfrm flipH="1" flipV="1">
            <a:off x="355" y="283"/>
            <a:ext cx="0"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57541" name="Line 101">
            <a:extLst>
              <a:ext uri="{FF2B5EF4-FFF2-40B4-BE49-F238E27FC236}">
                <a16:creationId xmlns:a16="http://schemas.microsoft.com/office/drawing/2014/main" id="{9D8233DB-C7BE-4D3A-BD32-E3547466CD7F}"/>
              </a:ext>
            </a:extLst>
          </xdr:cNvPr>
          <xdr:cNvSpPr>
            <a:spLocks noChangeShapeType="1"/>
          </xdr:cNvSpPr>
        </xdr:nvSpPr>
        <xdr:spPr bwMode="auto">
          <a:xfrm>
            <a:off x="355" y="296"/>
            <a:ext cx="1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57542" name="Line 102">
            <a:extLst>
              <a:ext uri="{FF2B5EF4-FFF2-40B4-BE49-F238E27FC236}">
                <a16:creationId xmlns:a16="http://schemas.microsoft.com/office/drawing/2014/main" id="{56D11CDF-C66D-4C9C-AE75-84FB98551D74}"/>
              </a:ext>
            </a:extLst>
          </xdr:cNvPr>
          <xdr:cNvSpPr>
            <a:spLocks noChangeShapeType="1"/>
          </xdr:cNvSpPr>
        </xdr:nvSpPr>
        <xdr:spPr bwMode="auto">
          <a:xfrm>
            <a:off x="324" y="296"/>
            <a:ext cx="3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57543" name="Line 103">
            <a:extLst>
              <a:ext uri="{FF2B5EF4-FFF2-40B4-BE49-F238E27FC236}">
                <a16:creationId xmlns:a16="http://schemas.microsoft.com/office/drawing/2014/main" id="{D9D05D58-E9F7-4223-B7CE-77BA175F6E9F}"/>
              </a:ext>
            </a:extLst>
          </xdr:cNvPr>
          <xdr:cNvSpPr>
            <a:spLocks noChangeShapeType="1"/>
          </xdr:cNvSpPr>
        </xdr:nvSpPr>
        <xdr:spPr bwMode="auto">
          <a:xfrm flipH="1">
            <a:off x="373" y="296"/>
            <a:ext cx="6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xdr:colOff>
      <xdr:row>9</xdr:row>
      <xdr:rowOff>0</xdr:rowOff>
    </xdr:from>
    <xdr:to>
      <xdr:col>8</xdr:col>
      <xdr:colOff>617220</xdr:colOff>
      <xdr:row>22</xdr:row>
      <xdr:rowOff>106680</xdr:rowOff>
    </xdr:to>
    <xdr:grpSp>
      <xdr:nvGrpSpPr>
        <xdr:cNvPr id="950358" name="Group 86">
          <a:extLst>
            <a:ext uri="{FF2B5EF4-FFF2-40B4-BE49-F238E27FC236}">
              <a16:creationId xmlns:a16="http://schemas.microsoft.com/office/drawing/2014/main" id="{D8C9FE38-93FC-430E-A8D0-8E96CC81CFDD}"/>
            </a:ext>
          </a:extLst>
        </xdr:cNvPr>
        <xdr:cNvGrpSpPr>
          <a:grpSpLocks/>
        </xdr:cNvGrpSpPr>
      </xdr:nvGrpSpPr>
      <xdr:grpSpPr bwMode="auto">
        <a:xfrm>
          <a:off x="2872740" y="1539240"/>
          <a:ext cx="3078480" cy="2286000"/>
          <a:chOff x="293" y="157"/>
          <a:chExt cx="315" cy="232"/>
        </a:xfrm>
      </xdr:grpSpPr>
      <xdr:sp macro="" textlink="">
        <xdr:nvSpPr>
          <xdr:cNvPr id="950277" name="Rectangle 5">
            <a:extLst>
              <a:ext uri="{FF2B5EF4-FFF2-40B4-BE49-F238E27FC236}">
                <a16:creationId xmlns:a16="http://schemas.microsoft.com/office/drawing/2014/main" id="{200931CA-B99B-4A21-A215-2E62AFA26481}"/>
              </a:ext>
            </a:extLst>
          </xdr:cNvPr>
          <xdr:cNvSpPr>
            <a:spLocks noChangeArrowheads="1"/>
          </xdr:cNvSpPr>
        </xdr:nvSpPr>
        <xdr:spPr bwMode="auto">
          <a:xfrm>
            <a:off x="355" y="276"/>
            <a:ext cx="170" cy="17"/>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0278" name="Rectangle 6">
            <a:extLst>
              <a:ext uri="{FF2B5EF4-FFF2-40B4-BE49-F238E27FC236}">
                <a16:creationId xmlns:a16="http://schemas.microsoft.com/office/drawing/2014/main" id="{34A41E3D-E8A7-41C0-8516-278772E7B4D3}"/>
              </a:ext>
            </a:extLst>
          </xdr:cNvPr>
          <xdr:cNvSpPr>
            <a:spLocks noChangeArrowheads="1"/>
          </xdr:cNvSpPr>
        </xdr:nvSpPr>
        <xdr:spPr bwMode="auto">
          <a:xfrm>
            <a:off x="394" y="166"/>
            <a:ext cx="11" cy="11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0279" name="Rectangle 7">
            <a:extLst>
              <a:ext uri="{FF2B5EF4-FFF2-40B4-BE49-F238E27FC236}">
                <a16:creationId xmlns:a16="http://schemas.microsoft.com/office/drawing/2014/main" id="{834AF87E-865E-4188-B6FC-4DCE3FB14A81}"/>
              </a:ext>
            </a:extLst>
          </xdr:cNvPr>
          <xdr:cNvSpPr>
            <a:spLocks noChangeArrowheads="1"/>
          </xdr:cNvSpPr>
        </xdr:nvSpPr>
        <xdr:spPr bwMode="auto">
          <a:xfrm>
            <a:off x="475" y="166"/>
            <a:ext cx="11" cy="11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0280" name="Line 8">
            <a:extLst>
              <a:ext uri="{FF2B5EF4-FFF2-40B4-BE49-F238E27FC236}">
                <a16:creationId xmlns:a16="http://schemas.microsoft.com/office/drawing/2014/main" id="{1A9CF894-FED0-4065-818F-D6ED9BE53120}"/>
              </a:ext>
            </a:extLst>
          </xdr:cNvPr>
          <xdr:cNvSpPr>
            <a:spLocks noChangeShapeType="1"/>
          </xdr:cNvSpPr>
        </xdr:nvSpPr>
        <xdr:spPr bwMode="auto">
          <a:xfrm>
            <a:off x="379" y="166"/>
            <a:ext cx="4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281" name="Line 9">
            <a:extLst>
              <a:ext uri="{FF2B5EF4-FFF2-40B4-BE49-F238E27FC236}">
                <a16:creationId xmlns:a16="http://schemas.microsoft.com/office/drawing/2014/main" id="{FEE755F0-BC9C-47D7-9972-2565EE494306}"/>
              </a:ext>
            </a:extLst>
          </xdr:cNvPr>
          <xdr:cNvSpPr>
            <a:spLocks noChangeShapeType="1"/>
          </xdr:cNvSpPr>
        </xdr:nvSpPr>
        <xdr:spPr bwMode="auto">
          <a:xfrm>
            <a:off x="452" y="166"/>
            <a:ext cx="4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282" name="Line 10">
            <a:extLst>
              <a:ext uri="{FF2B5EF4-FFF2-40B4-BE49-F238E27FC236}">
                <a16:creationId xmlns:a16="http://schemas.microsoft.com/office/drawing/2014/main" id="{331B95F9-C2B0-40EE-A9B3-A1DC931C59B4}"/>
              </a:ext>
            </a:extLst>
          </xdr:cNvPr>
          <xdr:cNvSpPr>
            <a:spLocks noChangeShapeType="1"/>
          </xdr:cNvSpPr>
        </xdr:nvSpPr>
        <xdr:spPr bwMode="auto">
          <a:xfrm flipV="1">
            <a:off x="428" y="157"/>
            <a:ext cx="9" cy="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283" name="Line 11">
            <a:extLst>
              <a:ext uri="{FF2B5EF4-FFF2-40B4-BE49-F238E27FC236}">
                <a16:creationId xmlns:a16="http://schemas.microsoft.com/office/drawing/2014/main" id="{771F6A4C-378A-41C7-89AC-427B7771AB83}"/>
              </a:ext>
            </a:extLst>
          </xdr:cNvPr>
          <xdr:cNvSpPr>
            <a:spLocks noChangeShapeType="1"/>
          </xdr:cNvSpPr>
        </xdr:nvSpPr>
        <xdr:spPr bwMode="auto">
          <a:xfrm flipH="1">
            <a:off x="443" y="166"/>
            <a:ext cx="9" cy="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284" name="Line 12">
            <a:extLst>
              <a:ext uri="{FF2B5EF4-FFF2-40B4-BE49-F238E27FC236}">
                <a16:creationId xmlns:a16="http://schemas.microsoft.com/office/drawing/2014/main" id="{874FB10E-8D67-4708-8A32-3A41FF6F6F48}"/>
              </a:ext>
            </a:extLst>
          </xdr:cNvPr>
          <xdr:cNvSpPr>
            <a:spLocks noChangeShapeType="1"/>
          </xdr:cNvSpPr>
        </xdr:nvSpPr>
        <xdr:spPr bwMode="auto">
          <a:xfrm>
            <a:off x="437" y="157"/>
            <a:ext cx="5"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285" name="Line 13">
            <a:extLst>
              <a:ext uri="{FF2B5EF4-FFF2-40B4-BE49-F238E27FC236}">
                <a16:creationId xmlns:a16="http://schemas.microsoft.com/office/drawing/2014/main" id="{7DBFE5BA-176C-431A-BD01-AF281FD48A48}"/>
              </a:ext>
            </a:extLst>
          </xdr:cNvPr>
          <xdr:cNvSpPr>
            <a:spLocks noChangeShapeType="1"/>
          </xdr:cNvSpPr>
        </xdr:nvSpPr>
        <xdr:spPr bwMode="auto">
          <a:xfrm>
            <a:off x="440" y="193"/>
            <a:ext cx="0" cy="81"/>
          </a:xfrm>
          <a:prstGeom prst="line">
            <a:avLst/>
          </a:prstGeom>
          <a:noFill/>
          <a:ln w="15875">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a:noFill/>
              </a14:hiddenFill>
            </a:ext>
          </a:extLst>
        </xdr:spPr>
      </xdr:sp>
      <xdr:sp macro="" textlink="">
        <xdr:nvSpPr>
          <xdr:cNvPr id="950286" name="Line 14">
            <a:extLst>
              <a:ext uri="{FF2B5EF4-FFF2-40B4-BE49-F238E27FC236}">
                <a16:creationId xmlns:a16="http://schemas.microsoft.com/office/drawing/2014/main" id="{665F76BF-8287-4474-A917-EB6FFE9CF086}"/>
              </a:ext>
            </a:extLst>
          </xdr:cNvPr>
          <xdr:cNvSpPr>
            <a:spLocks noChangeShapeType="1"/>
          </xdr:cNvSpPr>
        </xdr:nvSpPr>
        <xdr:spPr bwMode="auto">
          <a:xfrm>
            <a:off x="529" y="293"/>
            <a:ext cx="7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287" name="Line 15">
            <a:extLst>
              <a:ext uri="{FF2B5EF4-FFF2-40B4-BE49-F238E27FC236}">
                <a16:creationId xmlns:a16="http://schemas.microsoft.com/office/drawing/2014/main" id="{E5F79C99-C2BE-4231-8243-E11B8988201B}"/>
              </a:ext>
            </a:extLst>
          </xdr:cNvPr>
          <xdr:cNvSpPr>
            <a:spLocks noChangeShapeType="1"/>
          </xdr:cNvSpPr>
        </xdr:nvSpPr>
        <xdr:spPr bwMode="auto">
          <a:xfrm>
            <a:off x="529" y="276"/>
            <a:ext cx="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288" name="Line 16">
            <a:extLst>
              <a:ext uri="{FF2B5EF4-FFF2-40B4-BE49-F238E27FC236}">
                <a16:creationId xmlns:a16="http://schemas.microsoft.com/office/drawing/2014/main" id="{2371986F-203E-45E8-B1E7-8BEB406B7BB4}"/>
              </a:ext>
            </a:extLst>
          </xdr:cNvPr>
          <xdr:cNvSpPr>
            <a:spLocks noChangeShapeType="1"/>
          </xdr:cNvSpPr>
        </xdr:nvSpPr>
        <xdr:spPr bwMode="auto">
          <a:xfrm flipV="1">
            <a:off x="549" y="276"/>
            <a:ext cx="0" cy="1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289" name="Line 17">
            <a:extLst>
              <a:ext uri="{FF2B5EF4-FFF2-40B4-BE49-F238E27FC236}">
                <a16:creationId xmlns:a16="http://schemas.microsoft.com/office/drawing/2014/main" id="{F1084060-2069-4426-8E2B-CE418497E5EE}"/>
              </a:ext>
            </a:extLst>
          </xdr:cNvPr>
          <xdr:cNvSpPr>
            <a:spLocks noChangeShapeType="1"/>
          </xdr:cNvSpPr>
        </xdr:nvSpPr>
        <xdr:spPr bwMode="auto">
          <a:xfrm flipV="1">
            <a:off x="549" y="255"/>
            <a:ext cx="0" cy="21"/>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50290" name="Line 18">
            <a:extLst>
              <a:ext uri="{FF2B5EF4-FFF2-40B4-BE49-F238E27FC236}">
                <a16:creationId xmlns:a16="http://schemas.microsoft.com/office/drawing/2014/main" id="{F89B5C8D-BF7F-4D78-9D94-93A518D55132}"/>
              </a:ext>
            </a:extLst>
          </xdr:cNvPr>
          <xdr:cNvSpPr>
            <a:spLocks noChangeShapeType="1"/>
          </xdr:cNvSpPr>
        </xdr:nvSpPr>
        <xdr:spPr bwMode="auto">
          <a:xfrm flipH="1">
            <a:off x="486" y="217"/>
            <a:ext cx="1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sp macro="" textlink="">
        <xdr:nvSpPr>
          <xdr:cNvPr id="950291" name="Rectangle 19">
            <a:extLst>
              <a:ext uri="{FF2B5EF4-FFF2-40B4-BE49-F238E27FC236}">
                <a16:creationId xmlns:a16="http://schemas.microsoft.com/office/drawing/2014/main" id="{A8930249-AA18-4672-A3ED-4744F1CB4BF6}"/>
              </a:ext>
            </a:extLst>
          </xdr:cNvPr>
          <xdr:cNvSpPr>
            <a:spLocks noChangeArrowheads="1"/>
          </xdr:cNvSpPr>
        </xdr:nvSpPr>
        <xdr:spPr bwMode="auto">
          <a:xfrm>
            <a:off x="361" y="272"/>
            <a:ext cx="26" cy="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0292" name="Rectangle 20">
            <a:extLst>
              <a:ext uri="{FF2B5EF4-FFF2-40B4-BE49-F238E27FC236}">
                <a16:creationId xmlns:a16="http://schemas.microsoft.com/office/drawing/2014/main" id="{54A3BD1C-B656-4ED2-B142-320D98A9B223}"/>
              </a:ext>
            </a:extLst>
          </xdr:cNvPr>
          <xdr:cNvSpPr>
            <a:spLocks noChangeArrowheads="1"/>
          </xdr:cNvSpPr>
        </xdr:nvSpPr>
        <xdr:spPr bwMode="auto">
          <a:xfrm>
            <a:off x="493" y="272"/>
            <a:ext cx="26" cy="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0293" name="Rectangle 21">
            <a:extLst>
              <a:ext uri="{FF2B5EF4-FFF2-40B4-BE49-F238E27FC236}">
                <a16:creationId xmlns:a16="http://schemas.microsoft.com/office/drawing/2014/main" id="{9FCEFE8E-E959-488E-9590-ABB41A6045B0}"/>
              </a:ext>
            </a:extLst>
          </xdr:cNvPr>
          <xdr:cNvSpPr>
            <a:spLocks noChangeArrowheads="1"/>
          </xdr:cNvSpPr>
        </xdr:nvSpPr>
        <xdr:spPr bwMode="auto">
          <a:xfrm>
            <a:off x="365" y="262"/>
            <a:ext cx="18" cy="1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0294" name="Rectangle 22">
            <a:extLst>
              <a:ext uri="{FF2B5EF4-FFF2-40B4-BE49-F238E27FC236}">
                <a16:creationId xmlns:a16="http://schemas.microsoft.com/office/drawing/2014/main" id="{F31120AC-20D2-4FF7-AA88-5378219A5E85}"/>
              </a:ext>
            </a:extLst>
          </xdr:cNvPr>
          <xdr:cNvSpPr>
            <a:spLocks noChangeArrowheads="1"/>
          </xdr:cNvSpPr>
        </xdr:nvSpPr>
        <xdr:spPr bwMode="auto">
          <a:xfrm>
            <a:off x="497" y="262"/>
            <a:ext cx="18" cy="1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0295" name="Rectangle 23" descr="Narrow horizontal">
            <a:extLst>
              <a:ext uri="{FF2B5EF4-FFF2-40B4-BE49-F238E27FC236}">
                <a16:creationId xmlns:a16="http://schemas.microsoft.com/office/drawing/2014/main" id="{912604AD-7514-4254-901E-843ED94571D7}"/>
              </a:ext>
            </a:extLst>
          </xdr:cNvPr>
          <xdr:cNvSpPr>
            <a:spLocks noChangeArrowheads="1"/>
          </xdr:cNvSpPr>
        </xdr:nvSpPr>
        <xdr:spPr bwMode="auto">
          <a:xfrm>
            <a:off x="368" y="255"/>
            <a:ext cx="12" cy="7"/>
          </a:xfrm>
          <a:prstGeom prst="rect">
            <a:avLst/>
          </a:prstGeom>
          <a:pattFill prst="narHorz">
            <a:fgClr>
              <a:srgbClr val="00000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0296" name="Rectangle 24">
            <a:extLst>
              <a:ext uri="{FF2B5EF4-FFF2-40B4-BE49-F238E27FC236}">
                <a16:creationId xmlns:a16="http://schemas.microsoft.com/office/drawing/2014/main" id="{3488C281-579F-472E-8024-CD01F301E7C8}"/>
              </a:ext>
            </a:extLst>
          </xdr:cNvPr>
          <xdr:cNvSpPr>
            <a:spLocks noChangeArrowheads="1"/>
          </xdr:cNvSpPr>
        </xdr:nvSpPr>
        <xdr:spPr bwMode="auto">
          <a:xfrm>
            <a:off x="371" y="262"/>
            <a:ext cx="6" cy="1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0297" name="Rectangle 25" descr="Narrow horizontal">
            <a:extLst>
              <a:ext uri="{FF2B5EF4-FFF2-40B4-BE49-F238E27FC236}">
                <a16:creationId xmlns:a16="http://schemas.microsoft.com/office/drawing/2014/main" id="{D3EFD81B-7C1E-4545-BEDB-06B290C54E8C}"/>
              </a:ext>
            </a:extLst>
          </xdr:cNvPr>
          <xdr:cNvSpPr>
            <a:spLocks noChangeArrowheads="1"/>
          </xdr:cNvSpPr>
        </xdr:nvSpPr>
        <xdr:spPr bwMode="auto">
          <a:xfrm>
            <a:off x="500" y="255"/>
            <a:ext cx="12" cy="7"/>
          </a:xfrm>
          <a:prstGeom prst="rect">
            <a:avLst/>
          </a:prstGeom>
          <a:pattFill prst="narHorz">
            <a:fgClr>
              <a:srgbClr val="00000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0298" name="Rectangle 26">
            <a:extLst>
              <a:ext uri="{FF2B5EF4-FFF2-40B4-BE49-F238E27FC236}">
                <a16:creationId xmlns:a16="http://schemas.microsoft.com/office/drawing/2014/main" id="{29F41C61-1A20-4F20-8B81-9D20F1972A5D}"/>
              </a:ext>
            </a:extLst>
          </xdr:cNvPr>
          <xdr:cNvSpPr>
            <a:spLocks noChangeArrowheads="1"/>
          </xdr:cNvSpPr>
        </xdr:nvSpPr>
        <xdr:spPr bwMode="auto">
          <a:xfrm>
            <a:off x="503" y="262"/>
            <a:ext cx="6" cy="1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0299" name="Line 27">
            <a:extLst>
              <a:ext uri="{FF2B5EF4-FFF2-40B4-BE49-F238E27FC236}">
                <a16:creationId xmlns:a16="http://schemas.microsoft.com/office/drawing/2014/main" id="{440A1812-0C80-4CCA-B27E-F396ECB4B723}"/>
              </a:ext>
            </a:extLst>
          </xdr:cNvPr>
          <xdr:cNvSpPr>
            <a:spLocks noChangeShapeType="1"/>
          </xdr:cNvSpPr>
        </xdr:nvSpPr>
        <xdr:spPr bwMode="auto">
          <a:xfrm>
            <a:off x="549" y="293"/>
            <a:ext cx="0" cy="2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50300" name="Line 28">
            <a:extLst>
              <a:ext uri="{FF2B5EF4-FFF2-40B4-BE49-F238E27FC236}">
                <a16:creationId xmlns:a16="http://schemas.microsoft.com/office/drawing/2014/main" id="{75E2A572-021D-46CC-A341-9E0658CEA258}"/>
              </a:ext>
            </a:extLst>
          </xdr:cNvPr>
          <xdr:cNvSpPr>
            <a:spLocks noChangeShapeType="1"/>
          </xdr:cNvSpPr>
        </xdr:nvSpPr>
        <xdr:spPr bwMode="auto">
          <a:xfrm flipH="1">
            <a:off x="338" y="293"/>
            <a:ext cx="17" cy="1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301" name="Line 29">
            <a:extLst>
              <a:ext uri="{FF2B5EF4-FFF2-40B4-BE49-F238E27FC236}">
                <a16:creationId xmlns:a16="http://schemas.microsoft.com/office/drawing/2014/main" id="{CA6B605D-E649-46F6-87B0-BF47FB1CAD61}"/>
              </a:ext>
            </a:extLst>
          </xdr:cNvPr>
          <xdr:cNvSpPr>
            <a:spLocks noChangeShapeType="1"/>
          </xdr:cNvSpPr>
        </xdr:nvSpPr>
        <xdr:spPr bwMode="auto">
          <a:xfrm>
            <a:off x="525" y="293"/>
            <a:ext cx="17" cy="1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302" name="Rectangle 30">
            <a:extLst>
              <a:ext uri="{FF2B5EF4-FFF2-40B4-BE49-F238E27FC236}">
                <a16:creationId xmlns:a16="http://schemas.microsoft.com/office/drawing/2014/main" id="{BDC5FF65-5C49-487A-B15A-6E6984545F23}"/>
              </a:ext>
            </a:extLst>
          </xdr:cNvPr>
          <xdr:cNvSpPr>
            <a:spLocks noChangeArrowheads="1"/>
          </xdr:cNvSpPr>
        </xdr:nvSpPr>
        <xdr:spPr bwMode="auto">
          <a:xfrm>
            <a:off x="432" y="293"/>
            <a:ext cx="16" cy="42"/>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0303" name="Line 31">
            <a:extLst>
              <a:ext uri="{FF2B5EF4-FFF2-40B4-BE49-F238E27FC236}">
                <a16:creationId xmlns:a16="http://schemas.microsoft.com/office/drawing/2014/main" id="{5B17F291-DA43-4497-BE73-DF33C025EC30}"/>
              </a:ext>
            </a:extLst>
          </xdr:cNvPr>
          <xdr:cNvSpPr>
            <a:spLocks noChangeShapeType="1"/>
          </xdr:cNvSpPr>
        </xdr:nvSpPr>
        <xdr:spPr bwMode="auto">
          <a:xfrm>
            <a:off x="319" y="310"/>
            <a:ext cx="9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304" name="Line 32">
            <a:extLst>
              <a:ext uri="{FF2B5EF4-FFF2-40B4-BE49-F238E27FC236}">
                <a16:creationId xmlns:a16="http://schemas.microsoft.com/office/drawing/2014/main" id="{89335A03-1059-4829-96F2-575F4B6C3FFE}"/>
              </a:ext>
            </a:extLst>
          </xdr:cNvPr>
          <xdr:cNvSpPr>
            <a:spLocks noChangeShapeType="1"/>
          </xdr:cNvSpPr>
        </xdr:nvSpPr>
        <xdr:spPr bwMode="auto">
          <a:xfrm>
            <a:off x="465" y="310"/>
            <a:ext cx="14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305" name="Line 33">
            <a:extLst>
              <a:ext uri="{FF2B5EF4-FFF2-40B4-BE49-F238E27FC236}">
                <a16:creationId xmlns:a16="http://schemas.microsoft.com/office/drawing/2014/main" id="{9D90D9AD-5E2F-4994-B41B-125CFC8887ED}"/>
              </a:ext>
            </a:extLst>
          </xdr:cNvPr>
          <xdr:cNvSpPr>
            <a:spLocks noChangeShapeType="1"/>
          </xdr:cNvSpPr>
        </xdr:nvSpPr>
        <xdr:spPr bwMode="auto">
          <a:xfrm>
            <a:off x="415" y="310"/>
            <a:ext cx="0" cy="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306" name="Line 34">
            <a:extLst>
              <a:ext uri="{FF2B5EF4-FFF2-40B4-BE49-F238E27FC236}">
                <a16:creationId xmlns:a16="http://schemas.microsoft.com/office/drawing/2014/main" id="{D354A87D-3CDA-4A48-A1AF-3ADEA06985BE}"/>
              </a:ext>
            </a:extLst>
          </xdr:cNvPr>
          <xdr:cNvSpPr>
            <a:spLocks noChangeShapeType="1"/>
          </xdr:cNvSpPr>
        </xdr:nvSpPr>
        <xdr:spPr bwMode="auto">
          <a:xfrm>
            <a:off x="465" y="310"/>
            <a:ext cx="0" cy="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307" name="Line 35">
            <a:extLst>
              <a:ext uri="{FF2B5EF4-FFF2-40B4-BE49-F238E27FC236}">
                <a16:creationId xmlns:a16="http://schemas.microsoft.com/office/drawing/2014/main" id="{CDA691BC-9EAF-488E-AA94-5F884C31F527}"/>
              </a:ext>
            </a:extLst>
          </xdr:cNvPr>
          <xdr:cNvSpPr>
            <a:spLocks noChangeShapeType="1"/>
          </xdr:cNvSpPr>
        </xdr:nvSpPr>
        <xdr:spPr bwMode="auto">
          <a:xfrm>
            <a:off x="415" y="350"/>
            <a:ext cx="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308" name="Line 36">
            <a:extLst>
              <a:ext uri="{FF2B5EF4-FFF2-40B4-BE49-F238E27FC236}">
                <a16:creationId xmlns:a16="http://schemas.microsoft.com/office/drawing/2014/main" id="{ACA04073-21CF-42F6-B8AB-31DB86366A87}"/>
              </a:ext>
            </a:extLst>
          </xdr:cNvPr>
          <xdr:cNvSpPr>
            <a:spLocks noChangeShapeType="1"/>
          </xdr:cNvSpPr>
        </xdr:nvSpPr>
        <xdr:spPr bwMode="auto">
          <a:xfrm>
            <a:off x="293" y="277"/>
            <a:ext cx="61" cy="0"/>
          </a:xfrm>
          <a:prstGeom prst="line">
            <a:avLst/>
          </a:prstGeom>
          <a:noFill/>
          <a:ln w="15875">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a:noFill/>
              </a14:hiddenFill>
            </a:ext>
          </a:extLst>
        </xdr:spPr>
      </xdr:sp>
      <xdr:sp macro="" textlink="">
        <xdr:nvSpPr>
          <xdr:cNvPr id="950309" name="Line 37">
            <a:extLst>
              <a:ext uri="{FF2B5EF4-FFF2-40B4-BE49-F238E27FC236}">
                <a16:creationId xmlns:a16="http://schemas.microsoft.com/office/drawing/2014/main" id="{F51B327D-84CF-4CFB-9652-CDF3DEE86D2B}"/>
              </a:ext>
            </a:extLst>
          </xdr:cNvPr>
          <xdr:cNvSpPr>
            <a:spLocks noChangeShapeType="1"/>
          </xdr:cNvSpPr>
        </xdr:nvSpPr>
        <xdr:spPr bwMode="auto">
          <a:xfrm flipV="1">
            <a:off x="598" y="272"/>
            <a:ext cx="0" cy="21"/>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50310" name="Line 38">
            <a:extLst>
              <a:ext uri="{FF2B5EF4-FFF2-40B4-BE49-F238E27FC236}">
                <a16:creationId xmlns:a16="http://schemas.microsoft.com/office/drawing/2014/main" id="{FA155A2D-62B9-4520-B100-7C322DF622C5}"/>
              </a:ext>
            </a:extLst>
          </xdr:cNvPr>
          <xdr:cNvSpPr>
            <a:spLocks noChangeShapeType="1"/>
          </xdr:cNvSpPr>
        </xdr:nvSpPr>
        <xdr:spPr bwMode="auto">
          <a:xfrm>
            <a:off x="598" y="310"/>
            <a:ext cx="0" cy="2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50311" name="Line 39">
            <a:extLst>
              <a:ext uri="{FF2B5EF4-FFF2-40B4-BE49-F238E27FC236}">
                <a16:creationId xmlns:a16="http://schemas.microsoft.com/office/drawing/2014/main" id="{D731AA8C-710B-4AF5-ABB8-BF7F4C9C1889}"/>
              </a:ext>
            </a:extLst>
          </xdr:cNvPr>
          <xdr:cNvSpPr>
            <a:spLocks noChangeShapeType="1"/>
          </xdr:cNvSpPr>
        </xdr:nvSpPr>
        <xdr:spPr bwMode="auto">
          <a:xfrm flipV="1">
            <a:off x="598" y="293"/>
            <a:ext cx="0" cy="1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312" name="Line 40">
            <a:extLst>
              <a:ext uri="{FF2B5EF4-FFF2-40B4-BE49-F238E27FC236}">
                <a16:creationId xmlns:a16="http://schemas.microsoft.com/office/drawing/2014/main" id="{B3F3BBCE-506C-4455-AD22-0B11120E639D}"/>
              </a:ext>
            </a:extLst>
          </xdr:cNvPr>
          <xdr:cNvSpPr>
            <a:spLocks noChangeShapeType="1"/>
          </xdr:cNvSpPr>
        </xdr:nvSpPr>
        <xdr:spPr bwMode="auto">
          <a:xfrm>
            <a:off x="405" y="380"/>
            <a:ext cx="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sp macro="" textlink="">
        <xdr:nvSpPr>
          <xdr:cNvPr id="950313" name="Line 41">
            <a:extLst>
              <a:ext uri="{FF2B5EF4-FFF2-40B4-BE49-F238E27FC236}">
                <a16:creationId xmlns:a16="http://schemas.microsoft.com/office/drawing/2014/main" id="{A4386F24-DE83-4670-8A8C-9AB92DD5849B}"/>
              </a:ext>
            </a:extLst>
          </xdr:cNvPr>
          <xdr:cNvSpPr>
            <a:spLocks noChangeShapeType="1"/>
          </xdr:cNvSpPr>
        </xdr:nvSpPr>
        <xdr:spPr bwMode="auto">
          <a:xfrm>
            <a:off x="432" y="380"/>
            <a:ext cx="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314" name="Line 42">
            <a:extLst>
              <a:ext uri="{FF2B5EF4-FFF2-40B4-BE49-F238E27FC236}">
                <a16:creationId xmlns:a16="http://schemas.microsoft.com/office/drawing/2014/main" id="{BD18F65F-133E-4A85-A3E2-B0745328CC7A}"/>
              </a:ext>
            </a:extLst>
          </xdr:cNvPr>
          <xdr:cNvSpPr>
            <a:spLocks noChangeShapeType="1"/>
          </xdr:cNvSpPr>
        </xdr:nvSpPr>
        <xdr:spPr bwMode="auto">
          <a:xfrm>
            <a:off x="448" y="380"/>
            <a:ext cx="5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50315" name="Line 43">
            <a:extLst>
              <a:ext uri="{FF2B5EF4-FFF2-40B4-BE49-F238E27FC236}">
                <a16:creationId xmlns:a16="http://schemas.microsoft.com/office/drawing/2014/main" id="{2DA9A2B2-087A-4D26-8903-B1572579A8C7}"/>
              </a:ext>
            </a:extLst>
          </xdr:cNvPr>
          <xdr:cNvSpPr>
            <a:spLocks noChangeShapeType="1"/>
          </xdr:cNvSpPr>
        </xdr:nvSpPr>
        <xdr:spPr bwMode="auto">
          <a:xfrm>
            <a:off x="357" y="354"/>
            <a:ext cx="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316" name="Line 44">
            <a:extLst>
              <a:ext uri="{FF2B5EF4-FFF2-40B4-BE49-F238E27FC236}">
                <a16:creationId xmlns:a16="http://schemas.microsoft.com/office/drawing/2014/main" id="{B27838EB-ADDD-440F-9686-1FDEB40E9D52}"/>
              </a:ext>
            </a:extLst>
          </xdr:cNvPr>
          <xdr:cNvSpPr>
            <a:spLocks noChangeShapeType="1"/>
          </xdr:cNvSpPr>
        </xdr:nvSpPr>
        <xdr:spPr bwMode="auto">
          <a:xfrm>
            <a:off x="326" y="319"/>
            <a:ext cx="4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319" name="Line 47">
            <a:extLst>
              <a:ext uri="{FF2B5EF4-FFF2-40B4-BE49-F238E27FC236}">
                <a16:creationId xmlns:a16="http://schemas.microsoft.com/office/drawing/2014/main" id="{7A17C096-BAA2-4108-BDDA-82A13FBB3429}"/>
              </a:ext>
            </a:extLst>
          </xdr:cNvPr>
          <xdr:cNvSpPr>
            <a:spLocks noChangeShapeType="1"/>
          </xdr:cNvSpPr>
        </xdr:nvSpPr>
        <xdr:spPr bwMode="auto">
          <a:xfrm flipH="1">
            <a:off x="340" y="331"/>
            <a:ext cx="3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320" name="AutoShape 48">
            <a:extLst>
              <a:ext uri="{FF2B5EF4-FFF2-40B4-BE49-F238E27FC236}">
                <a16:creationId xmlns:a16="http://schemas.microsoft.com/office/drawing/2014/main" id="{85552F1F-8D5A-4130-8BD0-AF0A1F94723A}"/>
              </a:ext>
            </a:extLst>
          </xdr:cNvPr>
          <xdr:cNvSpPr>
            <a:spLocks noChangeArrowheads="1"/>
          </xdr:cNvSpPr>
        </xdr:nvSpPr>
        <xdr:spPr bwMode="auto">
          <a:xfrm rot="5400000">
            <a:off x="362" y="331"/>
            <a:ext cx="8" cy="8"/>
          </a:xfrm>
          <a:prstGeom prst="rtTriangl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0321" name="AutoShape 49">
            <a:extLst>
              <a:ext uri="{FF2B5EF4-FFF2-40B4-BE49-F238E27FC236}">
                <a16:creationId xmlns:a16="http://schemas.microsoft.com/office/drawing/2014/main" id="{FC73F0EA-A193-41B6-B895-A82BB787408C}"/>
              </a:ext>
            </a:extLst>
          </xdr:cNvPr>
          <xdr:cNvSpPr>
            <a:spLocks noChangeArrowheads="1"/>
          </xdr:cNvSpPr>
        </xdr:nvSpPr>
        <xdr:spPr bwMode="auto">
          <a:xfrm>
            <a:off x="362" y="323"/>
            <a:ext cx="8" cy="8"/>
          </a:xfrm>
          <a:prstGeom prst="rtTriangl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0323" name="Rectangle 51" descr="Small confetti">
            <a:extLst>
              <a:ext uri="{FF2B5EF4-FFF2-40B4-BE49-F238E27FC236}">
                <a16:creationId xmlns:a16="http://schemas.microsoft.com/office/drawing/2014/main" id="{C1DB0670-05C4-4992-9AB5-B68D49D6E378}"/>
              </a:ext>
            </a:extLst>
          </xdr:cNvPr>
          <xdr:cNvSpPr>
            <a:spLocks noChangeArrowheads="1"/>
          </xdr:cNvSpPr>
        </xdr:nvSpPr>
        <xdr:spPr bwMode="auto">
          <a:xfrm>
            <a:off x="449" y="294"/>
            <a:ext cx="15" cy="55"/>
          </a:xfrm>
          <a:prstGeom prst="rect">
            <a:avLst/>
          </a:prstGeom>
          <a:pattFill prst="smConfetti">
            <a:fgClr>
              <a:srgbClr val="000000"/>
            </a:fgClr>
            <a:bgClr>
              <a:srgbClr val="FFFFFF"/>
            </a:bgClr>
          </a:patt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50324" name="Rectangle 52" descr="Small confetti">
            <a:extLst>
              <a:ext uri="{FF2B5EF4-FFF2-40B4-BE49-F238E27FC236}">
                <a16:creationId xmlns:a16="http://schemas.microsoft.com/office/drawing/2014/main" id="{E2DE98DA-FB7A-4858-AB46-0D8224A78A77}"/>
              </a:ext>
            </a:extLst>
          </xdr:cNvPr>
          <xdr:cNvSpPr>
            <a:spLocks noChangeArrowheads="1"/>
          </xdr:cNvSpPr>
        </xdr:nvSpPr>
        <xdr:spPr bwMode="auto">
          <a:xfrm>
            <a:off x="416" y="294"/>
            <a:ext cx="15" cy="55"/>
          </a:xfrm>
          <a:prstGeom prst="rect">
            <a:avLst/>
          </a:prstGeom>
          <a:pattFill prst="smConfetti">
            <a:fgClr>
              <a:srgbClr val="000000"/>
            </a:fgClr>
            <a:bgClr>
              <a:srgbClr val="FFFFFF"/>
            </a:bgClr>
          </a:patt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50325" name="Rectangle 53" descr="Small confetti">
            <a:extLst>
              <a:ext uri="{FF2B5EF4-FFF2-40B4-BE49-F238E27FC236}">
                <a16:creationId xmlns:a16="http://schemas.microsoft.com/office/drawing/2014/main" id="{41723C40-5390-40C7-AA21-4D28F8C38B60}"/>
              </a:ext>
            </a:extLst>
          </xdr:cNvPr>
          <xdr:cNvSpPr>
            <a:spLocks noChangeArrowheads="1"/>
          </xdr:cNvSpPr>
        </xdr:nvSpPr>
        <xdr:spPr bwMode="auto">
          <a:xfrm>
            <a:off x="463" y="294"/>
            <a:ext cx="62" cy="15"/>
          </a:xfrm>
          <a:prstGeom prst="rect">
            <a:avLst/>
          </a:prstGeom>
          <a:pattFill prst="smConfetti">
            <a:fgClr>
              <a:srgbClr val="000000"/>
            </a:fgClr>
            <a:bgClr>
              <a:srgbClr val="FFFFFF"/>
            </a:bgClr>
          </a:patt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50326" name="Rectangle 54" descr="Small confetti">
            <a:extLst>
              <a:ext uri="{FF2B5EF4-FFF2-40B4-BE49-F238E27FC236}">
                <a16:creationId xmlns:a16="http://schemas.microsoft.com/office/drawing/2014/main" id="{1B1424BC-3394-4D93-A015-D947620A154F}"/>
              </a:ext>
            </a:extLst>
          </xdr:cNvPr>
          <xdr:cNvSpPr>
            <a:spLocks noChangeArrowheads="1"/>
          </xdr:cNvSpPr>
        </xdr:nvSpPr>
        <xdr:spPr bwMode="auto">
          <a:xfrm>
            <a:off x="355" y="294"/>
            <a:ext cx="61" cy="15"/>
          </a:xfrm>
          <a:prstGeom prst="rect">
            <a:avLst/>
          </a:prstGeom>
          <a:pattFill prst="smConfetti">
            <a:fgClr>
              <a:srgbClr val="000000"/>
            </a:fgClr>
            <a:bgClr>
              <a:srgbClr val="FFFFFF"/>
            </a:bgClr>
          </a:patt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50327" name="Rectangle 55" descr="Small confetti">
            <a:extLst>
              <a:ext uri="{FF2B5EF4-FFF2-40B4-BE49-F238E27FC236}">
                <a16:creationId xmlns:a16="http://schemas.microsoft.com/office/drawing/2014/main" id="{A8B2C473-6ADE-45B9-B2F7-832622128CF5}"/>
              </a:ext>
            </a:extLst>
          </xdr:cNvPr>
          <xdr:cNvSpPr>
            <a:spLocks noChangeArrowheads="1"/>
          </xdr:cNvSpPr>
        </xdr:nvSpPr>
        <xdr:spPr bwMode="auto">
          <a:xfrm>
            <a:off x="430" y="336"/>
            <a:ext cx="21" cy="13"/>
          </a:xfrm>
          <a:prstGeom prst="rect">
            <a:avLst/>
          </a:prstGeom>
          <a:pattFill prst="smConfetti">
            <a:fgClr>
              <a:srgbClr val="000000"/>
            </a:fgClr>
            <a:bgClr>
              <a:srgbClr val="FFFFFF"/>
            </a:bgClr>
          </a:patt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50328" name="AutoShape 56" descr="Small confetti">
            <a:extLst>
              <a:ext uri="{FF2B5EF4-FFF2-40B4-BE49-F238E27FC236}">
                <a16:creationId xmlns:a16="http://schemas.microsoft.com/office/drawing/2014/main" id="{BFB7A4AF-85C8-4C62-9468-D35140174E10}"/>
              </a:ext>
            </a:extLst>
          </xdr:cNvPr>
          <xdr:cNvSpPr>
            <a:spLocks noChangeArrowheads="1"/>
          </xdr:cNvSpPr>
        </xdr:nvSpPr>
        <xdr:spPr bwMode="auto">
          <a:xfrm>
            <a:off x="524" y="294"/>
            <a:ext cx="16" cy="15"/>
          </a:xfrm>
          <a:prstGeom prst="rtTriangle">
            <a:avLst/>
          </a:prstGeom>
          <a:pattFill prst="smConfetti">
            <a:fgClr>
              <a:srgbClr val="000000"/>
            </a:fgClr>
            <a:bgClr>
              <a:srgbClr val="FFFFFF"/>
            </a:bgClr>
          </a:patt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50329" name="AutoShape 57" descr="Small confetti">
            <a:extLst>
              <a:ext uri="{FF2B5EF4-FFF2-40B4-BE49-F238E27FC236}">
                <a16:creationId xmlns:a16="http://schemas.microsoft.com/office/drawing/2014/main" id="{14B845CC-AA34-4E80-B417-4BDEFE9A7EDB}"/>
              </a:ext>
            </a:extLst>
          </xdr:cNvPr>
          <xdr:cNvSpPr>
            <a:spLocks noChangeArrowheads="1"/>
          </xdr:cNvSpPr>
        </xdr:nvSpPr>
        <xdr:spPr bwMode="auto">
          <a:xfrm rot="16200000">
            <a:off x="339" y="294"/>
            <a:ext cx="15" cy="16"/>
          </a:xfrm>
          <a:prstGeom prst="rtTriangle">
            <a:avLst/>
          </a:prstGeom>
          <a:pattFill prst="smConfetti">
            <a:fgClr>
              <a:srgbClr val="000000"/>
            </a:fgClr>
            <a:bgClr>
              <a:srgbClr val="FFFFFF"/>
            </a:bgClr>
          </a:patt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50330" name="Line 58">
            <a:extLst>
              <a:ext uri="{FF2B5EF4-FFF2-40B4-BE49-F238E27FC236}">
                <a16:creationId xmlns:a16="http://schemas.microsoft.com/office/drawing/2014/main" id="{7483AE74-BDAC-47B9-9634-9E12062193F0}"/>
              </a:ext>
            </a:extLst>
          </xdr:cNvPr>
          <xdr:cNvSpPr>
            <a:spLocks noChangeShapeType="1"/>
          </xdr:cNvSpPr>
        </xdr:nvSpPr>
        <xdr:spPr bwMode="auto">
          <a:xfrm>
            <a:off x="374" y="276"/>
            <a:ext cx="0" cy="38"/>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950331" name="Line 59">
            <a:extLst>
              <a:ext uri="{FF2B5EF4-FFF2-40B4-BE49-F238E27FC236}">
                <a16:creationId xmlns:a16="http://schemas.microsoft.com/office/drawing/2014/main" id="{919BE32B-78B5-4F61-A053-B6EE81EA84CB}"/>
              </a:ext>
            </a:extLst>
          </xdr:cNvPr>
          <xdr:cNvSpPr>
            <a:spLocks noChangeShapeType="1"/>
          </xdr:cNvSpPr>
        </xdr:nvSpPr>
        <xdr:spPr bwMode="auto">
          <a:xfrm>
            <a:off x="506" y="276"/>
            <a:ext cx="0" cy="38"/>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950332" name="Line 60">
            <a:extLst>
              <a:ext uri="{FF2B5EF4-FFF2-40B4-BE49-F238E27FC236}">
                <a16:creationId xmlns:a16="http://schemas.microsoft.com/office/drawing/2014/main" id="{0089B20A-7666-4381-962C-93DA58B00031}"/>
              </a:ext>
            </a:extLst>
          </xdr:cNvPr>
          <xdr:cNvSpPr>
            <a:spLocks noChangeShapeType="1"/>
          </xdr:cNvSpPr>
        </xdr:nvSpPr>
        <xdr:spPr bwMode="auto">
          <a:xfrm>
            <a:off x="481" y="293"/>
            <a:ext cx="0" cy="42"/>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0333" name="AutoShape 61">
            <a:extLst>
              <a:ext uri="{FF2B5EF4-FFF2-40B4-BE49-F238E27FC236}">
                <a16:creationId xmlns:a16="http://schemas.microsoft.com/office/drawing/2014/main" id="{D57095A2-AFD3-42E0-8381-475867004457}"/>
              </a:ext>
            </a:extLst>
          </xdr:cNvPr>
          <xdr:cNvSpPr>
            <a:spLocks noChangeArrowheads="1"/>
          </xdr:cNvSpPr>
        </xdr:nvSpPr>
        <xdr:spPr bwMode="auto">
          <a:xfrm rot="10800000">
            <a:off x="426" y="294"/>
            <a:ext cx="6" cy="6"/>
          </a:xfrm>
          <a:prstGeom prst="rtTriangl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0334" name="AutoShape 62">
            <a:extLst>
              <a:ext uri="{FF2B5EF4-FFF2-40B4-BE49-F238E27FC236}">
                <a16:creationId xmlns:a16="http://schemas.microsoft.com/office/drawing/2014/main" id="{DC4476FB-E52A-429C-8DF4-0C2084ECE6A7}"/>
              </a:ext>
            </a:extLst>
          </xdr:cNvPr>
          <xdr:cNvSpPr>
            <a:spLocks noChangeArrowheads="1"/>
          </xdr:cNvSpPr>
        </xdr:nvSpPr>
        <xdr:spPr bwMode="auto">
          <a:xfrm rot="5400000">
            <a:off x="448" y="294"/>
            <a:ext cx="6" cy="6"/>
          </a:xfrm>
          <a:prstGeom prst="rtTriangl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0335" name="Line 63">
            <a:extLst>
              <a:ext uri="{FF2B5EF4-FFF2-40B4-BE49-F238E27FC236}">
                <a16:creationId xmlns:a16="http://schemas.microsoft.com/office/drawing/2014/main" id="{94094A93-028C-484B-94FE-6022A93F4E20}"/>
              </a:ext>
            </a:extLst>
          </xdr:cNvPr>
          <xdr:cNvSpPr>
            <a:spLocks noChangeShapeType="1"/>
          </xdr:cNvSpPr>
        </xdr:nvSpPr>
        <xdr:spPr bwMode="auto">
          <a:xfrm>
            <a:off x="432" y="339"/>
            <a:ext cx="0" cy="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336" name="Line 64">
            <a:extLst>
              <a:ext uri="{FF2B5EF4-FFF2-40B4-BE49-F238E27FC236}">
                <a16:creationId xmlns:a16="http://schemas.microsoft.com/office/drawing/2014/main" id="{D1626F99-1B0D-4C63-BA14-EA3A873EB7B4}"/>
              </a:ext>
            </a:extLst>
          </xdr:cNvPr>
          <xdr:cNvSpPr>
            <a:spLocks noChangeShapeType="1"/>
          </xdr:cNvSpPr>
        </xdr:nvSpPr>
        <xdr:spPr bwMode="auto">
          <a:xfrm>
            <a:off x="448" y="339"/>
            <a:ext cx="0" cy="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0337" name="Line 65">
            <a:extLst>
              <a:ext uri="{FF2B5EF4-FFF2-40B4-BE49-F238E27FC236}">
                <a16:creationId xmlns:a16="http://schemas.microsoft.com/office/drawing/2014/main" id="{C4DC6BF1-A1A7-44CB-A113-6544BB30B8F4}"/>
              </a:ext>
            </a:extLst>
          </xdr:cNvPr>
          <xdr:cNvSpPr>
            <a:spLocks noChangeShapeType="1"/>
          </xdr:cNvSpPr>
        </xdr:nvSpPr>
        <xdr:spPr bwMode="auto">
          <a:xfrm flipV="1">
            <a:off x="374" y="300"/>
            <a:ext cx="23"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sp macro="" textlink="">
        <xdr:nvSpPr>
          <xdr:cNvPr id="950338" name="Line 66">
            <a:extLst>
              <a:ext uri="{FF2B5EF4-FFF2-40B4-BE49-F238E27FC236}">
                <a16:creationId xmlns:a16="http://schemas.microsoft.com/office/drawing/2014/main" id="{7ACA30E7-59CA-4CE1-AB78-2794D7026354}"/>
              </a:ext>
            </a:extLst>
          </xdr:cNvPr>
          <xdr:cNvSpPr>
            <a:spLocks noChangeShapeType="1"/>
          </xdr:cNvSpPr>
        </xdr:nvSpPr>
        <xdr:spPr bwMode="auto">
          <a:xfrm flipV="1">
            <a:off x="376" y="298"/>
            <a:ext cx="50" cy="3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sp macro="" textlink="">
        <xdr:nvSpPr>
          <xdr:cNvPr id="950339" name="Line 67">
            <a:extLst>
              <a:ext uri="{FF2B5EF4-FFF2-40B4-BE49-F238E27FC236}">
                <a16:creationId xmlns:a16="http://schemas.microsoft.com/office/drawing/2014/main" id="{094DFAEE-8EC6-4BCF-9F53-F8EF7FDD386B}"/>
              </a:ext>
            </a:extLst>
          </xdr:cNvPr>
          <xdr:cNvSpPr>
            <a:spLocks noChangeShapeType="1"/>
          </xdr:cNvSpPr>
        </xdr:nvSpPr>
        <xdr:spPr bwMode="auto">
          <a:xfrm flipV="1">
            <a:off x="385" y="323"/>
            <a:ext cx="47" cy="3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sp macro="" textlink="">
        <xdr:nvSpPr>
          <xdr:cNvPr id="950340" name="Line 68">
            <a:extLst>
              <a:ext uri="{FF2B5EF4-FFF2-40B4-BE49-F238E27FC236}">
                <a16:creationId xmlns:a16="http://schemas.microsoft.com/office/drawing/2014/main" id="{B090B471-32A9-4079-9DF7-F8C8E880DF86}"/>
              </a:ext>
            </a:extLst>
          </xdr:cNvPr>
          <xdr:cNvSpPr>
            <a:spLocks noChangeShapeType="1"/>
          </xdr:cNvSpPr>
        </xdr:nvSpPr>
        <xdr:spPr bwMode="auto">
          <a:xfrm>
            <a:off x="367" y="276"/>
            <a:ext cx="0" cy="34"/>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0341" name="Line 69">
            <a:extLst>
              <a:ext uri="{FF2B5EF4-FFF2-40B4-BE49-F238E27FC236}">
                <a16:creationId xmlns:a16="http://schemas.microsoft.com/office/drawing/2014/main" id="{54CC558C-4206-4294-91E8-391DD4B2991B}"/>
              </a:ext>
            </a:extLst>
          </xdr:cNvPr>
          <xdr:cNvSpPr>
            <a:spLocks noChangeShapeType="1"/>
          </xdr:cNvSpPr>
        </xdr:nvSpPr>
        <xdr:spPr bwMode="auto">
          <a:xfrm>
            <a:off x="513" y="276"/>
            <a:ext cx="0" cy="34"/>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0342" name="Line 70">
            <a:extLst>
              <a:ext uri="{FF2B5EF4-FFF2-40B4-BE49-F238E27FC236}">
                <a16:creationId xmlns:a16="http://schemas.microsoft.com/office/drawing/2014/main" id="{59031125-F7C3-4909-BCBD-6F462B83152A}"/>
              </a:ext>
            </a:extLst>
          </xdr:cNvPr>
          <xdr:cNvSpPr>
            <a:spLocks noChangeShapeType="1"/>
          </xdr:cNvSpPr>
        </xdr:nvSpPr>
        <xdr:spPr bwMode="auto">
          <a:xfrm>
            <a:off x="499" y="276"/>
            <a:ext cx="0" cy="34"/>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0343" name="Line 71">
            <a:extLst>
              <a:ext uri="{FF2B5EF4-FFF2-40B4-BE49-F238E27FC236}">
                <a16:creationId xmlns:a16="http://schemas.microsoft.com/office/drawing/2014/main" id="{65E2915A-09F7-4725-BFCD-1C4564386106}"/>
              </a:ext>
            </a:extLst>
          </xdr:cNvPr>
          <xdr:cNvSpPr>
            <a:spLocks noChangeShapeType="1"/>
          </xdr:cNvSpPr>
        </xdr:nvSpPr>
        <xdr:spPr bwMode="auto">
          <a:xfrm>
            <a:off x="381" y="276"/>
            <a:ext cx="0" cy="34"/>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0344" name="Line 72">
            <a:extLst>
              <a:ext uri="{FF2B5EF4-FFF2-40B4-BE49-F238E27FC236}">
                <a16:creationId xmlns:a16="http://schemas.microsoft.com/office/drawing/2014/main" id="{676988EE-8D34-4242-AA3F-AD480892EDCE}"/>
              </a:ext>
            </a:extLst>
          </xdr:cNvPr>
          <xdr:cNvSpPr>
            <a:spLocks noChangeShapeType="1"/>
          </xdr:cNvSpPr>
        </xdr:nvSpPr>
        <xdr:spPr bwMode="auto">
          <a:xfrm>
            <a:off x="452" y="335"/>
            <a:ext cx="4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383</xdr:row>
      <xdr:rowOff>68580</xdr:rowOff>
    </xdr:from>
    <xdr:to>
      <xdr:col>14</xdr:col>
      <xdr:colOff>175260</xdr:colOff>
      <xdr:row>398</xdr:row>
      <xdr:rowOff>137160</xdr:rowOff>
    </xdr:to>
    <xdr:grpSp>
      <xdr:nvGrpSpPr>
        <xdr:cNvPr id="954369" name="Group 1">
          <a:extLst>
            <a:ext uri="{FF2B5EF4-FFF2-40B4-BE49-F238E27FC236}">
              <a16:creationId xmlns:a16="http://schemas.microsoft.com/office/drawing/2014/main" id="{355292D4-0FB8-49D7-BF6D-EB42D2241345}"/>
            </a:ext>
          </a:extLst>
        </xdr:cNvPr>
        <xdr:cNvGrpSpPr>
          <a:grpSpLocks/>
        </xdr:cNvGrpSpPr>
      </xdr:nvGrpSpPr>
      <xdr:grpSpPr bwMode="auto">
        <a:xfrm>
          <a:off x="7705725" y="782955"/>
          <a:ext cx="2089785" cy="2640330"/>
          <a:chOff x="787" y="79"/>
          <a:chExt cx="213" cy="262"/>
        </a:xfrm>
      </xdr:grpSpPr>
      <xdr:sp macro="" textlink="">
        <xdr:nvSpPr>
          <xdr:cNvPr id="954370" name="Rectangle 2">
            <a:extLst>
              <a:ext uri="{FF2B5EF4-FFF2-40B4-BE49-F238E27FC236}">
                <a16:creationId xmlns:a16="http://schemas.microsoft.com/office/drawing/2014/main" id="{BD4B9EE7-32D4-4EE0-8A7B-CEB5AB815105}"/>
              </a:ext>
            </a:extLst>
          </xdr:cNvPr>
          <xdr:cNvSpPr>
            <a:spLocks noChangeArrowheads="1"/>
          </xdr:cNvSpPr>
        </xdr:nvSpPr>
        <xdr:spPr bwMode="auto">
          <a:xfrm>
            <a:off x="787" y="225"/>
            <a:ext cx="170" cy="17"/>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4371" name="Rectangle 3">
            <a:extLst>
              <a:ext uri="{FF2B5EF4-FFF2-40B4-BE49-F238E27FC236}">
                <a16:creationId xmlns:a16="http://schemas.microsoft.com/office/drawing/2014/main" id="{0F894F3E-FC22-4E66-B266-B8846989A664}"/>
              </a:ext>
            </a:extLst>
          </xdr:cNvPr>
          <xdr:cNvSpPr>
            <a:spLocks noChangeArrowheads="1"/>
          </xdr:cNvSpPr>
        </xdr:nvSpPr>
        <xdr:spPr bwMode="auto">
          <a:xfrm>
            <a:off x="826" y="121"/>
            <a:ext cx="11" cy="104"/>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4372" name="Rectangle 4">
            <a:extLst>
              <a:ext uri="{FF2B5EF4-FFF2-40B4-BE49-F238E27FC236}">
                <a16:creationId xmlns:a16="http://schemas.microsoft.com/office/drawing/2014/main" id="{10A0E8C1-B509-4769-8959-A8308CF0FC26}"/>
              </a:ext>
            </a:extLst>
          </xdr:cNvPr>
          <xdr:cNvSpPr>
            <a:spLocks noChangeArrowheads="1"/>
          </xdr:cNvSpPr>
        </xdr:nvSpPr>
        <xdr:spPr bwMode="auto">
          <a:xfrm>
            <a:off x="906" y="121"/>
            <a:ext cx="12" cy="104"/>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4373" name="Line 5">
            <a:extLst>
              <a:ext uri="{FF2B5EF4-FFF2-40B4-BE49-F238E27FC236}">
                <a16:creationId xmlns:a16="http://schemas.microsoft.com/office/drawing/2014/main" id="{7776437C-5BD3-4587-B68E-59555532E72F}"/>
              </a:ext>
            </a:extLst>
          </xdr:cNvPr>
          <xdr:cNvSpPr>
            <a:spLocks noChangeShapeType="1"/>
          </xdr:cNvSpPr>
        </xdr:nvSpPr>
        <xdr:spPr bwMode="auto">
          <a:xfrm>
            <a:off x="811" y="121"/>
            <a:ext cx="4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374" name="Line 6">
            <a:extLst>
              <a:ext uri="{FF2B5EF4-FFF2-40B4-BE49-F238E27FC236}">
                <a16:creationId xmlns:a16="http://schemas.microsoft.com/office/drawing/2014/main" id="{F25C4FA3-8AC4-42DA-AC50-FC75AE018314}"/>
              </a:ext>
            </a:extLst>
          </xdr:cNvPr>
          <xdr:cNvSpPr>
            <a:spLocks noChangeShapeType="1"/>
          </xdr:cNvSpPr>
        </xdr:nvSpPr>
        <xdr:spPr bwMode="auto">
          <a:xfrm>
            <a:off x="883" y="121"/>
            <a:ext cx="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375" name="Line 7">
            <a:extLst>
              <a:ext uri="{FF2B5EF4-FFF2-40B4-BE49-F238E27FC236}">
                <a16:creationId xmlns:a16="http://schemas.microsoft.com/office/drawing/2014/main" id="{0FF5550D-CE66-4D02-90EE-1963901F071A}"/>
              </a:ext>
            </a:extLst>
          </xdr:cNvPr>
          <xdr:cNvSpPr>
            <a:spLocks noChangeShapeType="1"/>
          </xdr:cNvSpPr>
        </xdr:nvSpPr>
        <xdr:spPr bwMode="auto">
          <a:xfrm flipV="1">
            <a:off x="859" y="112"/>
            <a:ext cx="9" cy="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376" name="Line 8">
            <a:extLst>
              <a:ext uri="{FF2B5EF4-FFF2-40B4-BE49-F238E27FC236}">
                <a16:creationId xmlns:a16="http://schemas.microsoft.com/office/drawing/2014/main" id="{71D9A61A-E382-4B3A-9276-526D6278B29E}"/>
              </a:ext>
            </a:extLst>
          </xdr:cNvPr>
          <xdr:cNvSpPr>
            <a:spLocks noChangeShapeType="1"/>
          </xdr:cNvSpPr>
        </xdr:nvSpPr>
        <xdr:spPr bwMode="auto">
          <a:xfrm flipH="1">
            <a:off x="874" y="121"/>
            <a:ext cx="9" cy="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377" name="Line 9">
            <a:extLst>
              <a:ext uri="{FF2B5EF4-FFF2-40B4-BE49-F238E27FC236}">
                <a16:creationId xmlns:a16="http://schemas.microsoft.com/office/drawing/2014/main" id="{7E8F1ADC-5753-4147-81D9-CC06A71E3C8F}"/>
              </a:ext>
            </a:extLst>
          </xdr:cNvPr>
          <xdr:cNvSpPr>
            <a:spLocks noChangeShapeType="1"/>
          </xdr:cNvSpPr>
        </xdr:nvSpPr>
        <xdr:spPr bwMode="auto">
          <a:xfrm>
            <a:off x="868" y="112"/>
            <a:ext cx="5"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378" name="AutoShape 10">
            <a:extLst>
              <a:ext uri="{FF2B5EF4-FFF2-40B4-BE49-F238E27FC236}">
                <a16:creationId xmlns:a16="http://schemas.microsoft.com/office/drawing/2014/main" id="{140C78B5-F65F-4501-98CE-7FB0DBC35502}"/>
              </a:ext>
            </a:extLst>
          </xdr:cNvPr>
          <xdr:cNvSpPr>
            <a:spLocks noChangeArrowheads="1"/>
          </xdr:cNvSpPr>
        </xdr:nvSpPr>
        <xdr:spPr bwMode="auto">
          <a:xfrm rot="10800000">
            <a:off x="847" y="242"/>
            <a:ext cx="110" cy="49"/>
          </a:xfrm>
          <a:prstGeom prst="rtTriangle">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4379" name="Line 11">
            <a:extLst>
              <a:ext uri="{FF2B5EF4-FFF2-40B4-BE49-F238E27FC236}">
                <a16:creationId xmlns:a16="http://schemas.microsoft.com/office/drawing/2014/main" id="{CF6B06EF-1A1D-42A3-951B-B1EB4C66976B}"/>
              </a:ext>
            </a:extLst>
          </xdr:cNvPr>
          <xdr:cNvSpPr>
            <a:spLocks noChangeShapeType="1"/>
          </xdr:cNvSpPr>
        </xdr:nvSpPr>
        <xdr:spPr bwMode="auto">
          <a:xfrm flipV="1">
            <a:off x="957" y="242"/>
            <a:ext cx="0" cy="4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54380" name="Line 12">
            <a:extLst>
              <a:ext uri="{FF2B5EF4-FFF2-40B4-BE49-F238E27FC236}">
                <a16:creationId xmlns:a16="http://schemas.microsoft.com/office/drawing/2014/main" id="{2AA2B7A0-B3E4-4AA0-8834-445121CB6A00}"/>
              </a:ext>
            </a:extLst>
          </xdr:cNvPr>
          <xdr:cNvSpPr>
            <a:spLocks noChangeShapeType="1"/>
          </xdr:cNvSpPr>
        </xdr:nvSpPr>
        <xdr:spPr bwMode="auto">
          <a:xfrm flipV="1">
            <a:off x="942" y="242"/>
            <a:ext cx="0" cy="4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54381" name="Line 13">
            <a:extLst>
              <a:ext uri="{FF2B5EF4-FFF2-40B4-BE49-F238E27FC236}">
                <a16:creationId xmlns:a16="http://schemas.microsoft.com/office/drawing/2014/main" id="{CBE6D696-7569-4CC4-B293-73A7D512086C}"/>
              </a:ext>
            </a:extLst>
          </xdr:cNvPr>
          <xdr:cNvSpPr>
            <a:spLocks noChangeShapeType="1"/>
          </xdr:cNvSpPr>
        </xdr:nvSpPr>
        <xdr:spPr bwMode="auto">
          <a:xfrm flipV="1">
            <a:off x="926" y="242"/>
            <a:ext cx="0" cy="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54382" name="Line 14">
            <a:extLst>
              <a:ext uri="{FF2B5EF4-FFF2-40B4-BE49-F238E27FC236}">
                <a16:creationId xmlns:a16="http://schemas.microsoft.com/office/drawing/2014/main" id="{F526143D-C1A3-4DE3-A333-61AF3D09EB24}"/>
              </a:ext>
            </a:extLst>
          </xdr:cNvPr>
          <xdr:cNvSpPr>
            <a:spLocks noChangeShapeType="1"/>
          </xdr:cNvSpPr>
        </xdr:nvSpPr>
        <xdr:spPr bwMode="auto">
          <a:xfrm flipV="1">
            <a:off x="910" y="242"/>
            <a:ext cx="0" cy="2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54383" name="Line 15">
            <a:extLst>
              <a:ext uri="{FF2B5EF4-FFF2-40B4-BE49-F238E27FC236}">
                <a16:creationId xmlns:a16="http://schemas.microsoft.com/office/drawing/2014/main" id="{F27DE81B-6437-49B7-8078-13989513D3A7}"/>
              </a:ext>
            </a:extLst>
          </xdr:cNvPr>
          <xdr:cNvSpPr>
            <a:spLocks noChangeShapeType="1"/>
          </xdr:cNvSpPr>
        </xdr:nvSpPr>
        <xdr:spPr bwMode="auto">
          <a:xfrm flipV="1">
            <a:off x="895" y="242"/>
            <a:ext cx="0" cy="2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54384" name="Line 16">
            <a:extLst>
              <a:ext uri="{FF2B5EF4-FFF2-40B4-BE49-F238E27FC236}">
                <a16:creationId xmlns:a16="http://schemas.microsoft.com/office/drawing/2014/main" id="{855EB7AD-7A8D-4C7E-BBC7-62D3A135BEE1}"/>
              </a:ext>
            </a:extLst>
          </xdr:cNvPr>
          <xdr:cNvSpPr>
            <a:spLocks noChangeShapeType="1"/>
          </xdr:cNvSpPr>
        </xdr:nvSpPr>
        <xdr:spPr bwMode="auto">
          <a:xfrm flipV="1">
            <a:off x="880" y="242"/>
            <a:ext cx="0" cy="1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54385" name="Line 17">
            <a:extLst>
              <a:ext uri="{FF2B5EF4-FFF2-40B4-BE49-F238E27FC236}">
                <a16:creationId xmlns:a16="http://schemas.microsoft.com/office/drawing/2014/main" id="{1D66FFBF-50A3-4EFB-88A4-722C6302FA1C}"/>
              </a:ext>
            </a:extLst>
          </xdr:cNvPr>
          <xdr:cNvSpPr>
            <a:spLocks noChangeShapeType="1"/>
          </xdr:cNvSpPr>
        </xdr:nvSpPr>
        <xdr:spPr bwMode="auto">
          <a:xfrm flipV="1">
            <a:off x="865" y="242"/>
            <a:ext cx="0" cy="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54386" name="Line 18">
            <a:extLst>
              <a:ext uri="{FF2B5EF4-FFF2-40B4-BE49-F238E27FC236}">
                <a16:creationId xmlns:a16="http://schemas.microsoft.com/office/drawing/2014/main" id="{F7F0BB0A-5413-4729-8476-2F20C841F5E4}"/>
              </a:ext>
            </a:extLst>
          </xdr:cNvPr>
          <xdr:cNvSpPr>
            <a:spLocks noChangeShapeType="1"/>
          </xdr:cNvSpPr>
        </xdr:nvSpPr>
        <xdr:spPr bwMode="auto">
          <a:xfrm>
            <a:off x="847" y="247"/>
            <a:ext cx="0" cy="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387" name="Line 19">
            <a:extLst>
              <a:ext uri="{FF2B5EF4-FFF2-40B4-BE49-F238E27FC236}">
                <a16:creationId xmlns:a16="http://schemas.microsoft.com/office/drawing/2014/main" id="{FC1CF0B5-A352-4F7E-99D5-283A38F5AEB1}"/>
              </a:ext>
            </a:extLst>
          </xdr:cNvPr>
          <xdr:cNvSpPr>
            <a:spLocks noChangeShapeType="1"/>
          </xdr:cNvSpPr>
        </xdr:nvSpPr>
        <xdr:spPr bwMode="auto">
          <a:xfrm>
            <a:off x="957" y="295"/>
            <a:ext cx="0" cy="4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388" name="Line 20">
            <a:extLst>
              <a:ext uri="{FF2B5EF4-FFF2-40B4-BE49-F238E27FC236}">
                <a16:creationId xmlns:a16="http://schemas.microsoft.com/office/drawing/2014/main" id="{024FA355-C5B6-4A55-9BED-B2DCDA146F24}"/>
              </a:ext>
            </a:extLst>
          </xdr:cNvPr>
          <xdr:cNvSpPr>
            <a:spLocks noChangeShapeType="1"/>
          </xdr:cNvSpPr>
        </xdr:nvSpPr>
        <xdr:spPr bwMode="auto">
          <a:xfrm>
            <a:off x="847" y="299"/>
            <a:ext cx="11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4389" name="Line 21">
            <a:extLst>
              <a:ext uri="{FF2B5EF4-FFF2-40B4-BE49-F238E27FC236}">
                <a16:creationId xmlns:a16="http://schemas.microsoft.com/office/drawing/2014/main" id="{16CBAAB8-FFA3-4F6B-864C-22DC69CE0605}"/>
              </a:ext>
            </a:extLst>
          </xdr:cNvPr>
          <xdr:cNvSpPr>
            <a:spLocks noChangeShapeType="1"/>
          </xdr:cNvSpPr>
        </xdr:nvSpPr>
        <xdr:spPr bwMode="auto">
          <a:xfrm>
            <a:off x="1000" y="79"/>
            <a:ext cx="0" cy="76"/>
          </a:xfrm>
          <a:prstGeom prst="line">
            <a:avLst/>
          </a:prstGeom>
          <a:noFill/>
          <a:ln w="15875">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a:noFill/>
              </a14:hiddenFill>
            </a:ext>
          </a:extLst>
        </xdr:spPr>
      </xdr:sp>
      <xdr:sp macro="" textlink="">
        <xdr:nvSpPr>
          <xdr:cNvPr id="954390" name="Line 22">
            <a:extLst>
              <a:ext uri="{FF2B5EF4-FFF2-40B4-BE49-F238E27FC236}">
                <a16:creationId xmlns:a16="http://schemas.microsoft.com/office/drawing/2014/main" id="{96BF0371-1ED1-4C16-BE10-7CC992388975}"/>
              </a:ext>
            </a:extLst>
          </xdr:cNvPr>
          <xdr:cNvSpPr>
            <a:spLocks noChangeShapeType="1"/>
          </xdr:cNvSpPr>
        </xdr:nvSpPr>
        <xdr:spPr bwMode="auto">
          <a:xfrm>
            <a:off x="870" y="80"/>
            <a:ext cx="0" cy="96"/>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954391" name="Line 23">
            <a:extLst>
              <a:ext uri="{FF2B5EF4-FFF2-40B4-BE49-F238E27FC236}">
                <a16:creationId xmlns:a16="http://schemas.microsoft.com/office/drawing/2014/main" id="{339EDE26-C1A2-4BAA-9E0D-97B8E6A5771C}"/>
              </a:ext>
            </a:extLst>
          </xdr:cNvPr>
          <xdr:cNvSpPr>
            <a:spLocks noChangeShapeType="1"/>
          </xdr:cNvSpPr>
        </xdr:nvSpPr>
        <xdr:spPr bwMode="auto">
          <a:xfrm>
            <a:off x="870" y="92"/>
            <a:ext cx="1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4392" name="Line 24">
            <a:extLst>
              <a:ext uri="{FF2B5EF4-FFF2-40B4-BE49-F238E27FC236}">
                <a16:creationId xmlns:a16="http://schemas.microsoft.com/office/drawing/2014/main" id="{39032B6A-D0A6-4D7B-AC99-1F1131BE3675}"/>
              </a:ext>
            </a:extLst>
          </xdr:cNvPr>
          <xdr:cNvSpPr>
            <a:spLocks noChangeShapeType="1"/>
          </xdr:cNvSpPr>
        </xdr:nvSpPr>
        <xdr:spPr bwMode="auto">
          <a:xfrm>
            <a:off x="961" y="242"/>
            <a:ext cx="3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393" name="Line 25">
            <a:extLst>
              <a:ext uri="{FF2B5EF4-FFF2-40B4-BE49-F238E27FC236}">
                <a16:creationId xmlns:a16="http://schemas.microsoft.com/office/drawing/2014/main" id="{A35B06F8-9F12-4843-84C7-501AA26D2492}"/>
              </a:ext>
            </a:extLst>
          </xdr:cNvPr>
          <xdr:cNvSpPr>
            <a:spLocks noChangeShapeType="1"/>
          </xdr:cNvSpPr>
        </xdr:nvSpPr>
        <xdr:spPr bwMode="auto">
          <a:xfrm>
            <a:off x="961" y="291"/>
            <a:ext cx="3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394" name="Line 26">
            <a:extLst>
              <a:ext uri="{FF2B5EF4-FFF2-40B4-BE49-F238E27FC236}">
                <a16:creationId xmlns:a16="http://schemas.microsoft.com/office/drawing/2014/main" id="{2CFD1F6D-4ACF-4FEC-8FD1-931EBA692125}"/>
              </a:ext>
            </a:extLst>
          </xdr:cNvPr>
          <xdr:cNvSpPr>
            <a:spLocks noChangeShapeType="1"/>
          </xdr:cNvSpPr>
        </xdr:nvSpPr>
        <xdr:spPr bwMode="auto">
          <a:xfrm>
            <a:off x="977" y="242"/>
            <a:ext cx="0" cy="4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4395" name="Line 27">
            <a:extLst>
              <a:ext uri="{FF2B5EF4-FFF2-40B4-BE49-F238E27FC236}">
                <a16:creationId xmlns:a16="http://schemas.microsoft.com/office/drawing/2014/main" id="{D8AB608E-18EC-4B5E-9EBA-1767628F20BB}"/>
              </a:ext>
            </a:extLst>
          </xdr:cNvPr>
          <xdr:cNvSpPr>
            <a:spLocks noChangeShapeType="1"/>
          </xdr:cNvSpPr>
        </xdr:nvSpPr>
        <xdr:spPr bwMode="auto">
          <a:xfrm>
            <a:off x="961" y="225"/>
            <a:ext cx="3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396" name="Line 28">
            <a:extLst>
              <a:ext uri="{FF2B5EF4-FFF2-40B4-BE49-F238E27FC236}">
                <a16:creationId xmlns:a16="http://schemas.microsoft.com/office/drawing/2014/main" id="{5905E346-D8AA-4CE5-B542-DC333E245F3A}"/>
              </a:ext>
            </a:extLst>
          </xdr:cNvPr>
          <xdr:cNvSpPr>
            <a:spLocks noChangeShapeType="1"/>
          </xdr:cNvSpPr>
        </xdr:nvSpPr>
        <xdr:spPr bwMode="auto">
          <a:xfrm flipV="1">
            <a:off x="977" y="225"/>
            <a:ext cx="0" cy="1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397" name="Line 29">
            <a:extLst>
              <a:ext uri="{FF2B5EF4-FFF2-40B4-BE49-F238E27FC236}">
                <a16:creationId xmlns:a16="http://schemas.microsoft.com/office/drawing/2014/main" id="{0DC0A7B2-D6FD-4AE0-9FC4-9493C065ADC4}"/>
              </a:ext>
            </a:extLst>
          </xdr:cNvPr>
          <xdr:cNvSpPr>
            <a:spLocks noChangeShapeType="1"/>
          </xdr:cNvSpPr>
        </xdr:nvSpPr>
        <xdr:spPr bwMode="auto">
          <a:xfrm flipV="1">
            <a:off x="977" y="204"/>
            <a:ext cx="0" cy="21"/>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54398" name="Line 30">
            <a:extLst>
              <a:ext uri="{FF2B5EF4-FFF2-40B4-BE49-F238E27FC236}">
                <a16:creationId xmlns:a16="http://schemas.microsoft.com/office/drawing/2014/main" id="{00859A61-4ECA-4164-AE8D-05317D7308D0}"/>
              </a:ext>
            </a:extLst>
          </xdr:cNvPr>
          <xdr:cNvSpPr>
            <a:spLocks noChangeShapeType="1"/>
          </xdr:cNvSpPr>
        </xdr:nvSpPr>
        <xdr:spPr bwMode="auto">
          <a:xfrm>
            <a:off x="787" y="328"/>
            <a:ext cx="17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4399" name="Line 31">
            <a:extLst>
              <a:ext uri="{FF2B5EF4-FFF2-40B4-BE49-F238E27FC236}">
                <a16:creationId xmlns:a16="http://schemas.microsoft.com/office/drawing/2014/main" id="{3549E99C-E40B-4F54-AD4B-0558350A6B07}"/>
              </a:ext>
            </a:extLst>
          </xdr:cNvPr>
          <xdr:cNvSpPr>
            <a:spLocks noChangeShapeType="1"/>
          </xdr:cNvSpPr>
        </xdr:nvSpPr>
        <xdr:spPr bwMode="auto">
          <a:xfrm>
            <a:off x="806" y="242"/>
            <a:ext cx="0" cy="52"/>
          </a:xfrm>
          <a:prstGeom prst="line">
            <a:avLst/>
          </a:prstGeom>
          <a:noFill/>
          <a:ln w="15875">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a:noFill/>
              </a14:hiddenFill>
            </a:ext>
          </a:extLst>
        </xdr:spPr>
      </xdr:sp>
      <xdr:sp macro="" textlink="">
        <xdr:nvSpPr>
          <xdr:cNvPr id="954400" name="Line 32">
            <a:extLst>
              <a:ext uri="{FF2B5EF4-FFF2-40B4-BE49-F238E27FC236}">
                <a16:creationId xmlns:a16="http://schemas.microsoft.com/office/drawing/2014/main" id="{8A975786-73E7-4B1F-8A76-E08331EF8410}"/>
              </a:ext>
            </a:extLst>
          </xdr:cNvPr>
          <xdr:cNvSpPr>
            <a:spLocks noChangeShapeType="1"/>
          </xdr:cNvSpPr>
        </xdr:nvSpPr>
        <xdr:spPr bwMode="auto">
          <a:xfrm flipH="1">
            <a:off x="918" y="184"/>
            <a:ext cx="1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sp macro="" textlink="">
        <xdr:nvSpPr>
          <xdr:cNvPr id="954401" name="Rectangle 33">
            <a:extLst>
              <a:ext uri="{FF2B5EF4-FFF2-40B4-BE49-F238E27FC236}">
                <a16:creationId xmlns:a16="http://schemas.microsoft.com/office/drawing/2014/main" id="{ADAE5407-5412-464A-8293-DB023E390E34}"/>
              </a:ext>
            </a:extLst>
          </xdr:cNvPr>
          <xdr:cNvSpPr>
            <a:spLocks noChangeArrowheads="1"/>
          </xdr:cNvSpPr>
        </xdr:nvSpPr>
        <xdr:spPr bwMode="auto">
          <a:xfrm>
            <a:off x="793" y="221"/>
            <a:ext cx="26" cy="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4402" name="Rectangle 34">
            <a:extLst>
              <a:ext uri="{FF2B5EF4-FFF2-40B4-BE49-F238E27FC236}">
                <a16:creationId xmlns:a16="http://schemas.microsoft.com/office/drawing/2014/main" id="{69F1158B-7FF3-4AED-A701-50A7E7DAC913}"/>
              </a:ext>
            </a:extLst>
          </xdr:cNvPr>
          <xdr:cNvSpPr>
            <a:spLocks noChangeArrowheads="1"/>
          </xdr:cNvSpPr>
        </xdr:nvSpPr>
        <xdr:spPr bwMode="auto">
          <a:xfrm>
            <a:off x="925" y="221"/>
            <a:ext cx="26" cy="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4403" name="Rectangle 35">
            <a:extLst>
              <a:ext uri="{FF2B5EF4-FFF2-40B4-BE49-F238E27FC236}">
                <a16:creationId xmlns:a16="http://schemas.microsoft.com/office/drawing/2014/main" id="{725A92D4-9BC9-4E55-9538-61699CFAE544}"/>
              </a:ext>
            </a:extLst>
          </xdr:cNvPr>
          <xdr:cNvSpPr>
            <a:spLocks noChangeArrowheads="1"/>
          </xdr:cNvSpPr>
        </xdr:nvSpPr>
        <xdr:spPr bwMode="auto">
          <a:xfrm>
            <a:off x="797" y="211"/>
            <a:ext cx="18" cy="1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4404" name="Rectangle 36">
            <a:extLst>
              <a:ext uri="{FF2B5EF4-FFF2-40B4-BE49-F238E27FC236}">
                <a16:creationId xmlns:a16="http://schemas.microsoft.com/office/drawing/2014/main" id="{D1A01D44-2936-4834-9034-5B8361E853CA}"/>
              </a:ext>
            </a:extLst>
          </xdr:cNvPr>
          <xdr:cNvSpPr>
            <a:spLocks noChangeArrowheads="1"/>
          </xdr:cNvSpPr>
        </xdr:nvSpPr>
        <xdr:spPr bwMode="auto">
          <a:xfrm>
            <a:off x="929" y="211"/>
            <a:ext cx="18" cy="1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4405" name="Rectangle 37" descr="Narrow horizontal">
            <a:extLst>
              <a:ext uri="{FF2B5EF4-FFF2-40B4-BE49-F238E27FC236}">
                <a16:creationId xmlns:a16="http://schemas.microsoft.com/office/drawing/2014/main" id="{082F686B-EA82-4CFF-9A39-A9284B795590}"/>
              </a:ext>
            </a:extLst>
          </xdr:cNvPr>
          <xdr:cNvSpPr>
            <a:spLocks noChangeArrowheads="1"/>
          </xdr:cNvSpPr>
        </xdr:nvSpPr>
        <xdr:spPr bwMode="auto">
          <a:xfrm>
            <a:off x="800" y="204"/>
            <a:ext cx="12" cy="7"/>
          </a:xfrm>
          <a:prstGeom prst="rect">
            <a:avLst/>
          </a:prstGeom>
          <a:pattFill prst="narHorz">
            <a:fgClr>
              <a:srgbClr val="00000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4406" name="Rectangle 38">
            <a:extLst>
              <a:ext uri="{FF2B5EF4-FFF2-40B4-BE49-F238E27FC236}">
                <a16:creationId xmlns:a16="http://schemas.microsoft.com/office/drawing/2014/main" id="{64648A5F-5BF6-4CE1-A408-4DB51C1EDA29}"/>
              </a:ext>
            </a:extLst>
          </xdr:cNvPr>
          <xdr:cNvSpPr>
            <a:spLocks noChangeArrowheads="1"/>
          </xdr:cNvSpPr>
        </xdr:nvSpPr>
        <xdr:spPr bwMode="auto">
          <a:xfrm>
            <a:off x="803" y="211"/>
            <a:ext cx="6" cy="1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4407" name="Rectangle 39" descr="Narrow horizontal">
            <a:extLst>
              <a:ext uri="{FF2B5EF4-FFF2-40B4-BE49-F238E27FC236}">
                <a16:creationId xmlns:a16="http://schemas.microsoft.com/office/drawing/2014/main" id="{635B9DDC-4E00-4399-BE28-86B56F2B61CA}"/>
              </a:ext>
            </a:extLst>
          </xdr:cNvPr>
          <xdr:cNvSpPr>
            <a:spLocks noChangeArrowheads="1"/>
          </xdr:cNvSpPr>
        </xdr:nvSpPr>
        <xdr:spPr bwMode="auto">
          <a:xfrm>
            <a:off x="932" y="204"/>
            <a:ext cx="12" cy="7"/>
          </a:xfrm>
          <a:prstGeom prst="rect">
            <a:avLst/>
          </a:prstGeom>
          <a:pattFill prst="narHorz">
            <a:fgClr>
              <a:srgbClr val="00000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4408" name="Rectangle 40">
            <a:extLst>
              <a:ext uri="{FF2B5EF4-FFF2-40B4-BE49-F238E27FC236}">
                <a16:creationId xmlns:a16="http://schemas.microsoft.com/office/drawing/2014/main" id="{C5BF9504-EC9E-44C7-BBD4-6FC2D44A74E7}"/>
              </a:ext>
            </a:extLst>
          </xdr:cNvPr>
          <xdr:cNvSpPr>
            <a:spLocks noChangeArrowheads="1"/>
          </xdr:cNvSpPr>
        </xdr:nvSpPr>
        <xdr:spPr bwMode="auto">
          <a:xfrm>
            <a:off x="935" y="211"/>
            <a:ext cx="6" cy="1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4409" name="Line 41">
            <a:extLst>
              <a:ext uri="{FF2B5EF4-FFF2-40B4-BE49-F238E27FC236}">
                <a16:creationId xmlns:a16="http://schemas.microsoft.com/office/drawing/2014/main" id="{2029562E-7AE9-4DEC-906D-844FA2EED497}"/>
              </a:ext>
            </a:extLst>
          </xdr:cNvPr>
          <xdr:cNvSpPr>
            <a:spLocks noChangeShapeType="1"/>
          </xdr:cNvSpPr>
        </xdr:nvSpPr>
        <xdr:spPr bwMode="auto">
          <a:xfrm flipV="1">
            <a:off x="799" y="225"/>
            <a:ext cx="0" cy="17"/>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4410" name="Line 42">
            <a:extLst>
              <a:ext uri="{FF2B5EF4-FFF2-40B4-BE49-F238E27FC236}">
                <a16:creationId xmlns:a16="http://schemas.microsoft.com/office/drawing/2014/main" id="{13048F54-96F7-49F7-9C8B-C4FFC903BB14}"/>
              </a:ext>
            </a:extLst>
          </xdr:cNvPr>
          <xdr:cNvSpPr>
            <a:spLocks noChangeShapeType="1"/>
          </xdr:cNvSpPr>
        </xdr:nvSpPr>
        <xdr:spPr bwMode="auto">
          <a:xfrm flipV="1">
            <a:off x="813" y="225"/>
            <a:ext cx="0" cy="17"/>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4411" name="Line 43">
            <a:extLst>
              <a:ext uri="{FF2B5EF4-FFF2-40B4-BE49-F238E27FC236}">
                <a16:creationId xmlns:a16="http://schemas.microsoft.com/office/drawing/2014/main" id="{D7B41998-AB0B-4A73-9E37-22C3A6A0A9CF}"/>
              </a:ext>
            </a:extLst>
          </xdr:cNvPr>
          <xdr:cNvSpPr>
            <a:spLocks noChangeShapeType="1"/>
          </xdr:cNvSpPr>
        </xdr:nvSpPr>
        <xdr:spPr bwMode="auto">
          <a:xfrm flipV="1">
            <a:off x="945" y="225"/>
            <a:ext cx="0" cy="17"/>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4412" name="Line 44">
            <a:extLst>
              <a:ext uri="{FF2B5EF4-FFF2-40B4-BE49-F238E27FC236}">
                <a16:creationId xmlns:a16="http://schemas.microsoft.com/office/drawing/2014/main" id="{4F5C1E21-6867-42DC-94A8-619D243DC264}"/>
              </a:ext>
            </a:extLst>
          </xdr:cNvPr>
          <xdr:cNvSpPr>
            <a:spLocks noChangeShapeType="1"/>
          </xdr:cNvSpPr>
        </xdr:nvSpPr>
        <xdr:spPr bwMode="auto">
          <a:xfrm flipV="1">
            <a:off x="931" y="225"/>
            <a:ext cx="0" cy="17"/>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4413" name="Line 45">
            <a:extLst>
              <a:ext uri="{FF2B5EF4-FFF2-40B4-BE49-F238E27FC236}">
                <a16:creationId xmlns:a16="http://schemas.microsoft.com/office/drawing/2014/main" id="{29BA4D4C-6320-4A73-BD7D-45167C75CD34}"/>
              </a:ext>
            </a:extLst>
          </xdr:cNvPr>
          <xdr:cNvSpPr>
            <a:spLocks noChangeShapeType="1"/>
          </xdr:cNvSpPr>
        </xdr:nvSpPr>
        <xdr:spPr bwMode="auto">
          <a:xfrm>
            <a:off x="787" y="246"/>
            <a:ext cx="0" cy="9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335280</xdr:colOff>
      <xdr:row>385</xdr:row>
      <xdr:rowOff>68580</xdr:rowOff>
    </xdr:from>
    <xdr:to>
      <xdr:col>9</xdr:col>
      <xdr:colOff>106680</xdr:colOff>
      <xdr:row>399</xdr:row>
      <xdr:rowOff>0</xdr:rowOff>
    </xdr:to>
    <xdr:grpSp>
      <xdr:nvGrpSpPr>
        <xdr:cNvPr id="954415" name="Group 47">
          <a:extLst>
            <a:ext uri="{FF2B5EF4-FFF2-40B4-BE49-F238E27FC236}">
              <a16:creationId xmlns:a16="http://schemas.microsoft.com/office/drawing/2014/main" id="{A3C7CB77-573F-438C-B6DA-C88B89ADE254}"/>
            </a:ext>
          </a:extLst>
        </xdr:cNvPr>
        <xdr:cNvGrpSpPr>
          <a:grpSpLocks/>
        </xdr:cNvGrpSpPr>
      </xdr:nvGrpSpPr>
      <xdr:grpSpPr bwMode="auto">
        <a:xfrm>
          <a:off x="4135755" y="1125855"/>
          <a:ext cx="2400300" cy="2331720"/>
          <a:chOff x="423" y="113"/>
          <a:chExt cx="245" cy="231"/>
        </a:xfrm>
      </xdr:grpSpPr>
      <xdr:sp macro="" textlink="">
        <xdr:nvSpPr>
          <xdr:cNvPr id="954416" name="Rectangle 48">
            <a:extLst>
              <a:ext uri="{FF2B5EF4-FFF2-40B4-BE49-F238E27FC236}">
                <a16:creationId xmlns:a16="http://schemas.microsoft.com/office/drawing/2014/main" id="{95642E15-2AE6-4AB3-AAC2-B759E91357D5}"/>
              </a:ext>
            </a:extLst>
          </xdr:cNvPr>
          <xdr:cNvSpPr>
            <a:spLocks noChangeArrowheads="1"/>
          </xdr:cNvSpPr>
        </xdr:nvSpPr>
        <xdr:spPr bwMode="auto">
          <a:xfrm>
            <a:off x="457" y="137"/>
            <a:ext cx="176" cy="137"/>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4417" name="Rectangle 49" descr="Dark downward diagonal">
            <a:extLst>
              <a:ext uri="{FF2B5EF4-FFF2-40B4-BE49-F238E27FC236}">
                <a16:creationId xmlns:a16="http://schemas.microsoft.com/office/drawing/2014/main" id="{7525C2B5-0B62-4B00-A8DB-0C69DED9C26F}"/>
              </a:ext>
            </a:extLst>
          </xdr:cNvPr>
          <xdr:cNvSpPr>
            <a:spLocks noChangeArrowheads="1"/>
          </xdr:cNvSpPr>
        </xdr:nvSpPr>
        <xdr:spPr bwMode="auto">
          <a:xfrm>
            <a:off x="496" y="163"/>
            <a:ext cx="11" cy="85"/>
          </a:xfrm>
          <a:prstGeom prst="rect">
            <a:avLst/>
          </a:prstGeom>
          <a:pattFill prst="dkDnDiag">
            <a:fgClr>
              <a:srgbClr xmlns:mc="http://schemas.openxmlformats.org/markup-compatibility/2006" xmlns:a14="http://schemas.microsoft.com/office/drawing/2010/main" val="000000" mc:Ignorable="a14" a14:legacySpreadsheetColorIndex="8"/>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4418" name="Rectangle 50" descr="Dark downward diagonal">
            <a:extLst>
              <a:ext uri="{FF2B5EF4-FFF2-40B4-BE49-F238E27FC236}">
                <a16:creationId xmlns:a16="http://schemas.microsoft.com/office/drawing/2014/main" id="{DF009023-67A5-48C6-BB4C-A05A2E1C06B2}"/>
              </a:ext>
            </a:extLst>
          </xdr:cNvPr>
          <xdr:cNvSpPr>
            <a:spLocks noChangeArrowheads="1"/>
          </xdr:cNvSpPr>
        </xdr:nvSpPr>
        <xdr:spPr bwMode="auto">
          <a:xfrm>
            <a:off x="580" y="163"/>
            <a:ext cx="11" cy="85"/>
          </a:xfrm>
          <a:prstGeom prst="rect">
            <a:avLst/>
          </a:prstGeom>
          <a:pattFill prst="dkDnDiag">
            <a:fgClr>
              <a:srgbClr xmlns:mc="http://schemas.openxmlformats.org/markup-compatibility/2006" xmlns:a14="http://schemas.microsoft.com/office/drawing/2010/main" val="000000" mc:Ignorable="a14" a14:legacySpreadsheetColorIndex="8"/>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4419" name="Rectangle 51" descr="Dark downward diagonal">
            <a:extLst>
              <a:ext uri="{FF2B5EF4-FFF2-40B4-BE49-F238E27FC236}">
                <a16:creationId xmlns:a16="http://schemas.microsoft.com/office/drawing/2014/main" id="{E5037B13-0073-4A64-850F-20FCA066C4B5}"/>
              </a:ext>
            </a:extLst>
          </xdr:cNvPr>
          <xdr:cNvSpPr>
            <a:spLocks noChangeArrowheads="1"/>
          </xdr:cNvSpPr>
        </xdr:nvSpPr>
        <xdr:spPr bwMode="auto">
          <a:xfrm>
            <a:off x="507" y="202"/>
            <a:ext cx="73" cy="8"/>
          </a:xfrm>
          <a:prstGeom prst="rect">
            <a:avLst/>
          </a:prstGeom>
          <a:pattFill prst="dkDnDiag">
            <a:fgClr>
              <a:srgbClr xmlns:mc="http://schemas.openxmlformats.org/markup-compatibility/2006" xmlns:a14="http://schemas.microsoft.com/office/drawing/2010/main" val="000000" mc:Ignorable="a14" a14:legacySpreadsheetColorIndex="8"/>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54420" name="Oval 52">
            <a:extLst>
              <a:ext uri="{FF2B5EF4-FFF2-40B4-BE49-F238E27FC236}">
                <a16:creationId xmlns:a16="http://schemas.microsoft.com/office/drawing/2014/main" id="{FFB07361-3083-445E-9801-D9D988A2AF2C}"/>
              </a:ext>
            </a:extLst>
          </xdr:cNvPr>
          <xdr:cNvSpPr>
            <a:spLocks noChangeArrowheads="1"/>
          </xdr:cNvSpPr>
        </xdr:nvSpPr>
        <xdr:spPr bwMode="auto">
          <a:xfrm>
            <a:off x="468" y="155"/>
            <a:ext cx="14" cy="14"/>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954421" name="Oval 53">
            <a:extLst>
              <a:ext uri="{FF2B5EF4-FFF2-40B4-BE49-F238E27FC236}">
                <a16:creationId xmlns:a16="http://schemas.microsoft.com/office/drawing/2014/main" id="{F46330D0-BFB1-46F2-AB42-B6A8D42F50EA}"/>
              </a:ext>
            </a:extLst>
          </xdr:cNvPr>
          <xdr:cNvSpPr>
            <a:spLocks noChangeArrowheads="1"/>
          </xdr:cNvSpPr>
        </xdr:nvSpPr>
        <xdr:spPr bwMode="auto">
          <a:xfrm>
            <a:off x="608" y="242"/>
            <a:ext cx="14" cy="14"/>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954422" name="Oval 54">
            <a:extLst>
              <a:ext uri="{FF2B5EF4-FFF2-40B4-BE49-F238E27FC236}">
                <a16:creationId xmlns:a16="http://schemas.microsoft.com/office/drawing/2014/main" id="{4D1D757A-500D-496F-BC17-AE9E690D9091}"/>
              </a:ext>
            </a:extLst>
          </xdr:cNvPr>
          <xdr:cNvSpPr>
            <a:spLocks noChangeArrowheads="1"/>
          </xdr:cNvSpPr>
        </xdr:nvSpPr>
        <xdr:spPr bwMode="auto">
          <a:xfrm>
            <a:off x="468" y="240"/>
            <a:ext cx="14" cy="14"/>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954423" name="Oval 55">
            <a:extLst>
              <a:ext uri="{FF2B5EF4-FFF2-40B4-BE49-F238E27FC236}">
                <a16:creationId xmlns:a16="http://schemas.microsoft.com/office/drawing/2014/main" id="{BA14392B-AE6C-43A0-A4B6-A4FF18BE0B48}"/>
              </a:ext>
            </a:extLst>
          </xdr:cNvPr>
          <xdr:cNvSpPr>
            <a:spLocks noChangeArrowheads="1"/>
          </xdr:cNvSpPr>
        </xdr:nvSpPr>
        <xdr:spPr bwMode="auto">
          <a:xfrm>
            <a:off x="608" y="155"/>
            <a:ext cx="14" cy="14"/>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954424" name="Line 56">
            <a:extLst>
              <a:ext uri="{FF2B5EF4-FFF2-40B4-BE49-F238E27FC236}">
                <a16:creationId xmlns:a16="http://schemas.microsoft.com/office/drawing/2014/main" id="{595CE4C8-A9C9-44C3-AA53-80584D0C2C90}"/>
              </a:ext>
            </a:extLst>
          </xdr:cNvPr>
          <xdr:cNvSpPr>
            <a:spLocks noChangeShapeType="1"/>
          </xdr:cNvSpPr>
        </xdr:nvSpPr>
        <xdr:spPr bwMode="auto">
          <a:xfrm>
            <a:off x="598" y="172"/>
            <a:ext cx="7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425" name="Line 57">
            <a:extLst>
              <a:ext uri="{FF2B5EF4-FFF2-40B4-BE49-F238E27FC236}">
                <a16:creationId xmlns:a16="http://schemas.microsoft.com/office/drawing/2014/main" id="{DFBA0F19-DB37-4A5C-AAAF-6455C361C5F6}"/>
              </a:ext>
            </a:extLst>
          </xdr:cNvPr>
          <xdr:cNvSpPr>
            <a:spLocks noChangeShapeType="1"/>
          </xdr:cNvSpPr>
        </xdr:nvSpPr>
        <xdr:spPr bwMode="auto">
          <a:xfrm>
            <a:off x="598" y="239"/>
            <a:ext cx="7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426" name="Line 58">
            <a:extLst>
              <a:ext uri="{FF2B5EF4-FFF2-40B4-BE49-F238E27FC236}">
                <a16:creationId xmlns:a16="http://schemas.microsoft.com/office/drawing/2014/main" id="{92D2D75F-72FD-48D7-A719-CCB0273DDF42}"/>
              </a:ext>
            </a:extLst>
          </xdr:cNvPr>
          <xdr:cNvSpPr>
            <a:spLocks noChangeShapeType="1"/>
          </xdr:cNvSpPr>
        </xdr:nvSpPr>
        <xdr:spPr bwMode="auto">
          <a:xfrm flipH="1">
            <a:off x="501" y="252"/>
            <a:ext cx="0" cy="5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427" name="Line 59">
            <a:extLst>
              <a:ext uri="{FF2B5EF4-FFF2-40B4-BE49-F238E27FC236}">
                <a16:creationId xmlns:a16="http://schemas.microsoft.com/office/drawing/2014/main" id="{BF122FD4-D115-4B2E-8C25-6888EC861D14}"/>
              </a:ext>
            </a:extLst>
          </xdr:cNvPr>
          <xdr:cNvSpPr>
            <a:spLocks noChangeShapeType="1"/>
          </xdr:cNvSpPr>
        </xdr:nvSpPr>
        <xdr:spPr bwMode="auto">
          <a:xfrm flipH="1">
            <a:off x="587" y="252"/>
            <a:ext cx="0" cy="5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428" name="Line 60">
            <a:extLst>
              <a:ext uri="{FF2B5EF4-FFF2-40B4-BE49-F238E27FC236}">
                <a16:creationId xmlns:a16="http://schemas.microsoft.com/office/drawing/2014/main" id="{E03763D4-F6CB-4FD4-BF40-A5304956097B}"/>
              </a:ext>
            </a:extLst>
          </xdr:cNvPr>
          <xdr:cNvSpPr>
            <a:spLocks noChangeShapeType="1"/>
          </xdr:cNvSpPr>
        </xdr:nvSpPr>
        <xdr:spPr bwMode="auto">
          <a:xfrm>
            <a:off x="637" y="137"/>
            <a:ext cx="3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429" name="Line 61">
            <a:extLst>
              <a:ext uri="{FF2B5EF4-FFF2-40B4-BE49-F238E27FC236}">
                <a16:creationId xmlns:a16="http://schemas.microsoft.com/office/drawing/2014/main" id="{846EE08F-3FD8-475B-98A2-F6A9C5607623}"/>
              </a:ext>
            </a:extLst>
          </xdr:cNvPr>
          <xdr:cNvSpPr>
            <a:spLocks noChangeShapeType="1"/>
          </xdr:cNvSpPr>
        </xdr:nvSpPr>
        <xdr:spPr bwMode="auto">
          <a:xfrm>
            <a:off x="637" y="274"/>
            <a:ext cx="3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430" name="Line 62">
            <a:extLst>
              <a:ext uri="{FF2B5EF4-FFF2-40B4-BE49-F238E27FC236}">
                <a16:creationId xmlns:a16="http://schemas.microsoft.com/office/drawing/2014/main" id="{61565A09-3AA2-4DA3-A108-B4E677581A2F}"/>
              </a:ext>
            </a:extLst>
          </xdr:cNvPr>
          <xdr:cNvSpPr>
            <a:spLocks noChangeShapeType="1"/>
          </xdr:cNvSpPr>
        </xdr:nvSpPr>
        <xdr:spPr bwMode="auto">
          <a:xfrm>
            <a:off x="651" y="137"/>
            <a:ext cx="0" cy="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4431" name="Line 63">
            <a:extLst>
              <a:ext uri="{FF2B5EF4-FFF2-40B4-BE49-F238E27FC236}">
                <a16:creationId xmlns:a16="http://schemas.microsoft.com/office/drawing/2014/main" id="{2B4EAC76-1FA6-4B58-A549-CAA04B09AFA2}"/>
              </a:ext>
            </a:extLst>
          </xdr:cNvPr>
          <xdr:cNvSpPr>
            <a:spLocks noChangeShapeType="1"/>
          </xdr:cNvSpPr>
        </xdr:nvSpPr>
        <xdr:spPr bwMode="auto">
          <a:xfrm>
            <a:off x="651" y="172"/>
            <a:ext cx="0" cy="67"/>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4432" name="Line 64">
            <a:extLst>
              <a:ext uri="{FF2B5EF4-FFF2-40B4-BE49-F238E27FC236}">
                <a16:creationId xmlns:a16="http://schemas.microsoft.com/office/drawing/2014/main" id="{C8E093D1-280E-47F1-8B46-91924AE53D74}"/>
              </a:ext>
            </a:extLst>
          </xdr:cNvPr>
          <xdr:cNvSpPr>
            <a:spLocks noChangeShapeType="1"/>
          </xdr:cNvSpPr>
        </xdr:nvSpPr>
        <xdr:spPr bwMode="auto">
          <a:xfrm>
            <a:off x="651" y="239"/>
            <a:ext cx="0" cy="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4433" name="Line 65">
            <a:extLst>
              <a:ext uri="{FF2B5EF4-FFF2-40B4-BE49-F238E27FC236}">
                <a16:creationId xmlns:a16="http://schemas.microsoft.com/office/drawing/2014/main" id="{B10D1991-7745-4E1B-9753-221A13946CD8}"/>
              </a:ext>
            </a:extLst>
          </xdr:cNvPr>
          <xdr:cNvSpPr>
            <a:spLocks noChangeShapeType="1"/>
          </xdr:cNvSpPr>
        </xdr:nvSpPr>
        <xdr:spPr bwMode="auto">
          <a:xfrm>
            <a:off x="457" y="278"/>
            <a:ext cx="0" cy="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434" name="Line 66">
            <a:extLst>
              <a:ext uri="{FF2B5EF4-FFF2-40B4-BE49-F238E27FC236}">
                <a16:creationId xmlns:a16="http://schemas.microsoft.com/office/drawing/2014/main" id="{91D197EF-83E1-498F-AA3F-0C65BAFCC567}"/>
              </a:ext>
            </a:extLst>
          </xdr:cNvPr>
          <xdr:cNvSpPr>
            <a:spLocks noChangeShapeType="1"/>
          </xdr:cNvSpPr>
        </xdr:nvSpPr>
        <xdr:spPr bwMode="auto">
          <a:xfrm>
            <a:off x="633" y="278"/>
            <a:ext cx="0" cy="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435" name="Line 67">
            <a:extLst>
              <a:ext uri="{FF2B5EF4-FFF2-40B4-BE49-F238E27FC236}">
                <a16:creationId xmlns:a16="http://schemas.microsoft.com/office/drawing/2014/main" id="{E11956A7-78F8-4772-9E5E-D44DACDC0890}"/>
              </a:ext>
            </a:extLst>
          </xdr:cNvPr>
          <xdr:cNvSpPr>
            <a:spLocks noChangeShapeType="1"/>
          </xdr:cNvSpPr>
        </xdr:nvSpPr>
        <xdr:spPr bwMode="auto">
          <a:xfrm>
            <a:off x="457" y="296"/>
            <a:ext cx="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4436" name="Line 68">
            <a:extLst>
              <a:ext uri="{FF2B5EF4-FFF2-40B4-BE49-F238E27FC236}">
                <a16:creationId xmlns:a16="http://schemas.microsoft.com/office/drawing/2014/main" id="{51B60E7D-0EF6-4DE1-8B88-BDEB0B8C4D84}"/>
              </a:ext>
            </a:extLst>
          </xdr:cNvPr>
          <xdr:cNvSpPr>
            <a:spLocks noChangeShapeType="1"/>
          </xdr:cNvSpPr>
        </xdr:nvSpPr>
        <xdr:spPr bwMode="auto">
          <a:xfrm>
            <a:off x="501" y="296"/>
            <a:ext cx="8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4437" name="Line 69">
            <a:extLst>
              <a:ext uri="{FF2B5EF4-FFF2-40B4-BE49-F238E27FC236}">
                <a16:creationId xmlns:a16="http://schemas.microsoft.com/office/drawing/2014/main" id="{25F19C0C-2977-4781-9E01-E3A0CDA2C744}"/>
              </a:ext>
            </a:extLst>
          </xdr:cNvPr>
          <xdr:cNvSpPr>
            <a:spLocks noChangeShapeType="1"/>
          </xdr:cNvSpPr>
        </xdr:nvSpPr>
        <xdr:spPr bwMode="auto">
          <a:xfrm>
            <a:off x="587" y="296"/>
            <a:ext cx="4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4438" name="Line 70">
            <a:extLst>
              <a:ext uri="{FF2B5EF4-FFF2-40B4-BE49-F238E27FC236}">
                <a16:creationId xmlns:a16="http://schemas.microsoft.com/office/drawing/2014/main" id="{0AFE8751-5B65-4652-87ED-A4D1C1395444}"/>
              </a:ext>
            </a:extLst>
          </xdr:cNvPr>
          <xdr:cNvSpPr>
            <a:spLocks noChangeShapeType="1"/>
          </xdr:cNvSpPr>
        </xdr:nvSpPr>
        <xdr:spPr bwMode="auto">
          <a:xfrm>
            <a:off x="457" y="331"/>
            <a:ext cx="17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4439" name="Line 71">
            <a:extLst>
              <a:ext uri="{FF2B5EF4-FFF2-40B4-BE49-F238E27FC236}">
                <a16:creationId xmlns:a16="http://schemas.microsoft.com/office/drawing/2014/main" id="{BA13286C-2958-4BCA-87A3-EF054E1B6DB8}"/>
              </a:ext>
            </a:extLst>
          </xdr:cNvPr>
          <xdr:cNvSpPr>
            <a:spLocks noChangeShapeType="1"/>
          </xdr:cNvSpPr>
        </xdr:nvSpPr>
        <xdr:spPr bwMode="auto">
          <a:xfrm flipH="1">
            <a:off x="423" y="137"/>
            <a:ext cx="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440" name="Line 72">
            <a:extLst>
              <a:ext uri="{FF2B5EF4-FFF2-40B4-BE49-F238E27FC236}">
                <a16:creationId xmlns:a16="http://schemas.microsoft.com/office/drawing/2014/main" id="{3604DAF8-3A80-4DF0-9544-4B951F969553}"/>
              </a:ext>
            </a:extLst>
          </xdr:cNvPr>
          <xdr:cNvSpPr>
            <a:spLocks noChangeShapeType="1"/>
          </xdr:cNvSpPr>
        </xdr:nvSpPr>
        <xdr:spPr bwMode="auto">
          <a:xfrm flipH="1">
            <a:off x="423" y="274"/>
            <a:ext cx="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441" name="Line 73">
            <a:extLst>
              <a:ext uri="{FF2B5EF4-FFF2-40B4-BE49-F238E27FC236}">
                <a16:creationId xmlns:a16="http://schemas.microsoft.com/office/drawing/2014/main" id="{10B28E47-60CF-468C-8E22-491BEEB40654}"/>
              </a:ext>
            </a:extLst>
          </xdr:cNvPr>
          <xdr:cNvSpPr>
            <a:spLocks noChangeShapeType="1"/>
          </xdr:cNvSpPr>
        </xdr:nvSpPr>
        <xdr:spPr bwMode="auto">
          <a:xfrm>
            <a:off x="435" y="137"/>
            <a:ext cx="0" cy="137"/>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4442" name="Line 74">
            <a:extLst>
              <a:ext uri="{FF2B5EF4-FFF2-40B4-BE49-F238E27FC236}">
                <a16:creationId xmlns:a16="http://schemas.microsoft.com/office/drawing/2014/main" id="{05D82160-01A1-4243-949A-15E33468BEAE}"/>
              </a:ext>
            </a:extLst>
          </xdr:cNvPr>
          <xdr:cNvSpPr>
            <a:spLocks noChangeShapeType="1"/>
          </xdr:cNvSpPr>
        </xdr:nvSpPr>
        <xdr:spPr bwMode="auto">
          <a:xfrm flipH="1">
            <a:off x="501" y="172"/>
            <a:ext cx="86" cy="0"/>
          </a:xfrm>
          <a:prstGeom prst="line">
            <a:avLst/>
          </a:prstGeom>
          <a:noFill/>
          <a:ln w="12700">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4443" name="Line 75">
            <a:extLst>
              <a:ext uri="{FF2B5EF4-FFF2-40B4-BE49-F238E27FC236}">
                <a16:creationId xmlns:a16="http://schemas.microsoft.com/office/drawing/2014/main" id="{E25B647F-9DB3-4819-A762-31C6CD39F34A}"/>
              </a:ext>
            </a:extLst>
          </xdr:cNvPr>
          <xdr:cNvSpPr>
            <a:spLocks noChangeShapeType="1"/>
          </xdr:cNvSpPr>
        </xdr:nvSpPr>
        <xdr:spPr bwMode="auto">
          <a:xfrm flipH="1">
            <a:off x="501" y="239"/>
            <a:ext cx="86" cy="0"/>
          </a:xfrm>
          <a:prstGeom prst="line">
            <a:avLst/>
          </a:prstGeom>
          <a:noFill/>
          <a:ln w="12700">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4444" name="Line 76">
            <a:extLst>
              <a:ext uri="{FF2B5EF4-FFF2-40B4-BE49-F238E27FC236}">
                <a16:creationId xmlns:a16="http://schemas.microsoft.com/office/drawing/2014/main" id="{510C27AB-17E4-4CAF-A04E-A38FDB549C6A}"/>
              </a:ext>
            </a:extLst>
          </xdr:cNvPr>
          <xdr:cNvSpPr>
            <a:spLocks noChangeShapeType="1"/>
          </xdr:cNvSpPr>
        </xdr:nvSpPr>
        <xdr:spPr bwMode="auto">
          <a:xfrm>
            <a:off x="587" y="172"/>
            <a:ext cx="0" cy="67"/>
          </a:xfrm>
          <a:prstGeom prst="line">
            <a:avLst/>
          </a:prstGeom>
          <a:noFill/>
          <a:ln w="12700">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4445" name="Line 77">
            <a:extLst>
              <a:ext uri="{FF2B5EF4-FFF2-40B4-BE49-F238E27FC236}">
                <a16:creationId xmlns:a16="http://schemas.microsoft.com/office/drawing/2014/main" id="{A5983736-A4E7-4FEF-8D53-5A8E23129DFE}"/>
              </a:ext>
            </a:extLst>
          </xdr:cNvPr>
          <xdr:cNvSpPr>
            <a:spLocks noChangeShapeType="1"/>
          </xdr:cNvSpPr>
        </xdr:nvSpPr>
        <xdr:spPr bwMode="auto">
          <a:xfrm flipV="1">
            <a:off x="501" y="172"/>
            <a:ext cx="0" cy="67"/>
          </a:xfrm>
          <a:prstGeom prst="line">
            <a:avLst/>
          </a:prstGeom>
          <a:noFill/>
          <a:ln w="12700">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4446" name="Line 78">
            <a:extLst>
              <a:ext uri="{FF2B5EF4-FFF2-40B4-BE49-F238E27FC236}">
                <a16:creationId xmlns:a16="http://schemas.microsoft.com/office/drawing/2014/main" id="{E944F7BD-7DB1-4936-B0EB-E50DDB6822A0}"/>
              </a:ext>
            </a:extLst>
          </xdr:cNvPr>
          <xdr:cNvSpPr>
            <a:spLocks noChangeShapeType="1"/>
          </xdr:cNvSpPr>
        </xdr:nvSpPr>
        <xdr:spPr bwMode="auto">
          <a:xfrm flipV="1">
            <a:off x="475" y="137"/>
            <a:ext cx="25" cy="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4447" name="Line 79">
            <a:extLst>
              <a:ext uri="{FF2B5EF4-FFF2-40B4-BE49-F238E27FC236}">
                <a16:creationId xmlns:a16="http://schemas.microsoft.com/office/drawing/2014/main" id="{5C8C9D2C-B61F-430C-BD2B-971EB9FC3666}"/>
              </a:ext>
            </a:extLst>
          </xdr:cNvPr>
          <xdr:cNvSpPr>
            <a:spLocks noChangeShapeType="1"/>
          </xdr:cNvSpPr>
        </xdr:nvSpPr>
        <xdr:spPr bwMode="auto">
          <a:xfrm flipV="1">
            <a:off x="501" y="137"/>
            <a:ext cx="0" cy="5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4448" name="Line 80">
            <a:extLst>
              <a:ext uri="{FF2B5EF4-FFF2-40B4-BE49-F238E27FC236}">
                <a16:creationId xmlns:a16="http://schemas.microsoft.com/office/drawing/2014/main" id="{8304137D-8DCB-42A2-A0F1-5C583A602C22}"/>
              </a:ext>
            </a:extLst>
          </xdr:cNvPr>
          <xdr:cNvSpPr>
            <a:spLocks noChangeShapeType="1"/>
          </xdr:cNvSpPr>
        </xdr:nvSpPr>
        <xdr:spPr bwMode="auto">
          <a:xfrm>
            <a:off x="475" y="162"/>
            <a:ext cx="25" cy="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4449" name="Line 81">
            <a:extLst>
              <a:ext uri="{FF2B5EF4-FFF2-40B4-BE49-F238E27FC236}">
                <a16:creationId xmlns:a16="http://schemas.microsoft.com/office/drawing/2014/main" id="{A7706752-B20C-488F-9D29-156175705F67}"/>
              </a:ext>
            </a:extLst>
          </xdr:cNvPr>
          <xdr:cNvSpPr>
            <a:spLocks noChangeShapeType="1"/>
          </xdr:cNvSpPr>
        </xdr:nvSpPr>
        <xdr:spPr bwMode="auto">
          <a:xfrm flipV="1">
            <a:off x="475" y="222"/>
            <a:ext cx="25" cy="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4450" name="Line 82">
            <a:extLst>
              <a:ext uri="{FF2B5EF4-FFF2-40B4-BE49-F238E27FC236}">
                <a16:creationId xmlns:a16="http://schemas.microsoft.com/office/drawing/2014/main" id="{4DD6ED7F-8ED4-4028-8606-A3CF5D82262C}"/>
              </a:ext>
            </a:extLst>
          </xdr:cNvPr>
          <xdr:cNvSpPr>
            <a:spLocks noChangeShapeType="1"/>
          </xdr:cNvSpPr>
        </xdr:nvSpPr>
        <xdr:spPr bwMode="auto">
          <a:xfrm>
            <a:off x="475" y="247"/>
            <a:ext cx="25" cy="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4451" name="Line 83">
            <a:extLst>
              <a:ext uri="{FF2B5EF4-FFF2-40B4-BE49-F238E27FC236}">
                <a16:creationId xmlns:a16="http://schemas.microsoft.com/office/drawing/2014/main" id="{E7ED5D1D-6804-4D23-BCC1-A657AAEE7FE2}"/>
              </a:ext>
            </a:extLst>
          </xdr:cNvPr>
          <xdr:cNvSpPr>
            <a:spLocks noChangeShapeType="1"/>
          </xdr:cNvSpPr>
        </xdr:nvSpPr>
        <xdr:spPr bwMode="auto">
          <a:xfrm flipV="1">
            <a:off x="501" y="223"/>
            <a:ext cx="0" cy="5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954452" name="Line 84">
            <a:extLst>
              <a:ext uri="{FF2B5EF4-FFF2-40B4-BE49-F238E27FC236}">
                <a16:creationId xmlns:a16="http://schemas.microsoft.com/office/drawing/2014/main" id="{599D724E-9A92-4197-8AB7-96FBE156BC50}"/>
              </a:ext>
            </a:extLst>
          </xdr:cNvPr>
          <xdr:cNvSpPr>
            <a:spLocks noChangeShapeType="1"/>
          </xdr:cNvSpPr>
        </xdr:nvSpPr>
        <xdr:spPr bwMode="auto">
          <a:xfrm>
            <a:off x="504" y="187"/>
            <a:ext cx="3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453" name="Line 85">
            <a:extLst>
              <a:ext uri="{FF2B5EF4-FFF2-40B4-BE49-F238E27FC236}">
                <a16:creationId xmlns:a16="http://schemas.microsoft.com/office/drawing/2014/main" id="{B3B11489-4F5C-42DF-ABED-4208C813586D}"/>
              </a:ext>
            </a:extLst>
          </xdr:cNvPr>
          <xdr:cNvSpPr>
            <a:spLocks noChangeShapeType="1"/>
          </xdr:cNvSpPr>
        </xdr:nvSpPr>
        <xdr:spPr bwMode="auto">
          <a:xfrm flipV="1">
            <a:off x="522" y="137"/>
            <a:ext cx="0" cy="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4454" name="Text Box 86">
            <a:extLst>
              <a:ext uri="{FF2B5EF4-FFF2-40B4-BE49-F238E27FC236}">
                <a16:creationId xmlns:a16="http://schemas.microsoft.com/office/drawing/2014/main" id="{C94A0BE5-BEE2-4789-80FC-E36330D23CA5}"/>
              </a:ext>
            </a:extLst>
          </xdr:cNvPr>
          <xdr:cNvSpPr txBox="1">
            <a:spLocks noChangeArrowheads="1"/>
          </xdr:cNvSpPr>
        </xdr:nvSpPr>
        <xdr:spPr bwMode="auto">
          <a:xfrm>
            <a:off x="523" y="151"/>
            <a:ext cx="24"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be</a:t>
            </a:r>
          </a:p>
        </xdr:txBody>
      </xdr:sp>
      <xdr:sp macro="" textlink="">
        <xdr:nvSpPr>
          <xdr:cNvPr id="954455" name="Line 87">
            <a:extLst>
              <a:ext uri="{FF2B5EF4-FFF2-40B4-BE49-F238E27FC236}">
                <a16:creationId xmlns:a16="http://schemas.microsoft.com/office/drawing/2014/main" id="{72AE01A6-9566-48B6-A21B-DB8DE2B0C589}"/>
              </a:ext>
            </a:extLst>
          </xdr:cNvPr>
          <xdr:cNvSpPr>
            <a:spLocks noChangeShapeType="1"/>
          </xdr:cNvSpPr>
        </xdr:nvSpPr>
        <xdr:spPr bwMode="auto">
          <a:xfrm>
            <a:off x="597" y="162"/>
            <a:ext cx="1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54456" name="Line 88">
            <a:extLst>
              <a:ext uri="{FF2B5EF4-FFF2-40B4-BE49-F238E27FC236}">
                <a16:creationId xmlns:a16="http://schemas.microsoft.com/office/drawing/2014/main" id="{D849BA0F-7AC1-4BC1-8B86-3543307589C6}"/>
              </a:ext>
            </a:extLst>
          </xdr:cNvPr>
          <xdr:cNvSpPr>
            <a:spLocks noChangeShapeType="1"/>
          </xdr:cNvSpPr>
        </xdr:nvSpPr>
        <xdr:spPr bwMode="auto">
          <a:xfrm flipH="1" flipV="1">
            <a:off x="601" y="137"/>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54457" name="Text Box 89">
            <a:extLst>
              <a:ext uri="{FF2B5EF4-FFF2-40B4-BE49-F238E27FC236}">
                <a16:creationId xmlns:a16="http://schemas.microsoft.com/office/drawing/2014/main" id="{9AAEFE67-3CDC-4D02-A6AF-95CF997808DC}"/>
              </a:ext>
            </a:extLst>
          </xdr:cNvPr>
          <xdr:cNvSpPr txBox="1">
            <a:spLocks noChangeArrowheads="1"/>
          </xdr:cNvSpPr>
        </xdr:nvSpPr>
        <xdr:spPr bwMode="auto">
          <a:xfrm>
            <a:off x="568" y="140"/>
            <a:ext cx="4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FF"/>
                </a:solidFill>
                <a:latin typeface="Arial"/>
                <a:cs typeface="Arial"/>
              </a:rPr>
              <a:t>ED2</a:t>
            </a:r>
          </a:p>
        </xdr:txBody>
      </xdr:sp>
      <xdr:sp macro="" textlink="">
        <xdr:nvSpPr>
          <xdr:cNvPr id="954458" name="Line 90">
            <a:extLst>
              <a:ext uri="{FF2B5EF4-FFF2-40B4-BE49-F238E27FC236}">
                <a16:creationId xmlns:a16="http://schemas.microsoft.com/office/drawing/2014/main" id="{B9F97097-CCFA-452C-85D4-9D20D8557D8C}"/>
              </a:ext>
            </a:extLst>
          </xdr:cNvPr>
          <xdr:cNvSpPr>
            <a:spLocks noChangeShapeType="1"/>
          </xdr:cNvSpPr>
        </xdr:nvSpPr>
        <xdr:spPr bwMode="auto">
          <a:xfrm flipV="1">
            <a:off x="475" y="113"/>
            <a:ext cx="0" cy="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54459" name="Line 91">
            <a:extLst>
              <a:ext uri="{FF2B5EF4-FFF2-40B4-BE49-F238E27FC236}">
                <a16:creationId xmlns:a16="http://schemas.microsoft.com/office/drawing/2014/main" id="{A8065474-4E60-43B0-9FE5-769C36E66EC2}"/>
              </a:ext>
            </a:extLst>
          </xdr:cNvPr>
          <xdr:cNvSpPr>
            <a:spLocks noChangeShapeType="1"/>
          </xdr:cNvSpPr>
        </xdr:nvSpPr>
        <xdr:spPr bwMode="auto">
          <a:xfrm flipH="1" flipV="1">
            <a:off x="457" y="113"/>
            <a:ext cx="0"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54460" name="Line 92">
            <a:extLst>
              <a:ext uri="{FF2B5EF4-FFF2-40B4-BE49-F238E27FC236}">
                <a16:creationId xmlns:a16="http://schemas.microsoft.com/office/drawing/2014/main" id="{76AEA717-5AB9-4A0B-A6B6-BB89A8B5F4FC}"/>
              </a:ext>
            </a:extLst>
          </xdr:cNvPr>
          <xdr:cNvSpPr>
            <a:spLocks noChangeShapeType="1"/>
          </xdr:cNvSpPr>
        </xdr:nvSpPr>
        <xdr:spPr bwMode="auto">
          <a:xfrm>
            <a:off x="457" y="126"/>
            <a:ext cx="1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54461" name="Line 93">
            <a:extLst>
              <a:ext uri="{FF2B5EF4-FFF2-40B4-BE49-F238E27FC236}">
                <a16:creationId xmlns:a16="http://schemas.microsoft.com/office/drawing/2014/main" id="{6A4E7FC9-A68B-4675-9990-B0EB5C8855CA}"/>
              </a:ext>
            </a:extLst>
          </xdr:cNvPr>
          <xdr:cNvSpPr>
            <a:spLocks noChangeShapeType="1"/>
          </xdr:cNvSpPr>
        </xdr:nvSpPr>
        <xdr:spPr bwMode="auto">
          <a:xfrm>
            <a:off x="427" y="126"/>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954462" name="Line 94">
            <a:extLst>
              <a:ext uri="{FF2B5EF4-FFF2-40B4-BE49-F238E27FC236}">
                <a16:creationId xmlns:a16="http://schemas.microsoft.com/office/drawing/2014/main" id="{222515C4-ED00-4E52-A9AF-E97AFC3D192C}"/>
              </a:ext>
            </a:extLst>
          </xdr:cNvPr>
          <xdr:cNvSpPr>
            <a:spLocks noChangeShapeType="1"/>
          </xdr:cNvSpPr>
        </xdr:nvSpPr>
        <xdr:spPr bwMode="auto">
          <a:xfrm flipH="1">
            <a:off x="475" y="126"/>
            <a:ext cx="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34</xdr:col>
      <xdr:colOff>0</xdr:colOff>
      <xdr:row>392</xdr:row>
      <xdr:rowOff>0</xdr:rowOff>
    </xdr:from>
    <xdr:to>
      <xdr:col>41</xdr:col>
      <xdr:colOff>0</xdr:colOff>
      <xdr:row>394</xdr:row>
      <xdr:rowOff>0</xdr:rowOff>
    </xdr:to>
    <xdr:sp macro="" textlink="">
      <xdr:nvSpPr>
        <xdr:cNvPr id="954494" name="Rectangle 126">
          <a:extLst>
            <a:ext uri="{FF2B5EF4-FFF2-40B4-BE49-F238E27FC236}">
              <a16:creationId xmlns:a16="http://schemas.microsoft.com/office/drawing/2014/main" id="{9304B063-D13F-4FAC-AD06-1C754C929197}"/>
            </a:ext>
          </a:extLst>
        </xdr:cNvPr>
        <xdr:cNvSpPr>
          <a:spLocks noChangeArrowheads="1"/>
        </xdr:cNvSpPr>
      </xdr:nvSpPr>
      <xdr:spPr bwMode="auto">
        <a:xfrm>
          <a:off x="22448520" y="2209800"/>
          <a:ext cx="4564380" cy="33528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tabSelected="1" topLeftCell="A46" zoomScaleNormal="100" workbookViewId="0">
      <selection activeCell="A61" sqref="A61"/>
    </sheetView>
  </sheetViews>
  <sheetFormatPr defaultColWidth="9.109375" defaultRowHeight="13.2" x14ac:dyDescent="0.25"/>
  <cols>
    <col min="1" max="9" width="9.109375" style="133"/>
    <col min="10" max="10" width="5.6640625" style="133" customWidth="1"/>
    <col min="11" max="11" width="9.109375" style="133"/>
    <col min="12" max="16384" width="9.109375" style="1"/>
  </cols>
  <sheetData>
    <row r="1" spans="1:10" ht="15.6" x14ac:dyDescent="0.3">
      <c r="A1" s="131" t="s">
        <v>474</v>
      </c>
      <c r="B1" s="132"/>
      <c r="C1" s="132"/>
      <c r="D1" s="132"/>
      <c r="E1" s="132"/>
      <c r="F1" s="132"/>
      <c r="G1" s="132"/>
      <c r="H1" s="132"/>
      <c r="I1" s="132"/>
      <c r="J1" s="132"/>
    </row>
    <row r="3" spans="1:10" x14ac:dyDescent="0.25">
      <c r="A3" s="134" t="s">
        <v>450</v>
      </c>
    </row>
    <row r="5" spans="1:10" x14ac:dyDescent="0.25">
      <c r="A5" s="133" t="s">
        <v>475</v>
      </c>
    </row>
    <row r="6" spans="1:10" x14ac:dyDescent="0.25">
      <c r="A6" s="133" t="s">
        <v>461</v>
      </c>
    </row>
    <row r="7" spans="1:10" x14ac:dyDescent="0.25">
      <c r="A7" s="133" t="s">
        <v>822</v>
      </c>
    </row>
    <row r="8" spans="1:10" x14ac:dyDescent="0.25">
      <c r="A8" s="133" t="s">
        <v>823</v>
      </c>
    </row>
    <row r="9" spans="1:10" x14ac:dyDescent="0.25">
      <c r="A9" s="133" t="s">
        <v>824</v>
      </c>
    </row>
    <row r="10" spans="1:10" x14ac:dyDescent="0.25">
      <c r="A10" s="133" t="s">
        <v>825</v>
      </c>
    </row>
    <row r="12" spans="1:10" x14ac:dyDescent="0.25">
      <c r="A12" s="133" t="s">
        <v>704</v>
      </c>
    </row>
    <row r="14" spans="1:10" x14ac:dyDescent="0.25">
      <c r="A14" s="135" t="s">
        <v>451</v>
      </c>
      <c r="B14" s="136"/>
      <c r="C14" s="137"/>
      <c r="D14" s="135" t="s">
        <v>452</v>
      </c>
      <c r="E14" s="138"/>
      <c r="F14" s="138"/>
      <c r="G14" s="138"/>
      <c r="H14" s="138"/>
      <c r="I14" s="138"/>
      <c r="J14" s="139"/>
    </row>
    <row r="15" spans="1:10" x14ac:dyDescent="0.25">
      <c r="A15" s="223" t="s">
        <v>453</v>
      </c>
      <c r="B15" s="224"/>
      <c r="C15" s="225"/>
      <c r="D15" s="223" t="s">
        <v>454</v>
      </c>
      <c r="E15" s="224"/>
      <c r="F15" s="224"/>
      <c r="G15" s="224"/>
      <c r="H15" s="224"/>
      <c r="I15" s="224"/>
      <c r="J15" s="225"/>
    </row>
    <row r="16" spans="1:10" x14ac:dyDescent="0.25">
      <c r="A16" s="226" t="s">
        <v>460</v>
      </c>
      <c r="B16" s="227"/>
      <c r="C16" s="228"/>
      <c r="D16" s="226" t="s">
        <v>465</v>
      </c>
      <c r="E16" s="227"/>
      <c r="F16" s="227"/>
      <c r="G16" s="227"/>
      <c r="H16" s="227"/>
      <c r="I16" s="227"/>
      <c r="J16" s="228"/>
    </row>
    <row r="17" spans="1:12" x14ac:dyDescent="0.25">
      <c r="A17" s="226" t="s">
        <v>530</v>
      </c>
      <c r="B17" s="227"/>
      <c r="C17" s="228"/>
      <c r="D17" s="226" t="s">
        <v>532</v>
      </c>
      <c r="E17" s="227"/>
      <c r="F17" s="227"/>
      <c r="G17" s="227"/>
      <c r="H17" s="227"/>
      <c r="I17" s="227"/>
      <c r="J17" s="228"/>
    </row>
    <row r="18" spans="1:12" x14ac:dyDescent="0.25">
      <c r="A18" s="229" t="s">
        <v>703</v>
      </c>
      <c r="B18" s="230"/>
      <c r="C18" s="231"/>
      <c r="D18" s="229" t="s">
        <v>799</v>
      </c>
      <c r="E18" s="230"/>
      <c r="F18" s="230"/>
      <c r="G18" s="230"/>
      <c r="H18" s="230"/>
      <c r="I18" s="230"/>
      <c r="J18" s="231"/>
    </row>
    <row r="19" spans="1:12" x14ac:dyDescent="0.25">
      <c r="A19" s="140"/>
      <c r="B19" s="140"/>
      <c r="C19" s="140"/>
      <c r="D19" s="140"/>
      <c r="E19" s="140"/>
      <c r="F19" s="140"/>
      <c r="G19" s="140"/>
      <c r="H19" s="140"/>
      <c r="I19" s="140"/>
      <c r="J19" s="141"/>
    </row>
    <row r="20" spans="1:12" x14ac:dyDescent="0.25">
      <c r="A20" s="134" t="s">
        <v>455</v>
      </c>
    </row>
    <row r="21" spans="1:12" x14ac:dyDescent="0.25">
      <c r="L21" s="133" t="s">
        <v>473</v>
      </c>
    </row>
    <row r="22" spans="1:12" x14ac:dyDescent="0.25">
      <c r="A22" s="133" t="s">
        <v>462</v>
      </c>
      <c r="L22" s="133"/>
    </row>
    <row r="23" spans="1:12" x14ac:dyDescent="0.25">
      <c r="A23" s="133" t="s">
        <v>772</v>
      </c>
    </row>
    <row r="24" spans="1:12" x14ac:dyDescent="0.25">
      <c r="A24" s="133" t="s">
        <v>774</v>
      </c>
    </row>
    <row r="25" spans="1:12" x14ac:dyDescent="0.25">
      <c r="A25" s="146" t="s">
        <v>781</v>
      </c>
    </row>
    <row r="26" spans="1:12" x14ac:dyDescent="0.25">
      <c r="A26" s="133" t="s">
        <v>463</v>
      </c>
    </row>
    <row r="27" spans="1:12" x14ac:dyDescent="0.25">
      <c r="A27" s="146" t="s">
        <v>754</v>
      </c>
      <c r="B27" s="146"/>
      <c r="C27" s="146"/>
      <c r="D27" s="146"/>
      <c r="E27" s="146"/>
      <c r="F27" s="146"/>
      <c r="G27" s="146"/>
      <c r="H27" s="146"/>
      <c r="I27" s="146"/>
      <c r="J27" s="146"/>
    </row>
    <row r="28" spans="1:12" x14ac:dyDescent="0.25">
      <c r="A28" s="146" t="s">
        <v>751</v>
      </c>
      <c r="B28" s="146"/>
      <c r="C28" s="146"/>
      <c r="D28" s="146"/>
      <c r="E28" s="146"/>
      <c r="F28" s="146"/>
      <c r="G28" s="146"/>
      <c r="H28" s="146"/>
      <c r="I28" s="146"/>
      <c r="J28" s="146"/>
    </row>
    <row r="29" spans="1:12" x14ac:dyDescent="0.25">
      <c r="A29" s="146" t="s">
        <v>752</v>
      </c>
      <c r="B29" s="146"/>
      <c r="C29" s="146"/>
      <c r="D29" s="146"/>
      <c r="E29" s="146"/>
      <c r="F29" s="146"/>
      <c r="G29" s="146"/>
      <c r="H29" s="146"/>
      <c r="I29" s="146"/>
      <c r="J29" s="146"/>
    </row>
    <row r="30" spans="1:12" x14ac:dyDescent="0.25">
      <c r="A30" s="133" t="s">
        <v>813</v>
      </c>
    </row>
    <row r="31" spans="1:12" x14ac:dyDescent="0.25">
      <c r="A31" s="133" t="s">
        <v>814</v>
      </c>
    </row>
    <row r="32" spans="1:12" x14ac:dyDescent="0.25">
      <c r="A32" s="133" t="s">
        <v>815</v>
      </c>
      <c r="B32" s="146"/>
      <c r="C32" s="146"/>
      <c r="D32" s="146"/>
      <c r="E32" s="146"/>
      <c r="F32" s="146"/>
      <c r="G32" s="146"/>
      <c r="H32" s="146"/>
      <c r="I32" s="146"/>
      <c r="J32" s="146"/>
    </row>
    <row r="33" spans="1:10" x14ac:dyDescent="0.25">
      <c r="A33" s="133" t="s">
        <v>480</v>
      </c>
      <c r="B33" s="146"/>
      <c r="C33" s="146"/>
      <c r="D33" s="146"/>
      <c r="E33" s="146"/>
      <c r="F33" s="146"/>
      <c r="G33" s="146"/>
      <c r="H33" s="146"/>
      <c r="I33" s="146"/>
      <c r="J33" s="146"/>
    </row>
    <row r="34" spans="1:10" x14ac:dyDescent="0.25">
      <c r="A34" s="146" t="s">
        <v>816</v>
      </c>
      <c r="B34" s="146"/>
      <c r="C34" s="146"/>
      <c r="D34" s="146"/>
      <c r="E34" s="146"/>
      <c r="F34" s="146"/>
      <c r="G34" s="146"/>
      <c r="H34" s="146"/>
      <c r="I34" s="146"/>
      <c r="J34" s="146"/>
    </row>
    <row r="35" spans="1:10" x14ac:dyDescent="0.25">
      <c r="A35" s="146" t="s">
        <v>753</v>
      </c>
      <c r="B35" s="146"/>
      <c r="C35" s="146"/>
      <c r="D35" s="146"/>
      <c r="E35" s="146"/>
      <c r="F35" s="146"/>
      <c r="G35" s="146"/>
      <c r="H35" s="146"/>
      <c r="I35" s="146"/>
      <c r="J35" s="146"/>
    </row>
    <row r="36" spans="1:10" x14ac:dyDescent="0.25">
      <c r="A36" s="146" t="s">
        <v>843</v>
      </c>
      <c r="B36" s="146"/>
      <c r="C36" s="146"/>
      <c r="D36" s="146"/>
      <c r="E36" s="146"/>
      <c r="F36" s="146"/>
      <c r="G36" s="146"/>
      <c r="H36" s="146"/>
      <c r="I36" s="146"/>
      <c r="J36" s="146"/>
    </row>
    <row r="37" spans="1:10" x14ac:dyDescent="0.25">
      <c r="A37" s="133" t="s">
        <v>844</v>
      </c>
      <c r="B37" s="146"/>
      <c r="C37" s="146"/>
      <c r="D37" s="146"/>
      <c r="E37" s="146"/>
      <c r="F37" s="146"/>
      <c r="G37" s="146"/>
      <c r="H37" s="146"/>
      <c r="I37" s="146"/>
      <c r="J37" s="146"/>
    </row>
    <row r="38" spans="1:10" x14ac:dyDescent="0.25">
      <c r="A38" s="133" t="s">
        <v>817</v>
      </c>
      <c r="B38" s="146"/>
      <c r="C38" s="146"/>
      <c r="D38" s="146"/>
      <c r="E38" s="146"/>
      <c r="F38" s="146"/>
      <c r="G38" s="146"/>
      <c r="H38" s="146"/>
      <c r="I38" s="146"/>
      <c r="J38" s="146"/>
    </row>
    <row r="39" spans="1:10" x14ac:dyDescent="0.25">
      <c r="A39" s="133" t="s">
        <v>471</v>
      </c>
      <c r="B39" s="146"/>
    </row>
    <row r="40" spans="1:10" x14ac:dyDescent="0.25">
      <c r="A40" s="133" t="s">
        <v>472</v>
      </c>
      <c r="B40" s="146"/>
      <c r="C40" s="146"/>
      <c r="D40" s="146"/>
      <c r="E40" s="146"/>
      <c r="F40" s="146"/>
      <c r="G40" s="146"/>
      <c r="H40" s="146"/>
      <c r="I40" s="146"/>
      <c r="J40" s="146"/>
    </row>
    <row r="41" spans="1:10" x14ac:dyDescent="0.25">
      <c r="A41" s="133" t="s">
        <v>468</v>
      </c>
      <c r="B41" s="146"/>
      <c r="C41" s="146"/>
      <c r="D41" s="146"/>
      <c r="E41" s="146"/>
      <c r="F41" s="146"/>
      <c r="G41" s="146"/>
      <c r="H41" s="146"/>
      <c r="I41" s="146"/>
      <c r="J41" s="146"/>
    </row>
    <row r="42" spans="1:10" x14ac:dyDescent="0.25">
      <c r="A42" s="146" t="s">
        <v>467</v>
      </c>
      <c r="B42" s="146"/>
      <c r="C42" s="146"/>
      <c r="D42" s="146"/>
      <c r="E42" s="146"/>
      <c r="F42" s="146"/>
      <c r="G42" s="146"/>
      <c r="H42" s="146"/>
      <c r="I42" s="146"/>
      <c r="J42" s="146"/>
    </row>
    <row r="43" spans="1:10" x14ac:dyDescent="0.25">
      <c r="A43" s="146" t="s">
        <v>469</v>
      </c>
      <c r="B43" s="146"/>
    </row>
    <row r="44" spans="1:10" x14ac:dyDescent="0.25">
      <c r="A44" s="146" t="s">
        <v>470</v>
      </c>
      <c r="B44" s="146"/>
    </row>
    <row r="45" spans="1:10" x14ac:dyDescent="0.25">
      <c r="A45" s="133" t="s">
        <v>818</v>
      </c>
    </row>
    <row r="46" spans="1:10" x14ac:dyDescent="0.25">
      <c r="A46" s="146" t="s">
        <v>466</v>
      </c>
      <c r="B46" s="146"/>
      <c r="C46" s="146"/>
      <c r="D46" s="146"/>
      <c r="E46" s="146"/>
      <c r="F46" s="146"/>
      <c r="G46" s="146"/>
      <c r="H46" s="146"/>
      <c r="I46" s="146"/>
      <c r="J46" s="146"/>
    </row>
    <row r="47" spans="1:10" x14ac:dyDescent="0.25">
      <c r="A47" s="146" t="s">
        <v>739</v>
      </c>
      <c r="C47" s="146"/>
      <c r="D47" s="146"/>
      <c r="E47" s="146"/>
      <c r="F47" s="146"/>
      <c r="G47" s="146"/>
      <c r="H47" s="146"/>
      <c r="I47" s="146"/>
      <c r="J47" s="146"/>
    </row>
    <row r="48" spans="1:10" x14ac:dyDescent="0.25">
      <c r="A48" s="146" t="s">
        <v>740</v>
      </c>
      <c r="C48" s="146"/>
      <c r="D48" s="146"/>
      <c r="E48" s="146"/>
      <c r="F48" s="146"/>
      <c r="G48" s="146"/>
      <c r="H48" s="146"/>
      <c r="I48" s="146"/>
      <c r="J48" s="146"/>
    </row>
    <row r="49" spans="1:10" x14ac:dyDescent="0.25">
      <c r="A49" s="133" t="s">
        <v>741</v>
      </c>
      <c r="C49" s="146"/>
      <c r="D49" s="146"/>
      <c r="E49" s="146"/>
      <c r="F49" s="146"/>
      <c r="G49" s="146"/>
      <c r="H49" s="146"/>
      <c r="I49" s="146"/>
      <c r="J49" s="146"/>
    </row>
    <row r="50" spans="1:10" x14ac:dyDescent="0.25">
      <c r="A50" s="146" t="s">
        <v>742</v>
      </c>
      <c r="C50" s="146"/>
      <c r="D50" s="146"/>
      <c r="E50" s="146"/>
      <c r="F50" s="146"/>
      <c r="G50" s="146"/>
      <c r="H50" s="146"/>
      <c r="I50" s="146"/>
      <c r="J50" s="146"/>
    </row>
    <row r="51" spans="1:10" x14ac:dyDescent="0.25">
      <c r="A51" s="146" t="s">
        <v>743</v>
      </c>
      <c r="C51" s="146"/>
      <c r="D51" s="146"/>
      <c r="E51" s="146"/>
      <c r="F51" s="146"/>
      <c r="G51" s="146"/>
      <c r="H51" s="146"/>
      <c r="I51" s="146"/>
      <c r="J51" s="146"/>
    </row>
    <row r="52" spans="1:10" x14ac:dyDescent="0.25">
      <c r="A52" s="146" t="s">
        <v>744</v>
      </c>
      <c r="C52" s="146"/>
      <c r="D52" s="146"/>
      <c r="E52" s="146"/>
      <c r="F52" s="146"/>
      <c r="G52" s="146"/>
      <c r="H52" s="146"/>
      <c r="I52" s="146"/>
      <c r="J52" s="146"/>
    </row>
    <row r="53" spans="1:10" x14ac:dyDescent="0.25">
      <c r="A53" s="146" t="s">
        <v>852</v>
      </c>
      <c r="C53" s="146"/>
      <c r="D53" s="146"/>
      <c r="E53" s="146"/>
      <c r="F53" s="146"/>
      <c r="G53" s="146"/>
      <c r="H53" s="146"/>
      <c r="I53" s="146"/>
      <c r="J53" s="146"/>
    </row>
    <row r="54" spans="1:10" x14ac:dyDescent="0.25">
      <c r="A54" s="133" t="s">
        <v>854</v>
      </c>
      <c r="C54" s="146"/>
      <c r="D54" s="146"/>
      <c r="E54" s="146"/>
      <c r="F54" s="146"/>
      <c r="G54" s="146"/>
      <c r="H54" s="146"/>
      <c r="I54" s="146"/>
      <c r="J54" s="146"/>
    </row>
    <row r="55" spans="1:10" x14ac:dyDescent="0.25">
      <c r="A55" s="601" t="s">
        <v>819</v>
      </c>
      <c r="C55" s="146"/>
      <c r="D55" s="146"/>
      <c r="E55" s="146"/>
      <c r="F55" s="146"/>
      <c r="G55" s="146"/>
      <c r="H55" s="146"/>
      <c r="I55" s="146"/>
      <c r="J55" s="146"/>
    </row>
    <row r="56" spans="1:10" x14ac:dyDescent="0.25">
      <c r="A56" s="601" t="s">
        <v>853</v>
      </c>
      <c r="C56" s="146"/>
      <c r="D56" s="146"/>
      <c r="E56" s="146"/>
      <c r="F56" s="146"/>
      <c r="G56" s="146"/>
      <c r="H56" s="146"/>
      <c r="I56" s="146"/>
      <c r="J56" s="146"/>
    </row>
    <row r="57" spans="1:10" x14ac:dyDescent="0.25">
      <c r="A57" s="133" t="s">
        <v>820</v>
      </c>
      <c r="C57" s="146"/>
      <c r="D57" s="146"/>
      <c r="E57" s="146"/>
      <c r="F57" s="146"/>
      <c r="G57" s="146"/>
      <c r="H57" s="146"/>
      <c r="I57" s="146"/>
      <c r="J57" s="146"/>
    </row>
    <row r="58" spans="1:10" x14ac:dyDescent="0.25">
      <c r="A58" s="133" t="s">
        <v>456</v>
      </c>
      <c r="B58" s="146"/>
      <c r="C58" s="146"/>
      <c r="D58" s="146"/>
      <c r="E58" s="146"/>
      <c r="F58" s="146"/>
      <c r="G58" s="146"/>
      <c r="H58" s="146"/>
      <c r="I58" s="146"/>
      <c r="J58" s="146"/>
    </row>
    <row r="59" spans="1:10" x14ac:dyDescent="0.25">
      <c r="A59" s="133" t="s">
        <v>457</v>
      </c>
      <c r="B59" s="146"/>
      <c r="C59" s="146"/>
      <c r="D59" s="146"/>
      <c r="E59" s="146"/>
      <c r="F59" s="146"/>
      <c r="G59" s="146"/>
      <c r="H59" s="146"/>
      <c r="I59" s="146"/>
      <c r="J59" s="146"/>
    </row>
    <row r="60" spans="1:10" x14ac:dyDescent="0.25">
      <c r="A60" s="133" t="s">
        <v>458</v>
      </c>
      <c r="B60" s="146"/>
      <c r="C60" s="146"/>
      <c r="D60" s="146"/>
      <c r="E60" s="146"/>
      <c r="F60" s="146"/>
      <c r="G60" s="146"/>
      <c r="H60" s="146"/>
      <c r="I60" s="146"/>
      <c r="J60" s="146"/>
    </row>
    <row r="61" spans="1:10" x14ac:dyDescent="0.25">
      <c r="B61" s="146"/>
      <c r="C61" s="146"/>
      <c r="D61" s="146"/>
      <c r="E61" s="146"/>
      <c r="F61" s="146"/>
      <c r="G61" s="146"/>
      <c r="H61" s="146"/>
      <c r="I61" s="146"/>
      <c r="J61" s="146"/>
    </row>
    <row r="62" spans="1:10" x14ac:dyDescent="0.25">
      <c r="B62" s="146"/>
      <c r="C62" s="146"/>
      <c r="D62" s="146"/>
      <c r="E62" s="146"/>
      <c r="F62" s="146"/>
      <c r="G62" s="146"/>
      <c r="H62" s="146"/>
      <c r="I62" s="146"/>
      <c r="J62" s="146"/>
    </row>
    <row r="63" spans="1:10" x14ac:dyDescent="0.25">
      <c r="B63" s="146"/>
      <c r="C63" s="146"/>
      <c r="D63" s="146"/>
      <c r="E63" s="146"/>
      <c r="F63" s="146"/>
      <c r="G63" s="146"/>
      <c r="H63" s="146"/>
      <c r="I63" s="146"/>
      <c r="J63" s="146"/>
    </row>
    <row r="64" spans="1:10" x14ac:dyDescent="0.25">
      <c r="B64" s="146"/>
      <c r="C64" s="146"/>
      <c r="D64" s="146"/>
      <c r="E64" s="146"/>
      <c r="F64" s="146"/>
      <c r="G64" s="146"/>
      <c r="H64" s="146"/>
      <c r="I64" s="146"/>
      <c r="J64" s="146"/>
    </row>
    <row r="65" spans="2:10" x14ac:dyDescent="0.25">
      <c r="B65" s="146"/>
      <c r="C65" s="146"/>
      <c r="D65" s="146"/>
      <c r="E65" s="146"/>
      <c r="F65" s="146"/>
      <c r="G65" s="146"/>
      <c r="H65" s="146"/>
      <c r="I65" s="146"/>
      <c r="J65" s="146"/>
    </row>
    <row r="67" spans="2:10" x14ac:dyDescent="0.25">
      <c r="B67" s="146"/>
    </row>
    <row r="68" spans="2:10" x14ac:dyDescent="0.25">
      <c r="B68" s="146"/>
    </row>
    <row r="69" spans="2:10" x14ac:dyDescent="0.25">
      <c r="B69" s="146"/>
    </row>
  </sheetData>
  <sheetProtection sheet="1" objects="1" scenarios="1"/>
  <phoneticPr fontId="35" type="noConversion"/>
  <pageMargins left="1" right="0.5" top="1" bottom="1" header="0.5" footer="0.5"/>
  <pageSetup scale="96" orientation="portrait" r:id="rId1"/>
  <headerFooter alignWithMargins="0"/>
  <rowBreaks count="1" manualBreakCount="1">
    <brk id="52" max="9" man="1"/>
  </rowBreaks>
  <colBreaks count="1" manualBreakCount="1">
    <brk id="10"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380"/>
  <sheetViews>
    <sheetView zoomScaleNormal="100" workbookViewId="0">
      <selection activeCell="AL55" sqref="AL55"/>
    </sheetView>
  </sheetViews>
  <sheetFormatPr defaultColWidth="9.109375" defaultRowHeight="13.2" x14ac:dyDescent="0.25"/>
  <cols>
    <col min="1" max="1" width="12.33203125" style="10" customWidth="1"/>
    <col min="2" max="2" width="9.109375" style="10"/>
    <col min="3" max="3" width="10.6640625" style="10" customWidth="1"/>
    <col min="4" max="4" width="9.44140625" style="10" customWidth="1"/>
    <col min="5" max="5" width="9.109375" style="10"/>
    <col min="6" max="6" width="9.44140625" style="10" customWidth="1"/>
    <col min="7" max="7" width="9.109375" style="10"/>
    <col min="8" max="8" width="8.5546875" style="10" customWidth="1"/>
    <col min="9" max="9" width="11.6640625" style="10" customWidth="1"/>
    <col min="10" max="10" width="8.88671875" style="24" hidden="1" customWidth="1"/>
    <col min="11" max="13" width="10.6640625" style="24" hidden="1" customWidth="1"/>
    <col min="14" max="14" width="10.6640625" style="89" hidden="1" customWidth="1"/>
    <col min="15" max="15" width="8.88671875" style="24" hidden="1" customWidth="1"/>
    <col min="16" max="16" width="0" style="24" hidden="1" customWidth="1"/>
    <col min="17" max="17" width="8.88671875" style="24" hidden="1" customWidth="1"/>
    <col min="18" max="18" width="9.6640625" style="24" hidden="1" customWidth="1"/>
    <col min="19" max="19" width="10.6640625" style="24" hidden="1" customWidth="1"/>
    <col min="20" max="21" width="0" style="24" hidden="1" customWidth="1"/>
    <col min="22" max="22" width="8.88671875" style="24" hidden="1" customWidth="1"/>
    <col min="23" max="23" width="12.6640625" style="24" hidden="1" customWidth="1"/>
    <col min="24" max="24" width="11.6640625" style="24" hidden="1" customWidth="1"/>
    <col min="25" max="25" width="12.6640625" style="24" hidden="1" customWidth="1"/>
    <col min="26" max="26" width="11.6640625" style="24" hidden="1" customWidth="1"/>
    <col min="27" max="27" width="12.6640625" style="24" hidden="1" customWidth="1"/>
    <col min="28" max="29" width="9.6640625" style="24" hidden="1" customWidth="1"/>
    <col min="30" max="30" width="8.88671875" style="24" hidden="1" customWidth="1"/>
    <col min="31" max="36" width="8.88671875" style="43" hidden="1" customWidth="1"/>
    <col min="37" max="37" width="8.88671875" style="24" hidden="1" customWidth="1"/>
    <col min="38" max="40" width="9.109375" style="10"/>
    <col min="41" max="41" width="10.6640625" style="10" customWidth="1"/>
    <col min="42" max="63" width="9.109375" style="74"/>
    <col min="64" max="16384" width="9.109375" style="10"/>
  </cols>
  <sheetData>
    <row r="1" spans="1:42" ht="15.6" x14ac:dyDescent="0.3">
      <c r="A1" s="9" t="s">
        <v>459</v>
      </c>
      <c r="B1" s="15"/>
      <c r="C1" s="16"/>
      <c r="D1" s="16"/>
      <c r="E1" s="16"/>
      <c r="F1" s="16"/>
      <c r="G1" s="15"/>
      <c r="H1" s="15"/>
      <c r="I1" s="98"/>
      <c r="J1" s="33"/>
      <c r="K1" s="95"/>
      <c r="M1" s="25" t="s">
        <v>303</v>
      </c>
      <c r="N1" s="24"/>
      <c r="V1" s="43"/>
      <c r="W1" s="43"/>
      <c r="X1" s="43"/>
      <c r="Y1" s="10"/>
      <c r="Z1" s="74"/>
      <c r="AA1" s="74"/>
      <c r="AB1" s="74"/>
      <c r="AC1" s="74"/>
      <c r="AD1" s="74"/>
      <c r="AK1" s="74"/>
      <c r="AL1" s="130" t="s">
        <v>858</v>
      </c>
    </row>
    <row r="2" spans="1:42" x14ac:dyDescent="0.25">
      <c r="A2" s="17" t="s">
        <v>576</v>
      </c>
      <c r="B2" s="19"/>
      <c r="C2" s="18"/>
      <c r="D2" s="19"/>
      <c r="E2" s="19"/>
      <c r="F2" s="19"/>
      <c r="G2" s="20"/>
      <c r="H2" s="20"/>
      <c r="I2" s="99"/>
      <c r="J2" s="33"/>
      <c r="K2" s="23"/>
      <c r="M2" s="33"/>
      <c r="N2" s="24"/>
      <c r="V2" s="43"/>
      <c r="W2" s="43"/>
      <c r="X2" s="43"/>
      <c r="Y2" s="10"/>
      <c r="Z2" s="74"/>
      <c r="AA2" s="74"/>
      <c r="AB2" s="74"/>
      <c r="AC2" s="74"/>
      <c r="AD2" s="74"/>
      <c r="AK2" s="74"/>
    </row>
    <row r="3" spans="1:42" x14ac:dyDescent="0.25">
      <c r="A3" s="11" t="s">
        <v>212</v>
      </c>
      <c r="B3" s="101"/>
      <c r="C3" s="101"/>
      <c r="D3" s="101"/>
      <c r="E3" s="101"/>
      <c r="F3" s="101"/>
      <c r="G3" s="102"/>
      <c r="H3" s="102"/>
      <c r="I3" s="103"/>
      <c r="J3" s="33"/>
      <c r="K3" s="29">
        <v>36</v>
      </c>
      <c r="M3" s="28" t="s">
        <v>804</v>
      </c>
      <c r="N3" s="201">
        <f>-IF($C$12=0,0.0001,$C$12)</f>
        <v>3.39</v>
      </c>
      <c r="O3" s="24" t="s">
        <v>50</v>
      </c>
      <c r="Q3" s="437" t="s">
        <v>542</v>
      </c>
      <c r="R3" s="437" t="s">
        <v>555</v>
      </c>
      <c r="S3" s="437" t="s">
        <v>550</v>
      </c>
      <c r="T3" s="437" t="s">
        <v>546</v>
      </c>
      <c r="U3" s="43"/>
      <c r="V3" s="191" t="s">
        <v>793</v>
      </c>
      <c r="W3" s="192"/>
      <c r="X3" s="192"/>
      <c r="Y3" s="192"/>
      <c r="Z3" s="192"/>
      <c r="AA3" s="192"/>
      <c r="AB3" s="192"/>
      <c r="AC3" s="193"/>
      <c r="AD3" s="150"/>
      <c r="AE3" s="440" t="s">
        <v>478</v>
      </c>
      <c r="AF3" s="441"/>
      <c r="AG3" s="441"/>
      <c r="AH3" s="441"/>
      <c r="AI3" s="441"/>
      <c r="AJ3" s="442"/>
      <c r="AK3" s="150"/>
    </row>
    <row r="4" spans="1:42" x14ac:dyDescent="0.25">
      <c r="A4" s="51" t="s">
        <v>99</v>
      </c>
      <c r="B4" s="283"/>
      <c r="C4" s="105"/>
      <c r="D4" s="105"/>
      <c r="E4" s="105"/>
      <c r="F4" s="100" t="s">
        <v>448</v>
      </c>
      <c r="G4" s="283"/>
      <c r="H4" s="195"/>
      <c r="I4" s="196"/>
      <c r="J4" s="22"/>
      <c r="K4" s="29">
        <v>50</v>
      </c>
      <c r="M4" s="28" t="s">
        <v>807</v>
      </c>
      <c r="N4" s="479">
        <f>-$C$13</f>
        <v>0</v>
      </c>
      <c r="O4" s="24" t="s">
        <v>50</v>
      </c>
      <c r="Q4" s="438" t="s">
        <v>543</v>
      </c>
      <c r="R4" s="438" t="s">
        <v>556</v>
      </c>
      <c r="S4" s="438" t="s">
        <v>544</v>
      </c>
      <c r="T4" s="438" t="s">
        <v>547</v>
      </c>
      <c r="U4" s="39"/>
      <c r="V4" s="76" t="s">
        <v>420</v>
      </c>
      <c r="W4" s="33"/>
      <c r="X4" s="33"/>
      <c r="Y4" s="22"/>
      <c r="Z4" s="33"/>
      <c r="AA4" s="33"/>
      <c r="AB4" s="33"/>
      <c r="AC4" s="54"/>
      <c r="AD4" s="33"/>
      <c r="AE4" s="443" t="s">
        <v>479</v>
      </c>
      <c r="AF4" s="444"/>
      <c r="AG4" s="444"/>
      <c r="AH4" s="444"/>
      <c r="AI4" s="444"/>
      <c r="AJ4" s="445"/>
      <c r="AK4" s="33"/>
      <c r="AL4" s="27" t="s">
        <v>209</v>
      </c>
      <c r="AP4" s="10"/>
    </row>
    <row r="5" spans="1:42" x14ac:dyDescent="0.25">
      <c r="A5" s="51" t="s">
        <v>47</v>
      </c>
      <c r="B5" s="283"/>
      <c r="C5" s="105"/>
      <c r="D5" s="106"/>
      <c r="E5" s="105"/>
      <c r="F5" s="97" t="s">
        <v>449</v>
      </c>
      <c r="G5" s="104"/>
      <c r="H5" s="97" t="s">
        <v>447</v>
      </c>
      <c r="I5" s="202"/>
      <c r="J5" s="22"/>
      <c r="K5" s="29">
        <v>2.5</v>
      </c>
      <c r="M5" s="28" t="s">
        <v>805</v>
      </c>
      <c r="N5" s="479">
        <f>ABS($C$14)</f>
        <v>0</v>
      </c>
      <c r="O5" s="24" t="s">
        <v>50</v>
      </c>
      <c r="Q5" s="439" t="s">
        <v>545</v>
      </c>
      <c r="R5" s="439" t="s">
        <v>557</v>
      </c>
      <c r="S5" s="439" t="s">
        <v>553</v>
      </c>
      <c r="T5" s="439" t="s">
        <v>548</v>
      </c>
      <c r="U5" s="78"/>
      <c r="V5" s="183" t="s">
        <v>481</v>
      </c>
      <c r="W5" s="33"/>
      <c r="X5" s="33"/>
      <c r="Y5" s="33"/>
      <c r="Z5" s="33"/>
      <c r="AA5" s="33"/>
      <c r="AB5" s="33"/>
      <c r="AC5" s="54"/>
      <c r="AD5" s="33"/>
      <c r="AE5" s="412" t="s">
        <v>51</v>
      </c>
      <c r="AF5" s="413" t="s">
        <v>52</v>
      </c>
      <c r="AG5" s="413" t="s">
        <v>28</v>
      </c>
      <c r="AH5" s="413" t="s">
        <v>29</v>
      </c>
      <c r="AI5" s="413" t="s">
        <v>30</v>
      </c>
      <c r="AJ5" s="413" t="s">
        <v>31</v>
      </c>
      <c r="AK5" s="33"/>
      <c r="AL5" s="30" t="s">
        <v>208</v>
      </c>
      <c r="AM5" s="31" t="s">
        <v>49</v>
      </c>
      <c r="AP5" s="32" t="s">
        <v>121</v>
      </c>
    </row>
    <row r="6" spans="1:42" x14ac:dyDescent="0.25">
      <c r="A6" s="47"/>
      <c r="B6" s="71"/>
      <c r="C6" s="71"/>
      <c r="D6" s="71"/>
      <c r="E6" s="71"/>
      <c r="F6" s="71"/>
      <c r="G6" s="71"/>
      <c r="H6" s="126"/>
      <c r="I6" s="128"/>
      <c r="J6" s="33"/>
      <c r="K6" s="29">
        <v>3</v>
      </c>
      <c r="L6" s="55"/>
      <c r="M6" s="28" t="s">
        <v>806</v>
      </c>
      <c r="N6" s="4">
        <f>IF(1/2*$C$23*$N$4&gt;=$N$5,0,$N$5-1/2*$C$23*$N$4)</f>
        <v>0</v>
      </c>
      <c r="O6" s="24" t="s">
        <v>50</v>
      </c>
      <c r="Q6" s="649">
        <v>0.375</v>
      </c>
      <c r="R6" s="380">
        <f t="shared" ref="R6:R21" si="0">PI()*$Q6^2/4</f>
        <v>0.11044661672776616</v>
      </c>
      <c r="S6" s="382">
        <f t="shared" ref="S6:S21" si="1">0.7854*($Q6-0.9743/$T6)^2</f>
        <v>7.748971308142967E-2</v>
      </c>
      <c r="T6" s="649">
        <v>16</v>
      </c>
      <c r="U6" s="78"/>
      <c r="V6" s="184" t="s">
        <v>482</v>
      </c>
      <c r="W6" s="182">
        <v>1</v>
      </c>
      <c r="X6" s="33"/>
      <c r="Y6" s="8"/>
      <c r="Z6" s="33"/>
      <c r="AA6" s="33"/>
      <c r="AB6" s="33"/>
      <c r="AC6" s="54"/>
      <c r="AD6" s="33"/>
      <c r="AE6" s="414" t="s">
        <v>26</v>
      </c>
      <c r="AF6" s="415">
        <v>98.3</v>
      </c>
      <c r="AG6" s="416">
        <v>44</v>
      </c>
      <c r="AH6" s="416">
        <v>1.02</v>
      </c>
      <c r="AI6" s="416">
        <v>16</v>
      </c>
      <c r="AJ6" s="417">
        <v>1.77</v>
      </c>
      <c r="AK6" s="33"/>
      <c r="AL6" s="27" t="s">
        <v>164</v>
      </c>
      <c r="AP6" s="10"/>
    </row>
    <row r="7" spans="1:42" x14ac:dyDescent="0.25">
      <c r="A7" s="13" t="s">
        <v>48</v>
      </c>
      <c r="B7" s="71"/>
      <c r="C7" s="71"/>
      <c r="D7" s="71"/>
      <c r="E7" s="71"/>
      <c r="F7" s="71"/>
      <c r="G7" s="72"/>
      <c r="H7" s="126"/>
      <c r="I7" s="129"/>
      <c r="J7" s="33"/>
      <c r="K7" s="29">
        <v>3.5</v>
      </c>
      <c r="L7" s="55"/>
      <c r="M7" s="28" t="s">
        <v>499</v>
      </c>
      <c r="N7" s="4">
        <f>ABS($C$15)</f>
        <v>0</v>
      </c>
      <c r="O7" s="26" t="s">
        <v>721</v>
      </c>
      <c r="Q7" s="598">
        <v>0.5</v>
      </c>
      <c r="R7" s="382">
        <f t="shared" si="0"/>
        <v>0.19634954084936207</v>
      </c>
      <c r="S7" s="382">
        <f t="shared" si="1"/>
        <v>0.1418988244310414</v>
      </c>
      <c r="T7" s="383">
        <v>13</v>
      </c>
      <c r="U7" s="78"/>
      <c r="V7" s="184" t="s">
        <v>483</v>
      </c>
      <c r="W7" s="172">
        <f>3*($N$7*12/$N$3-$C$17/2)</f>
        <v>-16.5</v>
      </c>
      <c r="X7" s="33"/>
      <c r="Y7" s="8"/>
      <c r="Z7" s="33"/>
      <c r="AA7" s="33"/>
      <c r="AB7" s="33"/>
      <c r="AC7" s="54"/>
      <c r="AD7" s="33"/>
      <c r="AE7" s="418" t="s">
        <v>27</v>
      </c>
      <c r="AF7" s="419">
        <v>85.8</v>
      </c>
      <c r="AG7" s="420">
        <v>43.6</v>
      </c>
      <c r="AH7" s="420">
        <v>0.87</v>
      </c>
      <c r="AI7" s="420">
        <v>15.8</v>
      </c>
      <c r="AJ7" s="421">
        <v>1.58</v>
      </c>
      <c r="AK7" s="33"/>
      <c r="AL7" s="30">
        <v>39</v>
      </c>
      <c r="AM7" s="41" t="str">
        <f>IF($C$36&gt;=$C$37,"Fp &gt;= fp(max), O.K.","Fp &lt; fp(max)")</f>
        <v>Fp &gt;= fp(max), O.K.</v>
      </c>
      <c r="AP7" s="92">
        <f>$C$37/$C$36</f>
        <v>2.4458874458874465E-2</v>
      </c>
    </row>
    <row r="8" spans="1:42" x14ac:dyDescent="0.25">
      <c r="A8" s="21"/>
      <c r="B8" s="71"/>
      <c r="C8" s="71"/>
      <c r="D8" s="71"/>
      <c r="E8" s="125"/>
      <c r="F8" s="71"/>
      <c r="G8" s="72"/>
      <c r="H8" s="126"/>
      <c r="I8" s="127"/>
      <c r="J8" s="33"/>
      <c r="K8" s="29">
        <v>4</v>
      </c>
      <c r="L8" s="35"/>
      <c r="M8" s="28" t="s">
        <v>290</v>
      </c>
      <c r="N8" s="75">
        <f>ABS($N$7*12/$N$3)</f>
        <v>0</v>
      </c>
      <c r="O8" s="65" t="str">
        <f>IF($N$8&gt;$C$17/6,"e &gt; N/6","e &lt;= N/6")</f>
        <v>e &lt;= N/6</v>
      </c>
      <c r="P8" s="65"/>
      <c r="Q8" s="598">
        <v>0.625</v>
      </c>
      <c r="R8" s="382">
        <f t="shared" si="0"/>
        <v>0.30679615757712825</v>
      </c>
      <c r="S8" s="382">
        <f t="shared" si="1"/>
        <v>0.22600216354418184</v>
      </c>
      <c r="T8" s="383">
        <v>11</v>
      </c>
      <c r="U8" s="78"/>
      <c r="V8" s="184" t="s">
        <v>62</v>
      </c>
      <c r="W8" s="172">
        <f>6*29000/(57*($C$20*1000)^(1/2))*$C$25/2*PI()*$C$26^2/4/$C$18*($C$17/2-$C$28+$N$7*12/$N$3)</f>
        <v>17.098723178126935</v>
      </c>
      <c r="X8" s="33"/>
      <c r="Y8" s="8"/>
      <c r="Z8" s="33"/>
      <c r="AA8" s="33"/>
      <c r="AB8" s="33"/>
      <c r="AC8" s="54"/>
      <c r="AD8" s="33"/>
      <c r="AE8" s="418" t="s">
        <v>251</v>
      </c>
      <c r="AF8" s="419">
        <v>83.8</v>
      </c>
      <c r="AG8" s="420">
        <v>44.02</v>
      </c>
      <c r="AH8" s="420">
        <v>1.024</v>
      </c>
      <c r="AI8" s="422">
        <v>11.811</v>
      </c>
      <c r="AJ8" s="421">
        <v>1.772</v>
      </c>
      <c r="AK8" s="33"/>
      <c r="AL8" s="27" t="s">
        <v>244</v>
      </c>
      <c r="AM8" s="74"/>
      <c r="AP8" s="96"/>
    </row>
    <row r="9" spans="1:42" x14ac:dyDescent="0.25">
      <c r="A9" s="13" t="s">
        <v>90</v>
      </c>
      <c r="B9" s="22"/>
      <c r="C9" s="22"/>
      <c r="D9" s="22"/>
      <c r="E9" s="67" t="s">
        <v>55</v>
      </c>
      <c r="F9" s="12"/>
      <c r="G9" s="12"/>
      <c r="H9" s="12"/>
      <c r="I9" s="14"/>
      <c r="J9" s="33"/>
      <c r="K9" s="29">
        <v>4.5</v>
      </c>
      <c r="L9" s="55"/>
      <c r="M9" s="28" t="s">
        <v>570</v>
      </c>
      <c r="N9" s="35">
        <f>MIN(0.35*SQRT($C$21/($C$17*$C$18))*$C$20,0.7*$C$20)</f>
        <v>2.0999999999999996</v>
      </c>
      <c r="O9" s="26" t="s">
        <v>153</v>
      </c>
      <c r="P9" s="26"/>
      <c r="Q9" s="598">
        <v>0.75</v>
      </c>
      <c r="R9" s="382">
        <f t="shared" si="0"/>
        <v>0.44178646691106466</v>
      </c>
      <c r="S9" s="382">
        <f t="shared" si="1"/>
        <v>0.33446070888845997</v>
      </c>
      <c r="T9" s="383">
        <v>10</v>
      </c>
      <c r="U9" s="78"/>
      <c r="V9" s="184" t="s">
        <v>125</v>
      </c>
      <c r="W9" s="172">
        <f>-6*29000/(57*($C$20*1000)^(1/2))*$C$25/2*PI()*$C$26^2/4/$C$18*($C$17/2+$C$17/2-$C$28)*($C$17/2-$C$28+$N$7*12/$N$3)</f>
        <v>-145.33914701407895</v>
      </c>
      <c r="X9" s="33"/>
      <c r="Y9" s="8"/>
      <c r="Z9" s="33"/>
      <c r="AA9" s="33"/>
      <c r="AB9" s="33"/>
      <c r="AC9" s="54"/>
      <c r="AD9" s="33"/>
      <c r="AE9" s="418" t="s">
        <v>381</v>
      </c>
      <c r="AF9" s="419">
        <v>77.2</v>
      </c>
      <c r="AG9" s="420">
        <v>43.3</v>
      </c>
      <c r="AH9" s="420">
        <v>0.79</v>
      </c>
      <c r="AI9" s="420">
        <v>15.8</v>
      </c>
      <c r="AJ9" s="421">
        <v>1.42</v>
      </c>
      <c r="AK9" s="33"/>
      <c r="AL9" s="30">
        <v>44</v>
      </c>
      <c r="AM9" s="41" t="str">
        <f>IF($C$42&gt;=$C$43,"Ta &gt;= Tb, O.K.","Ta &lt; Tb")</f>
        <v>Ta &gt;= Tb, O.K.</v>
      </c>
      <c r="AP9" s="92">
        <f>$C$43/$C$42</f>
        <v>0</v>
      </c>
    </row>
    <row r="10" spans="1:42" x14ac:dyDescent="0.25">
      <c r="A10" s="21"/>
      <c r="B10" s="36" t="s">
        <v>237</v>
      </c>
      <c r="C10" s="154" t="s">
        <v>434</v>
      </c>
      <c r="D10" s="12"/>
      <c r="E10" s="61" t="s">
        <v>337</v>
      </c>
      <c r="F10" s="109">
        <f>VLOOKUP($C$10,$AE$6:$AJ$380,2,FALSE)</f>
        <v>7.61</v>
      </c>
      <c r="G10" s="90" t="s">
        <v>151</v>
      </c>
      <c r="H10" s="12"/>
      <c r="I10" s="14" t="s">
        <v>214</v>
      </c>
      <c r="J10" s="23"/>
      <c r="K10" s="29">
        <v>5</v>
      </c>
      <c r="L10" s="55"/>
      <c r="M10" s="28" t="s">
        <v>236</v>
      </c>
      <c r="N10" s="35">
        <f>IF($N$3&gt;0,IF($N$8&lt;=$C$17/6,$C$17,IF($N$8&gt;$C$17/2-$W$34/3,$W$34,3*($C$17/2-$N$8))),IF($N$3&lt;0,IF($N$8&gt;$C$17/2-$C$28,$W$34,0)))</f>
        <v>11</v>
      </c>
      <c r="O10" s="26" t="s">
        <v>252</v>
      </c>
      <c r="P10" s="26"/>
      <c r="Q10" s="598">
        <v>0.875</v>
      </c>
      <c r="R10" s="382">
        <f t="shared" si="0"/>
        <v>0.6013204688511713</v>
      </c>
      <c r="S10" s="382">
        <f t="shared" si="1"/>
        <v>0.4617343376400741</v>
      </c>
      <c r="T10" s="383">
        <v>9</v>
      </c>
      <c r="U10" s="78"/>
      <c r="V10" s="79"/>
      <c r="W10" s="80"/>
      <c r="X10" s="81"/>
      <c r="Y10" s="33"/>
      <c r="Z10" s="33"/>
      <c r="AA10" s="33"/>
      <c r="AB10" s="33"/>
      <c r="AC10" s="54"/>
      <c r="AD10" s="33"/>
      <c r="AE10" s="418" t="s">
        <v>388</v>
      </c>
      <c r="AF10" s="419">
        <v>72.8</v>
      </c>
      <c r="AG10" s="420">
        <v>43.62</v>
      </c>
      <c r="AH10" s="420">
        <v>0.86499999999999999</v>
      </c>
      <c r="AI10" s="422">
        <v>11.811</v>
      </c>
      <c r="AJ10" s="421">
        <v>1.575</v>
      </c>
      <c r="AK10" s="33"/>
      <c r="AL10" s="27" t="s">
        <v>513</v>
      </c>
      <c r="AM10" s="74"/>
    </row>
    <row r="11" spans="1:42" x14ac:dyDescent="0.25">
      <c r="A11" s="13" t="s">
        <v>359</v>
      </c>
      <c r="B11" s="12"/>
      <c r="C11" s="12"/>
      <c r="D11" s="12"/>
      <c r="E11" s="61" t="s">
        <v>125</v>
      </c>
      <c r="F11" s="110">
        <f>VLOOKUP($C$10,$AE$6:$AJ$380,3,FALSE)</f>
        <v>10.3</v>
      </c>
      <c r="G11" s="90" t="s">
        <v>252</v>
      </c>
      <c r="H11" s="12"/>
      <c r="I11" s="14"/>
      <c r="K11" s="29">
        <v>5.5</v>
      </c>
      <c r="L11" s="55"/>
      <c r="M11" s="28" t="s">
        <v>63</v>
      </c>
      <c r="N11" s="35">
        <f>IF($N$10&gt;0,IF($N$8&lt;=$C$17/6,ABS($N$3)/($C$17*$C$18)*(1+6*$N$8/$C$17),2*($N$3+-$N$3*($C$17/2-$N$10/3-$N$7*12/$N$3)/($C$17/2-$N$10/3+($C$17/2-$C$28)))/($N$10*$C$18)),0)</f>
        <v>5.1363636363636368E-2</v>
      </c>
      <c r="O11" s="26" t="s">
        <v>153</v>
      </c>
      <c r="P11" s="26"/>
      <c r="Q11" s="598">
        <v>1</v>
      </c>
      <c r="R11" s="382">
        <f t="shared" si="0"/>
        <v>0.78539816339744828</v>
      </c>
      <c r="S11" s="382">
        <f t="shared" si="1"/>
        <v>0.60574540107571861</v>
      </c>
      <c r="T11" s="383">
        <v>8</v>
      </c>
      <c r="U11" s="78"/>
      <c r="V11" s="183" t="s">
        <v>484</v>
      </c>
      <c r="W11" s="171"/>
      <c r="X11" s="171"/>
      <c r="Y11" s="171"/>
      <c r="Z11" s="171"/>
      <c r="AA11" s="171"/>
      <c r="AB11" s="171"/>
      <c r="AC11" s="54"/>
      <c r="AD11" s="33"/>
      <c r="AE11" s="418" t="s">
        <v>382</v>
      </c>
      <c r="AF11" s="419">
        <v>67.7</v>
      </c>
      <c r="AG11" s="420">
        <v>42.9</v>
      </c>
      <c r="AH11" s="420">
        <v>0.71</v>
      </c>
      <c r="AI11" s="420">
        <v>15.8</v>
      </c>
      <c r="AJ11" s="421">
        <v>1.22</v>
      </c>
      <c r="AK11" s="33"/>
      <c r="AL11" s="30">
        <v>49</v>
      </c>
      <c r="AM11" s="41" t="str">
        <f>IF($C$46&gt;=$C$48,"Va &gt;= Vb, O.K.","Va &lt; Vb")</f>
        <v>Va &gt;= Vb, O.K.</v>
      </c>
      <c r="AP11" s="92">
        <f>$C$48/$C$46</f>
        <v>0</v>
      </c>
    </row>
    <row r="12" spans="1:42" x14ac:dyDescent="0.25">
      <c r="A12" s="21"/>
      <c r="B12" s="36" t="s">
        <v>800</v>
      </c>
      <c r="C12" s="112">
        <v>-3.39</v>
      </c>
      <c r="D12" s="90" t="s">
        <v>50</v>
      </c>
      <c r="E12" s="61" t="s">
        <v>361</v>
      </c>
      <c r="F12" s="110">
        <f>VLOOKUP($C$10,$AE$6:$AJ$380,4,FALSE)</f>
        <v>0.26</v>
      </c>
      <c r="G12" s="90" t="s">
        <v>252</v>
      </c>
      <c r="H12" s="12"/>
      <c r="I12" s="14"/>
      <c r="K12" s="29">
        <v>6</v>
      </c>
      <c r="L12" s="55"/>
      <c r="M12" s="28" t="s">
        <v>207</v>
      </c>
      <c r="N12" s="35">
        <f>IF($N$10&gt;0,IF($N$8&lt;=$C$17/6,ABS($N$3)/($C$17*$C$18)*(1-6*$N$8/$C$17),0),0)</f>
        <v>5.1363636363636368E-2</v>
      </c>
      <c r="O12" s="26" t="s">
        <v>153</v>
      </c>
      <c r="P12" s="26"/>
      <c r="Q12" s="598">
        <v>1.125</v>
      </c>
      <c r="R12" s="382">
        <f t="shared" si="0"/>
        <v>0.99401955054989544</v>
      </c>
      <c r="S12" s="382">
        <f t="shared" si="1"/>
        <v>0.7632751295682858</v>
      </c>
      <c r="T12" s="383">
        <v>7</v>
      </c>
      <c r="U12" s="78"/>
      <c r="V12" s="184" t="s">
        <v>485</v>
      </c>
      <c r="W12" s="180">
        <f>((3*$W$8/$W$6)-($W$7^2/$W$6^2))/3</f>
        <v>-73.651276821873068</v>
      </c>
      <c r="X12" s="645" t="s">
        <v>486</v>
      </c>
      <c r="Y12" s="171"/>
      <c r="Z12" s="171"/>
      <c r="AA12" s="171"/>
      <c r="AB12" s="171"/>
      <c r="AC12" s="54"/>
      <c r="AD12" s="33"/>
      <c r="AE12" s="418" t="s">
        <v>387</v>
      </c>
      <c r="AF12" s="419">
        <v>65.8</v>
      </c>
      <c r="AG12" s="420">
        <v>43.31</v>
      </c>
      <c r="AH12" s="420">
        <v>0.78700000000000003</v>
      </c>
      <c r="AI12" s="422">
        <v>11.811</v>
      </c>
      <c r="AJ12" s="421">
        <v>1.4159999999999999</v>
      </c>
      <c r="AK12" s="33"/>
      <c r="AL12" s="27" t="s">
        <v>756</v>
      </c>
      <c r="AM12" s="74"/>
    </row>
    <row r="13" spans="1:42" x14ac:dyDescent="0.25">
      <c r="A13" s="21"/>
      <c r="B13" s="61" t="s">
        <v>642</v>
      </c>
      <c r="C13" s="116">
        <v>0</v>
      </c>
      <c r="D13" s="256" t="s">
        <v>50</v>
      </c>
      <c r="E13" s="61" t="s">
        <v>210</v>
      </c>
      <c r="F13" s="110">
        <f>VLOOKUP($C$10,$AE$6:$AJ$380,5,FALSE)</f>
        <v>5.77</v>
      </c>
      <c r="G13" s="90" t="s">
        <v>252</v>
      </c>
      <c r="H13" s="12"/>
      <c r="I13" s="14"/>
      <c r="K13" s="29">
        <v>2</v>
      </c>
      <c r="L13" s="55"/>
      <c r="M13" s="28" t="s">
        <v>91</v>
      </c>
      <c r="N13" s="53">
        <f>($C$17-0.95*$F$11)/2</f>
        <v>0.60749999999999993</v>
      </c>
      <c r="O13" s="24" t="s">
        <v>252</v>
      </c>
      <c r="Q13" s="598">
        <v>1.25</v>
      </c>
      <c r="R13" s="382">
        <f t="shared" si="0"/>
        <v>1.227184630308513</v>
      </c>
      <c r="S13" s="382">
        <f t="shared" si="1"/>
        <v>0.96911163956828572</v>
      </c>
      <c r="T13" s="383">
        <v>7</v>
      </c>
      <c r="U13" s="78"/>
      <c r="V13" s="184" t="s">
        <v>487</v>
      </c>
      <c r="W13" s="180">
        <f>((2*$W$7^3/$W$6^3)-(9*$W$7*$W$8/$W$6^2)+(27*$W$9/$W$6))/27</f>
        <v>-384.04616953438085</v>
      </c>
      <c r="X13" s="645" t="s">
        <v>488</v>
      </c>
      <c r="Y13" s="171"/>
      <c r="Z13" s="171"/>
      <c r="AA13" s="171"/>
      <c r="AB13" s="171"/>
      <c r="AC13" s="54"/>
      <c r="AD13" s="33"/>
      <c r="AE13" s="418" t="s">
        <v>386</v>
      </c>
      <c r="AF13" s="419">
        <v>58</v>
      </c>
      <c r="AG13" s="420">
        <v>42.91</v>
      </c>
      <c r="AH13" s="420">
        <v>0.70899999999999996</v>
      </c>
      <c r="AI13" s="422">
        <v>11.811</v>
      </c>
      <c r="AJ13" s="421">
        <v>1.22</v>
      </c>
      <c r="AK13" s="33"/>
      <c r="AL13" s="30">
        <v>51</v>
      </c>
      <c r="AM13" s="74" t="str">
        <f>IF($C$50="N.A.","N.A.",IF($C$50&lt;=1,"S.R. &lt;= 1.0, O.K.","S.R. &gt; 1.0"))</f>
        <v>N.A.</v>
      </c>
      <c r="AP13" s="92" t="str">
        <f>$C$50</f>
        <v>N.A.</v>
      </c>
    </row>
    <row r="14" spans="1:42" x14ac:dyDescent="0.25">
      <c r="A14" s="21"/>
      <c r="B14" s="36" t="s">
        <v>810</v>
      </c>
      <c r="C14" s="263">
        <v>0</v>
      </c>
      <c r="D14" s="90" t="s">
        <v>50</v>
      </c>
      <c r="E14" s="61" t="s">
        <v>233</v>
      </c>
      <c r="F14" s="111">
        <f>VLOOKUP($C$10,$AE$6:$AJ$380,6,FALSE)</f>
        <v>0.44</v>
      </c>
      <c r="G14" s="90" t="s">
        <v>252</v>
      </c>
      <c r="H14" s="12"/>
      <c r="I14" s="14"/>
      <c r="K14" s="29">
        <v>4</v>
      </c>
      <c r="L14" s="26"/>
      <c r="M14" s="28" t="s">
        <v>56</v>
      </c>
      <c r="N14" s="53">
        <f>($C$18-0.8*$F$13)/2</f>
        <v>0.69200000000000017</v>
      </c>
      <c r="O14" s="24" t="s">
        <v>252</v>
      </c>
      <c r="Q14" s="598">
        <v>1.375</v>
      </c>
      <c r="R14" s="382">
        <f t="shared" si="0"/>
        <v>1.4848934026733007</v>
      </c>
      <c r="S14" s="382">
        <f t="shared" si="1"/>
        <v>1.1548829321901668</v>
      </c>
      <c r="T14" s="383">
        <v>6</v>
      </c>
      <c r="U14" s="78"/>
      <c r="V14" s="184" t="s">
        <v>489</v>
      </c>
      <c r="W14" s="180">
        <f>($W$13^2/4)+($W$12^3/27)</f>
        <v>22075.74915143149</v>
      </c>
      <c r="X14" s="646" t="s">
        <v>490</v>
      </c>
      <c r="Y14" s="171"/>
      <c r="Z14" s="171"/>
      <c r="AA14" s="171"/>
      <c r="AB14" s="171"/>
      <c r="AC14" s="54"/>
      <c r="AD14" s="33"/>
      <c r="AE14" s="418" t="s">
        <v>385</v>
      </c>
      <c r="AF14" s="419">
        <v>192</v>
      </c>
      <c r="AG14" s="420">
        <v>43.62</v>
      </c>
      <c r="AH14" s="420">
        <v>1.97</v>
      </c>
      <c r="AI14" s="420">
        <v>16.87</v>
      </c>
      <c r="AJ14" s="421">
        <v>3.54</v>
      </c>
      <c r="AK14" s="33"/>
      <c r="AL14" s="74"/>
      <c r="AM14" s="74"/>
    </row>
    <row r="15" spans="1:42" x14ac:dyDescent="0.25">
      <c r="A15" s="21"/>
      <c r="B15" s="36" t="s">
        <v>165</v>
      </c>
      <c r="C15" s="113">
        <v>0</v>
      </c>
      <c r="D15" s="90" t="s">
        <v>155</v>
      </c>
      <c r="E15" s="12"/>
      <c r="F15" s="12"/>
      <c r="G15" s="12"/>
      <c r="H15" s="12"/>
      <c r="I15" s="14"/>
      <c r="K15" s="29">
        <v>6</v>
      </c>
      <c r="M15" s="28" t="s">
        <v>60</v>
      </c>
      <c r="N15" s="53">
        <f>IF($N$10&gt;0,SQRT($F$11*$F$13)/4,"N.A.")</f>
        <v>1.9272876017865106</v>
      </c>
      <c r="O15" s="26" t="s">
        <v>252</v>
      </c>
      <c r="P15" s="26"/>
      <c r="Q15" s="598">
        <v>1.5</v>
      </c>
      <c r="R15" s="382">
        <f t="shared" si="0"/>
        <v>1.7671458676442586</v>
      </c>
      <c r="S15" s="382">
        <f t="shared" si="1"/>
        <v>1.4052520896901666</v>
      </c>
      <c r="T15" s="383">
        <v>6</v>
      </c>
      <c r="U15" s="78"/>
      <c r="V15" s="184" t="s">
        <v>491</v>
      </c>
      <c r="W15" s="180" t="str">
        <f>IF(AND($W$12=0,$W$13=0,$W$14=0),"N.A.",IF($W$14&lt;=0,SQRT(($W$13^2/4)-$W$14),"N.A."))</f>
        <v>N.A.</v>
      </c>
      <c r="X15" s="645" t="s">
        <v>492</v>
      </c>
      <c r="Y15" s="171"/>
      <c r="Z15" s="171"/>
      <c r="AA15" s="171"/>
      <c r="AB15" s="171"/>
      <c r="AC15" s="54"/>
      <c r="AD15" s="33"/>
      <c r="AE15" s="418" t="s">
        <v>384</v>
      </c>
      <c r="AF15" s="419">
        <v>174</v>
      </c>
      <c r="AG15" s="420">
        <v>43</v>
      </c>
      <c r="AH15" s="420">
        <v>1.79</v>
      </c>
      <c r="AI15" s="420">
        <v>16.7</v>
      </c>
      <c r="AJ15" s="421">
        <v>3.23</v>
      </c>
      <c r="AK15" s="33"/>
      <c r="AL15" s="74"/>
      <c r="AM15" s="74"/>
    </row>
    <row r="16" spans="1:42" x14ac:dyDescent="0.25">
      <c r="A16" s="13" t="s">
        <v>245</v>
      </c>
      <c r="B16" s="12"/>
      <c r="C16" s="12"/>
      <c r="D16" s="12"/>
      <c r="E16" s="12"/>
      <c r="F16" s="12"/>
      <c r="G16" s="12"/>
      <c r="H16" s="12"/>
      <c r="I16" s="14"/>
      <c r="K16" s="29">
        <v>8</v>
      </c>
      <c r="M16" s="28" t="s">
        <v>126</v>
      </c>
      <c r="N16" s="53">
        <f>IF($N$10&gt;0,4*($N$11+$N$12)/2*$F$11*$F$13/(($F$11+$F$13)^2*$N$9),"N.A.")</f>
        <v>2.251530029000175E-2</v>
      </c>
      <c r="O16" s="26"/>
      <c r="P16" s="26"/>
      <c r="Q16" s="598">
        <v>1.75</v>
      </c>
      <c r="R16" s="382">
        <f t="shared" si="0"/>
        <v>2.4052818754046852</v>
      </c>
      <c r="S16" s="382">
        <f t="shared" si="1"/>
        <v>1.8994588135538397</v>
      </c>
      <c r="T16" s="383">
        <v>5</v>
      </c>
      <c r="U16" s="78"/>
      <c r="V16" s="184" t="s">
        <v>493</v>
      </c>
      <c r="W16" s="180" t="str">
        <f>IF(AND($W$12=0,$W$13=0,$W$14=0),"N.A.",IF($W$14&lt;=0,$W$15^(1/3),"N.A."))</f>
        <v>N.A.</v>
      </c>
      <c r="X16" s="645" t="s">
        <v>494</v>
      </c>
      <c r="Y16" s="171"/>
      <c r="Z16" s="173"/>
      <c r="AA16" s="174"/>
      <c r="AB16" s="171"/>
      <c r="AC16" s="54"/>
      <c r="AD16" s="33"/>
      <c r="AE16" s="418" t="s">
        <v>383</v>
      </c>
      <c r="AF16" s="419">
        <v>156</v>
      </c>
      <c r="AG16" s="420">
        <v>42.34</v>
      </c>
      <c r="AH16" s="420">
        <v>1.61</v>
      </c>
      <c r="AI16" s="420">
        <v>16.510000000000002</v>
      </c>
      <c r="AJ16" s="421">
        <v>2.91</v>
      </c>
      <c r="AK16" s="33"/>
      <c r="AL16" s="74"/>
      <c r="AM16" s="74"/>
    </row>
    <row r="17" spans="1:39" x14ac:dyDescent="0.25">
      <c r="A17" s="21"/>
      <c r="B17" s="36" t="s">
        <v>275</v>
      </c>
      <c r="C17" s="114">
        <v>11</v>
      </c>
      <c r="D17" s="90" t="s">
        <v>252</v>
      </c>
      <c r="E17" s="12"/>
      <c r="F17" s="311" t="str">
        <f>"       ED1="&amp;ROUND($C$28,3)</f>
        <v xml:space="preserve">       ED1=2.5</v>
      </c>
      <c r="G17" s="12"/>
      <c r="H17" s="12"/>
      <c r="I17" s="14"/>
      <c r="K17" s="29">
        <v>0.375</v>
      </c>
      <c r="M17" s="56" t="s">
        <v>53</v>
      </c>
      <c r="N17" s="53">
        <f>IF($N$10&gt;0,IF($N$16&gt;0,IF($N$16&gt;=0.64,1,2*(1-SQRT(1-$N$16))/SQRT($N$16))),"N.A.")</f>
        <v>0.15090524736657274</v>
      </c>
      <c r="O17" s="26"/>
      <c r="P17" s="26"/>
      <c r="Q17" s="598">
        <v>2</v>
      </c>
      <c r="R17" s="382">
        <f t="shared" si="0"/>
        <v>3.1415926535897931</v>
      </c>
      <c r="S17" s="382">
        <f t="shared" si="1"/>
        <v>2.4982259372269628</v>
      </c>
      <c r="T17" s="383">
        <v>4.5</v>
      </c>
      <c r="U17" s="78"/>
      <c r="V17" s="184" t="s">
        <v>495</v>
      </c>
      <c r="W17" s="180" t="str">
        <f>IF(AND($W$12=0,$W$13=0,$W$14=0),"N.A.",IF($W$14&lt;=0,ACOS(-($W$13/(2*$W$15))),"N.A."))</f>
        <v>N.A.</v>
      </c>
      <c r="X17" s="645" t="s">
        <v>496</v>
      </c>
      <c r="Y17" s="171"/>
      <c r="Z17" s="171"/>
      <c r="AA17" s="171"/>
      <c r="AB17" s="171"/>
      <c r="AC17" s="54"/>
      <c r="AD17" s="33"/>
      <c r="AE17" s="418" t="s">
        <v>411</v>
      </c>
      <c r="AF17" s="419">
        <v>148</v>
      </c>
      <c r="AG17" s="420">
        <v>42.1</v>
      </c>
      <c r="AH17" s="420">
        <v>1.54</v>
      </c>
      <c r="AI17" s="420">
        <v>16.399999999999999</v>
      </c>
      <c r="AJ17" s="421">
        <v>2.76</v>
      </c>
      <c r="AK17" s="33"/>
      <c r="AL17" s="74"/>
      <c r="AM17" s="74"/>
    </row>
    <row r="18" spans="1:39" x14ac:dyDescent="0.25">
      <c r="A18" s="21"/>
      <c r="B18" s="36" t="s">
        <v>276</v>
      </c>
      <c r="C18" s="115">
        <v>6</v>
      </c>
      <c r="D18" s="90" t="s">
        <v>252</v>
      </c>
      <c r="E18" s="12"/>
      <c r="F18" s="12"/>
      <c r="G18" s="12"/>
      <c r="H18" s="12"/>
      <c r="I18" s="14"/>
      <c r="K18" s="34">
        <v>0.5</v>
      </c>
      <c r="M18" s="56" t="s">
        <v>179</v>
      </c>
      <c r="N18" s="53">
        <f>IF($N$10&gt;0,$N$17*SQRT($F$11*$F$13)/4,"N.A.")</f>
        <v>0.29083781229412209</v>
      </c>
      <c r="O18" s="26" t="s">
        <v>252</v>
      </c>
      <c r="P18" s="26"/>
      <c r="Q18" s="598">
        <v>2.25</v>
      </c>
      <c r="R18" s="382">
        <f t="shared" si="0"/>
        <v>3.9760782021995817</v>
      </c>
      <c r="S18" s="382">
        <f t="shared" si="1"/>
        <v>3.2476895238936292</v>
      </c>
      <c r="T18" s="383">
        <v>4.5</v>
      </c>
      <c r="U18" s="78"/>
      <c r="V18" s="184" t="s">
        <v>497</v>
      </c>
      <c r="W18" s="180" t="str">
        <f>IF(AND($W$12=0,$W$13=0,$W$14=0),"N.A.",IF($W$14&lt;=0,$W$16*(-1),"N.A."))</f>
        <v>N.A.</v>
      </c>
      <c r="X18" s="645" t="s">
        <v>498</v>
      </c>
      <c r="Y18" s="171"/>
      <c r="Z18" s="171"/>
      <c r="AA18" s="171"/>
      <c r="AB18" s="171"/>
      <c r="AC18" s="54"/>
      <c r="AD18" s="33"/>
      <c r="AE18" s="418" t="s">
        <v>302</v>
      </c>
      <c r="AF18" s="419">
        <v>140</v>
      </c>
      <c r="AG18" s="420">
        <v>41.81</v>
      </c>
      <c r="AH18" s="420">
        <v>1.46</v>
      </c>
      <c r="AI18" s="420">
        <v>16.36</v>
      </c>
      <c r="AJ18" s="421">
        <v>2.64</v>
      </c>
      <c r="AK18" s="33"/>
      <c r="AL18" s="74"/>
      <c r="AM18" s="74"/>
    </row>
    <row r="19" spans="1:39" x14ac:dyDescent="0.25">
      <c r="A19" s="21"/>
      <c r="B19" s="36" t="s">
        <v>355</v>
      </c>
      <c r="C19" s="116">
        <v>36</v>
      </c>
      <c r="D19" s="90" t="s">
        <v>153</v>
      </c>
      <c r="E19" s="12"/>
      <c r="F19" s="12"/>
      <c r="G19" s="206" t="str">
        <f>"ED2="&amp;ROUND($C$29,3)</f>
        <v>ED2=2.5</v>
      </c>
      <c r="H19" s="12"/>
      <c r="I19" s="203" t="str">
        <f>"n="&amp;ROUND(($C$18-0.8*$F$13)/2,2)</f>
        <v>n=0.69</v>
      </c>
      <c r="K19" s="34">
        <v>0.625</v>
      </c>
      <c r="M19" s="149" t="s">
        <v>156</v>
      </c>
      <c r="N19" s="147">
        <f>IF($C$21/($F$11*$F$13)&lt;=4,$N$3/(0.35*$C$20*SQRT($C$21/($F$13*$F$11))),MAX($N$3/(0.35*$C$20*SQRT($C$21/($F$13*$F$11))),$N$3/(0.7*$C$20)))</f>
        <v>1.6142857142857145</v>
      </c>
      <c r="O19" s="144" t="s">
        <v>476</v>
      </c>
      <c r="P19" s="144"/>
      <c r="Q19" s="598">
        <v>2.5</v>
      </c>
      <c r="R19" s="382">
        <f t="shared" si="0"/>
        <v>4.908738521234052</v>
      </c>
      <c r="S19" s="382">
        <f t="shared" si="1"/>
        <v>3.9988277993028754</v>
      </c>
      <c r="T19" s="383">
        <v>4</v>
      </c>
      <c r="U19" s="78"/>
      <c r="V19" s="184" t="s">
        <v>499</v>
      </c>
      <c r="W19" s="180" t="str">
        <f>IF(AND($W$12=0,$W$13=0,$W$14=0),"N.A.",IF($W$14&lt;=0,COS($W$17/3),"N.A."))</f>
        <v>N.A.</v>
      </c>
      <c r="X19" s="645" t="s">
        <v>500</v>
      </c>
      <c r="Y19" s="171"/>
      <c r="Z19" s="171"/>
      <c r="AA19" s="171"/>
      <c r="AB19" s="171"/>
      <c r="AC19" s="54"/>
      <c r="AD19" s="33"/>
      <c r="AE19" s="418" t="s">
        <v>250</v>
      </c>
      <c r="AF19" s="419">
        <v>137</v>
      </c>
      <c r="AG19" s="420">
        <v>42.44</v>
      </c>
      <c r="AH19" s="420">
        <v>1.67</v>
      </c>
      <c r="AI19" s="420">
        <v>12.64</v>
      </c>
      <c r="AJ19" s="421">
        <v>2.95</v>
      </c>
      <c r="AK19" s="33"/>
      <c r="AL19" s="74"/>
      <c r="AM19" s="74"/>
    </row>
    <row r="20" spans="1:39" x14ac:dyDescent="0.25">
      <c r="A20" s="21"/>
      <c r="B20" s="36" t="s">
        <v>362</v>
      </c>
      <c r="C20" s="115">
        <v>3</v>
      </c>
      <c r="D20" s="90" t="s">
        <v>363</v>
      </c>
      <c r="E20" s="12"/>
      <c r="F20" s="12"/>
      <c r="G20" s="12"/>
      <c r="H20" s="12"/>
      <c r="I20" s="14"/>
      <c r="K20" s="34">
        <v>0.75</v>
      </c>
      <c r="M20" s="149" t="s">
        <v>62</v>
      </c>
      <c r="N20" s="148">
        <f>IF(($F$11+$F$13)^2-4*$N$19&lt;=0,0.25*($F$11+$F$13),0.25*($F$11+$F$13-SQRT(($F$11+$F$13)^2-4*$N$19)))</f>
        <v>5.0544640857604239E-2</v>
      </c>
      <c r="O20" s="144" t="s">
        <v>477</v>
      </c>
      <c r="P20" s="144"/>
      <c r="Q20" s="598">
        <v>2.75</v>
      </c>
      <c r="R20" s="382">
        <f t="shared" si="0"/>
        <v>5.9395736106932029</v>
      </c>
      <c r="S20" s="382">
        <f t="shared" si="1"/>
        <v>4.9340133968028752</v>
      </c>
      <c r="T20" s="383">
        <v>4</v>
      </c>
      <c r="U20" s="78"/>
      <c r="V20" s="184" t="s">
        <v>501</v>
      </c>
      <c r="W20" s="180" t="str">
        <f>IF(AND($W$12=0,$W$13=0,$W$14=0),"N.A.",IF($W$14&lt;=0,SQRT(3)*SIN($W$17/3),"N.A."))</f>
        <v>N.A.</v>
      </c>
      <c r="X20" s="645" t="s">
        <v>502</v>
      </c>
      <c r="Y20" s="171"/>
      <c r="Z20" s="171"/>
      <c r="AA20" s="171"/>
      <c r="AB20" s="171"/>
      <c r="AC20" s="54"/>
      <c r="AD20" s="33"/>
      <c r="AE20" s="418" t="s">
        <v>301</v>
      </c>
      <c r="AF20" s="419">
        <v>128</v>
      </c>
      <c r="AG20" s="420">
        <v>41.34</v>
      </c>
      <c r="AH20" s="420">
        <v>1.34</v>
      </c>
      <c r="AI20" s="420">
        <v>16.239999999999998</v>
      </c>
      <c r="AJ20" s="421">
        <v>2.4</v>
      </c>
      <c r="AK20" s="33"/>
      <c r="AL20" s="74"/>
      <c r="AM20" s="74"/>
    </row>
    <row r="21" spans="1:39" x14ac:dyDescent="0.25">
      <c r="A21" s="21"/>
      <c r="B21" s="44" t="s">
        <v>833</v>
      </c>
      <c r="C21" s="116">
        <f>24*16</f>
        <v>384</v>
      </c>
      <c r="D21" s="90" t="s">
        <v>151</v>
      </c>
      <c r="E21" s="12"/>
      <c r="F21" s="12"/>
      <c r="G21" s="12"/>
      <c r="H21" s="12"/>
      <c r="I21" s="14"/>
      <c r="K21" s="34">
        <v>0.875</v>
      </c>
      <c r="L21" s="34"/>
      <c r="M21" s="28" t="s">
        <v>524</v>
      </c>
      <c r="N21" s="46">
        <f>IF($N$10&gt;0,IF($N$8&gt;$C$17/6,MAX(-$N$3*($C$17/2-$N$10/3-$N$7*12/$N$3)/($C$17/2-$N$10/3+($C$17/2-$C$28))/($C$25/2),0),0),-$N$3*($C$17/2-$C$28-$N$7*12/$N$3)/(2*($C$17/2-$C$28))*(2/$C$25))</f>
        <v>0</v>
      </c>
      <c r="O21" s="26" t="s">
        <v>152</v>
      </c>
      <c r="P21" s="26"/>
      <c r="Q21" s="599">
        <v>3</v>
      </c>
      <c r="R21" s="384">
        <f t="shared" si="0"/>
        <v>7.0685834705770345</v>
      </c>
      <c r="S21" s="384">
        <f t="shared" si="1"/>
        <v>5.9673739943028759</v>
      </c>
      <c r="T21" s="385">
        <v>4</v>
      </c>
      <c r="U21" s="78"/>
      <c r="V21" s="184" t="s">
        <v>380</v>
      </c>
      <c r="W21" s="180" t="str">
        <f>IF(AND($W$12=0,$W$13=0,$W$14=0),"N.A.",IF($W$14&lt;=0,($W$7/(3*$W$6))*(-1),"N.A."))</f>
        <v>N.A.</v>
      </c>
      <c r="X21" s="645" t="s">
        <v>503</v>
      </c>
      <c r="Y21" s="171"/>
      <c r="Z21" s="171"/>
      <c r="AA21" s="171"/>
      <c r="AB21" s="171"/>
      <c r="AC21" s="54"/>
      <c r="AD21" s="33"/>
      <c r="AE21" s="418" t="s">
        <v>412</v>
      </c>
      <c r="AF21" s="419">
        <v>127</v>
      </c>
      <c r="AG21" s="420">
        <v>41.3</v>
      </c>
      <c r="AH21" s="420">
        <v>1.34</v>
      </c>
      <c r="AI21" s="420">
        <v>16.2</v>
      </c>
      <c r="AJ21" s="421">
        <v>2.36</v>
      </c>
      <c r="AK21" s="33"/>
      <c r="AL21" s="74"/>
      <c r="AM21" s="74"/>
    </row>
    <row r="22" spans="1:39" x14ac:dyDescent="0.25">
      <c r="A22" s="13"/>
      <c r="B22" s="36" t="s">
        <v>565</v>
      </c>
      <c r="C22" s="263">
        <v>1.85</v>
      </c>
      <c r="D22" s="12"/>
      <c r="E22" s="446" t="str">
        <f>"B="&amp;ROUND($C$18,3)</f>
        <v>B=6</v>
      </c>
      <c r="F22" s="12"/>
      <c r="G22" s="12"/>
      <c r="H22" s="12"/>
      <c r="I22" s="203" t="s">
        <v>527</v>
      </c>
      <c r="K22" s="34">
        <v>1</v>
      </c>
      <c r="M22" s="28" t="s">
        <v>554</v>
      </c>
      <c r="N22" s="34">
        <f>IF(OR($C$25=4,$C$25=6,$C$25=8),MIN(ABS($N$13-$C$28),($C$18-2*$C$29)/(2*($C$25/2-1)))+MIN(ABS($N$13-$C$28),($C$18-2*$C$29)/(2*($C$25/2-1)),$C$29),IF($C$25=2,ABS($N$13-$C$28)+MIN(ABS($N$13-$C$28),$C$29)))</f>
        <v>1</v>
      </c>
      <c r="O22" s="26" t="s">
        <v>252</v>
      </c>
      <c r="P22" s="26"/>
      <c r="Q22" s="248" t="s">
        <v>559</v>
      </c>
      <c r="R22" s="249"/>
      <c r="S22" s="249"/>
      <c r="T22" s="250"/>
      <c r="U22" s="78"/>
      <c r="V22" s="184" t="s">
        <v>54</v>
      </c>
      <c r="W22" s="180">
        <f>IF(AND($W$12=0,$W$13=0,$W$14=0),"N.A.",IF($W$14&gt;0,-($W$13/2)+SQRT($W$14),"N.A."))</f>
        <v>340.60218542213278</v>
      </c>
      <c r="X22" s="645" t="s">
        <v>504</v>
      </c>
      <c r="Y22" s="171"/>
      <c r="Z22" s="171"/>
      <c r="AA22" s="171"/>
      <c r="AB22" s="171"/>
      <c r="AC22" s="54"/>
      <c r="AD22" s="33"/>
      <c r="AE22" s="418" t="s">
        <v>300</v>
      </c>
      <c r="AF22" s="419">
        <v>117</v>
      </c>
      <c r="AG22" s="420">
        <v>41</v>
      </c>
      <c r="AH22" s="420">
        <v>1.22</v>
      </c>
      <c r="AI22" s="420">
        <v>16.100000000000001</v>
      </c>
      <c r="AJ22" s="421">
        <v>2.2000000000000002</v>
      </c>
      <c r="AK22" s="33"/>
      <c r="AL22" s="74"/>
      <c r="AM22" s="74"/>
    </row>
    <row r="23" spans="1:39" x14ac:dyDescent="0.25">
      <c r="A23" s="21"/>
      <c r="B23" s="44" t="s">
        <v>702</v>
      </c>
      <c r="C23" s="480">
        <v>0.55000000000000004</v>
      </c>
      <c r="D23" s="12"/>
      <c r="E23" s="12"/>
      <c r="F23" s="12"/>
      <c r="G23" s="12"/>
      <c r="H23" s="12"/>
      <c r="I23" s="14"/>
      <c r="K23" s="34">
        <v>1.125</v>
      </c>
      <c r="M23" s="28" t="s">
        <v>356</v>
      </c>
      <c r="N23" s="35">
        <f>IF(AND($N$10&gt;0,$N$3&gt;0,$N$7=0),2*MAX($N$13,$N$14,$N$18)*SQRT($N$11/$C$19),"N.A.")</f>
        <v>5.2277248464993917E-2</v>
      </c>
      <c r="O23" s="26" t="s">
        <v>252</v>
      </c>
      <c r="P23" s="26"/>
      <c r="Q23" s="151" t="s">
        <v>558</v>
      </c>
      <c r="R23" s="152"/>
      <c r="S23" s="152"/>
      <c r="T23" s="153"/>
      <c r="U23" s="78"/>
      <c r="V23" s="184" t="s">
        <v>274</v>
      </c>
      <c r="W23" s="180">
        <f>IF(AND($W$12=0,$W$13=0,$W$14=0),"N.A.",IF($W$14&gt;0,$W$22^(1/3),"N.A."))</f>
        <v>6.9836501778390092</v>
      </c>
      <c r="X23" s="645" t="s">
        <v>505</v>
      </c>
      <c r="Y23" s="175"/>
      <c r="Z23" s="171"/>
      <c r="AA23" s="171"/>
      <c r="AB23" s="171"/>
      <c r="AC23" s="54"/>
      <c r="AD23" s="33"/>
      <c r="AE23" s="418" t="s">
        <v>414</v>
      </c>
      <c r="AF23" s="419">
        <v>115</v>
      </c>
      <c r="AG23" s="420">
        <v>41.6</v>
      </c>
      <c r="AH23" s="420">
        <v>1.42</v>
      </c>
      <c r="AI23" s="420">
        <v>12.4</v>
      </c>
      <c r="AJ23" s="421">
        <v>2.52</v>
      </c>
      <c r="AK23" s="33"/>
      <c r="AL23" s="74"/>
      <c r="AM23" s="74"/>
    </row>
    <row r="24" spans="1:39" x14ac:dyDescent="0.25">
      <c r="A24" s="13" t="s">
        <v>848</v>
      </c>
      <c r="B24" s="12"/>
      <c r="C24" s="12"/>
      <c r="D24" s="12"/>
      <c r="E24" s="12"/>
      <c r="F24" s="12"/>
      <c r="G24" s="12"/>
      <c r="H24" s="12"/>
      <c r="I24" s="14"/>
      <c r="J24" s="33"/>
      <c r="K24" s="34">
        <v>1.25</v>
      </c>
      <c r="M24" s="28" t="s">
        <v>364</v>
      </c>
      <c r="N24" s="35" t="str">
        <f>IF(AND($N$10&gt;$N$13,$N$7&gt;0),MAX(SQRT(6*(($N$11-(($N$11-$N$12)/$N$10)*$N$13)*$N$13^2/2+(($N$11-$N$12)/$N$10)*$N$13^3/3)/(0.75*$C$19)),2*$N$14*SQRT(($N$11+$N$12)/2/$C$19),2*$N$18*SQRT(($N$11+$N$12)/2/$C$19),SQRT(6*$N$21*ABS($N$13-$C$28)/$N$22/(0.75*$C$19))),"N.A.")</f>
        <v>N.A.</v>
      </c>
      <c r="O24" s="26" t="s">
        <v>252</v>
      </c>
      <c r="P24" s="26"/>
      <c r="Q24" s="248" t="s">
        <v>549</v>
      </c>
      <c r="R24" s="249"/>
      <c r="S24" s="249"/>
      <c r="T24" s="250"/>
      <c r="U24" s="78"/>
      <c r="V24" s="184" t="s">
        <v>195</v>
      </c>
      <c r="W24" s="180">
        <f>IF(AND($W$12=0,$W$13=0,$W$14=0),"N.A.",IF($W$14&gt;0,-($W$13/2)-SQRT($W$14),"N.A."))</f>
        <v>43.443984112248074</v>
      </c>
      <c r="X24" s="645" t="s">
        <v>506</v>
      </c>
      <c r="Y24" s="175"/>
      <c r="Z24" s="171"/>
      <c r="AA24" s="171"/>
      <c r="AB24" s="171"/>
      <c r="AC24" s="54"/>
      <c r="AD24" s="74"/>
      <c r="AE24" s="418" t="s">
        <v>413</v>
      </c>
      <c r="AF24" s="419">
        <v>109</v>
      </c>
      <c r="AG24" s="420">
        <v>40.6</v>
      </c>
      <c r="AH24" s="420">
        <v>1.1599999999999999</v>
      </c>
      <c r="AI24" s="420">
        <v>16.100000000000001</v>
      </c>
      <c r="AJ24" s="421">
        <v>2.0499999999999998</v>
      </c>
      <c r="AK24" s="74"/>
      <c r="AL24" s="74"/>
      <c r="AM24" s="74"/>
    </row>
    <row r="25" spans="1:39" x14ac:dyDescent="0.25">
      <c r="A25" s="85"/>
      <c r="B25" s="49" t="s">
        <v>280</v>
      </c>
      <c r="C25" s="117">
        <v>4</v>
      </c>
      <c r="D25" s="38"/>
      <c r="E25" s="12"/>
      <c r="F25" s="12"/>
      <c r="G25" s="12"/>
      <c r="H25" s="12"/>
      <c r="I25" s="203" t="str">
        <f>"n="&amp;ROUND(($C$18-0.8*$F$13)/2,2)</f>
        <v>n=0.69</v>
      </c>
      <c r="J25" s="33"/>
      <c r="K25" s="34">
        <v>1.375</v>
      </c>
      <c r="M25" s="28" t="s">
        <v>259</v>
      </c>
      <c r="N25" s="35" t="str">
        <f>IF(AND($N$10&lt;=$N$13,$N$7&gt;=0),MAX(SQRT(6*$N$11*$N$10/2*($N$13-$N$10/3)/(0.75*$C$19)),SQRT(6*$N$21*ABS($N$13-$C$28)/$N$22/(0.75*$C$19))),"N.A.")</f>
        <v>N.A.</v>
      </c>
      <c r="O25" s="26" t="s">
        <v>252</v>
      </c>
      <c r="P25" s="26"/>
      <c r="Q25" s="151" t="s">
        <v>552</v>
      </c>
      <c r="R25" s="152"/>
      <c r="S25" s="152"/>
      <c r="T25" s="153"/>
      <c r="U25" s="78"/>
      <c r="V25" s="184" t="s">
        <v>507</v>
      </c>
      <c r="W25" s="180">
        <f>IF(AND($W$12=0,$W$13=0,$W$14=0),"N.A.",IF($W$14&gt;0,$W$24^(1/3),"N.A."))</f>
        <v>3.5154145729114683</v>
      </c>
      <c r="X25" s="645" t="s">
        <v>508</v>
      </c>
      <c r="Y25" s="171"/>
      <c r="Z25" s="171"/>
      <c r="AA25" s="171"/>
      <c r="AB25" s="171"/>
      <c r="AC25" s="185"/>
      <c r="AD25" s="86"/>
      <c r="AE25" s="418" t="s">
        <v>299</v>
      </c>
      <c r="AF25" s="419">
        <v>107</v>
      </c>
      <c r="AG25" s="420">
        <v>40.6</v>
      </c>
      <c r="AH25" s="420">
        <v>1.1200000000000001</v>
      </c>
      <c r="AI25" s="420">
        <v>16</v>
      </c>
      <c r="AJ25" s="421">
        <v>2.0099999999999998</v>
      </c>
      <c r="AK25" s="86"/>
      <c r="AL25" s="74"/>
      <c r="AM25" s="74"/>
    </row>
    <row r="26" spans="1:39" x14ac:dyDescent="0.25">
      <c r="A26" s="21"/>
      <c r="B26" s="49" t="s">
        <v>12</v>
      </c>
      <c r="C26" s="115">
        <v>0.625</v>
      </c>
      <c r="D26" s="90" t="s">
        <v>252</v>
      </c>
      <c r="E26" s="12"/>
      <c r="F26" s="12"/>
      <c r="G26" s="12"/>
      <c r="H26" s="12"/>
      <c r="I26" s="14"/>
      <c r="J26" s="33"/>
      <c r="K26" s="34">
        <v>1.5</v>
      </c>
      <c r="M26" s="28" t="s">
        <v>127</v>
      </c>
      <c r="N26" s="35">
        <f>MAX($N$23:$N$25)</f>
        <v>5.2277248464993917E-2</v>
      </c>
      <c r="O26" s="26" t="s">
        <v>252</v>
      </c>
      <c r="P26" s="26"/>
      <c r="U26" s="78"/>
      <c r="V26" s="183"/>
      <c r="W26" s="171"/>
      <c r="X26" s="171"/>
      <c r="Y26" s="171"/>
      <c r="Z26" s="171"/>
      <c r="AA26" s="171"/>
      <c r="AB26" s="171"/>
      <c r="AC26" s="54"/>
      <c r="AD26" s="74"/>
      <c r="AE26" s="418" t="s">
        <v>415</v>
      </c>
      <c r="AF26" s="419">
        <v>97.5</v>
      </c>
      <c r="AG26" s="420">
        <v>40.799999999999997</v>
      </c>
      <c r="AH26" s="420">
        <v>1.22</v>
      </c>
      <c r="AI26" s="420">
        <v>12.2</v>
      </c>
      <c r="AJ26" s="421">
        <v>2.13</v>
      </c>
      <c r="AK26" s="74"/>
      <c r="AL26" s="74"/>
      <c r="AM26" s="74"/>
    </row>
    <row r="27" spans="1:39" x14ac:dyDescent="0.25">
      <c r="A27" s="21"/>
      <c r="B27" s="44" t="s">
        <v>148</v>
      </c>
      <c r="C27" s="116" t="s">
        <v>845</v>
      </c>
      <c r="D27" s="38"/>
      <c r="E27" s="206"/>
      <c r="F27" s="205" t="str">
        <f>"m="&amp;ROUND(($C$17-0.95*$F$11)/2,2)</f>
        <v>m=0.61</v>
      </c>
      <c r="G27" s="204" t="s">
        <v>523</v>
      </c>
      <c r="H27" s="205" t="str">
        <f>"m="&amp;ROUND(($C$17-0.95*$F$11)/2,2)</f>
        <v>m=0.61</v>
      </c>
      <c r="I27" s="14"/>
      <c r="J27" s="33"/>
      <c r="K27" s="34">
        <v>1.75</v>
      </c>
      <c r="M27" s="28" t="s">
        <v>560</v>
      </c>
      <c r="N27" s="34">
        <f>PI()*$C$26^2/4</f>
        <v>0.30679615757712825</v>
      </c>
      <c r="O27" s="26" t="s">
        <v>151</v>
      </c>
      <c r="P27" s="26"/>
      <c r="Q27" s="26"/>
      <c r="R27" s="26"/>
      <c r="S27" s="26"/>
      <c r="T27" s="26"/>
      <c r="U27" s="78"/>
      <c r="V27" s="186" t="s">
        <v>509</v>
      </c>
      <c r="W27" s="171"/>
      <c r="X27" s="176"/>
      <c r="Y27" s="171"/>
      <c r="Z27" s="176"/>
      <c r="AA27" s="171"/>
      <c r="AB27" s="171"/>
      <c r="AC27" s="54"/>
      <c r="AD27" s="74"/>
      <c r="AE27" s="418" t="s">
        <v>298</v>
      </c>
      <c r="AF27" s="419">
        <v>96.4</v>
      </c>
      <c r="AG27" s="420">
        <v>40</v>
      </c>
      <c r="AH27" s="420">
        <v>0.91</v>
      </c>
      <c r="AI27" s="420">
        <v>17.91</v>
      </c>
      <c r="AJ27" s="421">
        <v>1.73</v>
      </c>
      <c r="AK27" s="74"/>
      <c r="AL27" s="74"/>
      <c r="AM27" s="74"/>
    </row>
    <row r="28" spans="1:39" x14ac:dyDescent="0.25">
      <c r="A28" s="21"/>
      <c r="B28" s="44" t="s">
        <v>834</v>
      </c>
      <c r="C28" s="115">
        <v>2.5</v>
      </c>
      <c r="D28" s="91" t="s">
        <v>252</v>
      </c>
      <c r="E28" s="12"/>
      <c r="F28" s="12"/>
      <c r="G28" s="12"/>
      <c r="H28" s="12"/>
      <c r="I28" s="14"/>
      <c r="J28" s="33"/>
      <c r="K28" s="34">
        <v>2</v>
      </c>
      <c r="M28" s="28" t="s">
        <v>551</v>
      </c>
      <c r="N28" s="34">
        <f>VLOOKUP($C$26,$Q$6:$T$21,3)</f>
        <v>0.22600216354418184</v>
      </c>
      <c r="O28" s="26" t="s">
        <v>151</v>
      </c>
      <c r="P28" s="26"/>
      <c r="Q28" s="26"/>
      <c r="R28" s="26"/>
      <c r="S28" s="26"/>
      <c r="T28" s="26"/>
      <c r="U28" s="78"/>
      <c r="V28" s="187" t="s">
        <v>510</v>
      </c>
      <c r="W28" s="171"/>
      <c r="X28" s="176" t="s">
        <v>511</v>
      </c>
      <c r="Y28" s="171"/>
      <c r="Z28" s="177" t="s">
        <v>512</v>
      </c>
      <c r="AA28" s="171"/>
      <c r="AB28" s="171"/>
      <c r="AC28" s="54"/>
      <c r="AD28" s="74"/>
      <c r="AE28" s="418" t="s">
        <v>5</v>
      </c>
      <c r="AF28" s="419">
        <v>96</v>
      </c>
      <c r="AG28" s="420">
        <v>40.799999999999997</v>
      </c>
      <c r="AH28" s="420">
        <v>1.18</v>
      </c>
      <c r="AI28" s="420">
        <v>12.1</v>
      </c>
      <c r="AJ28" s="421">
        <v>2.13</v>
      </c>
      <c r="AK28" s="74"/>
      <c r="AL28" s="74"/>
      <c r="AM28" s="74"/>
    </row>
    <row r="29" spans="1:39" x14ac:dyDescent="0.25">
      <c r="A29" s="21"/>
      <c r="B29" s="44" t="s">
        <v>835</v>
      </c>
      <c r="C29" s="118">
        <v>2.5</v>
      </c>
      <c r="D29" s="91" t="s">
        <v>252</v>
      </c>
      <c r="E29" s="12"/>
      <c r="F29" s="12"/>
      <c r="G29" s="205" t="str">
        <f>"N="&amp;ROUND($C$17,3)</f>
        <v>N=11</v>
      </c>
      <c r="H29" s="12"/>
      <c r="I29" s="14"/>
      <c r="J29" s="33"/>
      <c r="K29" s="34">
        <v>2.25</v>
      </c>
      <c r="L29" s="46"/>
      <c r="M29" s="257" t="s">
        <v>568</v>
      </c>
      <c r="N29" s="46">
        <f>IF($C$27="A307",20,IF($C$27="A36",19.1,IF($C$27="A572",21.5,IF($C$27="A588",23.1,IF($C$27="F1554 (36)",19.1,IF($C$27="F1554 (55)",24.8,IF($C$27="F1554 (105)",41.3)))))))</f>
        <v>19.100000000000001</v>
      </c>
      <c r="O29" s="26" t="s">
        <v>153</v>
      </c>
      <c r="P29" s="26"/>
      <c r="Q29" s="26"/>
      <c r="R29" s="26"/>
      <c r="S29" s="26"/>
      <c r="T29" s="26"/>
      <c r="U29" s="78"/>
      <c r="V29" s="184" t="s">
        <v>357</v>
      </c>
      <c r="W29" s="179" t="str">
        <f>IF($N$7&gt;0,IF(AND($W$12=0,$W$13=0,$W$14=0),"N.A.",IF($W$14&gt;0,($W$23+$W$25)-($W$7/(3*$W$6)),"N.A.")),"N.A.")</f>
        <v>N.A.</v>
      </c>
      <c r="X29" s="178"/>
      <c r="Y29" s="179" t="str">
        <f>IF($N$7&gt;0,IF(AND($W$12=0,$W$13=0,$W$14=0),"N.A.",IF($W$14&lt;=0,2*$W$16*COS($W$17/3)-($W$7/(3*$W$6)),"N.A.")),"N.A.")</f>
        <v>N.A.</v>
      </c>
      <c r="Z29" s="178"/>
      <c r="AA29" s="179" t="str">
        <f>IF($N$7&gt;0,IF(AND($W$12=0,$W$13=0,$W$14=0),($W$9/$W$6)^(1/3)*(-1),"N.A."),"N.A.")</f>
        <v>N.A.</v>
      </c>
      <c r="AB29" s="645" t="str">
        <f>IF($N$7&gt;0,IF(AND($W$12=0,$W$13=0,$W$14=0),"    = (d/a)^(1/3)*(-1)",IF($W$14&lt;=0,"    = 2*j*COS(k/3)-(b/(3*a))","    = (S+U)-(b/(3*a))")),"")</f>
        <v/>
      </c>
      <c r="AC29" s="188"/>
      <c r="AD29" s="74"/>
      <c r="AE29" s="418" t="s">
        <v>297</v>
      </c>
      <c r="AF29" s="419">
        <v>95.3</v>
      </c>
      <c r="AG29" s="420">
        <v>40.200000000000003</v>
      </c>
      <c r="AH29" s="420">
        <v>1</v>
      </c>
      <c r="AI29" s="420">
        <v>15.9</v>
      </c>
      <c r="AJ29" s="421">
        <v>1.81</v>
      </c>
      <c r="AK29" s="74"/>
      <c r="AL29" s="74"/>
      <c r="AM29" s="74"/>
    </row>
    <row r="30" spans="1:39" x14ac:dyDescent="0.25">
      <c r="A30" s="21"/>
      <c r="B30" s="12"/>
      <c r="C30" s="12"/>
      <c r="D30" s="12"/>
      <c r="E30" s="12"/>
      <c r="F30" s="12"/>
      <c r="G30" s="12"/>
      <c r="H30" s="12"/>
      <c r="I30" s="14"/>
      <c r="J30" s="33"/>
      <c r="K30" s="34">
        <v>2.5</v>
      </c>
      <c r="L30" s="43"/>
      <c r="M30" s="257" t="s">
        <v>569</v>
      </c>
      <c r="N30" s="46">
        <f>$N$27*$N$29</f>
        <v>5.85980660972315</v>
      </c>
      <c r="O30" s="26" t="s">
        <v>152</v>
      </c>
      <c r="Q30" s="200"/>
      <c r="R30" s="200"/>
      <c r="S30" s="200"/>
      <c r="T30" s="200"/>
      <c r="U30" s="78"/>
      <c r="V30" s="184" t="s">
        <v>25</v>
      </c>
      <c r="W30" s="181" t="str">
        <f>IF($N$7&gt;0,IF(AND($W$12=0,$W$13=0,$W$14=0),"N.A.",IF($W$14&gt;0,-($W$23+$W$25)/2-($W$7/(3*$W$6)),"N.A.")),"N.A.")</f>
        <v>N.A.</v>
      </c>
      <c r="X30" s="159" t="str">
        <f>IF($N$7&gt;0,IF(AND($W$12=0,$W$13=0,$W$14=0),"",IF($W$14&gt;0,ROUND(($W$23-$W$25)*SQRT(3)/2,6),"")),"")</f>
        <v/>
      </c>
      <c r="Y30" s="179" t="str">
        <f>IF($N$7&gt;0,IF(AND($W$12=0,$W$13=0,$W$14=0),"N.A.",IF($W$14&lt;=0,$W$18*($W$19+$W$20)+$W$21,"N.A.")),"N.A.")</f>
        <v>N.A.</v>
      </c>
      <c r="Z30" s="647"/>
      <c r="AA30" s="179" t="str">
        <f>IF($N$7&gt;0,IF(AND($W$12=0,$W$13=0,$W$14=0),($W$9/$W$6)^(1/3)*(-1),"N.A."),"N.A.")</f>
        <v>N.A.</v>
      </c>
      <c r="AB30" s="645" t="str">
        <f>IF($N$7&gt;0,IF(AND($W$12=0,$W$13=0,$W$14=0),"    = (d/a)^(1/3)*(-1)",IF($W$14&lt;=0,"    = L*(M+N)+P","    = Imaginary!")),"")</f>
        <v/>
      </c>
      <c r="AC30" s="188"/>
      <c r="AD30" s="74"/>
      <c r="AE30" s="418" t="s">
        <v>122</v>
      </c>
      <c r="AF30" s="419">
        <v>94.1</v>
      </c>
      <c r="AG30" s="420">
        <v>40.08</v>
      </c>
      <c r="AH30" s="420">
        <v>1</v>
      </c>
      <c r="AI30" s="420">
        <v>15.91</v>
      </c>
      <c r="AJ30" s="421">
        <v>1.77</v>
      </c>
      <c r="AK30" s="74"/>
      <c r="AL30" s="74"/>
      <c r="AM30" s="74"/>
    </row>
    <row r="31" spans="1:39" x14ac:dyDescent="0.25">
      <c r="A31" s="13" t="s">
        <v>49</v>
      </c>
      <c r="B31" s="12"/>
      <c r="C31" s="12"/>
      <c r="D31" s="12"/>
      <c r="E31" s="12"/>
      <c r="F31" s="261" t="s">
        <v>577</v>
      </c>
      <c r="G31" s="260"/>
      <c r="H31" s="259"/>
      <c r="I31" s="210"/>
      <c r="J31" s="33"/>
      <c r="K31" s="34">
        <v>2.75</v>
      </c>
      <c r="L31" s="46"/>
      <c r="M31" s="257" t="s">
        <v>566</v>
      </c>
      <c r="N31" s="46">
        <f>IF($C$27="A307",10,IF($C$27="A36",9.9,IF($C$27="A572",11.1,IF($C$27="A588",11.9,IF($C$27="F1554 (36)",9.9,IF($C$27="F1554 (55)",12.8,IF($C$27="F1554 (105)",21.3)))))))</f>
        <v>9.9</v>
      </c>
      <c r="O31" s="26" t="s">
        <v>153</v>
      </c>
      <c r="P31" s="26"/>
      <c r="Q31" s="200"/>
      <c r="R31" s="200"/>
      <c r="S31" s="200"/>
      <c r="T31" s="200"/>
      <c r="U31" s="78"/>
      <c r="V31" s="184" t="s">
        <v>260</v>
      </c>
      <c r="W31" s="181" t="str">
        <f>IF($N$7&gt;0,IF(AND($W$12=0,$W$13=0,$W$14=0),"N.A.",IF($W$14&gt;0,-($W$23+$W$25)/2-($W$7/(3*$W$6)),"N.A.")),"N.A.")</f>
        <v>N.A.</v>
      </c>
      <c r="X31" s="159" t="str">
        <f>IF($N$7&gt;0,IF(AND($W$12=0,$W$13=0,$W$14=0),"",IF($W$14&gt;0,ROUND(-($W$23-$W$25)*SQRT(3)/2,6),"")),"")</f>
        <v/>
      </c>
      <c r="Y31" s="179" t="str">
        <f>IF($N$7&gt;0,IF(AND($W$12=0,$W$13=0,$W$14=0),"N.A.",IF($W$14&lt;=0,$W$18*($W$19-$W$20)+$W$21,"N.A.")),"N.A.")</f>
        <v>N.A.</v>
      </c>
      <c r="Z31" s="648"/>
      <c r="AA31" s="179" t="str">
        <f>IF($N$7&gt;0,IF(AND($W$12=0,$W$13=0,$W$14=0),($W$9/$W$6)^(1/3)*(-1),"N.A."),"N.A.")</f>
        <v>N.A.</v>
      </c>
      <c r="AB31" s="645" t="str">
        <f>IF($N$7&gt;0,IF(AND($W$12=0,$W$13=0,$W$14=0),"    = (d/a)^(1/3)*(-1)",IF($W$14&lt;=0,"    = L*(M-N)+P","    = Imaginary!")),"")</f>
        <v/>
      </c>
      <c r="AC31" s="188"/>
      <c r="AD31" s="74"/>
      <c r="AE31" s="418" t="s">
        <v>296</v>
      </c>
      <c r="AF31" s="419">
        <v>87.6</v>
      </c>
      <c r="AG31" s="420">
        <v>39.69</v>
      </c>
      <c r="AH31" s="420">
        <v>0.83</v>
      </c>
      <c r="AI31" s="420">
        <v>17.829999999999998</v>
      </c>
      <c r="AJ31" s="421">
        <v>1.575</v>
      </c>
      <c r="AK31" s="74"/>
      <c r="AL31" s="74"/>
      <c r="AM31" s="74"/>
    </row>
    <row r="32" spans="1:39" x14ac:dyDescent="0.25">
      <c r="A32" s="21"/>
      <c r="B32" s="12"/>
      <c r="C32" s="12"/>
      <c r="D32" s="12"/>
      <c r="E32" s="208"/>
      <c r="F32" s="12"/>
      <c r="G32" s="12"/>
      <c r="H32" s="12"/>
      <c r="I32" s="14"/>
      <c r="J32" s="33"/>
      <c r="K32" s="34">
        <v>3</v>
      </c>
      <c r="M32" s="257" t="s">
        <v>567</v>
      </c>
      <c r="N32" s="46">
        <f>$N$27*$N$31</f>
        <v>3.0372819600135696</v>
      </c>
      <c r="O32" s="26" t="s">
        <v>152</v>
      </c>
      <c r="P32" s="26"/>
      <c r="Q32" s="77"/>
      <c r="R32" s="77"/>
      <c r="S32" s="77"/>
      <c r="T32" s="77"/>
      <c r="U32" s="78"/>
      <c r="V32" s="156"/>
      <c r="W32" s="179" t="str">
        <f>IF(AND($W$29&lt;$C$17,$W$29&gt;0),$W$29,IF(AND($W$30&lt;$C$17,$W$30&gt;0,$X$30=0),$W$30,IF(AND($X$31&lt;$C$17,$W$31&gt;0,$X$30=0),$W$31,"")))</f>
        <v/>
      </c>
      <c r="X32" s="171"/>
      <c r="Y32" s="179" t="str">
        <f>IF(AND($Y$29&lt;$C$17,$Y$29&gt;0),$Y$29,IF(AND($Y$30&lt;$C$17,$Y$30&gt;0),$Y$30,IF(AND($Y$31&lt;$C$17,$Y$31&gt;0),$Y$31,"")))</f>
        <v/>
      </c>
      <c r="Z32" s="171"/>
      <c r="AA32" s="179" t="str">
        <f>IF(AND($AA$29&lt;$C$17,$AA$29&gt;0),$AA$29,IF(AND($AA$30&lt;$C$17,$AA$30&gt;0),$AA$30,IF(AND($AA$31&lt;$C$17,$AA$31&gt;0),$AA$31,"")))</f>
        <v/>
      </c>
      <c r="AB32" s="171"/>
      <c r="AC32" s="188"/>
      <c r="AD32" s="74"/>
      <c r="AE32" s="418" t="s">
        <v>295</v>
      </c>
      <c r="AF32" s="419">
        <v>87.4</v>
      </c>
      <c r="AG32" s="420">
        <v>39.799999999999997</v>
      </c>
      <c r="AH32" s="420">
        <v>0.93</v>
      </c>
      <c r="AI32" s="420">
        <v>15.8</v>
      </c>
      <c r="AJ32" s="421">
        <v>1.65</v>
      </c>
      <c r="AK32" s="74"/>
      <c r="AL32" s="74"/>
      <c r="AM32" s="74"/>
    </row>
    <row r="33" spans="1:39" x14ac:dyDescent="0.25">
      <c r="A33" s="50" t="s">
        <v>788</v>
      </c>
      <c r="B33" s="40"/>
      <c r="C33" s="44"/>
      <c r="D33" s="42"/>
      <c r="E33" s="208"/>
      <c r="F33" s="208"/>
      <c r="G33" s="218" t="str">
        <f>"        e = M*12/P = "&amp;IF($C$12&lt;&gt;0,ROUND($C$34,3),"Infinity")</f>
        <v xml:space="preserve">        e = M*12/P = 0</v>
      </c>
      <c r="H33" s="208"/>
      <c r="I33" s="211"/>
      <c r="J33" s="33"/>
      <c r="K33" s="29" t="s">
        <v>46</v>
      </c>
      <c r="M33" s="28" t="s">
        <v>525</v>
      </c>
      <c r="N33" s="46">
        <f>$N$6/$C$25</f>
        <v>0</v>
      </c>
      <c r="O33" s="26" t="s">
        <v>152</v>
      </c>
      <c r="P33" s="26"/>
      <c r="Q33" s="77"/>
      <c r="R33" s="77"/>
      <c r="S33" s="77"/>
      <c r="T33" s="77"/>
      <c r="U33" s="78"/>
      <c r="V33" s="161"/>
      <c r="W33" s="170"/>
      <c r="X33" s="33"/>
      <c r="Y33" s="33"/>
      <c r="Z33" s="157"/>
      <c r="AA33" s="158"/>
      <c r="AB33" s="157"/>
      <c r="AC33" s="189"/>
      <c r="AD33" s="74"/>
      <c r="AE33" s="418" t="s">
        <v>416</v>
      </c>
      <c r="AF33" s="419">
        <v>81.8</v>
      </c>
      <c r="AG33" s="420">
        <v>40.200000000000003</v>
      </c>
      <c r="AH33" s="420">
        <v>1.02</v>
      </c>
      <c r="AI33" s="420">
        <v>12</v>
      </c>
      <c r="AJ33" s="421">
        <v>1.81</v>
      </c>
      <c r="AK33" s="74"/>
      <c r="AL33" s="74"/>
      <c r="AM33" s="74"/>
    </row>
    <row r="34" spans="1:39" x14ac:dyDescent="0.25">
      <c r="A34" s="21"/>
      <c r="B34" s="36" t="s">
        <v>789</v>
      </c>
      <c r="C34" s="119">
        <f>IF($C$12&lt;&gt;0,$N$8,"Infinity")</f>
        <v>0</v>
      </c>
      <c r="D34" s="91" t="s">
        <v>252</v>
      </c>
      <c r="E34" s="208"/>
      <c r="F34" s="208"/>
      <c r="G34" s="208"/>
      <c r="H34" s="208"/>
      <c r="I34" s="211"/>
      <c r="J34" s="33"/>
      <c r="K34" s="29" t="s">
        <v>149</v>
      </c>
      <c r="M34" s="257" t="s">
        <v>565</v>
      </c>
      <c r="N34" s="201">
        <f>$C$22</f>
        <v>1.85</v>
      </c>
      <c r="P34" s="200"/>
      <c r="Q34" s="77"/>
      <c r="R34" s="77"/>
      <c r="S34" s="77"/>
      <c r="T34" s="77"/>
      <c r="U34" s="78"/>
      <c r="V34" s="82" t="s">
        <v>236</v>
      </c>
      <c r="W34" s="190">
        <f>IF(MAX($W$32,$Y$32,$AA$32)=0,$C$17,MAX($W$32,$Y$32,$AA$32))</f>
        <v>11</v>
      </c>
      <c r="X34" s="83" t="s">
        <v>252</v>
      </c>
      <c r="Y34" s="84"/>
      <c r="Z34" s="168"/>
      <c r="AA34" s="168"/>
      <c r="AB34" s="168"/>
      <c r="AC34" s="169"/>
      <c r="AD34" s="74"/>
      <c r="AE34" s="418" t="s">
        <v>294</v>
      </c>
      <c r="AF34" s="419">
        <v>81.400000000000006</v>
      </c>
      <c r="AG34" s="420">
        <v>39.700000000000003</v>
      </c>
      <c r="AH34" s="420">
        <v>0.83</v>
      </c>
      <c r="AI34" s="420">
        <v>15.8</v>
      </c>
      <c r="AJ34" s="421">
        <v>1.58</v>
      </c>
      <c r="AK34" s="74"/>
      <c r="AL34" s="74"/>
      <c r="AM34" s="74"/>
    </row>
    <row r="35" spans="1:39" x14ac:dyDescent="0.25">
      <c r="A35" s="21"/>
      <c r="B35" s="61" t="s">
        <v>243</v>
      </c>
      <c r="C35" s="110">
        <f>$N$10</f>
        <v>11</v>
      </c>
      <c r="D35" s="91" t="s">
        <v>252</v>
      </c>
      <c r="E35" s="209"/>
      <c r="F35" s="44"/>
      <c r="G35" s="37"/>
      <c r="H35" s="44"/>
      <c r="I35" s="215" t="s">
        <v>821</v>
      </c>
      <c r="J35" s="33"/>
      <c r="K35" s="29" t="s">
        <v>832</v>
      </c>
      <c r="M35" s="483" t="s">
        <v>755</v>
      </c>
      <c r="N35" s="34" t="str">
        <f>IF(AND($N$21&gt;0,$N$33&gt;0),($N$34*$N$33)/$N$32+$N$21/$N$30,"N.A.")</f>
        <v>N.A.</v>
      </c>
      <c r="O35" s="200" t="s">
        <v>564</v>
      </c>
      <c r="P35" s="200"/>
      <c r="Q35" s="77"/>
      <c r="R35" s="77"/>
      <c r="S35" s="77"/>
      <c r="T35" s="77"/>
      <c r="U35" s="78"/>
      <c r="V35" s="162"/>
      <c r="W35" s="157"/>
      <c r="X35" s="158"/>
      <c r="Y35" s="157"/>
      <c r="Z35" s="158"/>
      <c r="AA35" s="157"/>
      <c r="AB35" s="158"/>
      <c r="AC35" s="74"/>
      <c r="AD35" s="74"/>
      <c r="AE35" s="418" t="s">
        <v>397</v>
      </c>
      <c r="AF35" s="419">
        <v>78.8</v>
      </c>
      <c r="AG35" s="420">
        <v>39.369999999999997</v>
      </c>
      <c r="AH35" s="420">
        <v>0.75</v>
      </c>
      <c r="AI35" s="420">
        <v>17.75</v>
      </c>
      <c r="AJ35" s="421">
        <v>1.415</v>
      </c>
      <c r="AK35" s="74"/>
      <c r="AL35" s="142"/>
      <c r="AM35" s="142"/>
    </row>
    <row r="36" spans="1:39" x14ac:dyDescent="0.25">
      <c r="A36" s="21"/>
      <c r="B36" s="44" t="s">
        <v>570</v>
      </c>
      <c r="C36" s="110">
        <f>$N$9</f>
        <v>2.0999999999999996</v>
      </c>
      <c r="D36" s="91" t="s">
        <v>153</v>
      </c>
      <c r="E36" s="208"/>
      <c r="F36" s="44"/>
      <c r="G36" s="37"/>
      <c r="H36" s="44"/>
      <c r="I36" s="215" t="str">
        <f>""&amp;$C$12</f>
        <v>-3.39</v>
      </c>
      <c r="J36" s="33"/>
      <c r="K36" s="29" t="s">
        <v>831</v>
      </c>
      <c r="M36" s="252" t="s">
        <v>561</v>
      </c>
      <c r="N36" s="251">
        <f>IF($C$27="A307",36,IF($C$27="A36",36,IF($C$27="A572",50,IF($C$27="A588",50,IF($C$27="F1554 (36)",36,IF($C$27="F1554 (55)",55,IF($C$27="F1554 (105)",105)))))))</f>
        <v>36</v>
      </c>
      <c r="O36" s="253" t="s">
        <v>153</v>
      </c>
      <c r="P36" s="77"/>
      <c r="Q36" s="77"/>
      <c r="R36" s="77"/>
      <c r="S36" s="77"/>
      <c r="T36" s="77"/>
      <c r="U36" s="78"/>
      <c r="V36" s="157"/>
      <c r="W36" s="163"/>
      <c r="X36" s="164"/>
      <c r="Y36" s="163"/>
      <c r="Z36" s="155"/>
      <c r="AA36" s="163"/>
      <c r="AB36" s="155"/>
      <c r="AC36" s="74"/>
      <c r="AD36" s="74"/>
      <c r="AE36" s="418" t="s">
        <v>417</v>
      </c>
      <c r="AF36" s="419">
        <v>77.599999999999994</v>
      </c>
      <c r="AG36" s="420">
        <v>40</v>
      </c>
      <c r="AH36" s="420">
        <v>0.96</v>
      </c>
      <c r="AI36" s="420">
        <v>11.9</v>
      </c>
      <c r="AJ36" s="421">
        <v>1.73</v>
      </c>
      <c r="AK36" s="74"/>
    </row>
    <row r="37" spans="1:39" x14ac:dyDescent="0.25">
      <c r="A37" s="21"/>
      <c r="B37" s="61" t="s">
        <v>808</v>
      </c>
      <c r="C37" s="110">
        <f>$N$11</f>
        <v>5.1363636363636368E-2</v>
      </c>
      <c r="D37" s="91" t="s">
        <v>153</v>
      </c>
      <c r="E37" s="208"/>
      <c r="F37" s="44"/>
      <c r="G37" s="37"/>
      <c r="H37" s="209"/>
      <c r="I37" s="216" t="s">
        <v>720</v>
      </c>
      <c r="J37" s="33"/>
      <c r="K37" s="29" t="s">
        <v>845</v>
      </c>
      <c r="M37" s="254" t="s">
        <v>563</v>
      </c>
      <c r="N37" s="255">
        <f>0.55</f>
        <v>0.55000000000000004</v>
      </c>
      <c r="O37" s="253" t="s">
        <v>562</v>
      </c>
      <c r="P37" s="77"/>
      <c r="Q37" s="77"/>
      <c r="R37" s="77"/>
      <c r="S37" s="77"/>
      <c r="T37" s="77"/>
      <c r="U37" s="78"/>
      <c r="V37" s="165"/>
      <c r="W37" s="166"/>
      <c r="X37" s="162"/>
      <c r="Y37" s="166"/>
      <c r="Z37" s="162"/>
      <c r="AA37" s="166"/>
      <c r="AB37" s="162"/>
      <c r="AC37" s="74"/>
      <c r="AD37" s="74"/>
      <c r="AE37" s="418" t="s">
        <v>59</v>
      </c>
      <c r="AF37" s="419">
        <v>73.3</v>
      </c>
      <c r="AG37" s="420">
        <v>39.4</v>
      </c>
      <c r="AH37" s="420">
        <v>0.75</v>
      </c>
      <c r="AI37" s="420">
        <v>15.8</v>
      </c>
      <c r="AJ37" s="421">
        <v>1.42</v>
      </c>
      <c r="AK37" s="74"/>
    </row>
    <row r="38" spans="1:39" x14ac:dyDescent="0.25">
      <c r="A38" s="21"/>
      <c r="B38" s="61" t="s">
        <v>809</v>
      </c>
      <c r="C38" s="111">
        <f>$N$12</f>
        <v>5.1363636363636368E-2</v>
      </c>
      <c r="D38" s="91" t="s">
        <v>153</v>
      </c>
      <c r="E38" s="218"/>
      <c r="F38" s="44"/>
      <c r="G38" s="37"/>
      <c r="H38" s="209"/>
      <c r="I38" s="211"/>
      <c r="J38" s="33"/>
      <c r="K38" s="29" t="s">
        <v>847</v>
      </c>
      <c r="M38" s="252" t="s">
        <v>569</v>
      </c>
      <c r="N38" s="251">
        <f>$N$37*$N$28*$N$36</f>
        <v>4.4748428381748004</v>
      </c>
      <c r="O38" s="253" t="s">
        <v>152</v>
      </c>
      <c r="P38" s="77"/>
      <c r="Q38" s="77"/>
      <c r="R38" s="77"/>
      <c r="S38" s="77"/>
      <c r="T38" s="77"/>
      <c r="U38" s="78"/>
      <c r="V38" s="155"/>
      <c r="W38" s="160"/>
      <c r="X38" s="162"/>
      <c r="Y38" s="160"/>
      <c r="Z38" s="162"/>
      <c r="AA38" s="160"/>
      <c r="AB38" s="162"/>
      <c r="AC38" s="74"/>
      <c r="AD38" s="74"/>
      <c r="AE38" s="418" t="s">
        <v>226</v>
      </c>
      <c r="AF38" s="419">
        <v>71.7</v>
      </c>
      <c r="AG38" s="420">
        <v>39.06</v>
      </c>
      <c r="AH38" s="420">
        <v>0.71</v>
      </c>
      <c r="AI38" s="420">
        <v>17.71</v>
      </c>
      <c r="AJ38" s="421">
        <v>1.26</v>
      </c>
      <c r="AK38" s="74"/>
      <c r="AL38" s="43"/>
      <c r="AM38" s="145"/>
    </row>
    <row r="39" spans="1:39" x14ac:dyDescent="0.25">
      <c r="A39" s="21"/>
      <c r="B39" s="12"/>
      <c r="C39" s="45" t="str">
        <f>IF($C$36&gt;=$C$37,"Fp &gt;= fp(max), O.K.","Fp &lt; fp(max)")</f>
        <v>Fp &gt;= fp(max), O.K.</v>
      </c>
      <c r="D39" s="42"/>
      <c r="E39" s="218"/>
      <c r="F39" s="44"/>
      <c r="G39" s="37"/>
      <c r="H39" s="221" t="str">
        <f>"       "&amp;$C$10&amp;" Col."</f>
        <v xml:space="preserve">       W10x26 Col.</v>
      </c>
      <c r="I39" s="211"/>
      <c r="J39" s="33"/>
      <c r="K39" s="29" t="s">
        <v>846</v>
      </c>
      <c r="M39" s="252" t="s">
        <v>575</v>
      </c>
      <c r="N39" s="255">
        <f>($N$37*$N$28*$N$36-$N$21)/$N$34</f>
        <v>2.4188339665809733</v>
      </c>
      <c r="O39" s="253" t="s">
        <v>152</v>
      </c>
      <c r="P39" s="258" t="s">
        <v>571</v>
      </c>
      <c r="Q39" s="77"/>
      <c r="R39" s="77"/>
      <c r="S39" s="77"/>
      <c r="T39" s="77"/>
      <c r="U39" s="78"/>
      <c r="V39" s="155"/>
      <c r="W39" s="160"/>
      <c r="X39" s="162"/>
      <c r="Y39" s="160"/>
      <c r="Z39" s="162"/>
      <c r="AA39" s="160"/>
      <c r="AB39" s="162"/>
      <c r="AC39" s="74"/>
      <c r="AD39" s="74"/>
      <c r="AE39" s="418" t="s">
        <v>418</v>
      </c>
      <c r="AF39" s="419">
        <v>69</v>
      </c>
      <c r="AG39" s="420">
        <v>39.700000000000003</v>
      </c>
      <c r="AH39" s="420">
        <v>0.83</v>
      </c>
      <c r="AI39" s="420">
        <v>11.9</v>
      </c>
      <c r="AJ39" s="421">
        <v>1.58</v>
      </c>
      <c r="AK39" s="74"/>
      <c r="AL39" s="93" t="s">
        <v>464</v>
      </c>
      <c r="AM39" s="94">
        <f>$C$37/$C$36</f>
        <v>2.4458874458874465E-2</v>
      </c>
    </row>
    <row r="40" spans="1:39" x14ac:dyDescent="0.25">
      <c r="A40" s="52" t="s">
        <v>849</v>
      </c>
      <c r="B40" s="48"/>
      <c r="C40" s="42"/>
      <c r="D40" s="42"/>
      <c r="E40" s="209"/>
      <c r="F40" s="44"/>
      <c r="G40" s="37"/>
      <c r="H40" s="209"/>
      <c r="I40" s="211"/>
      <c r="J40" s="33"/>
      <c r="K40" s="201">
        <v>1.85</v>
      </c>
      <c r="P40" s="258" t="s">
        <v>572</v>
      </c>
      <c r="Q40" s="77"/>
      <c r="R40" s="77"/>
      <c r="S40" s="77"/>
      <c r="T40" s="77"/>
      <c r="U40" s="78"/>
      <c r="V40" s="167"/>
      <c r="W40" s="160"/>
      <c r="X40" s="162"/>
      <c r="Y40" s="160"/>
      <c r="Z40" s="162"/>
      <c r="AA40" s="160"/>
      <c r="AB40" s="162"/>
      <c r="AC40" s="74"/>
      <c r="AD40" s="74"/>
      <c r="AE40" s="418" t="s">
        <v>3</v>
      </c>
      <c r="AF40" s="419">
        <v>64.8</v>
      </c>
      <c r="AG40" s="420">
        <v>38.67</v>
      </c>
      <c r="AH40" s="420">
        <v>0.71</v>
      </c>
      <c r="AI40" s="420">
        <v>17.71</v>
      </c>
      <c r="AJ40" s="421">
        <v>1.0649999999999999</v>
      </c>
      <c r="AK40" s="74"/>
      <c r="AL40" s="39"/>
      <c r="AM40" s="143"/>
    </row>
    <row r="41" spans="1:39" x14ac:dyDescent="0.25">
      <c r="A41" s="58"/>
      <c r="B41" s="36" t="s">
        <v>568</v>
      </c>
      <c r="C41" s="109">
        <f>$N$29</f>
        <v>19.100000000000001</v>
      </c>
      <c r="D41" s="90" t="s">
        <v>153</v>
      </c>
      <c r="E41" s="209"/>
      <c r="F41" s="209"/>
      <c r="G41" s="37"/>
      <c r="H41" s="209"/>
      <c r="I41" s="211"/>
      <c r="J41" s="33"/>
      <c r="K41" s="201">
        <v>1.25</v>
      </c>
      <c r="P41" s="142" t="s">
        <v>573</v>
      </c>
      <c r="Q41" s="77"/>
      <c r="R41" s="77"/>
      <c r="S41" s="77"/>
      <c r="T41" s="77"/>
      <c r="U41" s="78"/>
      <c r="V41" s="10"/>
      <c r="W41" s="10"/>
      <c r="X41" s="10"/>
      <c r="Y41" s="10"/>
      <c r="Z41" s="74"/>
      <c r="AA41" s="74"/>
      <c r="AB41" s="74"/>
      <c r="AC41" s="74"/>
      <c r="AD41" s="74"/>
      <c r="AE41" s="418" t="s">
        <v>89</v>
      </c>
      <c r="AF41" s="419">
        <v>63.4</v>
      </c>
      <c r="AG41" s="420">
        <v>39</v>
      </c>
      <c r="AH41" s="420">
        <v>0.65</v>
      </c>
      <c r="AI41" s="420">
        <v>15.8</v>
      </c>
      <c r="AJ41" s="421">
        <v>1.22</v>
      </c>
      <c r="AK41" s="74"/>
    </row>
    <row r="42" spans="1:39" x14ac:dyDescent="0.25">
      <c r="A42" s="21"/>
      <c r="B42" s="44" t="s">
        <v>569</v>
      </c>
      <c r="C42" s="120">
        <f>$N$30</f>
        <v>5.85980660972315</v>
      </c>
      <c r="D42" s="91" t="s">
        <v>288</v>
      </c>
      <c r="E42" s="208"/>
      <c r="F42" s="6"/>
      <c r="G42" s="37"/>
      <c r="H42" s="209"/>
      <c r="I42" s="220" t="str">
        <f>"tp="&amp;ROUND($C$53,3)</f>
        <v>tp=0.052</v>
      </c>
      <c r="J42" s="33"/>
      <c r="K42" s="201">
        <v>1.1000000000000001</v>
      </c>
      <c r="P42" s="258" t="s">
        <v>574</v>
      </c>
      <c r="Q42" s="77"/>
      <c r="R42" s="77"/>
      <c r="S42" s="77"/>
      <c r="T42" s="77"/>
      <c r="U42" s="78"/>
      <c r="V42" s="10"/>
      <c r="W42" s="10"/>
      <c r="X42" s="10"/>
      <c r="Y42" s="10"/>
      <c r="Z42" s="74"/>
      <c r="AA42" s="74"/>
      <c r="AB42" s="74"/>
      <c r="AC42" s="74"/>
      <c r="AD42" s="74"/>
      <c r="AE42" s="418" t="s">
        <v>419</v>
      </c>
      <c r="AF42" s="419">
        <v>62</v>
      </c>
      <c r="AG42" s="420">
        <v>39.4</v>
      </c>
      <c r="AH42" s="420">
        <v>0.75</v>
      </c>
      <c r="AI42" s="420">
        <v>11.8</v>
      </c>
      <c r="AJ42" s="421">
        <v>1.42</v>
      </c>
      <c r="AK42" s="74"/>
    </row>
    <row r="43" spans="1:39" x14ac:dyDescent="0.25">
      <c r="A43" s="21"/>
      <c r="B43" s="61" t="s">
        <v>524</v>
      </c>
      <c r="C43" s="121">
        <f>$N$21</f>
        <v>0</v>
      </c>
      <c r="D43" s="91" t="s">
        <v>288</v>
      </c>
      <c r="E43" s="209"/>
      <c r="F43" s="40"/>
      <c r="G43" s="209"/>
      <c r="H43" s="209"/>
      <c r="I43" s="210"/>
      <c r="J43" s="33"/>
      <c r="K43" s="201">
        <v>0.55000000000000004</v>
      </c>
      <c r="P43" s="77"/>
      <c r="Q43" s="77"/>
      <c r="R43" s="77"/>
      <c r="S43" s="77"/>
      <c r="T43" s="77"/>
      <c r="U43" s="78"/>
      <c r="V43" s="10"/>
      <c r="W43" s="10"/>
      <c r="X43" s="10"/>
      <c r="Y43" s="10"/>
      <c r="Z43" s="74"/>
      <c r="AA43" s="74"/>
      <c r="AB43" s="74"/>
      <c r="AC43" s="74"/>
      <c r="AD43" s="74"/>
      <c r="AE43" s="418" t="s">
        <v>88</v>
      </c>
      <c r="AF43" s="419">
        <v>58.5</v>
      </c>
      <c r="AG43" s="420">
        <v>38.700000000000003</v>
      </c>
      <c r="AH43" s="420">
        <v>0.65</v>
      </c>
      <c r="AI43" s="420">
        <v>15.8</v>
      </c>
      <c r="AJ43" s="421">
        <v>1.07</v>
      </c>
      <c r="AK43" s="74"/>
      <c r="AL43" s="74"/>
      <c r="AM43" s="74"/>
    </row>
    <row r="44" spans="1:39" x14ac:dyDescent="0.25">
      <c r="A44" s="21"/>
      <c r="B44" s="12"/>
      <c r="C44" s="45" t="str">
        <f>IF($C$43=0,"",IF($C$42&gt;=$C$43,"Ta &gt;= Tb, O.K.","Ta &lt; Tb"))</f>
        <v/>
      </c>
      <c r="D44" s="12"/>
      <c r="E44" s="208"/>
      <c r="F44" s="122"/>
      <c r="G44" s="209"/>
      <c r="H44" s="123"/>
      <c r="I44" s="217" t="str">
        <f>"fp(max)="&amp;ROUND($C$37,3)</f>
        <v>fp(max)=0.051</v>
      </c>
      <c r="J44" s="33"/>
      <c r="K44" s="201">
        <v>0.7</v>
      </c>
      <c r="P44" s="77"/>
      <c r="Q44" s="77"/>
      <c r="R44" s="77"/>
      <c r="S44" s="77"/>
      <c r="T44" s="77"/>
      <c r="U44" s="78"/>
      <c r="V44" s="10"/>
      <c r="W44" s="10"/>
      <c r="X44" s="10"/>
      <c r="Y44" s="10"/>
      <c r="Z44" s="74"/>
      <c r="AA44" s="74"/>
      <c r="AB44" s="74"/>
      <c r="AC44" s="74"/>
      <c r="AD44" s="74"/>
      <c r="AE44" s="418" t="s">
        <v>87</v>
      </c>
      <c r="AF44" s="419">
        <v>56.5</v>
      </c>
      <c r="AG44" s="420">
        <v>38.200000000000003</v>
      </c>
      <c r="AH44" s="420">
        <v>0.71</v>
      </c>
      <c r="AI44" s="420">
        <v>17.71</v>
      </c>
      <c r="AJ44" s="421">
        <v>0.83</v>
      </c>
      <c r="AK44" s="74"/>
      <c r="AL44" s="93" t="s">
        <v>464</v>
      </c>
      <c r="AM44" s="94">
        <f>$C$43/$C$42</f>
        <v>0</v>
      </c>
    </row>
    <row r="45" spans="1:39" x14ac:dyDescent="0.25">
      <c r="A45" s="21"/>
      <c r="B45" s="36" t="s">
        <v>566</v>
      </c>
      <c r="C45" s="109">
        <f>$N$31</f>
        <v>9.9</v>
      </c>
      <c r="D45" s="90" t="s">
        <v>153</v>
      </c>
      <c r="E45" s="12"/>
      <c r="F45" s="218" t="s">
        <v>526</v>
      </c>
      <c r="G45" s="218" t="str">
        <f>"    Xc="&amp;ROUND($C$35,3)</f>
        <v xml:space="preserve">    Xc=11</v>
      </c>
      <c r="H45" s="208"/>
      <c r="I45" s="212"/>
      <c r="J45" s="33"/>
      <c r="K45" s="201">
        <v>0.9</v>
      </c>
      <c r="N45" s="22"/>
      <c r="O45" s="77"/>
      <c r="P45" s="77"/>
      <c r="Q45" s="77"/>
      <c r="R45" s="77"/>
      <c r="S45" s="77"/>
      <c r="T45" s="77"/>
      <c r="U45" s="78"/>
      <c r="V45" s="10"/>
      <c r="W45" s="10"/>
      <c r="X45" s="10"/>
      <c r="Y45" s="10"/>
      <c r="Z45" s="74"/>
      <c r="AA45" s="74"/>
      <c r="AB45" s="74"/>
      <c r="AC45" s="74"/>
      <c r="AD45" s="74"/>
      <c r="AE45" s="418" t="s">
        <v>349</v>
      </c>
      <c r="AF45" s="419">
        <v>53.8</v>
      </c>
      <c r="AG45" s="420">
        <v>39</v>
      </c>
      <c r="AH45" s="420">
        <v>0.65</v>
      </c>
      <c r="AI45" s="420">
        <v>11.8</v>
      </c>
      <c r="AJ45" s="421">
        <v>1.22</v>
      </c>
      <c r="AK45" s="74"/>
      <c r="AL45" s="74"/>
      <c r="AM45" s="74"/>
    </row>
    <row r="46" spans="1:39" x14ac:dyDescent="0.25">
      <c r="A46" s="21"/>
      <c r="B46" s="44" t="s">
        <v>567</v>
      </c>
      <c r="C46" s="120">
        <f>$N$32</f>
        <v>3.0372819600135696</v>
      </c>
      <c r="D46" s="91" t="s">
        <v>288</v>
      </c>
      <c r="E46" s="219"/>
      <c r="F46" s="477" t="s">
        <v>693</v>
      </c>
      <c r="G46" s="214"/>
      <c r="H46" s="207"/>
      <c r="I46" s="213"/>
      <c r="J46" s="33"/>
      <c r="K46" s="33"/>
      <c r="N46" s="22"/>
      <c r="O46" s="77"/>
      <c r="P46" s="77"/>
      <c r="Q46" s="77"/>
      <c r="R46" s="77"/>
      <c r="S46" s="77"/>
      <c r="T46" s="77"/>
      <c r="U46" s="78"/>
      <c r="V46" s="10"/>
      <c r="W46" s="10"/>
      <c r="X46" s="10"/>
      <c r="Y46" s="10"/>
      <c r="Z46" s="74"/>
      <c r="AA46" s="74"/>
      <c r="AB46" s="74"/>
      <c r="AC46" s="74"/>
      <c r="AD46" s="74"/>
      <c r="AE46" s="418" t="s">
        <v>446</v>
      </c>
      <c r="AF46" s="419">
        <v>51.1</v>
      </c>
      <c r="AG46" s="420">
        <v>38.200000000000003</v>
      </c>
      <c r="AH46" s="420">
        <v>0.65</v>
      </c>
      <c r="AI46" s="420">
        <v>15.75</v>
      </c>
      <c r="AJ46" s="421">
        <v>0.83</v>
      </c>
      <c r="AK46" s="74"/>
    </row>
    <row r="47" spans="1:39" x14ac:dyDescent="0.25">
      <c r="A47" s="21"/>
      <c r="B47" s="612" t="s">
        <v>838</v>
      </c>
      <c r="C47" s="610">
        <f>$N$6</f>
        <v>0</v>
      </c>
      <c r="D47" s="611" t="s">
        <v>812</v>
      </c>
      <c r="E47" s="12"/>
      <c r="F47" s="12"/>
      <c r="G47" s="205" t="str">
        <f>"N="&amp;ROUND($C$17,3)</f>
        <v>N=11</v>
      </c>
      <c r="H47" s="12"/>
      <c r="I47" s="213"/>
      <c r="J47" s="33"/>
      <c r="K47" s="33"/>
      <c r="N47" s="22"/>
      <c r="O47" s="77"/>
      <c r="P47" s="77"/>
      <c r="Q47" s="77"/>
      <c r="R47" s="77"/>
      <c r="S47" s="77"/>
      <c r="T47" s="77"/>
      <c r="U47" s="78"/>
      <c r="V47" s="10"/>
      <c r="W47" s="10"/>
      <c r="X47" s="10"/>
      <c r="Y47" s="10"/>
      <c r="Z47" s="74"/>
      <c r="AA47" s="74"/>
      <c r="AB47" s="74"/>
      <c r="AC47" s="74"/>
      <c r="AD47" s="74"/>
      <c r="AE47" s="418" t="s">
        <v>348</v>
      </c>
      <c r="AF47" s="419">
        <v>49.2</v>
      </c>
      <c r="AG47" s="420">
        <v>38.6</v>
      </c>
      <c r="AH47" s="420">
        <v>0.65</v>
      </c>
      <c r="AI47" s="420">
        <v>11.8</v>
      </c>
      <c r="AJ47" s="421">
        <v>1.02</v>
      </c>
      <c r="AK47" s="74"/>
    </row>
    <row r="48" spans="1:39" x14ac:dyDescent="0.25">
      <c r="A48" s="21"/>
      <c r="B48" s="61" t="s">
        <v>525</v>
      </c>
      <c r="C48" s="121">
        <f>$N$33</f>
        <v>0</v>
      </c>
      <c r="D48" s="91" t="s">
        <v>288</v>
      </c>
      <c r="E48" s="12"/>
      <c r="F48" s="12"/>
      <c r="G48" s="12"/>
      <c r="H48" s="12"/>
      <c r="I48" s="124"/>
      <c r="J48" s="33"/>
      <c r="K48" s="33"/>
      <c r="N48" s="22"/>
      <c r="O48" s="77"/>
      <c r="P48" s="77"/>
      <c r="Q48" s="77"/>
      <c r="R48" s="77"/>
      <c r="S48" s="77"/>
      <c r="T48" s="77"/>
      <c r="U48" s="78"/>
      <c r="V48" s="10"/>
      <c r="W48" s="10"/>
      <c r="X48" s="10"/>
      <c r="Y48" s="10"/>
      <c r="Z48" s="74"/>
      <c r="AA48" s="74"/>
      <c r="AB48" s="74"/>
      <c r="AC48" s="74"/>
      <c r="AD48" s="74"/>
      <c r="AE48" s="418" t="s">
        <v>347</v>
      </c>
      <c r="AF48" s="419">
        <v>43.8</v>
      </c>
      <c r="AG48" s="420">
        <v>38.200000000000003</v>
      </c>
      <c r="AH48" s="420">
        <v>0.63</v>
      </c>
      <c r="AI48" s="420">
        <v>11.8</v>
      </c>
      <c r="AJ48" s="421">
        <v>0.83</v>
      </c>
      <c r="AK48" s="74"/>
    </row>
    <row r="49" spans="1:39" x14ac:dyDescent="0.25">
      <c r="A49" s="50"/>
      <c r="B49" s="12"/>
      <c r="C49" s="45" t="str">
        <f>IF($C$48=0,"",IF($C$46&gt;=$C$48,"Va &gt;= Vb, O.K.","Va &lt; Vb"))</f>
        <v/>
      </c>
      <c r="D49" s="12"/>
      <c r="E49" s="12"/>
      <c r="F49" s="262" t="s">
        <v>578</v>
      </c>
      <c r="G49" s="233"/>
      <c r="H49" s="233"/>
      <c r="I49" s="14"/>
      <c r="N49" s="22"/>
      <c r="O49" s="77"/>
      <c r="P49" s="77"/>
      <c r="Q49" s="77"/>
      <c r="R49" s="77"/>
      <c r="S49" s="77"/>
      <c r="T49" s="77"/>
      <c r="U49" s="78"/>
      <c r="V49" s="10"/>
      <c r="W49" s="10"/>
      <c r="X49" s="10"/>
      <c r="Y49" s="10"/>
      <c r="Z49" s="74"/>
      <c r="AA49" s="74"/>
      <c r="AB49" s="74"/>
      <c r="AC49" s="74"/>
      <c r="AD49" s="74"/>
      <c r="AE49" s="418" t="s">
        <v>346</v>
      </c>
      <c r="AF49" s="419">
        <v>249</v>
      </c>
      <c r="AG49" s="420">
        <v>42.45</v>
      </c>
      <c r="AH49" s="420">
        <v>2.52</v>
      </c>
      <c r="AI49" s="420">
        <v>18.13</v>
      </c>
      <c r="AJ49" s="421">
        <v>4.53</v>
      </c>
      <c r="AK49" s="74"/>
      <c r="AL49" s="93" t="s">
        <v>464</v>
      </c>
      <c r="AM49" s="94">
        <f>$C$48/$C$46</f>
        <v>0</v>
      </c>
    </row>
    <row r="50" spans="1:39" x14ac:dyDescent="0.25">
      <c r="A50" s="21"/>
      <c r="B50" s="36" t="s">
        <v>755</v>
      </c>
      <c r="C50" s="481" t="str">
        <f>$N$35</f>
        <v>N.A.</v>
      </c>
      <c r="D50" s="613" t="s">
        <v>830</v>
      </c>
      <c r="E50" s="12"/>
      <c r="F50" s="12"/>
      <c r="G50" s="12"/>
      <c r="H50" s="12"/>
      <c r="I50" s="14"/>
      <c r="N50" s="22"/>
      <c r="O50" s="77"/>
      <c r="P50" s="77"/>
      <c r="Q50" s="77"/>
      <c r="R50" s="77"/>
      <c r="S50" s="77"/>
      <c r="T50" s="77"/>
      <c r="U50" s="78"/>
      <c r="V50" s="10"/>
      <c r="W50" s="10"/>
      <c r="X50" s="10"/>
      <c r="Y50" s="10"/>
      <c r="Z50" s="74"/>
      <c r="AA50" s="74"/>
      <c r="AB50" s="74"/>
      <c r="AC50" s="74"/>
      <c r="AD50" s="74"/>
      <c r="AE50" s="418" t="s">
        <v>345</v>
      </c>
      <c r="AF50" s="419">
        <v>235</v>
      </c>
      <c r="AG50" s="420">
        <v>42</v>
      </c>
      <c r="AH50" s="420">
        <v>2.38</v>
      </c>
      <c r="AI50" s="420">
        <v>18</v>
      </c>
      <c r="AJ50" s="421">
        <v>4.29</v>
      </c>
      <c r="AK50" s="74"/>
    </row>
    <row r="51" spans="1:39" x14ac:dyDescent="0.25">
      <c r="A51" s="21"/>
      <c r="B51" s="12"/>
      <c r="C51" s="45" t="str">
        <f>IF($C$50="N.A.","",IF($C$50&lt;=1,"S.R. &lt;= 1.0, O.K.","S.R. &gt; 1.0"))</f>
        <v/>
      </c>
      <c r="D51" s="12"/>
      <c r="E51" s="73"/>
      <c r="F51" s="12"/>
      <c r="G51" s="12"/>
      <c r="H51" s="12"/>
      <c r="I51" s="212"/>
      <c r="N51" s="22"/>
      <c r="O51" s="77"/>
      <c r="P51" s="77"/>
      <c r="Q51" s="77"/>
      <c r="R51" s="77"/>
      <c r="S51" s="77"/>
      <c r="T51" s="77"/>
      <c r="U51" s="78"/>
      <c r="V51" s="10"/>
      <c r="W51" s="10"/>
      <c r="X51" s="10"/>
      <c r="Y51" s="10"/>
      <c r="Z51" s="74"/>
      <c r="AA51" s="74"/>
      <c r="AB51" s="74"/>
      <c r="AC51" s="74"/>
      <c r="AD51" s="74"/>
      <c r="AE51" s="418" t="s">
        <v>344</v>
      </c>
      <c r="AF51" s="419">
        <v>211</v>
      </c>
      <c r="AG51" s="420">
        <v>41.19</v>
      </c>
      <c r="AH51" s="420">
        <v>2.165</v>
      </c>
      <c r="AI51" s="420">
        <v>17.774999999999999</v>
      </c>
      <c r="AJ51" s="421">
        <v>3.9</v>
      </c>
      <c r="AK51" s="74"/>
      <c r="AL51" s="93" t="s">
        <v>464</v>
      </c>
      <c r="AM51" s="94" t="str">
        <f>$C$50</f>
        <v>N.A.</v>
      </c>
    </row>
    <row r="52" spans="1:39" x14ac:dyDescent="0.25">
      <c r="A52" s="50" t="s">
        <v>289</v>
      </c>
      <c r="B52" s="12"/>
      <c r="C52" s="12"/>
      <c r="D52" s="42"/>
      <c r="E52" s="71"/>
      <c r="F52" s="12"/>
      <c r="G52" s="488" t="s">
        <v>797</v>
      </c>
      <c r="H52" s="12"/>
      <c r="I52" s="14"/>
      <c r="N52" s="22"/>
      <c r="O52" s="77"/>
      <c r="P52" s="77"/>
      <c r="Q52" s="77"/>
      <c r="R52" s="77"/>
      <c r="S52" s="77"/>
      <c r="T52" s="77"/>
      <c r="U52" s="78"/>
      <c r="V52" s="10"/>
      <c r="W52" s="10"/>
      <c r="X52" s="10"/>
      <c r="Y52" s="10"/>
      <c r="Z52" s="74"/>
      <c r="AA52" s="74"/>
      <c r="AB52" s="74"/>
      <c r="AC52" s="74"/>
      <c r="AD52" s="74"/>
      <c r="AE52" s="418" t="s">
        <v>343</v>
      </c>
      <c r="AF52" s="419">
        <v>191</v>
      </c>
      <c r="AG52" s="420">
        <v>40.5</v>
      </c>
      <c r="AH52" s="420">
        <v>1.97</v>
      </c>
      <c r="AI52" s="420">
        <v>17.600000000000001</v>
      </c>
      <c r="AJ52" s="421">
        <v>3.54</v>
      </c>
      <c r="AK52" s="74"/>
    </row>
    <row r="53" spans="1:39" x14ac:dyDescent="0.25">
      <c r="A53" s="57"/>
      <c r="B53" s="88" t="s">
        <v>837</v>
      </c>
      <c r="C53" s="3">
        <f>$N$26</f>
        <v>5.2277248464993917E-2</v>
      </c>
      <c r="D53" s="91" t="s">
        <v>252</v>
      </c>
      <c r="E53" s="36" t="s">
        <v>836</v>
      </c>
      <c r="F53" s="3">
        <f>MAX($N$13/4,$N$14/4)</f>
        <v>0.17300000000000004</v>
      </c>
      <c r="G53" s="91" t="s">
        <v>798</v>
      </c>
      <c r="H53" s="12"/>
      <c r="I53" s="14"/>
      <c r="N53" s="22"/>
      <c r="O53" s="77"/>
      <c r="P53" s="77"/>
      <c r="Q53" s="77"/>
      <c r="R53" s="77"/>
      <c r="S53" s="77"/>
      <c r="T53" s="77"/>
      <c r="U53" s="78"/>
      <c r="V53" s="10"/>
      <c r="W53" s="10"/>
      <c r="X53" s="10"/>
      <c r="Y53" s="10"/>
      <c r="Z53" s="74"/>
      <c r="AA53" s="74"/>
      <c r="AB53" s="74"/>
      <c r="AC53" s="74"/>
      <c r="AD53" s="74"/>
      <c r="AE53" s="418" t="s">
        <v>342</v>
      </c>
      <c r="AF53" s="419">
        <v>172</v>
      </c>
      <c r="AG53" s="420">
        <v>39.840000000000003</v>
      </c>
      <c r="AH53" s="420">
        <v>1.79</v>
      </c>
      <c r="AI53" s="420">
        <v>17.399999999999999</v>
      </c>
      <c r="AJ53" s="421">
        <v>3.23</v>
      </c>
      <c r="AK53" s="74"/>
      <c r="AL53" s="74"/>
      <c r="AM53" s="74"/>
    </row>
    <row r="54" spans="1:39" x14ac:dyDescent="0.25">
      <c r="A54" s="538"/>
      <c r="B54" s="492"/>
      <c r="C54" s="197"/>
      <c r="D54" s="197"/>
      <c r="E54" s="197"/>
      <c r="F54" s="197"/>
      <c r="G54" s="197"/>
      <c r="H54" s="491"/>
      <c r="I54" s="199"/>
      <c r="N54" s="22"/>
      <c r="O54" s="77"/>
      <c r="P54" s="77"/>
      <c r="Q54" s="77"/>
      <c r="R54" s="77"/>
      <c r="S54" s="77"/>
      <c r="T54" s="77"/>
      <c r="U54" s="78"/>
      <c r="V54" s="10"/>
      <c r="W54" s="10"/>
      <c r="X54" s="10"/>
      <c r="Y54" s="10"/>
      <c r="Z54" s="74"/>
      <c r="AA54" s="74"/>
      <c r="AB54" s="74"/>
      <c r="AC54" s="74"/>
      <c r="AD54" s="74"/>
      <c r="AE54" s="418" t="s">
        <v>341</v>
      </c>
      <c r="AF54" s="419">
        <v>155</v>
      </c>
      <c r="AG54" s="420">
        <v>39.200000000000003</v>
      </c>
      <c r="AH54" s="420">
        <v>1.61</v>
      </c>
      <c r="AI54" s="420">
        <v>17.2</v>
      </c>
      <c r="AJ54" s="421">
        <v>2.91</v>
      </c>
      <c r="AK54" s="74"/>
      <c r="AL54" s="74"/>
      <c r="AM54" s="74"/>
    </row>
    <row r="55" spans="1:39" x14ac:dyDescent="0.25">
      <c r="A55" s="222"/>
      <c r="D55" s="256"/>
      <c r="E55" s="12"/>
      <c r="F55" s="12"/>
      <c r="G55" s="12"/>
      <c r="H55" s="12"/>
      <c r="I55" s="59"/>
      <c r="N55" s="22"/>
      <c r="O55" s="77"/>
      <c r="P55" s="77"/>
      <c r="Q55" s="77"/>
      <c r="R55" s="77"/>
      <c r="S55" s="77"/>
      <c r="T55" s="77"/>
      <c r="U55" s="78"/>
      <c r="V55" s="10"/>
      <c r="W55" s="10"/>
      <c r="X55" s="10"/>
      <c r="Y55" s="10"/>
      <c r="Z55" s="74"/>
      <c r="AA55" s="74"/>
      <c r="AB55" s="74"/>
      <c r="AC55" s="74"/>
      <c r="AD55" s="74"/>
      <c r="AE55" s="418" t="s">
        <v>21</v>
      </c>
      <c r="AF55" s="419">
        <v>142</v>
      </c>
      <c r="AG55" s="420">
        <v>38.74</v>
      </c>
      <c r="AH55" s="420">
        <v>1.5</v>
      </c>
      <c r="AI55" s="420">
        <v>17.105</v>
      </c>
      <c r="AJ55" s="421">
        <v>2.68</v>
      </c>
      <c r="AK55" s="74"/>
      <c r="AL55" s="74"/>
      <c r="AM55" s="74"/>
    </row>
    <row r="56" spans="1:39" x14ac:dyDescent="0.25">
      <c r="A56" s="59"/>
      <c r="B56" s="59"/>
      <c r="C56" s="59"/>
      <c r="D56" s="59"/>
      <c r="E56" s="59"/>
      <c r="F56" s="600"/>
      <c r="G56" s="59"/>
      <c r="H56" s="59"/>
      <c r="I56" s="59"/>
      <c r="N56" s="22"/>
      <c r="O56" s="77"/>
      <c r="P56" s="77"/>
      <c r="Q56" s="77"/>
      <c r="R56" s="77"/>
      <c r="S56" s="77"/>
      <c r="T56" s="77"/>
      <c r="U56" s="78"/>
      <c r="V56" s="10"/>
      <c r="W56" s="10"/>
      <c r="X56" s="10"/>
      <c r="Y56" s="10"/>
      <c r="Z56" s="74"/>
      <c r="AA56" s="74"/>
      <c r="AB56" s="74"/>
      <c r="AC56" s="74"/>
      <c r="AD56" s="74"/>
      <c r="AE56" s="418" t="s">
        <v>273</v>
      </c>
      <c r="AF56" s="419">
        <v>129</v>
      </c>
      <c r="AG56" s="420">
        <v>38.299999999999997</v>
      </c>
      <c r="AH56" s="420">
        <v>1.36</v>
      </c>
      <c r="AI56" s="420">
        <v>17</v>
      </c>
      <c r="AJ56" s="421">
        <v>2.44</v>
      </c>
      <c r="AK56" s="74"/>
      <c r="AL56" s="74"/>
      <c r="AM56" s="74"/>
    </row>
    <row r="57" spans="1:39" x14ac:dyDescent="0.25">
      <c r="A57" s="59"/>
      <c r="B57" s="59"/>
      <c r="C57" s="59"/>
      <c r="D57" s="59"/>
      <c r="E57" s="59"/>
      <c r="F57" s="59"/>
      <c r="G57" s="59"/>
      <c r="H57" s="59"/>
      <c r="I57" s="12"/>
      <c r="N57" s="22"/>
      <c r="O57" s="77"/>
      <c r="P57" s="77"/>
      <c r="Q57" s="77"/>
      <c r="R57" s="77"/>
      <c r="S57" s="77"/>
      <c r="T57" s="77"/>
      <c r="U57" s="78"/>
      <c r="V57" s="10"/>
      <c r="W57" s="10"/>
      <c r="X57" s="10"/>
      <c r="Y57" s="10"/>
      <c r="Z57" s="74"/>
      <c r="AA57" s="74"/>
      <c r="AB57" s="74"/>
      <c r="AC57" s="74"/>
      <c r="AD57" s="74"/>
      <c r="AE57" s="418" t="s">
        <v>277</v>
      </c>
      <c r="AF57" s="419">
        <v>116</v>
      </c>
      <c r="AG57" s="420">
        <v>37.799999999999997</v>
      </c>
      <c r="AH57" s="420">
        <v>1.22</v>
      </c>
      <c r="AI57" s="420">
        <v>16.8</v>
      </c>
      <c r="AJ57" s="421">
        <v>2.2000000000000002</v>
      </c>
      <c r="AK57" s="74"/>
      <c r="AL57" s="74"/>
      <c r="AM57" s="74"/>
    </row>
    <row r="58" spans="1:39" x14ac:dyDescent="0.25">
      <c r="A58" s="59"/>
      <c r="B58" s="59"/>
      <c r="C58" s="59"/>
      <c r="D58" s="59"/>
      <c r="E58" s="59"/>
      <c r="F58" s="59"/>
      <c r="G58" s="59"/>
      <c r="H58" s="12"/>
      <c r="I58" s="12"/>
      <c r="N58" s="22"/>
      <c r="O58" s="77"/>
      <c r="P58" s="77"/>
      <c r="Q58" s="77"/>
      <c r="R58" s="77"/>
      <c r="S58" s="77"/>
      <c r="T58" s="77"/>
      <c r="U58" s="78"/>
      <c r="V58" s="10"/>
      <c r="W58" s="10"/>
      <c r="X58" s="10"/>
      <c r="Y58" s="10"/>
      <c r="Z58" s="74"/>
      <c r="AA58" s="74"/>
      <c r="AB58" s="74"/>
      <c r="AC58" s="74"/>
      <c r="AD58" s="74"/>
      <c r="AE58" s="418" t="s">
        <v>235</v>
      </c>
      <c r="AF58" s="419">
        <v>105</v>
      </c>
      <c r="AG58" s="420">
        <v>37.4</v>
      </c>
      <c r="AH58" s="420">
        <v>1.1200000000000001</v>
      </c>
      <c r="AI58" s="420">
        <v>16.7</v>
      </c>
      <c r="AJ58" s="421">
        <v>2.0099999999999998</v>
      </c>
      <c r="AK58" s="74"/>
      <c r="AL58" s="74"/>
      <c r="AM58" s="74"/>
    </row>
    <row r="59" spans="1:39" x14ac:dyDescent="0.25">
      <c r="A59" s="12"/>
      <c r="B59" s="12"/>
      <c r="C59" s="12"/>
      <c r="D59" s="12"/>
      <c r="E59" s="12"/>
      <c r="F59" s="12"/>
      <c r="G59" s="12"/>
      <c r="H59" s="12"/>
      <c r="I59" s="12"/>
      <c r="N59" s="22"/>
      <c r="O59" s="77"/>
      <c r="P59" s="77"/>
      <c r="Q59" s="77"/>
      <c r="R59" s="77"/>
      <c r="S59" s="77"/>
      <c r="T59" s="77"/>
      <c r="U59" s="78"/>
      <c r="V59" s="10"/>
      <c r="W59" s="10"/>
      <c r="X59" s="10"/>
      <c r="Y59" s="10"/>
      <c r="Z59" s="74"/>
      <c r="AA59" s="74"/>
      <c r="AB59" s="74"/>
      <c r="AC59" s="74"/>
      <c r="AD59" s="74"/>
      <c r="AE59" s="418" t="s">
        <v>234</v>
      </c>
      <c r="AF59" s="419">
        <v>96.4</v>
      </c>
      <c r="AG59" s="420">
        <v>37.1</v>
      </c>
      <c r="AH59" s="420">
        <v>1.02</v>
      </c>
      <c r="AI59" s="420">
        <v>16.600000000000001</v>
      </c>
      <c r="AJ59" s="421">
        <v>1.85</v>
      </c>
      <c r="AK59" s="74"/>
      <c r="AL59" s="74"/>
      <c r="AM59" s="74"/>
    </row>
    <row r="60" spans="1:39" x14ac:dyDescent="0.25">
      <c r="A60" s="67"/>
      <c r="B60" s="12"/>
      <c r="C60" s="12"/>
      <c r="D60" s="12"/>
      <c r="E60" s="12"/>
      <c r="F60" s="12"/>
      <c r="G60" s="12"/>
      <c r="H60" s="12"/>
      <c r="I60" s="12"/>
      <c r="N60" s="22"/>
      <c r="O60" s="77"/>
      <c r="P60" s="77"/>
      <c r="Q60" s="77"/>
      <c r="R60" s="77"/>
      <c r="S60" s="77"/>
      <c r="T60" s="77"/>
      <c r="U60" s="78"/>
      <c r="V60" s="10"/>
      <c r="W60" s="10"/>
      <c r="X60" s="10"/>
      <c r="Y60" s="10"/>
      <c r="Z60" s="74"/>
      <c r="AA60" s="74"/>
      <c r="AB60" s="74"/>
      <c r="AC60" s="74"/>
      <c r="AD60" s="74"/>
      <c r="AE60" s="418" t="s">
        <v>0</v>
      </c>
      <c r="AF60" s="419">
        <v>88.3</v>
      </c>
      <c r="AG60" s="420">
        <v>36.700000000000003</v>
      </c>
      <c r="AH60" s="420">
        <v>0.94499999999999995</v>
      </c>
      <c r="AI60" s="420">
        <v>16.7</v>
      </c>
      <c r="AJ60" s="421">
        <v>1.68</v>
      </c>
      <c r="AK60" s="74"/>
      <c r="AL60" s="74"/>
      <c r="AM60" s="74"/>
    </row>
    <row r="61" spans="1:39" x14ac:dyDescent="0.25">
      <c r="A61" s="12"/>
      <c r="B61" s="12"/>
      <c r="C61" s="12"/>
      <c r="D61" s="12"/>
      <c r="E61" s="12"/>
      <c r="F61" s="12"/>
      <c r="G61" s="12"/>
      <c r="H61" s="12"/>
      <c r="I61" s="12"/>
      <c r="N61" s="22"/>
      <c r="O61" s="77"/>
      <c r="P61" s="77"/>
      <c r="Q61" s="77"/>
      <c r="R61" s="77"/>
      <c r="S61" s="77"/>
      <c r="T61" s="77"/>
      <c r="U61" s="78"/>
      <c r="V61" s="10"/>
      <c r="W61" s="10"/>
      <c r="X61" s="10"/>
      <c r="Y61" s="10"/>
      <c r="Z61" s="74"/>
      <c r="AA61" s="74"/>
      <c r="AB61" s="74"/>
      <c r="AC61" s="74"/>
      <c r="AD61" s="74"/>
      <c r="AE61" s="418" t="s">
        <v>365</v>
      </c>
      <c r="AF61" s="419">
        <v>82.4</v>
      </c>
      <c r="AG61" s="420">
        <v>36.5</v>
      </c>
      <c r="AH61" s="420">
        <v>0.88500000000000001</v>
      </c>
      <c r="AI61" s="420">
        <v>16.600000000000001</v>
      </c>
      <c r="AJ61" s="421">
        <v>1.57</v>
      </c>
      <c r="AK61" s="74"/>
      <c r="AL61" s="74"/>
      <c r="AM61" s="74"/>
    </row>
    <row r="62" spans="1:39" x14ac:dyDescent="0.25">
      <c r="A62" s="68"/>
      <c r="B62" s="2"/>
      <c r="C62" s="2"/>
      <c r="D62" s="2"/>
      <c r="E62" s="5"/>
      <c r="F62" s="12"/>
      <c r="G62" s="12"/>
      <c r="H62" s="12"/>
      <c r="I62" s="12"/>
      <c r="N62" s="22"/>
      <c r="O62" s="77"/>
      <c r="P62" s="77"/>
      <c r="Q62" s="77"/>
      <c r="R62" s="77"/>
      <c r="S62" s="77"/>
      <c r="T62" s="77"/>
      <c r="U62" s="78"/>
      <c r="V62" s="10"/>
      <c r="W62" s="10"/>
      <c r="X62" s="10"/>
      <c r="Y62" s="10"/>
      <c r="Z62" s="74"/>
      <c r="AA62" s="74"/>
      <c r="AB62" s="74"/>
      <c r="AC62" s="74"/>
      <c r="AD62" s="74"/>
      <c r="AE62" s="418" t="s">
        <v>172</v>
      </c>
      <c r="AF62" s="419">
        <v>76.5</v>
      </c>
      <c r="AG62" s="420">
        <v>36.299999999999997</v>
      </c>
      <c r="AH62" s="420">
        <v>0.84</v>
      </c>
      <c r="AI62" s="420">
        <v>16.600000000000001</v>
      </c>
      <c r="AJ62" s="421">
        <v>1.44</v>
      </c>
      <c r="AK62" s="74"/>
      <c r="AL62" s="74"/>
      <c r="AM62" s="74"/>
    </row>
    <row r="63" spans="1:39" x14ac:dyDescent="0.25">
      <c r="A63" s="12"/>
      <c r="B63" s="12"/>
      <c r="C63" s="12"/>
      <c r="D63" s="12"/>
      <c r="E63" s="12"/>
      <c r="F63" s="12"/>
      <c r="G63" s="12"/>
      <c r="H63" s="12"/>
      <c r="I63" s="12"/>
      <c r="N63" s="22"/>
      <c r="O63" s="77"/>
      <c r="P63" s="77"/>
      <c r="Q63" s="77"/>
      <c r="R63" s="77"/>
      <c r="S63" s="77"/>
      <c r="T63" s="77"/>
      <c r="U63" s="78"/>
      <c r="V63" s="10"/>
      <c r="W63" s="10"/>
      <c r="X63" s="10"/>
      <c r="Y63" s="10"/>
      <c r="Z63" s="74"/>
      <c r="AA63" s="74"/>
      <c r="AB63" s="74"/>
      <c r="AC63" s="74"/>
      <c r="AD63" s="74"/>
      <c r="AE63" s="418" t="s">
        <v>171</v>
      </c>
      <c r="AF63" s="419">
        <v>75.400000000000006</v>
      </c>
      <c r="AG63" s="420">
        <v>37.4</v>
      </c>
      <c r="AH63" s="420">
        <v>0.96</v>
      </c>
      <c r="AI63" s="420">
        <v>12.2</v>
      </c>
      <c r="AJ63" s="421">
        <v>1.73</v>
      </c>
      <c r="AK63" s="74"/>
      <c r="AL63" s="74"/>
      <c r="AM63" s="74"/>
    </row>
    <row r="64" spans="1:39" x14ac:dyDescent="0.25">
      <c r="A64" s="12"/>
      <c r="B64" s="12"/>
      <c r="C64" s="12"/>
      <c r="D64" s="12"/>
      <c r="E64" s="12"/>
      <c r="F64" s="12"/>
      <c r="G64" s="12"/>
      <c r="H64" s="12"/>
      <c r="I64" s="12"/>
      <c r="N64" s="22"/>
      <c r="O64" s="77"/>
      <c r="P64" s="77"/>
      <c r="Q64" s="77"/>
      <c r="R64" s="77"/>
      <c r="S64" s="77"/>
      <c r="T64" s="77"/>
      <c r="U64" s="78"/>
      <c r="V64" s="10"/>
      <c r="W64" s="10"/>
      <c r="X64" s="10"/>
      <c r="Y64" s="10"/>
      <c r="Z64" s="74"/>
      <c r="AA64" s="74"/>
      <c r="AB64" s="74"/>
      <c r="AC64" s="74"/>
      <c r="AD64" s="74"/>
      <c r="AE64" s="418" t="s">
        <v>170</v>
      </c>
      <c r="AF64" s="419">
        <v>72.099999999999994</v>
      </c>
      <c r="AG64" s="420">
        <v>36.1</v>
      </c>
      <c r="AH64" s="420">
        <v>0.8</v>
      </c>
      <c r="AI64" s="420">
        <v>16.5</v>
      </c>
      <c r="AJ64" s="421">
        <v>1.35</v>
      </c>
      <c r="AK64" s="74"/>
      <c r="AL64" s="74"/>
      <c r="AM64" s="74"/>
    </row>
    <row r="65" spans="1:39" x14ac:dyDescent="0.25">
      <c r="A65" s="12"/>
      <c r="B65" s="12"/>
      <c r="C65" s="12"/>
      <c r="D65" s="12"/>
      <c r="E65" s="12"/>
      <c r="F65" s="12"/>
      <c r="G65" s="12"/>
      <c r="H65" s="12"/>
      <c r="I65" s="12"/>
      <c r="N65" s="22"/>
      <c r="O65" s="77"/>
      <c r="P65" s="77"/>
      <c r="Q65" s="77"/>
      <c r="R65" s="77"/>
      <c r="S65" s="77"/>
      <c r="T65" s="77"/>
      <c r="U65" s="78"/>
      <c r="V65" s="10"/>
      <c r="W65" s="10"/>
      <c r="X65" s="10"/>
      <c r="Y65" s="10"/>
      <c r="Z65" s="74"/>
      <c r="AA65" s="74"/>
      <c r="AB65" s="74"/>
      <c r="AC65" s="74"/>
      <c r="AD65" s="74"/>
      <c r="AE65" s="418" t="s">
        <v>154</v>
      </c>
      <c r="AF65" s="419">
        <v>68.099999999999994</v>
      </c>
      <c r="AG65" s="420">
        <v>37.1</v>
      </c>
      <c r="AH65" s="420">
        <v>0.87</v>
      </c>
      <c r="AI65" s="420">
        <v>12.1</v>
      </c>
      <c r="AJ65" s="421">
        <v>1.57</v>
      </c>
      <c r="AK65" s="74"/>
      <c r="AL65" s="74"/>
      <c r="AM65" s="74"/>
    </row>
    <row r="66" spans="1:39" x14ac:dyDescent="0.25">
      <c r="A66" s="36"/>
      <c r="B66" s="4"/>
      <c r="C66" s="12"/>
      <c r="D66" s="38"/>
      <c r="E66" s="4"/>
      <c r="F66" s="12"/>
      <c r="G66" s="60"/>
      <c r="H66" s="12"/>
      <c r="I66" s="12"/>
      <c r="N66" s="22"/>
      <c r="O66" s="77"/>
      <c r="P66" s="77"/>
      <c r="Q66" s="77"/>
      <c r="R66" s="77"/>
      <c r="S66" s="77"/>
      <c r="T66" s="77"/>
      <c r="U66" s="78"/>
      <c r="V66" s="10"/>
      <c r="W66" s="10"/>
      <c r="X66" s="10"/>
      <c r="Y66" s="10"/>
      <c r="Z66" s="74"/>
      <c r="AA66" s="74"/>
      <c r="AB66" s="74"/>
      <c r="AC66" s="74"/>
      <c r="AD66" s="74"/>
      <c r="AE66" s="418" t="s">
        <v>81</v>
      </c>
      <c r="AF66" s="419">
        <v>67.599999999999994</v>
      </c>
      <c r="AG66" s="420">
        <v>35.9</v>
      </c>
      <c r="AH66" s="420">
        <v>0.76</v>
      </c>
      <c r="AI66" s="420">
        <v>16.5</v>
      </c>
      <c r="AJ66" s="421">
        <v>1.26</v>
      </c>
      <c r="AK66" s="74"/>
      <c r="AL66" s="74"/>
      <c r="AM66" s="74"/>
    </row>
    <row r="67" spans="1:39" x14ac:dyDescent="0.25">
      <c r="A67" s="12"/>
      <c r="B67" s="12"/>
      <c r="C67" s="12"/>
      <c r="D67" s="12"/>
      <c r="E67" s="12"/>
      <c r="F67" s="12"/>
      <c r="G67" s="12"/>
      <c r="H67" s="12"/>
      <c r="I67" s="12"/>
      <c r="N67" s="22"/>
      <c r="O67" s="77"/>
      <c r="P67" s="77"/>
      <c r="Q67" s="77"/>
      <c r="R67" s="77"/>
      <c r="S67" s="77"/>
      <c r="T67" s="77"/>
      <c r="U67" s="78"/>
      <c r="V67" s="10"/>
      <c r="W67" s="10"/>
      <c r="X67" s="10"/>
      <c r="Y67" s="10"/>
      <c r="Z67" s="74"/>
      <c r="AA67" s="74"/>
      <c r="AB67" s="74"/>
      <c r="AC67" s="74"/>
      <c r="AD67" s="74"/>
      <c r="AE67" s="418" t="s">
        <v>271</v>
      </c>
      <c r="AF67" s="419">
        <v>61.8</v>
      </c>
      <c r="AG67" s="420">
        <v>36.700000000000003</v>
      </c>
      <c r="AH67" s="420">
        <v>0.83</v>
      </c>
      <c r="AI67" s="420">
        <v>12.2</v>
      </c>
      <c r="AJ67" s="421">
        <v>1.36</v>
      </c>
      <c r="AK67" s="74"/>
      <c r="AL67" s="74"/>
      <c r="AM67" s="74"/>
    </row>
    <row r="68" spans="1:39" x14ac:dyDescent="0.25">
      <c r="A68" s="67"/>
      <c r="B68" s="12"/>
      <c r="C68" s="12"/>
      <c r="D68" s="12"/>
      <c r="E68" s="12"/>
      <c r="F68" s="12"/>
      <c r="G68" s="12"/>
      <c r="H68" s="12"/>
      <c r="I68" s="12"/>
      <c r="N68" s="22"/>
      <c r="O68" s="77"/>
      <c r="P68" s="77"/>
      <c r="Q68" s="77"/>
      <c r="R68" s="77"/>
      <c r="S68" s="77"/>
      <c r="T68" s="77"/>
      <c r="U68" s="78"/>
      <c r="V68" s="10"/>
      <c r="W68" s="10"/>
      <c r="X68" s="10"/>
      <c r="Y68" s="10"/>
      <c r="Z68" s="74"/>
      <c r="AA68" s="74"/>
      <c r="AB68" s="74"/>
      <c r="AC68" s="74"/>
      <c r="AD68" s="74"/>
      <c r="AE68" s="418" t="s">
        <v>270</v>
      </c>
      <c r="AF68" s="419">
        <v>57</v>
      </c>
      <c r="AG68" s="420">
        <v>36.5</v>
      </c>
      <c r="AH68" s="420">
        <v>0.76500000000000001</v>
      </c>
      <c r="AI68" s="420">
        <v>12.1</v>
      </c>
      <c r="AJ68" s="421">
        <v>1.26</v>
      </c>
      <c r="AK68" s="74"/>
      <c r="AL68" s="74"/>
      <c r="AM68" s="74"/>
    </row>
    <row r="69" spans="1:39" x14ac:dyDescent="0.25">
      <c r="A69" s="69"/>
      <c r="B69" s="12"/>
      <c r="C69" s="12"/>
      <c r="D69" s="12"/>
      <c r="E69" s="12"/>
      <c r="F69" s="12"/>
      <c r="G69" s="12"/>
      <c r="H69" s="12"/>
      <c r="I69" s="12"/>
      <c r="N69" s="22"/>
      <c r="O69" s="77"/>
      <c r="P69" s="77"/>
      <c r="Q69" s="77"/>
      <c r="R69" s="77"/>
      <c r="S69" s="77"/>
      <c r="T69" s="77"/>
      <c r="U69" s="78"/>
      <c r="V69" s="10"/>
      <c r="W69" s="10"/>
      <c r="X69" s="10"/>
      <c r="Y69" s="10"/>
      <c r="Z69" s="74"/>
      <c r="AA69" s="74"/>
      <c r="AB69" s="74"/>
      <c r="AC69" s="74"/>
      <c r="AD69" s="74"/>
      <c r="AE69" s="418" t="s">
        <v>269</v>
      </c>
      <c r="AF69" s="419">
        <v>53.6</v>
      </c>
      <c r="AG69" s="420">
        <v>36.299999999999997</v>
      </c>
      <c r="AH69" s="420">
        <v>0.72499999999999998</v>
      </c>
      <c r="AI69" s="420">
        <v>12.1</v>
      </c>
      <c r="AJ69" s="421">
        <v>1.18</v>
      </c>
      <c r="AK69" s="74"/>
      <c r="AL69" s="74"/>
      <c r="AM69" s="74"/>
    </row>
    <row r="70" spans="1:39" x14ac:dyDescent="0.25">
      <c r="A70" s="36"/>
      <c r="B70" s="12"/>
      <c r="C70" s="12"/>
      <c r="D70" s="5"/>
      <c r="E70" s="12"/>
      <c r="F70" s="12"/>
      <c r="G70" s="12"/>
      <c r="H70" s="12"/>
      <c r="I70" s="12"/>
      <c r="N70" s="22"/>
      <c r="O70" s="77"/>
      <c r="P70" s="77"/>
      <c r="Q70" s="77"/>
      <c r="R70" s="77"/>
      <c r="S70" s="77"/>
      <c r="T70" s="77"/>
      <c r="U70" s="78"/>
      <c r="V70" s="10"/>
      <c r="W70" s="10"/>
      <c r="X70" s="10"/>
      <c r="Y70" s="10"/>
      <c r="Z70" s="74"/>
      <c r="AA70" s="74"/>
      <c r="AB70" s="74"/>
      <c r="AC70" s="74"/>
      <c r="AD70" s="74"/>
      <c r="AE70" s="418" t="s">
        <v>268</v>
      </c>
      <c r="AF70" s="419">
        <v>50.1</v>
      </c>
      <c r="AG70" s="420">
        <v>36.200000000000003</v>
      </c>
      <c r="AH70" s="420">
        <v>0.68</v>
      </c>
      <c r="AI70" s="420">
        <v>12</v>
      </c>
      <c r="AJ70" s="421">
        <v>1.1000000000000001</v>
      </c>
      <c r="AK70" s="74"/>
      <c r="AL70" s="74"/>
      <c r="AM70" s="74"/>
    </row>
    <row r="71" spans="1:39" x14ac:dyDescent="0.25">
      <c r="A71" s="12"/>
      <c r="B71" s="12"/>
      <c r="C71" s="12"/>
      <c r="D71" s="12"/>
      <c r="E71" s="12"/>
      <c r="F71" s="12"/>
      <c r="G71" s="12"/>
      <c r="H71" s="12"/>
      <c r="I71" s="12"/>
      <c r="N71" s="22"/>
      <c r="O71" s="77"/>
      <c r="P71" s="77"/>
      <c r="Q71" s="77"/>
      <c r="R71" s="77"/>
      <c r="S71" s="77"/>
      <c r="T71" s="77"/>
      <c r="U71" s="78"/>
      <c r="V71" s="10"/>
      <c r="W71" s="10"/>
      <c r="X71" s="10"/>
      <c r="Y71" s="10"/>
      <c r="Z71" s="74"/>
      <c r="AA71" s="74"/>
      <c r="AB71" s="74"/>
      <c r="AC71" s="74"/>
      <c r="AD71" s="74"/>
      <c r="AE71" s="418" t="s">
        <v>267</v>
      </c>
      <c r="AF71" s="419">
        <v>47</v>
      </c>
      <c r="AG71" s="420">
        <v>36</v>
      </c>
      <c r="AH71" s="420">
        <v>0.65</v>
      </c>
      <c r="AI71" s="420">
        <v>12</v>
      </c>
      <c r="AJ71" s="421">
        <v>1.02</v>
      </c>
      <c r="AK71" s="74"/>
      <c r="AL71" s="74"/>
      <c r="AM71" s="74"/>
    </row>
    <row r="72" spans="1:39" x14ac:dyDescent="0.25">
      <c r="A72" s="12"/>
      <c r="B72" s="12"/>
      <c r="C72" s="12"/>
      <c r="D72" s="12"/>
      <c r="E72" s="12"/>
      <c r="F72" s="12"/>
      <c r="G72" s="12"/>
      <c r="H72" s="12"/>
      <c r="I72" s="12"/>
      <c r="N72" s="22"/>
      <c r="O72" s="77"/>
      <c r="P72" s="77"/>
      <c r="Q72" s="77"/>
      <c r="R72" s="77"/>
      <c r="S72" s="77"/>
      <c r="T72" s="77"/>
      <c r="U72" s="78"/>
      <c r="V72" s="10"/>
      <c r="W72" s="10"/>
      <c r="X72" s="10"/>
      <c r="Y72" s="10"/>
      <c r="Z72" s="74"/>
      <c r="AA72" s="74"/>
      <c r="AB72" s="74"/>
      <c r="AC72" s="74"/>
      <c r="AD72" s="74"/>
      <c r="AE72" s="418" t="s">
        <v>147</v>
      </c>
      <c r="AF72" s="419">
        <v>44.2</v>
      </c>
      <c r="AG72" s="420">
        <v>35.9</v>
      </c>
      <c r="AH72" s="420">
        <v>0.625</v>
      </c>
      <c r="AI72" s="420">
        <v>12</v>
      </c>
      <c r="AJ72" s="421">
        <v>0.94</v>
      </c>
      <c r="AK72" s="74"/>
      <c r="AL72" s="74"/>
      <c r="AM72" s="74"/>
    </row>
    <row r="73" spans="1:39" x14ac:dyDescent="0.25">
      <c r="A73" s="12"/>
      <c r="B73" s="12"/>
      <c r="C73" s="12"/>
      <c r="D73" s="12"/>
      <c r="E73" s="12"/>
      <c r="F73" s="12"/>
      <c r="G73" s="12"/>
      <c r="H73" s="12"/>
      <c r="I73" s="12"/>
      <c r="N73" s="22"/>
      <c r="O73" s="77"/>
      <c r="P73" s="77"/>
      <c r="Q73" s="77"/>
      <c r="R73" s="77"/>
      <c r="S73" s="77"/>
      <c r="T73" s="77"/>
      <c r="U73" s="78"/>
      <c r="V73" s="10"/>
      <c r="W73" s="10"/>
      <c r="X73" s="10"/>
      <c r="Y73" s="10"/>
      <c r="Z73" s="74"/>
      <c r="AA73" s="74"/>
      <c r="AB73" s="74"/>
      <c r="AC73" s="74"/>
      <c r="AD73" s="74"/>
      <c r="AE73" s="418" t="s">
        <v>146</v>
      </c>
      <c r="AF73" s="419">
        <v>39.700000000000003</v>
      </c>
      <c r="AG73" s="420">
        <v>35.6</v>
      </c>
      <c r="AH73" s="420">
        <v>0.6</v>
      </c>
      <c r="AI73" s="420">
        <v>12</v>
      </c>
      <c r="AJ73" s="421">
        <v>0.79</v>
      </c>
      <c r="AK73" s="74"/>
      <c r="AL73" s="74"/>
      <c r="AM73" s="74"/>
    </row>
    <row r="74" spans="1:39" x14ac:dyDescent="0.25">
      <c r="A74" s="12"/>
      <c r="B74" s="12"/>
      <c r="C74" s="12"/>
      <c r="D74" s="12"/>
      <c r="E74" s="12"/>
      <c r="F74" s="12"/>
      <c r="G74" s="12"/>
      <c r="H74" s="12"/>
      <c r="I74" s="12"/>
      <c r="N74" s="22"/>
      <c r="O74" s="77"/>
      <c r="P74" s="77"/>
      <c r="Q74" s="77"/>
      <c r="R74" s="77"/>
      <c r="S74" s="77"/>
      <c r="T74" s="77"/>
      <c r="U74" s="78"/>
      <c r="V74" s="10"/>
      <c r="W74" s="10"/>
      <c r="X74" s="10"/>
      <c r="Y74" s="10"/>
      <c r="Z74" s="74"/>
      <c r="AA74" s="74"/>
      <c r="AB74" s="74"/>
      <c r="AC74" s="74"/>
      <c r="AD74" s="74"/>
      <c r="AE74" s="418" t="s">
        <v>145</v>
      </c>
      <c r="AF74" s="419">
        <v>181</v>
      </c>
      <c r="AG74" s="420">
        <v>38.47</v>
      </c>
      <c r="AH74" s="420">
        <v>1.97</v>
      </c>
      <c r="AI74" s="420">
        <v>16.91</v>
      </c>
      <c r="AJ74" s="421">
        <v>3.54</v>
      </c>
      <c r="AK74" s="74"/>
      <c r="AL74" s="74"/>
      <c r="AM74" s="74"/>
    </row>
    <row r="75" spans="1:39" x14ac:dyDescent="0.25">
      <c r="A75" s="12"/>
      <c r="B75" s="12"/>
      <c r="C75" s="12"/>
      <c r="D75" s="12"/>
      <c r="E75" s="12"/>
      <c r="F75" s="12"/>
      <c r="G75" s="12"/>
      <c r="H75" s="12"/>
      <c r="I75" s="12"/>
      <c r="N75" s="22"/>
      <c r="O75" s="77"/>
      <c r="P75" s="77"/>
      <c r="Q75" s="77"/>
      <c r="R75" s="77"/>
      <c r="S75" s="77"/>
      <c r="T75" s="77"/>
      <c r="U75" s="78"/>
      <c r="V75" s="10"/>
      <c r="W75" s="10"/>
      <c r="X75" s="10"/>
      <c r="Y75" s="10"/>
      <c r="Z75" s="74"/>
      <c r="AA75" s="74"/>
      <c r="AB75" s="74"/>
      <c r="AC75" s="74"/>
      <c r="AD75" s="74"/>
      <c r="AE75" s="418" t="s">
        <v>144</v>
      </c>
      <c r="AF75" s="419">
        <v>166</v>
      </c>
      <c r="AG75" s="420">
        <v>37.909999999999997</v>
      </c>
      <c r="AH75" s="420">
        <v>1.81</v>
      </c>
      <c r="AI75" s="420">
        <v>16.75</v>
      </c>
      <c r="AJ75" s="421">
        <v>3.27</v>
      </c>
      <c r="AK75" s="74"/>
      <c r="AL75" s="74"/>
      <c r="AM75" s="74"/>
    </row>
    <row r="76" spans="1:39" x14ac:dyDescent="0.25">
      <c r="A76" s="12"/>
      <c r="B76" s="12"/>
      <c r="C76" s="12"/>
      <c r="D76" s="12"/>
      <c r="E76" s="12"/>
      <c r="F76" s="12"/>
      <c r="G76" s="12"/>
      <c r="H76" s="12"/>
      <c r="I76" s="12"/>
      <c r="N76" s="22"/>
      <c r="O76" s="77"/>
      <c r="P76" s="77"/>
      <c r="Q76" s="77"/>
      <c r="R76" s="77"/>
      <c r="S76" s="77"/>
      <c r="T76" s="77"/>
      <c r="U76" s="78"/>
      <c r="V76" s="10"/>
      <c r="W76" s="10"/>
      <c r="X76" s="10"/>
      <c r="Y76" s="10"/>
      <c r="Z76" s="74"/>
      <c r="AA76" s="74"/>
      <c r="AB76" s="74"/>
      <c r="AC76" s="74"/>
      <c r="AD76" s="74"/>
      <c r="AE76" s="418" t="s">
        <v>143</v>
      </c>
      <c r="AF76" s="419">
        <v>151</v>
      </c>
      <c r="AG76" s="420">
        <v>37.36</v>
      </c>
      <c r="AH76" s="420">
        <v>1.65</v>
      </c>
      <c r="AI76" s="420">
        <v>16.59</v>
      </c>
      <c r="AJ76" s="421">
        <v>2.99</v>
      </c>
      <c r="AK76" s="74"/>
      <c r="AL76" s="74"/>
      <c r="AM76" s="74"/>
    </row>
    <row r="77" spans="1:39" x14ac:dyDescent="0.25">
      <c r="A77" s="12"/>
      <c r="B77" s="12"/>
      <c r="C77" s="12"/>
      <c r="D77" s="12"/>
      <c r="E77" s="12"/>
      <c r="F77" s="12"/>
      <c r="G77" s="12"/>
      <c r="H77" s="12"/>
      <c r="I77" s="12"/>
      <c r="N77" s="22"/>
      <c r="O77" s="77"/>
      <c r="P77" s="77"/>
      <c r="Q77" s="77"/>
      <c r="R77" s="77"/>
      <c r="S77" s="77"/>
      <c r="T77" s="77"/>
      <c r="U77" s="78"/>
      <c r="V77" s="10"/>
      <c r="W77" s="10"/>
      <c r="X77" s="10"/>
      <c r="Y77" s="10"/>
      <c r="Z77" s="74"/>
      <c r="AA77" s="74"/>
      <c r="AB77" s="74"/>
      <c r="AC77" s="74"/>
      <c r="AD77" s="74"/>
      <c r="AE77" s="418" t="s">
        <v>189</v>
      </c>
      <c r="AF77" s="419">
        <v>137</v>
      </c>
      <c r="AG77" s="420">
        <v>36.81</v>
      </c>
      <c r="AH77" s="420">
        <v>1.52</v>
      </c>
      <c r="AI77" s="422">
        <v>16.454999999999998</v>
      </c>
      <c r="AJ77" s="421">
        <v>2.72</v>
      </c>
      <c r="AK77" s="74"/>
      <c r="AL77" s="74"/>
      <c r="AM77" s="74"/>
    </row>
    <row r="78" spans="1:39" x14ac:dyDescent="0.25">
      <c r="A78" s="12"/>
      <c r="B78" s="12"/>
      <c r="C78" s="12"/>
      <c r="D78" s="12"/>
      <c r="E78" s="12"/>
      <c r="F78" s="12"/>
      <c r="G78" s="12"/>
      <c r="H78" s="12"/>
      <c r="I78" s="12"/>
      <c r="N78" s="22"/>
      <c r="O78" s="77"/>
      <c r="P78" s="77"/>
      <c r="Q78" s="77"/>
      <c r="R78" s="77"/>
      <c r="S78" s="77"/>
      <c r="T78" s="77"/>
      <c r="U78" s="78"/>
      <c r="V78" s="10"/>
      <c r="W78" s="10"/>
      <c r="X78" s="10"/>
      <c r="Y78" s="10"/>
      <c r="Z78" s="74"/>
      <c r="AA78" s="74"/>
      <c r="AB78" s="74"/>
      <c r="AC78" s="74"/>
      <c r="AD78" s="74"/>
      <c r="AE78" s="418" t="s">
        <v>188</v>
      </c>
      <c r="AF78" s="419">
        <v>124</v>
      </c>
      <c r="AG78" s="420">
        <v>36.340000000000003</v>
      </c>
      <c r="AH78" s="420">
        <v>1.38</v>
      </c>
      <c r="AI78" s="422">
        <v>16.315000000000001</v>
      </c>
      <c r="AJ78" s="421">
        <v>2.48</v>
      </c>
      <c r="AK78" s="74"/>
      <c r="AL78" s="74"/>
      <c r="AM78" s="74"/>
    </row>
    <row r="79" spans="1:39" x14ac:dyDescent="0.25">
      <c r="A79" s="12"/>
      <c r="B79" s="12"/>
      <c r="C79" s="12"/>
      <c r="D79" s="12"/>
      <c r="E79" s="12"/>
      <c r="F79" s="12"/>
      <c r="G79" s="12"/>
      <c r="H79" s="12"/>
      <c r="I79" s="12"/>
      <c r="N79" s="22"/>
      <c r="O79" s="77"/>
      <c r="P79" s="77"/>
      <c r="Q79" s="77"/>
      <c r="R79" s="77"/>
      <c r="S79" s="77"/>
      <c r="T79" s="77"/>
      <c r="U79" s="78"/>
      <c r="V79" s="10"/>
      <c r="W79" s="10"/>
      <c r="X79" s="10"/>
      <c r="Y79" s="10"/>
      <c r="Z79" s="74"/>
      <c r="AA79" s="74"/>
      <c r="AB79" s="74"/>
      <c r="AC79" s="74"/>
      <c r="AD79" s="74"/>
      <c r="AE79" s="418" t="s">
        <v>187</v>
      </c>
      <c r="AF79" s="419">
        <v>114</v>
      </c>
      <c r="AG79" s="420">
        <v>36</v>
      </c>
      <c r="AH79" s="420">
        <v>1.26</v>
      </c>
      <c r="AI79" s="420">
        <v>16.2</v>
      </c>
      <c r="AJ79" s="421">
        <v>2.2799999999999998</v>
      </c>
      <c r="AK79" s="74"/>
      <c r="AL79" s="74"/>
      <c r="AM79" s="74"/>
    </row>
    <row r="80" spans="1:39" x14ac:dyDescent="0.25">
      <c r="A80" s="12"/>
      <c r="B80" s="12"/>
      <c r="C80" s="12"/>
      <c r="D80" s="12"/>
      <c r="E80" s="12"/>
      <c r="F80" s="12"/>
      <c r="G80" s="12"/>
      <c r="H80" s="12"/>
      <c r="I80" s="12"/>
      <c r="N80" s="22"/>
      <c r="O80" s="77"/>
      <c r="P80" s="77"/>
      <c r="Q80" s="77"/>
      <c r="R80" s="77"/>
      <c r="S80" s="77"/>
      <c r="T80" s="77"/>
      <c r="U80" s="78"/>
      <c r="V80" s="10"/>
      <c r="W80" s="10"/>
      <c r="X80" s="10"/>
      <c r="Y80" s="10"/>
      <c r="Z80" s="74"/>
      <c r="AA80" s="74"/>
      <c r="AB80" s="74"/>
      <c r="AC80" s="74"/>
      <c r="AD80" s="74"/>
      <c r="AE80" s="418" t="s">
        <v>186</v>
      </c>
      <c r="AF80" s="419">
        <v>104</v>
      </c>
      <c r="AG80" s="420">
        <v>35.6</v>
      </c>
      <c r="AH80" s="420">
        <v>1.1599999999999999</v>
      </c>
      <c r="AI80" s="420">
        <v>16.100000000000001</v>
      </c>
      <c r="AJ80" s="421">
        <v>2.09</v>
      </c>
      <c r="AK80" s="74"/>
      <c r="AL80" s="74"/>
      <c r="AM80" s="74"/>
    </row>
    <row r="81" spans="1:39" x14ac:dyDescent="0.25">
      <c r="A81" s="12"/>
      <c r="B81" s="12"/>
      <c r="C81" s="12"/>
      <c r="D81" s="12"/>
      <c r="E81" s="12"/>
      <c r="F81" s="12"/>
      <c r="G81" s="12"/>
      <c r="H81" s="12"/>
      <c r="I81" s="12"/>
      <c r="N81" s="22"/>
      <c r="O81" s="77"/>
      <c r="P81" s="77"/>
      <c r="Q81" s="77"/>
      <c r="R81" s="77"/>
      <c r="S81" s="77"/>
      <c r="T81" s="77"/>
      <c r="U81" s="78"/>
      <c r="V81" s="10"/>
      <c r="W81" s="10"/>
      <c r="X81" s="10"/>
      <c r="Y81" s="10"/>
      <c r="Z81" s="74"/>
      <c r="AA81" s="74"/>
      <c r="AB81" s="74"/>
      <c r="AC81" s="74"/>
      <c r="AD81" s="74"/>
      <c r="AE81" s="418" t="s">
        <v>185</v>
      </c>
      <c r="AF81" s="419">
        <v>93.6</v>
      </c>
      <c r="AG81" s="420">
        <v>35.200000000000003</v>
      </c>
      <c r="AH81" s="420">
        <v>1.04</v>
      </c>
      <c r="AI81" s="420">
        <v>16</v>
      </c>
      <c r="AJ81" s="421">
        <v>1.89</v>
      </c>
      <c r="AK81" s="74"/>
      <c r="AL81" s="74"/>
      <c r="AM81" s="74"/>
    </row>
    <row r="82" spans="1:39" x14ac:dyDescent="0.25">
      <c r="A82" s="12"/>
      <c r="B82" s="12"/>
      <c r="C82" s="12"/>
      <c r="D82" s="12"/>
      <c r="E82" s="12"/>
      <c r="F82" s="12"/>
      <c r="G82" s="12"/>
      <c r="H82" s="12"/>
      <c r="I82" s="12"/>
      <c r="N82" s="22"/>
      <c r="O82" s="77"/>
      <c r="P82" s="77"/>
      <c r="Q82" s="77"/>
      <c r="R82" s="77"/>
      <c r="S82" s="77"/>
      <c r="T82" s="77"/>
      <c r="U82" s="78"/>
      <c r="V82" s="10"/>
      <c r="W82" s="10"/>
      <c r="X82" s="10"/>
      <c r="Y82" s="10"/>
      <c r="Z82" s="74"/>
      <c r="AA82" s="74"/>
      <c r="AB82" s="74"/>
      <c r="AC82" s="74"/>
      <c r="AD82" s="74"/>
      <c r="AE82" s="418" t="s">
        <v>150</v>
      </c>
      <c r="AF82" s="419">
        <v>85.7</v>
      </c>
      <c r="AG82" s="420">
        <v>34.799999999999997</v>
      </c>
      <c r="AH82" s="420">
        <v>0.96</v>
      </c>
      <c r="AI82" s="420">
        <v>15.9</v>
      </c>
      <c r="AJ82" s="421">
        <v>1.73</v>
      </c>
      <c r="AK82" s="74"/>
      <c r="AL82" s="74"/>
      <c r="AM82" s="74"/>
    </row>
    <row r="83" spans="1:39" x14ac:dyDescent="0.25">
      <c r="A83" s="12"/>
      <c r="B83" s="12"/>
      <c r="C83" s="12"/>
      <c r="D83" s="12"/>
      <c r="E83" s="12"/>
      <c r="F83" s="12"/>
      <c r="G83" s="12"/>
      <c r="H83" s="12"/>
      <c r="I83" s="12"/>
      <c r="N83" s="22"/>
      <c r="O83" s="77"/>
      <c r="P83" s="77"/>
      <c r="Q83" s="77"/>
      <c r="R83" s="77"/>
      <c r="S83" s="77"/>
      <c r="T83" s="77"/>
      <c r="U83" s="78"/>
      <c r="V83" s="10"/>
      <c r="W83" s="10"/>
      <c r="X83" s="10"/>
      <c r="Y83" s="10"/>
      <c r="Z83" s="74"/>
      <c r="AA83" s="74"/>
      <c r="AB83" s="74"/>
      <c r="AC83" s="74"/>
      <c r="AD83" s="74"/>
      <c r="AE83" s="418" t="s">
        <v>440</v>
      </c>
      <c r="AF83" s="419">
        <v>77.5</v>
      </c>
      <c r="AG83" s="420">
        <v>34.5</v>
      </c>
      <c r="AH83" s="420">
        <v>0.87</v>
      </c>
      <c r="AI83" s="420">
        <v>15.8</v>
      </c>
      <c r="AJ83" s="421">
        <v>1.57</v>
      </c>
      <c r="AK83" s="74"/>
      <c r="AL83" s="74"/>
      <c r="AM83" s="74"/>
    </row>
    <row r="84" spans="1:39" x14ac:dyDescent="0.25">
      <c r="A84" s="12"/>
      <c r="B84" s="12"/>
      <c r="C84" s="12"/>
      <c r="D84" s="12"/>
      <c r="E84" s="12"/>
      <c r="F84" s="12"/>
      <c r="G84" s="12"/>
      <c r="H84" s="12"/>
      <c r="I84" s="12"/>
      <c r="N84" s="22"/>
      <c r="O84" s="77"/>
      <c r="P84" s="77"/>
      <c r="Q84" s="77"/>
      <c r="R84" s="77"/>
      <c r="S84" s="77"/>
      <c r="T84" s="77"/>
      <c r="U84" s="78"/>
      <c r="V84" s="10"/>
      <c r="W84" s="10"/>
      <c r="X84" s="10"/>
      <c r="Y84" s="10"/>
      <c r="Z84" s="74"/>
      <c r="AA84" s="74"/>
      <c r="AB84" s="74"/>
      <c r="AC84" s="74"/>
      <c r="AD84" s="74"/>
      <c r="AE84" s="418" t="s">
        <v>439</v>
      </c>
      <c r="AF84" s="419">
        <v>71</v>
      </c>
      <c r="AG84" s="420">
        <v>34.200000000000003</v>
      </c>
      <c r="AH84" s="420">
        <v>0.83</v>
      </c>
      <c r="AI84" s="420">
        <v>15.9</v>
      </c>
      <c r="AJ84" s="421">
        <v>1.4</v>
      </c>
      <c r="AK84" s="74"/>
      <c r="AL84" s="74"/>
      <c r="AM84" s="74"/>
    </row>
    <row r="85" spans="1:39" x14ac:dyDescent="0.25">
      <c r="A85" s="12"/>
      <c r="B85" s="12"/>
      <c r="C85" s="12"/>
      <c r="D85" s="12"/>
      <c r="E85" s="12"/>
      <c r="F85" s="12"/>
      <c r="G85" s="12"/>
      <c r="H85" s="12"/>
      <c r="I85" s="12"/>
      <c r="N85" s="22"/>
      <c r="O85" s="77"/>
      <c r="P85" s="77"/>
      <c r="Q85" s="77"/>
      <c r="R85" s="77"/>
      <c r="S85" s="77"/>
      <c r="T85" s="77"/>
      <c r="U85" s="78"/>
      <c r="V85" s="10"/>
      <c r="W85" s="10"/>
      <c r="X85" s="10"/>
      <c r="Y85" s="10"/>
      <c r="Z85" s="74"/>
      <c r="AA85" s="74"/>
      <c r="AB85" s="74"/>
      <c r="AC85" s="74"/>
      <c r="AD85" s="74"/>
      <c r="AE85" s="418" t="s">
        <v>339</v>
      </c>
      <c r="AF85" s="419">
        <v>65.2</v>
      </c>
      <c r="AG85" s="420">
        <v>33.9</v>
      </c>
      <c r="AH85" s="420">
        <v>0.77500000000000002</v>
      </c>
      <c r="AI85" s="420">
        <v>15.8</v>
      </c>
      <c r="AJ85" s="421">
        <v>1.27</v>
      </c>
      <c r="AK85" s="74"/>
      <c r="AL85" s="74"/>
      <c r="AM85" s="74"/>
    </row>
    <row r="86" spans="1:39" x14ac:dyDescent="0.25">
      <c r="A86" s="12"/>
      <c r="B86" s="12"/>
      <c r="C86" s="12"/>
      <c r="D86" s="12"/>
      <c r="E86" s="12"/>
      <c r="F86" s="12"/>
      <c r="G86" s="12"/>
      <c r="H86" s="12"/>
      <c r="I86" s="12"/>
      <c r="N86" s="22"/>
      <c r="O86" s="77"/>
      <c r="P86" s="77"/>
      <c r="Q86" s="77"/>
      <c r="R86" s="77"/>
      <c r="S86" s="77"/>
      <c r="T86" s="77"/>
      <c r="U86" s="78"/>
      <c r="V86" s="10"/>
      <c r="W86" s="10"/>
      <c r="X86" s="10"/>
      <c r="Y86" s="10"/>
      <c r="Z86" s="74"/>
      <c r="AA86" s="74"/>
      <c r="AB86" s="74"/>
      <c r="AC86" s="74"/>
      <c r="AD86" s="74"/>
      <c r="AE86" s="418" t="s">
        <v>338</v>
      </c>
      <c r="AF86" s="419">
        <v>59.2</v>
      </c>
      <c r="AG86" s="420">
        <v>33.700000000000003</v>
      </c>
      <c r="AH86" s="420">
        <v>0.71499999999999997</v>
      </c>
      <c r="AI86" s="420">
        <v>15.7</v>
      </c>
      <c r="AJ86" s="421">
        <v>1.1499999999999999</v>
      </c>
      <c r="AK86" s="74"/>
      <c r="AL86" s="74"/>
      <c r="AM86" s="74"/>
    </row>
    <row r="87" spans="1:39" x14ac:dyDescent="0.25">
      <c r="A87" s="12"/>
      <c r="B87" s="12"/>
      <c r="C87" s="12"/>
      <c r="D87" s="12"/>
      <c r="E87" s="12"/>
      <c r="F87" s="12"/>
      <c r="G87" s="12"/>
      <c r="H87" s="12"/>
      <c r="I87" s="12"/>
      <c r="N87" s="22"/>
      <c r="O87" s="77"/>
      <c r="P87" s="77"/>
      <c r="Q87" s="77"/>
      <c r="R87" s="77"/>
      <c r="S87" s="77"/>
      <c r="T87" s="77"/>
      <c r="U87" s="78"/>
      <c r="V87" s="10"/>
      <c r="W87" s="10"/>
      <c r="X87" s="10"/>
      <c r="Y87" s="10"/>
      <c r="Z87" s="74"/>
      <c r="AA87" s="74"/>
      <c r="AB87" s="74"/>
      <c r="AC87" s="74"/>
      <c r="AD87" s="74"/>
      <c r="AE87" s="418" t="s">
        <v>4</v>
      </c>
      <c r="AF87" s="419">
        <v>49.5</v>
      </c>
      <c r="AG87" s="420">
        <v>33.799999999999997</v>
      </c>
      <c r="AH87" s="420">
        <v>0.67</v>
      </c>
      <c r="AI87" s="420">
        <v>11.5</v>
      </c>
      <c r="AJ87" s="421">
        <v>1.22</v>
      </c>
      <c r="AK87" s="74"/>
      <c r="AL87" s="74"/>
      <c r="AM87" s="74"/>
    </row>
    <row r="88" spans="1:39" x14ac:dyDescent="0.25">
      <c r="A88" s="12"/>
      <c r="B88" s="12"/>
      <c r="C88" s="12"/>
      <c r="D88" s="12"/>
      <c r="E88" s="12"/>
      <c r="F88" s="12"/>
      <c r="G88" s="12"/>
      <c r="H88" s="12"/>
      <c r="I88" s="12"/>
      <c r="N88" s="22"/>
      <c r="O88" s="77"/>
      <c r="P88" s="77"/>
      <c r="Q88" s="77"/>
      <c r="R88" s="77"/>
      <c r="S88" s="77"/>
      <c r="T88" s="77"/>
      <c r="U88" s="78"/>
      <c r="V88" s="10"/>
      <c r="W88" s="10"/>
      <c r="X88" s="10"/>
      <c r="Y88" s="10"/>
      <c r="Z88" s="74"/>
      <c r="AA88" s="74"/>
      <c r="AB88" s="74"/>
      <c r="AC88" s="74"/>
      <c r="AD88" s="74"/>
      <c r="AE88" s="418" t="s">
        <v>229</v>
      </c>
      <c r="AF88" s="419">
        <v>44.8</v>
      </c>
      <c r="AG88" s="420">
        <v>33.5</v>
      </c>
      <c r="AH88" s="420">
        <v>0.63500000000000001</v>
      </c>
      <c r="AI88" s="420">
        <v>11.6</v>
      </c>
      <c r="AJ88" s="421">
        <v>1.06</v>
      </c>
      <c r="AK88" s="74"/>
      <c r="AL88" s="74"/>
      <c r="AM88" s="74"/>
    </row>
    <row r="89" spans="1:39" x14ac:dyDescent="0.25">
      <c r="A89" s="12"/>
      <c r="B89" s="12"/>
      <c r="C89" s="12"/>
      <c r="D89" s="12"/>
      <c r="E89" s="12"/>
      <c r="F89" s="12"/>
      <c r="G89" s="12"/>
      <c r="H89" s="12"/>
      <c r="I89" s="12"/>
      <c r="N89" s="22"/>
      <c r="O89" s="77"/>
      <c r="P89" s="77"/>
      <c r="Q89" s="77"/>
      <c r="R89" s="77"/>
      <c r="S89" s="77"/>
      <c r="T89" s="77"/>
      <c r="U89" s="78"/>
      <c r="V89" s="10"/>
      <c r="W89" s="10"/>
      <c r="X89" s="10"/>
      <c r="Y89" s="10"/>
      <c r="Z89" s="74"/>
      <c r="AA89" s="74"/>
      <c r="AB89" s="74"/>
      <c r="AC89" s="74"/>
      <c r="AD89" s="74"/>
      <c r="AE89" s="418" t="s">
        <v>228</v>
      </c>
      <c r="AF89" s="419">
        <v>41.6</v>
      </c>
      <c r="AG89" s="420">
        <v>33.299999999999997</v>
      </c>
      <c r="AH89" s="420">
        <v>0.60499999999999998</v>
      </c>
      <c r="AI89" s="420">
        <v>11.5</v>
      </c>
      <c r="AJ89" s="421">
        <v>0.96</v>
      </c>
      <c r="AK89" s="74"/>
      <c r="AL89" s="74"/>
      <c r="AM89" s="74"/>
    </row>
    <row r="90" spans="1:39" x14ac:dyDescent="0.25">
      <c r="A90" s="12"/>
      <c r="B90" s="12"/>
      <c r="C90" s="12"/>
      <c r="D90" s="12"/>
      <c r="E90" s="12"/>
      <c r="F90" s="12"/>
      <c r="G90" s="12"/>
      <c r="H90" s="12"/>
      <c r="I90" s="12"/>
      <c r="N90" s="22"/>
      <c r="O90" s="77"/>
      <c r="P90" s="77"/>
      <c r="Q90" s="77"/>
      <c r="R90" s="77"/>
      <c r="S90" s="77"/>
      <c r="T90" s="77"/>
      <c r="U90" s="78"/>
      <c r="V90" s="10"/>
      <c r="W90" s="10"/>
      <c r="X90" s="10"/>
      <c r="Y90" s="10"/>
      <c r="Z90" s="74"/>
      <c r="AA90" s="74"/>
      <c r="AB90" s="74"/>
      <c r="AC90" s="74"/>
      <c r="AD90" s="74"/>
      <c r="AE90" s="418" t="s">
        <v>227</v>
      </c>
      <c r="AF90" s="419">
        <v>38.299999999999997</v>
      </c>
      <c r="AG90" s="420">
        <v>33.1</v>
      </c>
      <c r="AH90" s="420">
        <v>0.57999999999999996</v>
      </c>
      <c r="AI90" s="420">
        <v>11.5</v>
      </c>
      <c r="AJ90" s="421">
        <v>0.85499999999999998</v>
      </c>
      <c r="AK90" s="74"/>
      <c r="AL90" s="74"/>
      <c r="AM90" s="74"/>
    </row>
    <row r="91" spans="1:39" x14ac:dyDescent="0.25">
      <c r="A91" s="12"/>
      <c r="B91" s="12"/>
      <c r="C91" s="12"/>
      <c r="D91" s="12"/>
      <c r="E91" s="12"/>
      <c r="F91" s="12"/>
      <c r="G91" s="12"/>
      <c r="H91" s="12"/>
      <c r="I91" s="12"/>
      <c r="N91" s="22"/>
      <c r="O91" s="77"/>
      <c r="P91" s="77"/>
      <c r="Q91" s="77"/>
      <c r="R91" s="77"/>
      <c r="S91" s="77"/>
      <c r="T91" s="77"/>
      <c r="U91" s="78"/>
      <c r="V91" s="10"/>
      <c r="W91" s="10"/>
      <c r="X91" s="10"/>
      <c r="Y91" s="10"/>
      <c r="Z91" s="74"/>
      <c r="AA91" s="74"/>
      <c r="AB91" s="74"/>
      <c r="AC91" s="74"/>
      <c r="AD91" s="74"/>
      <c r="AE91" s="418" t="s">
        <v>241</v>
      </c>
      <c r="AF91" s="419">
        <v>34.700000000000003</v>
      </c>
      <c r="AG91" s="420">
        <v>32.9</v>
      </c>
      <c r="AH91" s="420">
        <v>0.55000000000000004</v>
      </c>
      <c r="AI91" s="420">
        <v>11.5</v>
      </c>
      <c r="AJ91" s="421">
        <v>0.74</v>
      </c>
      <c r="AK91" s="74"/>
      <c r="AL91" s="74"/>
      <c r="AM91" s="74"/>
    </row>
    <row r="92" spans="1:39" x14ac:dyDescent="0.25">
      <c r="A92" s="12"/>
      <c r="B92" s="12"/>
      <c r="C92" s="12"/>
      <c r="D92" s="12"/>
      <c r="E92" s="12"/>
      <c r="F92" s="12"/>
      <c r="G92" s="12"/>
      <c r="H92" s="12"/>
      <c r="I92" s="12"/>
      <c r="N92" s="22"/>
      <c r="O92" s="77"/>
      <c r="P92" s="77"/>
      <c r="Q92" s="77"/>
      <c r="R92" s="77"/>
      <c r="S92" s="77"/>
      <c r="T92" s="77"/>
      <c r="U92" s="78"/>
      <c r="V92" s="10"/>
      <c r="W92" s="10"/>
      <c r="X92" s="10"/>
      <c r="Y92" s="10"/>
      <c r="Z92" s="74"/>
      <c r="AA92" s="74"/>
      <c r="AB92" s="74"/>
      <c r="AC92" s="74"/>
      <c r="AD92" s="74"/>
      <c r="AE92" s="418" t="s">
        <v>240</v>
      </c>
      <c r="AF92" s="419">
        <v>170</v>
      </c>
      <c r="AG92" s="420">
        <v>35.39</v>
      </c>
      <c r="AH92" s="420">
        <v>1.97</v>
      </c>
      <c r="AI92" s="420">
        <v>16.2</v>
      </c>
      <c r="AJ92" s="421">
        <v>3.54</v>
      </c>
      <c r="AK92" s="74"/>
      <c r="AL92" s="74"/>
      <c r="AM92" s="74"/>
    </row>
    <row r="93" spans="1:39" x14ac:dyDescent="0.25">
      <c r="A93" s="12"/>
      <c r="B93" s="12"/>
      <c r="C93" s="12"/>
      <c r="D93" s="12"/>
      <c r="E93" s="12"/>
      <c r="F93" s="12"/>
      <c r="G93" s="12"/>
      <c r="H93" s="12"/>
      <c r="I93" s="12"/>
      <c r="N93" s="22"/>
      <c r="O93" s="77"/>
      <c r="P93" s="77"/>
      <c r="Q93" s="77"/>
      <c r="R93" s="77"/>
      <c r="S93" s="77"/>
      <c r="T93" s="77"/>
      <c r="U93" s="78"/>
      <c r="V93" s="10"/>
      <c r="W93" s="10"/>
      <c r="X93" s="10"/>
      <c r="Y93" s="10"/>
      <c r="Z93" s="74"/>
      <c r="AA93" s="74"/>
      <c r="AB93" s="74"/>
      <c r="AC93" s="74"/>
      <c r="AD93" s="74"/>
      <c r="AE93" s="418" t="s">
        <v>239</v>
      </c>
      <c r="AF93" s="419">
        <v>154</v>
      </c>
      <c r="AG93" s="420">
        <v>34.76</v>
      </c>
      <c r="AH93" s="420">
        <v>1.79</v>
      </c>
      <c r="AI93" s="420">
        <v>16.02</v>
      </c>
      <c r="AJ93" s="421">
        <v>3.23</v>
      </c>
      <c r="AK93" s="74"/>
      <c r="AL93" s="74"/>
      <c r="AM93" s="74"/>
    </row>
    <row r="94" spans="1:39" x14ac:dyDescent="0.25">
      <c r="A94" s="12"/>
      <c r="B94" s="12"/>
      <c r="C94" s="12"/>
      <c r="D94" s="12"/>
      <c r="E94" s="12"/>
      <c r="F94" s="12"/>
      <c r="G94" s="12"/>
      <c r="H94" s="12"/>
      <c r="I94" s="12"/>
      <c r="N94" s="22"/>
      <c r="O94" s="77"/>
      <c r="P94" s="77"/>
      <c r="Q94" s="77"/>
      <c r="R94" s="77"/>
      <c r="S94" s="77"/>
      <c r="T94" s="77"/>
      <c r="U94" s="78"/>
      <c r="V94" s="10"/>
      <c r="W94" s="10"/>
      <c r="X94" s="10"/>
      <c r="Y94" s="10"/>
      <c r="Z94" s="74"/>
      <c r="AA94" s="74"/>
      <c r="AB94" s="74"/>
      <c r="AC94" s="74"/>
      <c r="AD94" s="74"/>
      <c r="AE94" s="418" t="s">
        <v>238</v>
      </c>
      <c r="AF94" s="419">
        <v>140</v>
      </c>
      <c r="AG94" s="420">
        <v>34.21</v>
      </c>
      <c r="AH94" s="420">
        <v>1.63</v>
      </c>
      <c r="AI94" s="422">
        <v>15.865</v>
      </c>
      <c r="AJ94" s="421">
        <v>2.95</v>
      </c>
      <c r="AK94" s="74"/>
      <c r="AL94" s="74"/>
      <c r="AM94" s="74"/>
    </row>
    <row r="95" spans="1:39" x14ac:dyDescent="0.25">
      <c r="A95" s="12"/>
      <c r="B95" s="12"/>
      <c r="C95" s="12"/>
      <c r="D95" s="12"/>
      <c r="E95" s="12"/>
      <c r="F95" s="12"/>
      <c r="G95" s="12"/>
      <c r="H95" s="12"/>
      <c r="I95" s="12"/>
      <c r="N95" s="22"/>
      <c r="O95" s="77"/>
      <c r="P95" s="77"/>
      <c r="Q95" s="77"/>
      <c r="R95" s="77"/>
      <c r="S95" s="77"/>
      <c r="T95" s="77"/>
      <c r="U95" s="78"/>
      <c r="V95" s="10"/>
      <c r="W95" s="10"/>
      <c r="X95" s="10"/>
      <c r="Y95" s="10"/>
      <c r="Z95" s="74"/>
      <c r="AA95" s="74"/>
      <c r="AB95" s="74"/>
      <c r="AC95" s="74"/>
      <c r="AD95" s="74"/>
      <c r="AE95" s="418" t="s">
        <v>180</v>
      </c>
      <c r="AF95" s="419">
        <v>127</v>
      </c>
      <c r="AG95" s="420">
        <v>33.659999999999997</v>
      </c>
      <c r="AH95" s="420">
        <v>1.5</v>
      </c>
      <c r="AI95" s="422">
        <v>15.725</v>
      </c>
      <c r="AJ95" s="421">
        <v>2.68</v>
      </c>
      <c r="AK95" s="74"/>
      <c r="AL95" s="74"/>
      <c r="AM95" s="74"/>
    </row>
    <row r="96" spans="1:39" x14ac:dyDescent="0.25">
      <c r="A96" s="12"/>
      <c r="B96" s="12"/>
      <c r="C96" s="12"/>
      <c r="D96" s="12"/>
      <c r="E96" s="12"/>
      <c r="F96" s="12"/>
      <c r="G96" s="12"/>
      <c r="H96" s="12"/>
      <c r="I96" s="62"/>
      <c r="N96" s="22"/>
      <c r="O96" s="77"/>
      <c r="P96" s="77"/>
      <c r="Q96" s="77"/>
      <c r="R96" s="77"/>
      <c r="S96" s="77"/>
      <c r="T96" s="77"/>
      <c r="U96" s="78"/>
      <c r="V96" s="10"/>
      <c r="W96" s="10"/>
      <c r="X96" s="10"/>
      <c r="Y96" s="10"/>
      <c r="Z96" s="74"/>
      <c r="AA96" s="74"/>
      <c r="AB96" s="74"/>
      <c r="AC96" s="74"/>
      <c r="AD96" s="74"/>
      <c r="AE96" s="418" t="s">
        <v>24</v>
      </c>
      <c r="AF96" s="419">
        <v>115</v>
      </c>
      <c r="AG96" s="420">
        <v>33.200000000000003</v>
      </c>
      <c r="AH96" s="420">
        <v>1.36</v>
      </c>
      <c r="AI96" s="420">
        <v>15.6</v>
      </c>
      <c r="AJ96" s="421">
        <v>2.44</v>
      </c>
      <c r="AK96" s="74"/>
      <c r="AL96" s="74"/>
      <c r="AM96" s="74"/>
    </row>
    <row r="97" spans="1:39" x14ac:dyDescent="0.25">
      <c r="A97" s="12"/>
      <c r="B97" s="12"/>
      <c r="C97" s="12"/>
      <c r="D97" s="12"/>
      <c r="E97" s="12"/>
      <c r="F97" s="12"/>
      <c r="G97" s="12"/>
      <c r="H97" s="62"/>
      <c r="I97" s="63"/>
      <c r="N97" s="22"/>
      <c r="O97" s="77"/>
      <c r="P97" s="77"/>
      <c r="Q97" s="77"/>
      <c r="R97" s="77"/>
      <c r="S97" s="77"/>
      <c r="T97" s="77"/>
      <c r="U97" s="78"/>
      <c r="V97" s="10"/>
      <c r="W97" s="10"/>
      <c r="X97" s="10"/>
      <c r="Y97" s="10"/>
      <c r="Z97" s="74"/>
      <c r="AA97" s="74"/>
      <c r="AB97" s="74"/>
      <c r="AC97" s="74"/>
      <c r="AD97" s="74"/>
      <c r="AE97" s="418" t="s">
        <v>23</v>
      </c>
      <c r="AF97" s="419">
        <v>105</v>
      </c>
      <c r="AG97" s="420">
        <v>32.799999999999997</v>
      </c>
      <c r="AH97" s="420">
        <v>1.24</v>
      </c>
      <c r="AI97" s="420">
        <v>15.5</v>
      </c>
      <c r="AJ97" s="421">
        <v>2.2400000000000002</v>
      </c>
      <c r="AK97" s="74"/>
      <c r="AL97" s="74"/>
      <c r="AM97" s="74"/>
    </row>
    <row r="98" spans="1:39" x14ac:dyDescent="0.25">
      <c r="A98" s="12"/>
      <c r="B98" s="12"/>
      <c r="C98" s="12"/>
      <c r="D98" s="12"/>
      <c r="E98" s="12"/>
      <c r="F98" s="12"/>
      <c r="G98" s="12"/>
      <c r="H98" s="62"/>
      <c r="I98" s="64"/>
      <c r="N98" s="22"/>
      <c r="O98" s="77"/>
      <c r="P98" s="77"/>
      <c r="Q98" s="77"/>
      <c r="R98" s="77"/>
      <c r="S98" s="77"/>
      <c r="T98" s="77"/>
      <c r="U98" s="78"/>
      <c r="V98" s="10"/>
      <c r="W98" s="10"/>
      <c r="X98" s="10"/>
      <c r="Y98" s="10"/>
      <c r="Z98" s="74"/>
      <c r="AA98" s="74"/>
      <c r="AB98" s="74"/>
      <c r="AC98" s="74"/>
      <c r="AD98" s="74"/>
      <c r="AE98" s="418" t="s">
        <v>22</v>
      </c>
      <c r="AF98" s="419">
        <v>95.8</v>
      </c>
      <c r="AG98" s="420">
        <v>32.4</v>
      </c>
      <c r="AH98" s="420">
        <v>1.1399999999999999</v>
      </c>
      <c r="AI98" s="420">
        <v>15.4</v>
      </c>
      <c r="AJ98" s="421">
        <v>2.0499999999999998</v>
      </c>
      <c r="AK98" s="74"/>
      <c r="AL98" s="74"/>
      <c r="AM98" s="74"/>
    </row>
    <row r="99" spans="1:39" x14ac:dyDescent="0.25">
      <c r="N99" s="22"/>
      <c r="O99" s="77"/>
      <c r="P99" s="77"/>
      <c r="Q99" s="77"/>
      <c r="R99" s="77"/>
      <c r="S99" s="77"/>
      <c r="T99" s="77"/>
      <c r="U99" s="78"/>
      <c r="V99" s="10"/>
      <c r="W99" s="10"/>
      <c r="X99" s="10"/>
      <c r="Y99" s="10"/>
      <c r="Z99" s="74"/>
      <c r="AA99" s="74"/>
      <c r="AB99" s="74"/>
      <c r="AC99" s="74"/>
      <c r="AD99" s="74"/>
      <c r="AE99" s="418" t="s">
        <v>242</v>
      </c>
      <c r="AF99" s="419">
        <v>85.9</v>
      </c>
      <c r="AG99" s="420">
        <v>32</v>
      </c>
      <c r="AH99" s="420">
        <v>1.02</v>
      </c>
      <c r="AI99" s="420">
        <v>15.3</v>
      </c>
      <c r="AJ99" s="421">
        <v>1.85</v>
      </c>
      <c r="AK99" s="74"/>
      <c r="AL99" s="74"/>
      <c r="AM99" s="74"/>
    </row>
    <row r="100" spans="1:39" x14ac:dyDescent="0.25">
      <c r="N100" s="22"/>
      <c r="O100" s="77"/>
      <c r="P100" s="77"/>
      <c r="Q100" s="77"/>
      <c r="R100" s="77"/>
      <c r="S100" s="77"/>
      <c r="T100" s="77"/>
      <c r="U100" s="78"/>
      <c r="V100" s="10"/>
      <c r="W100" s="10"/>
      <c r="X100" s="10"/>
      <c r="Y100" s="10"/>
      <c r="Z100" s="74"/>
      <c r="AA100" s="74"/>
      <c r="AB100" s="74"/>
      <c r="AC100" s="74"/>
      <c r="AD100" s="74"/>
      <c r="AE100" s="418" t="s">
        <v>19</v>
      </c>
      <c r="AF100" s="419">
        <v>76.900000000000006</v>
      </c>
      <c r="AG100" s="420">
        <v>31.6</v>
      </c>
      <c r="AH100" s="420">
        <v>0.93</v>
      </c>
      <c r="AI100" s="420">
        <v>15.2</v>
      </c>
      <c r="AJ100" s="421">
        <v>1.65</v>
      </c>
      <c r="AK100" s="74"/>
      <c r="AL100" s="74"/>
      <c r="AM100" s="74"/>
    </row>
    <row r="101" spans="1:39" x14ac:dyDescent="0.25">
      <c r="N101" s="22"/>
      <c r="O101" s="77"/>
      <c r="P101" s="77"/>
      <c r="Q101" s="77"/>
      <c r="R101" s="77"/>
      <c r="S101" s="77"/>
      <c r="T101" s="77"/>
      <c r="U101" s="78"/>
      <c r="V101" s="10"/>
      <c r="W101" s="10"/>
      <c r="X101" s="10"/>
      <c r="Y101" s="10"/>
      <c r="Z101" s="74"/>
      <c r="AA101" s="74"/>
      <c r="AB101" s="74"/>
      <c r="AC101" s="74"/>
      <c r="AD101" s="74"/>
      <c r="AE101" s="418" t="s">
        <v>18</v>
      </c>
      <c r="AF101" s="419">
        <v>69.2</v>
      </c>
      <c r="AG101" s="420">
        <v>31.3</v>
      </c>
      <c r="AH101" s="420">
        <v>0.83</v>
      </c>
      <c r="AI101" s="420">
        <v>15.1</v>
      </c>
      <c r="AJ101" s="421">
        <v>1.5</v>
      </c>
      <c r="AK101" s="74"/>
      <c r="AL101" s="74"/>
      <c r="AM101" s="74"/>
    </row>
    <row r="102" spans="1:39" x14ac:dyDescent="0.25">
      <c r="N102" s="22"/>
      <c r="O102" s="77"/>
      <c r="P102" s="77"/>
      <c r="Q102" s="77"/>
      <c r="R102" s="77"/>
      <c r="S102" s="77"/>
      <c r="T102" s="77"/>
      <c r="U102" s="78"/>
      <c r="V102" s="10"/>
      <c r="W102" s="10"/>
      <c r="X102" s="10"/>
      <c r="Y102" s="10"/>
      <c r="Z102" s="74"/>
      <c r="AA102" s="74"/>
      <c r="AB102" s="74"/>
      <c r="AC102" s="74"/>
      <c r="AD102" s="74"/>
      <c r="AE102" s="418" t="s">
        <v>249</v>
      </c>
      <c r="AF102" s="419">
        <v>62.2</v>
      </c>
      <c r="AG102" s="420">
        <v>30.9</v>
      </c>
      <c r="AH102" s="420">
        <v>0.77500000000000002</v>
      </c>
      <c r="AI102" s="420">
        <v>15.1</v>
      </c>
      <c r="AJ102" s="421">
        <v>1.32</v>
      </c>
      <c r="AK102" s="74"/>
      <c r="AL102" s="74"/>
      <c r="AM102" s="74"/>
    </row>
    <row r="103" spans="1:39" x14ac:dyDescent="0.25">
      <c r="N103" s="22"/>
      <c r="O103" s="77"/>
      <c r="P103" s="77"/>
      <c r="Q103" s="77"/>
      <c r="R103" s="77"/>
      <c r="S103" s="77"/>
      <c r="T103" s="77"/>
      <c r="U103" s="78"/>
      <c r="V103" s="10"/>
      <c r="W103" s="10"/>
      <c r="X103" s="10"/>
      <c r="Y103" s="10"/>
      <c r="Z103" s="74"/>
      <c r="AA103" s="74"/>
      <c r="AB103" s="74"/>
      <c r="AC103" s="74"/>
      <c r="AD103" s="74"/>
      <c r="AE103" s="418" t="s">
        <v>220</v>
      </c>
      <c r="AF103" s="419">
        <v>56.3</v>
      </c>
      <c r="AG103" s="420">
        <v>30.7</v>
      </c>
      <c r="AH103" s="420">
        <v>0.71</v>
      </c>
      <c r="AI103" s="420">
        <v>15</v>
      </c>
      <c r="AJ103" s="421">
        <v>1.19</v>
      </c>
      <c r="AK103" s="74"/>
      <c r="AL103" s="74"/>
      <c r="AM103" s="74"/>
    </row>
    <row r="104" spans="1:39" x14ac:dyDescent="0.25">
      <c r="N104" s="22"/>
      <c r="O104" s="77"/>
      <c r="P104" s="77"/>
      <c r="Q104" s="77"/>
      <c r="R104" s="77"/>
      <c r="S104" s="77"/>
      <c r="T104" s="77"/>
      <c r="U104" s="78"/>
      <c r="V104" s="10"/>
      <c r="W104" s="10"/>
      <c r="X104" s="10"/>
      <c r="Y104" s="10"/>
      <c r="Z104" s="74"/>
      <c r="AA104" s="74"/>
      <c r="AB104" s="74"/>
      <c r="AC104" s="74"/>
      <c r="AD104" s="74"/>
      <c r="AE104" s="418" t="s">
        <v>219</v>
      </c>
      <c r="AF104" s="419">
        <v>51</v>
      </c>
      <c r="AG104" s="420">
        <v>30.4</v>
      </c>
      <c r="AH104" s="420">
        <v>0.65500000000000003</v>
      </c>
      <c r="AI104" s="420">
        <v>15</v>
      </c>
      <c r="AJ104" s="421">
        <v>1.07</v>
      </c>
      <c r="AK104" s="74"/>
      <c r="AL104" s="74"/>
      <c r="AM104" s="74"/>
    </row>
    <row r="105" spans="1:39" x14ac:dyDescent="0.25">
      <c r="N105" s="22"/>
      <c r="O105" s="77"/>
      <c r="P105" s="77"/>
      <c r="Q105" s="77"/>
      <c r="R105" s="77"/>
      <c r="S105" s="77"/>
      <c r="T105" s="77"/>
      <c r="U105" s="78"/>
      <c r="V105" s="10"/>
      <c r="W105" s="10"/>
      <c r="X105" s="10"/>
      <c r="Y105" s="10"/>
      <c r="Z105" s="74"/>
      <c r="AA105" s="74"/>
      <c r="AB105" s="74"/>
      <c r="AC105" s="74"/>
      <c r="AD105" s="74"/>
      <c r="AE105" s="418" t="s">
        <v>218</v>
      </c>
      <c r="AF105" s="419">
        <v>43.5</v>
      </c>
      <c r="AG105" s="420">
        <v>30.7</v>
      </c>
      <c r="AH105" s="420">
        <v>0.65</v>
      </c>
      <c r="AI105" s="420">
        <v>10.5</v>
      </c>
      <c r="AJ105" s="421">
        <v>1.18</v>
      </c>
      <c r="AK105" s="74"/>
      <c r="AL105" s="74"/>
      <c r="AM105" s="74"/>
    </row>
    <row r="106" spans="1:39" x14ac:dyDescent="0.25">
      <c r="N106" s="22"/>
      <c r="O106" s="77"/>
      <c r="P106" s="77"/>
      <c r="Q106" s="77"/>
      <c r="R106" s="77"/>
      <c r="S106" s="77"/>
      <c r="T106" s="77"/>
      <c r="U106" s="78"/>
      <c r="V106" s="10"/>
      <c r="W106" s="10"/>
      <c r="X106" s="10"/>
      <c r="Y106" s="10"/>
      <c r="Z106" s="74"/>
      <c r="AA106" s="74"/>
      <c r="AB106" s="74"/>
      <c r="AC106" s="74"/>
      <c r="AD106" s="74"/>
      <c r="AE106" s="418" t="s">
        <v>217</v>
      </c>
      <c r="AF106" s="419">
        <v>38.9</v>
      </c>
      <c r="AG106" s="420">
        <v>30.3</v>
      </c>
      <c r="AH106" s="420">
        <v>0.61499999999999999</v>
      </c>
      <c r="AI106" s="420">
        <v>10.5</v>
      </c>
      <c r="AJ106" s="421">
        <v>1</v>
      </c>
      <c r="AK106" s="74"/>
      <c r="AL106" s="74"/>
      <c r="AM106" s="74"/>
    </row>
    <row r="107" spans="1:39" x14ac:dyDescent="0.25">
      <c r="N107" s="22"/>
      <c r="O107" s="77"/>
      <c r="P107" s="77"/>
      <c r="Q107" s="77"/>
      <c r="R107" s="77"/>
      <c r="S107" s="77"/>
      <c r="T107" s="77"/>
      <c r="U107" s="78"/>
      <c r="V107" s="10"/>
      <c r="W107" s="10"/>
      <c r="X107" s="10"/>
      <c r="Y107" s="10"/>
      <c r="Z107" s="74"/>
      <c r="AA107" s="74"/>
      <c r="AB107" s="74"/>
      <c r="AC107" s="74"/>
      <c r="AD107" s="74"/>
      <c r="AE107" s="418" t="s">
        <v>376</v>
      </c>
      <c r="AF107" s="419">
        <v>36.5</v>
      </c>
      <c r="AG107" s="420">
        <v>30.2</v>
      </c>
      <c r="AH107" s="420">
        <v>0.58499999999999996</v>
      </c>
      <c r="AI107" s="420">
        <v>10.5</v>
      </c>
      <c r="AJ107" s="421">
        <v>0.93</v>
      </c>
      <c r="AK107" s="74"/>
      <c r="AL107" s="74"/>
      <c r="AM107" s="74"/>
    </row>
    <row r="108" spans="1:39" x14ac:dyDescent="0.25">
      <c r="N108" s="22"/>
      <c r="O108" s="77"/>
      <c r="P108" s="77"/>
      <c r="Q108" s="77"/>
      <c r="R108" s="77"/>
      <c r="S108" s="77"/>
      <c r="T108" s="77"/>
      <c r="U108" s="78"/>
      <c r="V108" s="10"/>
      <c r="W108" s="10"/>
      <c r="X108" s="10"/>
      <c r="Y108" s="10"/>
      <c r="Z108" s="74"/>
      <c r="AA108" s="74"/>
      <c r="AB108" s="74"/>
      <c r="AC108" s="74"/>
      <c r="AD108" s="74"/>
      <c r="AE108" s="418" t="s">
        <v>157</v>
      </c>
      <c r="AF108" s="419">
        <v>34.200000000000003</v>
      </c>
      <c r="AG108" s="420">
        <v>30</v>
      </c>
      <c r="AH108" s="420">
        <v>0.56499999999999995</v>
      </c>
      <c r="AI108" s="420">
        <v>10.5</v>
      </c>
      <c r="AJ108" s="421">
        <v>0.85</v>
      </c>
      <c r="AK108" s="74"/>
      <c r="AL108" s="74"/>
      <c r="AM108" s="74"/>
    </row>
    <row r="109" spans="1:39" x14ac:dyDescent="0.25">
      <c r="N109" s="22"/>
      <c r="O109" s="77"/>
      <c r="P109" s="77"/>
      <c r="Q109" s="77"/>
      <c r="R109" s="77"/>
      <c r="S109" s="77"/>
      <c r="T109" s="77"/>
      <c r="U109" s="78"/>
      <c r="V109" s="10"/>
      <c r="W109" s="10"/>
      <c r="X109" s="10"/>
      <c r="Y109" s="10"/>
      <c r="Z109" s="74"/>
      <c r="AA109" s="74"/>
      <c r="AB109" s="74"/>
      <c r="AC109" s="74"/>
      <c r="AD109" s="74"/>
      <c r="AE109" s="418" t="s">
        <v>133</v>
      </c>
      <c r="AF109" s="419">
        <v>31.7</v>
      </c>
      <c r="AG109" s="420">
        <v>29.8</v>
      </c>
      <c r="AH109" s="420">
        <v>0.54500000000000004</v>
      </c>
      <c r="AI109" s="420">
        <v>10.5</v>
      </c>
      <c r="AJ109" s="421">
        <v>0.76</v>
      </c>
      <c r="AK109" s="74"/>
      <c r="AL109" s="74"/>
      <c r="AM109" s="74"/>
    </row>
    <row r="110" spans="1:39" x14ac:dyDescent="0.25">
      <c r="N110" s="22"/>
      <c r="O110" s="77"/>
      <c r="P110" s="77"/>
      <c r="Q110" s="77"/>
      <c r="R110" s="77"/>
      <c r="S110" s="77"/>
      <c r="T110" s="77"/>
      <c r="U110" s="78"/>
      <c r="V110" s="10"/>
      <c r="W110" s="10"/>
      <c r="X110" s="10"/>
      <c r="Y110" s="10"/>
      <c r="Z110" s="74"/>
      <c r="AA110" s="74"/>
      <c r="AB110" s="74"/>
      <c r="AC110" s="74"/>
      <c r="AD110" s="74"/>
      <c r="AE110" s="418" t="s">
        <v>132</v>
      </c>
      <c r="AF110" s="419">
        <v>29.1</v>
      </c>
      <c r="AG110" s="420">
        <v>29.7</v>
      </c>
      <c r="AH110" s="420">
        <v>0.52</v>
      </c>
      <c r="AI110" s="420">
        <v>10.5</v>
      </c>
      <c r="AJ110" s="421">
        <v>0.67</v>
      </c>
      <c r="AK110" s="74"/>
      <c r="AL110" s="74"/>
      <c r="AM110" s="74"/>
    </row>
    <row r="111" spans="1:39" x14ac:dyDescent="0.25">
      <c r="N111" s="22"/>
      <c r="O111" s="77"/>
      <c r="P111" s="77"/>
      <c r="Q111" s="77"/>
      <c r="R111" s="77"/>
      <c r="S111" s="77"/>
      <c r="T111" s="77"/>
      <c r="U111" s="78"/>
      <c r="V111" s="10"/>
      <c r="W111" s="10"/>
      <c r="X111" s="10"/>
      <c r="Y111" s="10"/>
      <c r="Z111" s="74"/>
      <c r="AA111" s="74"/>
      <c r="AB111" s="74"/>
      <c r="AC111" s="74"/>
      <c r="AD111" s="74"/>
      <c r="AE111" s="418" t="s">
        <v>131</v>
      </c>
      <c r="AF111" s="419">
        <v>26.4</v>
      </c>
      <c r="AG111" s="420">
        <v>29.5</v>
      </c>
      <c r="AH111" s="420">
        <v>0.47</v>
      </c>
      <c r="AI111" s="420">
        <v>10.4</v>
      </c>
      <c r="AJ111" s="421">
        <v>0.61</v>
      </c>
      <c r="AK111" s="74"/>
      <c r="AL111" s="74"/>
      <c r="AM111" s="74"/>
    </row>
    <row r="112" spans="1:39" x14ac:dyDescent="0.25">
      <c r="N112" s="22"/>
      <c r="O112" s="77"/>
      <c r="P112" s="77"/>
      <c r="Q112" s="77"/>
      <c r="R112" s="77"/>
      <c r="S112" s="77"/>
      <c r="T112" s="77"/>
      <c r="U112" s="78"/>
      <c r="V112" s="10"/>
      <c r="W112" s="10"/>
      <c r="X112" s="10"/>
      <c r="Y112" s="10"/>
      <c r="Z112" s="74"/>
      <c r="AA112" s="74"/>
      <c r="AB112" s="74"/>
      <c r="AC112" s="74"/>
      <c r="AD112" s="74"/>
      <c r="AE112" s="418" t="s">
        <v>130</v>
      </c>
      <c r="AF112" s="419">
        <v>159</v>
      </c>
      <c r="AG112" s="420">
        <v>32.5</v>
      </c>
      <c r="AH112" s="420">
        <v>1.97</v>
      </c>
      <c r="AI112" s="420">
        <v>15.3</v>
      </c>
      <c r="AJ112" s="421">
        <v>3.54</v>
      </c>
      <c r="AK112" s="74"/>
      <c r="AL112" s="74"/>
      <c r="AM112" s="74"/>
    </row>
    <row r="113" spans="14:39" x14ac:dyDescent="0.25">
      <c r="N113" s="22"/>
      <c r="O113" s="77"/>
      <c r="P113" s="77"/>
      <c r="Q113" s="77"/>
      <c r="R113" s="77"/>
      <c r="S113" s="77"/>
      <c r="T113" s="77"/>
      <c r="U113" s="78"/>
      <c r="V113" s="10"/>
      <c r="W113" s="10"/>
      <c r="X113" s="10"/>
      <c r="Y113" s="10"/>
      <c r="Z113" s="74"/>
      <c r="AA113" s="74"/>
      <c r="AB113" s="74"/>
      <c r="AC113" s="74"/>
      <c r="AD113" s="74"/>
      <c r="AE113" s="418" t="s">
        <v>129</v>
      </c>
      <c r="AF113" s="419">
        <v>145</v>
      </c>
      <c r="AG113" s="420">
        <v>31.97</v>
      </c>
      <c r="AH113" s="420">
        <v>1.81</v>
      </c>
      <c r="AI113" s="422">
        <v>15.095000000000001</v>
      </c>
      <c r="AJ113" s="421">
        <v>3.27</v>
      </c>
      <c r="AK113" s="74"/>
      <c r="AL113" s="74"/>
      <c r="AM113" s="74"/>
    </row>
    <row r="114" spans="14:39" x14ac:dyDescent="0.25">
      <c r="N114" s="22"/>
      <c r="O114" s="77"/>
      <c r="P114" s="77"/>
      <c r="Q114" s="77"/>
      <c r="R114" s="77"/>
      <c r="S114" s="77"/>
      <c r="T114" s="77"/>
      <c r="U114" s="78"/>
      <c r="V114" s="10"/>
      <c r="W114" s="10"/>
      <c r="X114" s="10"/>
      <c r="Y114" s="10"/>
      <c r="Z114" s="74"/>
      <c r="AA114" s="74"/>
      <c r="AB114" s="74"/>
      <c r="AC114" s="74"/>
      <c r="AD114" s="74"/>
      <c r="AE114" s="418" t="s">
        <v>396</v>
      </c>
      <c r="AF114" s="419">
        <v>131</v>
      </c>
      <c r="AG114" s="420">
        <v>31.42</v>
      </c>
      <c r="AH114" s="420">
        <v>1.65</v>
      </c>
      <c r="AI114" s="420">
        <v>14.94</v>
      </c>
      <c r="AJ114" s="421">
        <v>2.99</v>
      </c>
      <c r="AK114" s="74"/>
      <c r="AL114" s="74"/>
      <c r="AM114" s="74"/>
    </row>
    <row r="115" spans="14:39" x14ac:dyDescent="0.25">
      <c r="N115" s="22"/>
      <c r="O115" s="77"/>
      <c r="P115" s="77"/>
      <c r="Q115" s="77"/>
      <c r="R115" s="77"/>
      <c r="S115" s="77"/>
      <c r="T115" s="77"/>
      <c r="U115" s="78"/>
      <c r="V115" s="10"/>
      <c r="W115" s="10"/>
      <c r="X115" s="10"/>
      <c r="Y115" s="10"/>
      <c r="Z115" s="74"/>
      <c r="AA115" s="74"/>
      <c r="AB115" s="74"/>
      <c r="AC115" s="74"/>
      <c r="AD115" s="74"/>
      <c r="AE115" s="418" t="s">
        <v>42</v>
      </c>
      <c r="AF115" s="419">
        <v>119</v>
      </c>
      <c r="AG115" s="420">
        <v>30.87</v>
      </c>
      <c r="AH115" s="420">
        <v>1.52</v>
      </c>
      <c r="AI115" s="420">
        <v>14.8</v>
      </c>
      <c r="AJ115" s="421">
        <v>2.72</v>
      </c>
      <c r="AK115" s="74"/>
      <c r="AL115" s="74"/>
      <c r="AM115" s="74"/>
    </row>
    <row r="116" spans="14:39" x14ac:dyDescent="0.25">
      <c r="N116" s="22"/>
      <c r="O116" s="77"/>
      <c r="P116" s="77"/>
      <c r="Q116" s="77"/>
      <c r="R116" s="77"/>
      <c r="S116" s="77"/>
      <c r="T116" s="77"/>
      <c r="U116" s="78"/>
      <c r="V116" s="10"/>
      <c r="W116" s="10"/>
      <c r="X116" s="10"/>
      <c r="Y116" s="10"/>
      <c r="Z116" s="74"/>
      <c r="AA116" s="74"/>
      <c r="AB116" s="74"/>
      <c r="AC116" s="74"/>
      <c r="AD116" s="74"/>
      <c r="AE116" s="418" t="s">
        <v>395</v>
      </c>
      <c r="AF116" s="419">
        <v>108</v>
      </c>
      <c r="AG116" s="420">
        <v>30.4</v>
      </c>
      <c r="AH116" s="420">
        <v>1.38</v>
      </c>
      <c r="AI116" s="420">
        <v>14.7</v>
      </c>
      <c r="AJ116" s="421">
        <v>2.48</v>
      </c>
      <c r="AK116" s="74"/>
      <c r="AL116" s="74"/>
      <c r="AM116" s="74"/>
    </row>
    <row r="117" spans="14:39" x14ac:dyDescent="0.25">
      <c r="N117" s="22"/>
      <c r="O117" s="77"/>
      <c r="P117" s="77"/>
      <c r="Q117" s="77"/>
      <c r="R117" s="77"/>
      <c r="S117" s="77"/>
      <c r="T117" s="77"/>
      <c r="U117" s="78"/>
      <c r="V117" s="10"/>
      <c r="W117" s="10"/>
      <c r="X117" s="10"/>
      <c r="Y117" s="10"/>
      <c r="Z117" s="74"/>
      <c r="AA117" s="74"/>
      <c r="AB117" s="74"/>
      <c r="AC117" s="74"/>
      <c r="AD117" s="74"/>
      <c r="AE117" s="418" t="s">
        <v>394</v>
      </c>
      <c r="AF117" s="419">
        <v>98.9</v>
      </c>
      <c r="AG117" s="420">
        <v>30</v>
      </c>
      <c r="AH117" s="420">
        <v>1.26</v>
      </c>
      <c r="AI117" s="420">
        <v>14.6</v>
      </c>
      <c r="AJ117" s="421">
        <v>2.2799999999999998</v>
      </c>
      <c r="AK117" s="74"/>
      <c r="AL117" s="74"/>
      <c r="AM117" s="74"/>
    </row>
    <row r="118" spans="14:39" x14ac:dyDescent="0.25">
      <c r="N118" s="22"/>
      <c r="O118" s="77"/>
      <c r="P118" s="77"/>
      <c r="Q118" s="77"/>
      <c r="R118" s="77"/>
      <c r="S118" s="77"/>
      <c r="T118" s="77"/>
      <c r="U118" s="78"/>
      <c r="V118" s="10"/>
      <c r="W118" s="10"/>
      <c r="X118" s="10"/>
      <c r="Y118" s="10"/>
      <c r="Z118" s="74"/>
      <c r="AA118" s="74"/>
      <c r="AB118" s="74"/>
      <c r="AC118" s="74"/>
      <c r="AD118" s="74"/>
      <c r="AE118" s="418" t="s">
        <v>279</v>
      </c>
      <c r="AF118" s="419">
        <v>90.4</v>
      </c>
      <c r="AG118" s="420">
        <v>29.6</v>
      </c>
      <c r="AH118" s="420">
        <v>1.1599999999999999</v>
      </c>
      <c r="AI118" s="420">
        <v>14.4</v>
      </c>
      <c r="AJ118" s="421">
        <v>2.09</v>
      </c>
      <c r="AK118" s="74"/>
      <c r="AL118" s="74"/>
      <c r="AM118" s="74"/>
    </row>
    <row r="119" spans="14:39" x14ac:dyDescent="0.25">
      <c r="N119" s="22"/>
      <c r="O119" s="77"/>
      <c r="P119" s="77"/>
      <c r="Q119" s="77"/>
      <c r="R119" s="77"/>
      <c r="S119" s="77"/>
      <c r="T119" s="77"/>
      <c r="U119" s="78"/>
      <c r="V119" s="10"/>
      <c r="W119" s="10"/>
      <c r="X119" s="10"/>
      <c r="Y119" s="10"/>
      <c r="Z119" s="74"/>
      <c r="AA119" s="74"/>
      <c r="AB119" s="74"/>
      <c r="AC119" s="74"/>
      <c r="AD119" s="74"/>
      <c r="AE119" s="418" t="s">
        <v>196</v>
      </c>
      <c r="AF119" s="419">
        <v>82.9</v>
      </c>
      <c r="AG119" s="420">
        <v>29.3</v>
      </c>
      <c r="AH119" s="420">
        <v>1.06</v>
      </c>
      <c r="AI119" s="420">
        <v>14.4</v>
      </c>
      <c r="AJ119" s="421">
        <v>1.93</v>
      </c>
      <c r="AK119" s="74"/>
      <c r="AL119" s="74"/>
      <c r="AM119" s="74"/>
    </row>
    <row r="120" spans="14:39" x14ac:dyDescent="0.25">
      <c r="N120" s="22"/>
      <c r="O120" s="77"/>
      <c r="P120" s="77"/>
      <c r="Q120" s="77"/>
      <c r="R120" s="77"/>
      <c r="S120" s="77"/>
      <c r="T120" s="77"/>
      <c r="U120" s="78"/>
      <c r="V120" s="10"/>
      <c r="W120" s="10"/>
      <c r="X120" s="10"/>
      <c r="Y120" s="10"/>
      <c r="Z120" s="74"/>
      <c r="AA120" s="74"/>
      <c r="AB120" s="74"/>
      <c r="AC120" s="74"/>
      <c r="AD120" s="74"/>
      <c r="AE120" s="418" t="s">
        <v>317</v>
      </c>
      <c r="AF120" s="419">
        <v>76</v>
      </c>
      <c r="AG120" s="420">
        <v>29</v>
      </c>
      <c r="AH120" s="420">
        <v>0.98</v>
      </c>
      <c r="AI120" s="420">
        <v>14.3</v>
      </c>
      <c r="AJ120" s="421">
        <v>1.77</v>
      </c>
      <c r="AK120" s="74"/>
      <c r="AL120" s="74"/>
      <c r="AM120" s="74"/>
    </row>
    <row r="121" spans="14:39" x14ac:dyDescent="0.25">
      <c r="N121" s="22"/>
      <c r="O121" s="77"/>
      <c r="P121" s="77"/>
      <c r="Q121" s="77"/>
      <c r="R121" s="77"/>
      <c r="S121" s="77"/>
      <c r="T121" s="77"/>
      <c r="U121" s="78"/>
      <c r="V121" s="10"/>
      <c r="W121" s="10"/>
      <c r="X121" s="10"/>
      <c r="Y121" s="10"/>
      <c r="Z121" s="74"/>
      <c r="AA121" s="74"/>
      <c r="AB121" s="74"/>
      <c r="AC121" s="74"/>
      <c r="AD121" s="74"/>
      <c r="AE121" s="418" t="s">
        <v>316</v>
      </c>
      <c r="AF121" s="419">
        <v>69.400000000000006</v>
      </c>
      <c r="AG121" s="420">
        <v>28.7</v>
      </c>
      <c r="AH121" s="420">
        <v>0.91</v>
      </c>
      <c r="AI121" s="420">
        <v>14.2</v>
      </c>
      <c r="AJ121" s="421">
        <v>1.61</v>
      </c>
      <c r="AK121" s="74"/>
      <c r="AL121" s="74"/>
      <c r="AM121" s="74"/>
    </row>
    <row r="122" spans="14:39" x14ac:dyDescent="0.25">
      <c r="N122" s="22"/>
      <c r="O122" s="77"/>
      <c r="P122" s="77"/>
      <c r="Q122" s="77"/>
      <c r="R122" s="77"/>
      <c r="S122" s="77"/>
      <c r="T122" s="77"/>
      <c r="U122" s="78"/>
      <c r="V122" s="10"/>
      <c r="W122" s="10"/>
      <c r="X122" s="10"/>
      <c r="Y122" s="10"/>
      <c r="Z122" s="74"/>
      <c r="AA122" s="74"/>
      <c r="AB122" s="74"/>
      <c r="AC122" s="74"/>
      <c r="AD122" s="74"/>
      <c r="AE122" s="418" t="s">
        <v>315</v>
      </c>
      <c r="AF122" s="419">
        <v>64</v>
      </c>
      <c r="AG122" s="420">
        <v>28.4</v>
      </c>
      <c r="AH122" s="420">
        <v>0.83</v>
      </c>
      <c r="AI122" s="420">
        <v>14.1</v>
      </c>
      <c r="AJ122" s="421">
        <v>1.5</v>
      </c>
      <c r="AK122" s="74"/>
      <c r="AL122" s="74"/>
      <c r="AM122" s="74"/>
    </row>
    <row r="123" spans="14:39" x14ac:dyDescent="0.25">
      <c r="N123" s="22"/>
      <c r="O123" s="77"/>
      <c r="P123" s="77"/>
      <c r="Q123" s="77"/>
      <c r="R123" s="77"/>
      <c r="S123" s="77"/>
      <c r="T123" s="77"/>
      <c r="U123" s="78"/>
      <c r="V123" s="10"/>
      <c r="W123" s="10"/>
      <c r="X123" s="10"/>
      <c r="Y123" s="10"/>
      <c r="Z123" s="74"/>
      <c r="AA123" s="74"/>
      <c r="AB123" s="74"/>
      <c r="AC123" s="74"/>
      <c r="AD123" s="74"/>
      <c r="AE123" s="418" t="s">
        <v>314</v>
      </c>
      <c r="AF123" s="419">
        <v>57.2</v>
      </c>
      <c r="AG123" s="420">
        <v>28.1</v>
      </c>
      <c r="AH123" s="420">
        <v>0.75</v>
      </c>
      <c r="AI123" s="420">
        <v>14</v>
      </c>
      <c r="AJ123" s="421">
        <v>1.34</v>
      </c>
      <c r="AK123" s="74"/>
      <c r="AL123" s="74"/>
      <c r="AM123" s="74"/>
    </row>
    <row r="124" spans="14:39" x14ac:dyDescent="0.25">
      <c r="N124" s="22"/>
      <c r="O124" s="77"/>
      <c r="P124" s="77"/>
      <c r="Q124" s="77"/>
      <c r="R124" s="77"/>
      <c r="S124" s="77"/>
      <c r="T124" s="77"/>
      <c r="U124" s="78"/>
      <c r="V124" s="10"/>
      <c r="W124" s="10"/>
      <c r="X124" s="10"/>
      <c r="Y124" s="10"/>
      <c r="Z124" s="74"/>
      <c r="AA124" s="74"/>
      <c r="AB124" s="74"/>
      <c r="AC124" s="74"/>
      <c r="AD124" s="74"/>
      <c r="AE124" s="418" t="s">
        <v>213</v>
      </c>
      <c r="AF124" s="419">
        <v>52.5</v>
      </c>
      <c r="AG124" s="420">
        <v>27.8</v>
      </c>
      <c r="AH124" s="420">
        <v>0.72499999999999998</v>
      </c>
      <c r="AI124" s="420">
        <v>14.1</v>
      </c>
      <c r="AJ124" s="421">
        <v>1.19</v>
      </c>
      <c r="AK124" s="74"/>
      <c r="AL124" s="74"/>
      <c r="AM124" s="74"/>
    </row>
    <row r="125" spans="14:39" x14ac:dyDescent="0.25">
      <c r="N125" s="22"/>
      <c r="O125" s="77"/>
      <c r="P125" s="77"/>
      <c r="Q125" s="77"/>
      <c r="R125" s="77"/>
      <c r="S125" s="77"/>
      <c r="T125" s="77"/>
      <c r="U125" s="78"/>
      <c r="V125" s="10"/>
      <c r="W125" s="10"/>
      <c r="X125" s="10"/>
      <c r="Y125" s="10"/>
      <c r="Z125" s="74"/>
      <c r="AA125" s="74"/>
      <c r="AB125" s="74"/>
      <c r="AC125" s="74"/>
      <c r="AD125" s="74"/>
      <c r="AE125" s="418" t="s">
        <v>128</v>
      </c>
      <c r="AF125" s="419">
        <v>47.6</v>
      </c>
      <c r="AG125" s="420">
        <v>27.6</v>
      </c>
      <c r="AH125" s="420">
        <v>0.66</v>
      </c>
      <c r="AI125" s="420">
        <v>14</v>
      </c>
      <c r="AJ125" s="421">
        <v>1.08</v>
      </c>
      <c r="AK125" s="74"/>
      <c r="AL125" s="74"/>
      <c r="AM125" s="74"/>
    </row>
    <row r="126" spans="14:39" x14ac:dyDescent="0.25">
      <c r="N126" s="22"/>
      <c r="O126" s="77"/>
      <c r="P126" s="77"/>
      <c r="Q126" s="77"/>
      <c r="R126" s="77"/>
      <c r="S126" s="77"/>
      <c r="T126" s="77"/>
      <c r="U126" s="78"/>
      <c r="V126" s="10"/>
      <c r="W126" s="10"/>
      <c r="X126" s="10"/>
      <c r="Y126" s="10"/>
      <c r="Z126" s="74"/>
      <c r="AA126" s="74"/>
      <c r="AB126" s="74"/>
      <c r="AC126" s="74"/>
      <c r="AD126" s="74"/>
      <c r="AE126" s="418" t="s">
        <v>405</v>
      </c>
      <c r="AF126" s="419">
        <v>43.1</v>
      </c>
      <c r="AG126" s="420">
        <v>27.4</v>
      </c>
      <c r="AH126" s="420">
        <v>0.60499999999999998</v>
      </c>
      <c r="AI126" s="420">
        <v>14</v>
      </c>
      <c r="AJ126" s="421">
        <v>0.97499999999999998</v>
      </c>
      <c r="AK126" s="74"/>
      <c r="AL126" s="74"/>
      <c r="AM126" s="74"/>
    </row>
    <row r="127" spans="14:39" x14ac:dyDescent="0.25">
      <c r="N127" s="22"/>
      <c r="O127" s="77"/>
      <c r="P127" s="77"/>
      <c r="Q127" s="77"/>
      <c r="R127" s="77"/>
      <c r="S127" s="77"/>
      <c r="T127" s="77"/>
      <c r="U127" s="78"/>
      <c r="V127" s="10"/>
      <c r="W127" s="10"/>
      <c r="X127" s="10"/>
      <c r="Y127" s="10"/>
      <c r="Z127" s="74"/>
      <c r="AA127" s="74"/>
      <c r="AB127" s="74"/>
      <c r="AC127" s="74"/>
      <c r="AD127" s="74"/>
      <c r="AE127" s="418" t="s">
        <v>404</v>
      </c>
      <c r="AF127" s="419">
        <v>37.799999999999997</v>
      </c>
      <c r="AG127" s="420">
        <v>27.6</v>
      </c>
      <c r="AH127" s="420">
        <v>0.61</v>
      </c>
      <c r="AI127" s="420">
        <v>10</v>
      </c>
      <c r="AJ127" s="421">
        <v>1.1000000000000001</v>
      </c>
      <c r="AK127" s="74"/>
      <c r="AL127" s="74"/>
      <c r="AM127" s="74"/>
    </row>
    <row r="128" spans="14:39" x14ac:dyDescent="0.25">
      <c r="N128" s="22"/>
      <c r="O128" s="77"/>
      <c r="P128" s="77"/>
      <c r="Q128" s="77"/>
      <c r="R128" s="77"/>
      <c r="S128" s="77"/>
      <c r="T128" s="77"/>
      <c r="U128" s="78"/>
      <c r="V128" s="10"/>
      <c r="W128" s="10"/>
      <c r="X128" s="10"/>
      <c r="Y128" s="10"/>
      <c r="Z128" s="74"/>
      <c r="AA128" s="74"/>
      <c r="AB128" s="74"/>
      <c r="AC128" s="74"/>
      <c r="AD128" s="74"/>
      <c r="AE128" s="418" t="s">
        <v>403</v>
      </c>
      <c r="AF128" s="419">
        <v>33.5</v>
      </c>
      <c r="AG128" s="420">
        <v>27.3</v>
      </c>
      <c r="AH128" s="420">
        <v>0.56999999999999995</v>
      </c>
      <c r="AI128" s="420">
        <v>10.1</v>
      </c>
      <c r="AJ128" s="421">
        <v>0.93</v>
      </c>
      <c r="AK128" s="74"/>
      <c r="AL128" s="74"/>
      <c r="AM128" s="74"/>
    </row>
    <row r="129" spans="14:39" x14ac:dyDescent="0.25">
      <c r="N129" s="22"/>
      <c r="O129" s="77"/>
      <c r="P129" s="77"/>
      <c r="Q129" s="77"/>
      <c r="R129" s="77"/>
      <c r="S129" s="77"/>
      <c r="T129" s="77"/>
      <c r="U129" s="78"/>
      <c r="V129" s="10"/>
      <c r="W129" s="10"/>
      <c r="X129" s="10"/>
      <c r="Y129" s="10"/>
      <c r="Z129" s="74"/>
      <c r="AA129" s="74"/>
      <c r="AB129" s="74"/>
      <c r="AC129" s="74"/>
      <c r="AD129" s="74"/>
      <c r="AE129" s="418" t="s">
        <v>402</v>
      </c>
      <c r="AF129" s="419">
        <v>30</v>
      </c>
      <c r="AG129" s="420">
        <v>27.1</v>
      </c>
      <c r="AH129" s="420">
        <v>0.51500000000000001</v>
      </c>
      <c r="AI129" s="420">
        <v>10</v>
      </c>
      <c r="AJ129" s="421">
        <v>0.83</v>
      </c>
      <c r="AK129" s="74"/>
      <c r="AL129" s="74"/>
      <c r="AM129" s="74"/>
    </row>
    <row r="130" spans="14:39" x14ac:dyDescent="0.25">
      <c r="N130" s="22"/>
      <c r="O130" s="77"/>
      <c r="P130" s="77"/>
      <c r="Q130" s="77"/>
      <c r="R130" s="77"/>
      <c r="S130" s="77"/>
      <c r="T130" s="77"/>
      <c r="U130" s="78"/>
      <c r="V130" s="10"/>
      <c r="W130" s="10"/>
      <c r="X130" s="10"/>
      <c r="Y130" s="10"/>
      <c r="Z130" s="74"/>
      <c r="AA130" s="74"/>
      <c r="AB130" s="74"/>
      <c r="AC130" s="74"/>
      <c r="AD130" s="74"/>
      <c r="AE130" s="418" t="s">
        <v>401</v>
      </c>
      <c r="AF130" s="419">
        <v>27.7</v>
      </c>
      <c r="AG130" s="420">
        <v>26.9</v>
      </c>
      <c r="AH130" s="420">
        <v>0.49</v>
      </c>
      <c r="AI130" s="420">
        <v>9.99</v>
      </c>
      <c r="AJ130" s="421">
        <v>0.745</v>
      </c>
      <c r="AK130" s="74"/>
      <c r="AL130" s="74"/>
      <c r="AM130" s="74"/>
    </row>
    <row r="131" spans="14:39" x14ac:dyDescent="0.25">
      <c r="N131" s="22"/>
      <c r="O131" s="77"/>
      <c r="P131" s="77"/>
      <c r="Q131" s="77"/>
      <c r="R131" s="77"/>
      <c r="S131" s="77"/>
      <c r="T131" s="77"/>
      <c r="U131" s="78"/>
      <c r="V131" s="10"/>
      <c r="W131" s="10"/>
      <c r="X131" s="10"/>
      <c r="Y131" s="10"/>
      <c r="Z131" s="74"/>
      <c r="AA131" s="74"/>
      <c r="AB131" s="74"/>
      <c r="AC131" s="74"/>
      <c r="AD131" s="74"/>
      <c r="AE131" s="418" t="s">
        <v>400</v>
      </c>
      <c r="AF131" s="419">
        <v>24.8</v>
      </c>
      <c r="AG131" s="420">
        <v>26.7</v>
      </c>
      <c r="AH131" s="420">
        <v>0.46</v>
      </c>
      <c r="AI131" s="420">
        <v>9.9600000000000009</v>
      </c>
      <c r="AJ131" s="421">
        <v>0.64</v>
      </c>
      <c r="AK131" s="74"/>
      <c r="AL131" s="74"/>
      <c r="AM131" s="74"/>
    </row>
    <row r="132" spans="14:39" x14ac:dyDescent="0.25">
      <c r="N132" s="22"/>
      <c r="O132" s="77"/>
      <c r="P132" s="77"/>
      <c r="Q132" s="77"/>
      <c r="R132" s="77"/>
      <c r="S132" s="77"/>
      <c r="T132" s="77"/>
      <c r="U132" s="78"/>
      <c r="V132" s="10"/>
      <c r="W132" s="10"/>
      <c r="X132" s="10"/>
      <c r="Y132" s="10"/>
      <c r="Z132" s="74"/>
      <c r="AA132" s="74"/>
      <c r="AB132" s="74"/>
      <c r="AC132" s="74"/>
      <c r="AD132" s="74"/>
      <c r="AE132" s="418" t="s">
        <v>308</v>
      </c>
      <c r="AF132" s="419">
        <v>144</v>
      </c>
      <c r="AG132" s="420">
        <v>29.65</v>
      </c>
      <c r="AH132" s="420">
        <v>1.97</v>
      </c>
      <c r="AI132" s="422">
        <v>14.115</v>
      </c>
      <c r="AJ132" s="421">
        <v>3.54</v>
      </c>
      <c r="AK132" s="74"/>
      <c r="AL132" s="74"/>
      <c r="AM132" s="74"/>
    </row>
    <row r="133" spans="14:39" x14ac:dyDescent="0.25">
      <c r="N133" s="22"/>
      <c r="O133" s="77"/>
      <c r="P133" s="77"/>
      <c r="Q133" s="77"/>
      <c r="R133" s="77"/>
      <c r="S133" s="77"/>
      <c r="T133" s="77"/>
      <c r="U133" s="78"/>
      <c r="V133" s="10"/>
      <c r="W133" s="10"/>
      <c r="X133" s="10"/>
      <c r="Y133" s="10"/>
      <c r="Z133" s="74"/>
      <c r="AA133" s="74"/>
      <c r="AB133" s="74"/>
      <c r="AC133" s="74"/>
      <c r="AD133" s="74"/>
      <c r="AE133" s="418" t="s">
        <v>307</v>
      </c>
      <c r="AF133" s="419">
        <v>132</v>
      </c>
      <c r="AG133" s="420">
        <v>29.09</v>
      </c>
      <c r="AH133" s="420">
        <v>1.81</v>
      </c>
      <c r="AI133" s="422">
        <v>13.955</v>
      </c>
      <c r="AJ133" s="421">
        <v>3.27</v>
      </c>
      <c r="AK133" s="74"/>
      <c r="AL133" s="74"/>
      <c r="AM133" s="74"/>
    </row>
    <row r="134" spans="14:39" x14ac:dyDescent="0.25">
      <c r="N134" s="22"/>
      <c r="O134" s="77"/>
      <c r="P134" s="77"/>
      <c r="Q134" s="77"/>
      <c r="R134" s="77"/>
      <c r="S134" s="77"/>
      <c r="T134" s="77"/>
      <c r="U134" s="78"/>
      <c r="V134" s="10"/>
      <c r="W134" s="10"/>
      <c r="X134" s="10"/>
      <c r="Y134" s="10"/>
      <c r="Z134" s="74"/>
      <c r="AA134" s="74"/>
      <c r="AB134" s="74"/>
      <c r="AC134" s="74"/>
      <c r="AD134" s="74"/>
      <c r="AE134" s="418" t="s">
        <v>306</v>
      </c>
      <c r="AF134" s="419">
        <v>119</v>
      </c>
      <c r="AG134" s="420">
        <v>28.54</v>
      </c>
      <c r="AH134" s="420">
        <v>1.65</v>
      </c>
      <c r="AI134" s="420">
        <v>13.8</v>
      </c>
      <c r="AJ134" s="421">
        <v>2.99</v>
      </c>
      <c r="AK134" s="74"/>
      <c r="AL134" s="74"/>
      <c r="AM134" s="74"/>
    </row>
    <row r="135" spans="14:39" x14ac:dyDescent="0.25">
      <c r="N135" s="22"/>
      <c r="O135" s="77"/>
      <c r="P135" s="77"/>
      <c r="Q135" s="77"/>
      <c r="R135" s="77"/>
      <c r="S135" s="77"/>
      <c r="T135" s="77"/>
      <c r="U135" s="78"/>
      <c r="V135" s="10"/>
      <c r="W135" s="10"/>
      <c r="X135" s="10"/>
      <c r="Y135" s="10"/>
      <c r="Z135" s="74"/>
      <c r="AA135" s="74"/>
      <c r="AB135" s="74"/>
      <c r="AC135" s="74"/>
      <c r="AD135" s="74"/>
      <c r="AE135" s="418" t="s">
        <v>305</v>
      </c>
      <c r="AF135" s="419">
        <v>109</v>
      </c>
      <c r="AG135" s="420">
        <v>28</v>
      </c>
      <c r="AH135" s="420">
        <v>1.52</v>
      </c>
      <c r="AI135" s="420">
        <v>13.7</v>
      </c>
      <c r="AJ135" s="421">
        <v>2.72</v>
      </c>
      <c r="AK135" s="74"/>
      <c r="AL135" s="74"/>
      <c r="AM135" s="74"/>
    </row>
    <row r="136" spans="14:39" x14ac:dyDescent="0.25">
      <c r="N136" s="22"/>
      <c r="O136" s="77"/>
      <c r="P136" s="77"/>
      <c r="Q136" s="77"/>
      <c r="R136" s="77"/>
      <c r="S136" s="77"/>
      <c r="T136" s="77"/>
      <c r="U136" s="78"/>
      <c r="V136" s="10"/>
      <c r="W136" s="10"/>
      <c r="X136" s="10"/>
      <c r="Y136" s="10"/>
      <c r="Z136" s="74"/>
      <c r="AA136" s="74"/>
      <c r="AB136" s="74"/>
      <c r="AC136" s="74"/>
      <c r="AD136" s="74"/>
      <c r="AE136" s="418" t="s">
        <v>445</v>
      </c>
      <c r="AF136" s="419">
        <v>98.4</v>
      </c>
      <c r="AG136" s="420">
        <v>27.5</v>
      </c>
      <c r="AH136" s="420">
        <v>1.38</v>
      </c>
      <c r="AI136" s="420">
        <v>13.5</v>
      </c>
      <c r="AJ136" s="421">
        <v>2.48</v>
      </c>
      <c r="AK136" s="74"/>
      <c r="AL136" s="74"/>
      <c r="AM136" s="74"/>
    </row>
    <row r="137" spans="14:39" x14ac:dyDescent="0.25">
      <c r="N137" s="22"/>
      <c r="O137" s="77"/>
      <c r="P137" s="77"/>
      <c r="Q137" s="77"/>
      <c r="R137" s="77"/>
      <c r="S137" s="77"/>
      <c r="T137" s="77"/>
      <c r="U137" s="78"/>
      <c r="V137" s="10"/>
      <c r="W137" s="10"/>
      <c r="X137" s="10"/>
      <c r="Y137" s="10"/>
      <c r="Z137" s="74"/>
      <c r="AA137" s="74"/>
      <c r="AB137" s="74"/>
      <c r="AC137" s="74"/>
      <c r="AD137" s="74"/>
      <c r="AE137" s="418" t="s">
        <v>444</v>
      </c>
      <c r="AF137" s="419">
        <v>89.8</v>
      </c>
      <c r="AG137" s="420">
        <v>27.1</v>
      </c>
      <c r="AH137" s="420">
        <v>1.26</v>
      </c>
      <c r="AI137" s="420">
        <v>13.4</v>
      </c>
      <c r="AJ137" s="421">
        <v>2.2799999999999998</v>
      </c>
      <c r="AK137" s="74"/>
      <c r="AL137" s="74"/>
      <c r="AM137" s="74"/>
    </row>
    <row r="138" spans="14:39" x14ac:dyDescent="0.25">
      <c r="N138" s="22"/>
      <c r="O138" s="77"/>
      <c r="P138" s="77"/>
      <c r="Q138" s="77"/>
      <c r="R138" s="77"/>
      <c r="S138" s="77"/>
      <c r="T138" s="77"/>
      <c r="U138" s="78"/>
      <c r="V138" s="10"/>
      <c r="W138" s="10"/>
      <c r="X138" s="10"/>
      <c r="Y138" s="10"/>
      <c r="Z138" s="74"/>
      <c r="AA138" s="74"/>
      <c r="AB138" s="74"/>
      <c r="AC138" s="74"/>
      <c r="AD138" s="74"/>
      <c r="AE138" s="418" t="s">
        <v>443</v>
      </c>
      <c r="AF138" s="419">
        <v>82</v>
      </c>
      <c r="AG138" s="420">
        <v>26.7</v>
      </c>
      <c r="AH138" s="420">
        <v>1.1599999999999999</v>
      </c>
      <c r="AI138" s="420">
        <v>13.3</v>
      </c>
      <c r="AJ138" s="421">
        <v>2.09</v>
      </c>
      <c r="AK138" s="74"/>
      <c r="AL138" s="74"/>
      <c r="AM138" s="74"/>
    </row>
    <row r="139" spans="14:39" x14ac:dyDescent="0.25">
      <c r="N139" s="22"/>
      <c r="O139" s="77"/>
      <c r="P139" s="77"/>
      <c r="Q139" s="77"/>
      <c r="R139" s="77"/>
      <c r="S139" s="77"/>
      <c r="T139" s="77"/>
      <c r="U139" s="78"/>
      <c r="V139" s="10"/>
      <c r="W139" s="10"/>
      <c r="X139" s="10"/>
      <c r="Y139" s="10"/>
      <c r="Z139" s="74"/>
      <c r="AA139" s="74"/>
      <c r="AB139" s="74"/>
      <c r="AC139" s="74"/>
      <c r="AD139" s="74"/>
      <c r="AE139" s="418" t="s">
        <v>442</v>
      </c>
      <c r="AF139" s="419">
        <v>73.5</v>
      </c>
      <c r="AG139" s="420">
        <v>26.3</v>
      </c>
      <c r="AH139" s="420">
        <v>1.04</v>
      </c>
      <c r="AI139" s="420">
        <v>13.2</v>
      </c>
      <c r="AJ139" s="421">
        <v>1.89</v>
      </c>
      <c r="AK139" s="74"/>
      <c r="AL139" s="74"/>
      <c r="AM139" s="74"/>
    </row>
    <row r="140" spans="14:39" x14ac:dyDescent="0.25">
      <c r="N140" s="22"/>
      <c r="O140" s="77"/>
      <c r="P140" s="77"/>
      <c r="Q140" s="77"/>
      <c r="R140" s="77"/>
      <c r="S140" s="77"/>
      <c r="T140" s="77"/>
      <c r="U140" s="78"/>
      <c r="V140" s="10"/>
      <c r="W140" s="10"/>
      <c r="X140" s="10"/>
      <c r="Y140" s="10"/>
      <c r="Z140" s="74"/>
      <c r="AA140" s="74"/>
      <c r="AB140" s="74"/>
      <c r="AC140" s="74"/>
      <c r="AD140" s="74"/>
      <c r="AE140" s="418" t="s">
        <v>58</v>
      </c>
      <c r="AF140" s="419">
        <v>67.2</v>
      </c>
      <c r="AG140" s="420">
        <v>26</v>
      </c>
      <c r="AH140" s="420">
        <v>0.96</v>
      </c>
      <c r="AI140" s="420">
        <v>13.1</v>
      </c>
      <c r="AJ140" s="421">
        <v>1.73</v>
      </c>
      <c r="AK140" s="74"/>
      <c r="AL140" s="74"/>
      <c r="AM140" s="74"/>
    </row>
    <row r="141" spans="14:39" x14ac:dyDescent="0.25">
      <c r="N141" s="22"/>
      <c r="O141" s="77"/>
      <c r="P141" s="77"/>
      <c r="Q141" s="77"/>
      <c r="R141" s="77"/>
      <c r="S141" s="77"/>
      <c r="T141" s="77"/>
      <c r="U141" s="78"/>
      <c r="V141" s="10"/>
      <c r="W141" s="10"/>
      <c r="X141" s="10"/>
      <c r="Y141" s="10"/>
      <c r="Z141" s="74"/>
      <c r="AA141" s="74"/>
      <c r="AB141" s="74"/>
      <c r="AC141" s="74"/>
      <c r="AD141" s="74"/>
      <c r="AE141" s="418" t="s">
        <v>57</v>
      </c>
      <c r="AF141" s="419">
        <v>60.7</v>
      </c>
      <c r="AG141" s="420">
        <v>25.7</v>
      </c>
      <c r="AH141" s="420">
        <v>0.87</v>
      </c>
      <c r="AI141" s="420">
        <v>13</v>
      </c>
      <c r="AJ141" s="421">
        <v>1.57</v>
      </c>
      <c r="AK141" s="74"/>
      <c r="AL141" s="74"/>
      <c r="AM141" s="74"/>
    </row>
    <row r="142" spans="14:39" x14ac:dyDescent="0.25">
      <c r="N142" s="22"/>
      <c r="O142" s="77"/>
      <c r="P142" s="77"/>
      <c r="Q142" s="77"/>
      <c r="R142" s="77"/>
      <c r="S142" s="77"/>
      <c r="T142" s="77"/>
      <c r="U142" s="78"/>
      <c r="V142" s="10"/>
      <c r="W142" s="10"/>
      <c r="X142" s="10"/>
      <c r="Y142" s="10"/>
      <c r="Z142" s="74"/>
      <c r="AA142" s="74"/>
      <c r="AB142" s="74"/>
      <c r="AC142" s="74"/>
      <c r="AD142" s="74"/>
      <c r="AE142" s="418" t="s">
        <v>41</v>
      </c>
      <c r="AF142" s="419">
        <v>56.3</v>
      </c>
      <c r="AG142" s="420">
        <v>25.5</v>
      </c>
      <c r="AH142" s="420">
        <v>0.81</v>
      </c>
      <c r="AI142" s="420">
        <v>13</v>
      </c>
      <c r="AJ142" s="421">
        <v>1.46</v>
      </c>
      <c r="AK142" s="74"/>
      <c r="AL142" s="74"/>
      <c r="AM142" s="74"/>
    </row>
    <row r="143" spans="14:39" x14ac:dyDescent="0.25">
      <c r="N143" s="22"/>
      <c r="O143" s="77"/>
      <c r="P143" s="77"/>
      <c r="Q143" s="77"/>
      <c r="R143" s="77"/>
      <c r="S143" s="77"/>
      <c r="T143" s="77"/>
      <c r="U143" s="78"/>
      <c r="V143" s="10"/>
      <c r="W143" s="10"/>
      <c r="X143" s="10"/>
      <c r="Y143" s="10"/>
      <c r="Z143" s="74"/>
      <c r="AA143" s="74"/>
      <c r="AB143" s="74"/>
      <c r="AC143" s="74"/>
      <c r="AD143" s="74"/>
      <c r="AE143" s="418" t="s">
        <v>40</v>
      </c>
      <c r="AF143" s="419">
        <v>51.7</v>
      </c>
      <c r="AG143" s="420">
        <v>25.2</v>
      </c>
      <c r="AH143" s="420">
        <v>0.75</v>
      </c>
      <c r="AI143" s="420">
        <v>12.9</v>
      </c>
      <c r="AJ143" s="421">
        <v>1.34</v>
      </c>
      <c r="AK143" s="74"/>
      <c r="AL143" s="74"/>
      <c r="AM143" s="74"/>
    </row>
    <row r="144" spans="14:39" x14ac:dyDescent="0.25">
      <c r="N144" s="22"/>
      <c r="O144" s="77"/>
      <c r="P144" s="77"/>
      <c r="Q144" s="77"/>
      <c r="R144" s="77"/>
      <c r="S144" s="77"/>
      <c r="T144" s="77"/>
      <c r="U144" s="78"/>
      <c r="V144" s="10"/>
      <c r="W144" s="10"/>
      <c r="X144" s="10"/>
      <c r="Y144" s="10"/>
      <c r="Z144" s="74"/>
      <c r="AA144" s="74"/>
      <c r="AB144" s="74"/>
      <c r="AC144" s="74"/>
      <c r="AD144" s="74"/>
      <c r="AE144" s="418" t="s">
        <v>39</v>
      </c>
      <c r="AF144" s="419">
        <v>47.7</v>
      </c>
      <c r="AG144" s="420">
        <v>25</v>
      </c>
      <c r="AH144" s="420">
        <v>0.70499999999999996</v>
      </c>
      <c r="AI144" s="420">
        <v>13</v>
      </c>
      <c r="AJ144" s="421">
        <v>1.22</v>
      </c>
      <c r="AK144" s="74"/>
      <c r="AL144" s="74"/>
      <c r="AM144" s="74"/>
    </row>
    <row r="145" spans="14:39" x14ac:dyDescent="0.25">
      <c r="N145" s="22"/>
      <c r="O145" s="77"/>
      <c r="P145" s="77"/>
      <c r="Q145" s="77"/>
      <c r="R145" s="77"/>
      <c r="S145" s="77"/>
      <c r="T145" s="77"/>
      <c r="U145" s="78"/>
      <c r="V145" s="10"/>
      <c r="W145" s="10"/>
      <c r="X145" s="10"/>
      <c r="Y145" s="10"/>
      <c r="Z145" s="74"/>
      <c r="AA145" s="74"/>
      <c r="AB145" s="74"/>
      <c r="AC145" s="74"/>
      <c r="AD145" s="74"/>
      <c r="AE145" s="418" t="s">
        <v>38</v>
      </c>
      <c r="AF145" s="419">
        <v>43</v>
      </c>
      <c r="AG145" s="420">
        <v>24.7</v>
      </c>
      <c r="AH145" s="420">
        <v>0.65</v>
      </c>
      <c r="AI145" s="420">
        <v>12.9</v>
      </c>
      <c r="AJ145" s="421">
        <v>1.0900000000000001</v>
      </c>
      <c r="AK145" s="74"/>
      <c r="AL145" s="74"/>
      <c r="AM145" s="74"/>
    </row>
    <row r="146" spans="14:39" x14ac:dyDescent="0.25">
      <c r="N146" s="22"/>
      <c r="O146" s="77"/>
      <c r="P146" s="77"/>
      <c r="Q146" s="77"/>
      <c r="R146" s="77"/>
      <c r="S146" s="77"/>
      <c r="T146" s="77"/>
      <c r="U146" s="78"/>
      <c r="V146" s="10"/>
      <c r="W146" s="10"/>
      <c r="X146" s="10"/>
      <c r="Y146" s="10"/>
      <c r="Z146" s="74"/>
      <c r="AA146" s="74"/>
      <c r="AB146" s="74"/>
      <c r="AC146" s="74"/>
      <c r="AD146" s="74"/>
      <c r="AE146" s="418" t="s">
        <v>37</v>
      </c>
      <c r="AF146" s="419">
        <v>38.5</v>
      </c>
      <c r="AG146" s="420">
        <v>24.5</v>
      </c>
      <c r="AH146" s="420">
        <v>0.60499999999999998</v>
      </c>
      <c r="AI146" s="420">
        <v>12.9</v>
      </c>
      <c r="AJ146" s="421">
        <v>0.96</v>
      </c>
      <c r="AK146" s="74"/>
      <c r="AL146" s="74"/>
      <c r="AM146" s="74"/>
    </row>
    <row r="147" spans="14:39" x14ac:dyDescent="0.25">
      <c r="N147" s="22"/>
      <c r="O147" s="77"/>
      <c r="P147" s="77"/>
      <c r="Q147" s="77"/>
      <c r="R147" s="77"/>
      <c r="S147" s="77"/>
      <c r="T147" s="77"/>
      <c r="U147" s="78"/>
      <c r="V147" s="10"/>
      <c r="W147" s="10"/>
      <c r="X147" s="10"/>
      <c r="Y147" s="10"/>
      <c r="Z147" s="74"/>
      <c r="AA147" s="74"/>
      <c r="AB147" s="74"/>
      <c r="AC147" s="74"/>
      <c r="AD147" s="74"/>
      <c r="AE147" s="418" t="s">
        <v>36</v>
      </c>
      <c r="AF147" s="419">
        <v>34.4</v>
      </c>
      <c r="AG147" s="420">
        <v>24.3</v>
      </c>
      <c r="AH147" s="420">
        <v>0.55000000000000004</v>
      </c>
      <c r="AI147" s="420">
        <v>12.8</v>
      </c>
      <c r="AJ147" s="421">
        <v>0.85</v>
      </c>
      <c r="AK147" s="74"/>
      <c r="AL147" s="74"/>
      <c r="AM147" s="74"/>
    </row>
    <row r="148" spans="14:39" x14ac:dyDescent="0.25">
      <c r="N148" s="22"/>
      <c r="O148" s="77"/>
      <c r="P148" s="77"/>
      <c r="Q148" s="77"/>
      <c r="R148" s="77"/>
      <c r="S148" s="77"/>
      <c r="T148" s="77"/>
      <c r="U148" s="78"/>
      <c r="V148" s="10"/>
      <c r="W148" s="10"/>
      <c r="X148" s="10"/>
      <c r="Y148" s="10"/>
      <c r="Z148" s="74"/>
      <c r="AA148" s="74"/>
      <c r="AB148" s="74"/>
      <c r="AC148" s="74"/>
      <c r="AD148" s="74"/>
      <c r="AE148" s="418" t="s">
        <v>35</v>
      </c>
      <c r="AF148" s="419">
        <v>30.6</v>
      </c>
      <c r="AG148" s="420">
        <v>24.1</v>
      </c>
      <c r="AH148" s="420">
        <v>0.5</v>
      </c>
      <c r="AI148" s="420">
        <v>12.8</v>
      </c>
      <c r="AJ148" s="421">
        <v>0.75</v>
      </c>
      <c r="AK148" s="74"/>
      <c r="AL148" s="74"/>
      <c r="AM148" s="74"/>
    </row>
    <row r="149" spans="14:39" x14ac:dyDescent="0.25">
      <c r="N149" s="22"/>
      <c r="O149" s="77"/>
      <c r="P149" s="77"/>
      <c r="Q149" s="77"/>
      <c r="R149" s="77"/>
      <c r="S149" s="77"/>
      <c r="T149" s="77"/>
      <c r="U149" s="78"/>
      <c r="V149" s="10"/>
      <c r="W149" s="10"/>
      <c r="X149" s="10"/>
      <c r="Y149" s="10"/>
      <c r="Z149" s="74"/>
      <c r="AA149" s="74"/>
      <c r="AB149" s="74"/>
      <c r="AC149" s="74"/>
      <c r="AD149" s="74"/>
      <c r="AE149" s="418" t="s">
        <v>34</v>
      </c>
      <c r="AF149" s="419">
        <v>30.3</v>
      </c>
      <c r="AG149" s="420">
        <v>24.5</v>
      </c>
      <c r="AH149" s="420">
        <v>0.55000000000000004</v>
      </c>
      <c r="AI149" s="420">
        <v>9</v>
      </c>
      <c r="AJ149" s="421">
        <v>0.98</v>
      </c>
      <c r="AK149" s="74"/>
      <c r="AL149" s="74"/>
      <c r="AM149" s="74"/>
    </row>
    <row r="150" spans="14:39" x14ac:dyDescent="0.25">
      <c r="N150" s="22"/>
      <c r="O150" s="77"/>
      <c r="P150" s="77"/>
      <c r="Q150" s="77"/>
      <c r="R150" s="77"/>
      <c r="S150" s="77"/>
      <c r="T150" s="77"/>
      <c r="U150" s="78"/>
      <c r="V150" s="10"/>
      <c r="W150" s="10"/>
      <c r="X150" s="10"/>
      <c r="Y150" s="10"/>
      <c r="Z150" s="74"/>
      <c r="AA150" s="74"/>
      <c r="AB150" s="74"/>
      <c r="AC150" s="74"/>
      <c r="AD150" s="74"/>
      <c r="AE150" s="418" t="s">
        <v>33</v>
      </c>
      <c r="AF150" s="419">
        <v>27.7</v>
      </c>
      <c r="AG150" s="420">
        <v>24.3</v>
      </c>
      <c r="AH150" s="420">
        <v>0.51500000000000001</v>
      </c>
      <c r="AI150" s="420">
        <v>9.07</v>
      </c>
      <c r="AJ150" s="421">
        <v>0.875</v>
      </c>
      <c r="AK150" s="74"/>
      <c r="AL150" s="74"/>
      <c r="AM150" s="74"/>
    </row>
    <row r="151" spans="14:39" x14ac:dyDescent="0.25">
      <c r="N151" s="22"/>
      <c r="O151" s="77"/>
      <c r="P151" s="77"/>
      <c r="Q151" s="77"/>
      <c r="R151" s="77"/>
      <c r="S151" s="77"/>
      <c r="T151" s="77"/>
      <c r="U151" s="78"/>
      <c r="V151" s="10"/>
      <c r="W151" s="10"/>
      <c r="X151" s="10"/>
      <c r="Y151" s="10"/>
      <c r="Z151" s="74"/>
      <c r="AA151" s="74"/>
      <c r="AB151" s="74"/>
      <c r="AC151" s="74"/>
      <c r="AD151" s="74"/>
      <c r="AE151" s="418" t="s">
        <v>32</v>
      </c>
      <c r="AF151" s="419">
        <v>24.7</v>
      </c>
      <c r="AG151" s="420">
        <v>24.1</v>
      </c>
      <c r="AH151" s="420">
        <v>0.47</v>
      </c>
      <c r="AI151" s="420">
        <v>9.02</v>
      </c>
      <c r="AJ151" s="421">
        <v>0.77</v>
      </c>
      <c r="AK151" s="74"/>
      <c r="AL151" s="74"/>
      <c r="AM151" s="74"/>
    </row>
    <row r="152" spans="14:39" x14ac:dyDescent="0.25">
      <c r="N152" s="22"/>
      <c r="O152" s="77"/>
      <c r="P152" s="77"/>
      <c r="Q152" s="77"/>
      <c r="R152" s="77"/>
      <c r="S152" s="77"/>
      <c r="T152" s="77"/>
      <c r="U152" s="78"/>
      <c r="V152" s="10"/>
      <c r="W152" s="10"/>
      <c r="X152" s="10"/>
      <c r="Y152" s="10"/>
      <c r="Z152" s="74"/>
      <c r="AA152" s="74"/>
      <c r="AB152" s="74"/>
      <c r="AC152" s="74"/>
      <c r="AD152" s="74"/>
      <c r="AE152" s="418" t="s">
        <v>255</v>
      </c>
      <c r="AF152" s="419">
        <v>22.4</v>
      </c>
      <c r="AG152" s="420">
        <v>23.9</v>
      </c>
      <c r="AH152" s="420">
        <v>0.44</v>
      </c>
      <c r="AI152" s="420">
        <v>8.99</v>
      </c>
      <c r="AJ152" s="421">
        <v>0.68</v>
      </c>
      <c r="AK152" s="74"/>
      <c r="AL152" s="74"/>
      <c r="AM152" s="74"/>
    </row>
    <row r="153" spans="14:39" x14ac:dyDescent="0.25">
      <c r="N153" s="22"/>
      <c r="O153" s="77"/>
      <c r="P153" s="77"/>
      <c r="Q153" s="77"/>
      <c r="R153" s="77"/>
      <c r="S153" s="77"/>
      <c r="T153" s="77"/>
      <c r="U153" s="78"/>
      <c r="V153" s="10"/>
      <c r="W153" s="10"/>
      <c r="X153" s="10"/>
      <c r="Y153" s="10"/>
      <c r="Z153" s="74"/>
      <c r="AA153" s="74"/>
      <c r="AB153" s="74"/>
      <c r="AC153" s="74"/>
      <c r="AD153" s="74"/>
      <c r="AE153" s="418" t="s">
        <v>254</v>
      </c>
      <c r="AF153" s="419">
        <v>20.100000000000001</v>
      </c>
      <c r="AG153" s="420">
        <v>23.7</v>
      </c>
      <c r="AH153" s="420">
        <v>0.41499999999999998</v>
      </c>
      <c r="AI153" s="420">
        <v>8.9700000000000006</v>
      </c>
      <c r="AJ153" s="421">
        <v>0.58499999999999996</v>
      </c>
      <c r="AK153" s="74"/>
      <c r="AL153" s="74"/>
      <c r="AM153" s="74"/>
    </row>
    <row r="154" spans="14:39" x14ac:dyDescent="0.25">
      <c r="N154" s="22"/>
      <c r="O154" s="77"/>
      <c r="P154" s="77"/>
      <c r="Q154" s="77"/>
      <c r="R154" s="77"/>
      <c r="S154" s="77"/>
      <c r="T154" s="77"/>
      <c r="U154" s="78"/>
      <c r="V154" s="10"/>
      <c r="W154" s="10"/>
      <c r="X154" s="10"/>
      <c r="Y154" s="10"/>
      <c r="Z154" s="74"/>
      <c r="AA154" s="74"/>
      <c r="AB154" s="74"/>
      <c r="AC154" s="74"/>
      <c r="AD154" s="74"/>
      <c r="AE154" s="418" t="s">
        <v>253</v>
      </c>
      <c r="AF154" s="419">
        <v>18.3</v>
      </c>
      <c r="AG154" s="420">
        <v>23.7</v>
      </c>
      <c r="AH154" s="420">
        <v>0.43</v>
      </c>
      <c r="AI154" s="420">
        <v>7.04</v>
      </c>
      <c r="AJ154" s="421">
        <v>0.59</v>
      </c>
      <c r="AK154" s="74"/>
      <c r="AL154" s="74"/>
      <c r="AM154" s="74"/>
    </row>
    <row r="155" spans="14:39" x14ac:dyDescent="0.25">
      <c r="N155" s="22"/>
      <c r="O155" s="77"/>
      <c r="P155" s="77"/>
      <c r="Q155" s="77"/>
      <c r="R155" s="77"/>
      <c r="S155" s="77"/>
      <c r="T155" s="77"/>
      <c r="U155" s="78"/>
      <c r="V155" s="10"/>
      <c r="W155" s="10"/>
      <c r="X155" s="10"/>
      <c r="Y155" s="10"/>
      <c r="Z155" s="74"/>
      <c r="AA155" s="74"/>
      <c r="AB155" s="74"/>
      <c r="AC155" s="74"/>
      <c r="AD155" s="74"/>
      <c r="AE155" s="418" t="s">
        <v>261</v>
      </c>
      <c r="AF155" s="419">
        <v>16.3</v>
      </c>
      <c r="AG155" s="420">
        <v>23.6</v>
      </c>
      <c r="AH155" s="420">
        <v>0.39500000000000002</v>
      </c>
      <c r="AI155" s="420">
        <v>7.01</v>
      </c>
      <c r="AJ155" s="421">
        <v>0.505</v>
      </c>
      <c r="AK155" s="74"/>
      <c r="AL155" s="74"/>
      <c r="AM155" s="74"/>
    </row>
    <row r="156" spans="14:39" x14ac:dyDescent="0.25">
      <c r="N156" s="22"/>
      <c r="O156" s="77"/>
      <c r="P156" s="77"/>
      <c r="Q156" s="77"/>
      <c r="R156" s="77"/>
      <c r="S156" s="77"/>
      <c r="T156" s="77"/>
      <c r="U156" s="78"/>
      <c r="V156" s="10"/>
      <c r="W156" s="10"/>
      <c r="X156" s="10"/>
      <c r="Y156" s="10"/>
      <c r="Z156" s="74"/>
      <c r="AA156" s="74"/>
      <c r="AB156" s="74"/>
      <c r="AC156" s="74"/>
      <c r="AD156" s="74"/>
      <c r="AE156" s="418" t="s">
        <v>409</v>
      </c>
      <c r="AF156" s="419">
        <v>118</v>
      </c>
      <c r="AG156" s="420">
        <v>26.02</v>
      </c>
      <c r="AH156" s="420">
        <v>1.73</v>
      </c>
      <c r="AI156" s="422">
        <v>13.404999999999999</v>
      </c>
      <c r="AJ156" s="421">
        <v>3.13</v>
      </c>
      <c r="AK156" s="74"/>
      <c r="AL156" s="74"/>
      <c r="AM156" s="74"/>
    </row>
    <row r="157" spans="14:39" x14ac:dyDescent="0.25">
      <c r="N157" s="22"/>
      <c r="O157" s="77"/>
      <c r="P157" s="77"/>
      <c r="Q157" s="77"/>
      <c r="R157" s="77"/>
      <c r="S157" s="77"/>
      <c r="T157" s="77"/>
      <c r="U157" s="78"/>
      <c r="V157" s="10"/>
      <c r="W157" s="10"/>
      <c r="X157" s="10"/>
      <c r="Y157" s="10"/>
      <c r="Z157" s="74"/>
      <c r="AA157" s="74"/>
      <c r="AB157" s="74"/>
      <c r="AC157" s="74"/>
      <c r="AD157" s="74"/>
      <c r="AE157" s="418" t="s">
        <v>163</v>
      </c>
      <c r="AF157" s="419">
        <v>107</v>
      </c>
      <c r="AG157" s="420">
        <v>25.47</v>
      </c>
      <c r="AH157" s="420">
        <v>1.59</v>
      </c>
      <c r="AI157" s="422">
        <v>13.265000000000001</v>
      </c>
      <c r="AJ157" s="421">
        <v>2.85</v>
      </c>
      <c r="AK157" s="74"/>
      <c r="AL157" s="74"/>
      <c r="AM157" s="74"/>
    </row>
    <row r="158" spans="14:39" x14ac:dyDescent="0.25">
      <c r="N158" s="22"/>
      <c r="O158" s="77"/>
      <c r="P158" s="77"/>
      <c r="Q158" s="77"/>
      <c r="R158" s="77"/>
      <c r="S158" s="77"/>
      <c r="T158" s="77"/>
      <c r="U158" s="78"/>
      <c r="V158" s="10"/>
      <c r="W158" s="10"/>
      <c r="X158" s="10"/>
      <c r="Y158" s="10"/>
      <c r="Z158" s="74"/>
      <c r="AA158" s="74"/>
      <c r="AB158" s="74"/>
      <c r="AC158" s="74"/>
      <c r="AD158" s="74"/>
      <c r="AE158" s="418" t="s">
        <v>162</v>
      </c>
      <c r="AF158" s="419">
        <v>97.9</v>
      </c>
      <c r="AG158" s="420">
        <v>25</v>
      </c>
      <c r="AH158" s="420">
        <v>1.46</v>
      </c>
      <c r="AI158" s="423">
        <v>13.13</v>
      </c>
      <c r="AJ158" s="421">
        <v>2.62</v>
      </c>
      <c r="AK158" s="74"/>
      <c r="AL158" s="74"/>
      <c r="AM158" s="74"/>
    </row>
    <row r="159" spans="14:39" x14ac:dyDescent="0.25">
      <c r="N159" s="22"/>
      <c r="O159" s="77"/>
      <c r="P159" s="77"/>
      <c r="Q159" s="77"/>
      <c r="R159" s="77"/>
      <c r="S159" s="77"/>
      <c r="T159" s="77"/>
      <c r="U159" s="78"/>
      <c r="V159" s="10"/>
      <c r="W159" s="10"/>
      <c r="X159" s="10"/>
      <c r="Y159" s="10"/>
      <c r="Z159" s="74"/>
      <c r="AA159" s="74"/>
      <c r="AB159" s="74"/>
      <c r="AC159" s="74"/>
      <c r="AD159" s="74"/>
      <c r="AE159" s="418" t="s">
        <v>161</v>
      </c>
      <c r="AF159" s="419">
        <v>88.2</v>
      </c>
      <c r="AG159" s="420">
        <v>24.53</v>
      </c>
      <c r="AH159" s="420">
        <v>1.32</v>
      </c>
      <c r="AI159" s="423">
        <v>12.99</v>
      </c>
      <c r="AJ159" s="421">
        <v>2.38</v>
      </c>
      <c r="AK159" s="74"/>
      <c r="AL159" s="74"/>
      <c r="AM159" s="74"/>
    </row>
    <row r="160" spans="14:39" x14ac:dyDescent="0.25">
      <c r="N160" s="22"/>
      <c r="O160" s="77"/>
      <c r="P160" s="77"/>
      <c r="Q160" s="77"/>
      <c r="R160" s="77"/>
      <c r="S160" s="77"/>
      <c r="T160" s="77"/>
      <c r="U160" s="78"/>
      <c r="V160" s="10"/>
      <c r="W160" s="10"/>
      <c r="X160" s="10"/>
      <c r="Y160" s="10"/>
      <c r="Z160" s="74"/>
      <c r="AA160" s="74"/>
      <c r="AB160" s="74"/>
      <c r="AC160" s="74"/>
      <c r="AD160" s="74"/>
      <c r="AE160" s="418" t="s">
        <v>160</v>
      </c>
      <c r="AF160" s="419">
        <v>80.8</v>
      </c>
      <c r="AG160" s="420">
        <v>24.13</v>
      </c>
      <c r="AH160" s="420">
        <v>1.22</v>
      </c>
      <c r="AI160" s="423">
        <v>12.89</v>
      </c>
      <c r="AJ160" s="421">
        <v>2.19</v>
      </c>
      <c r="AK160" s="74"/>
      <c r="AL160" s="74"/>
      <c r="AM160" s="74"/>
    </row>
    <row r="161" spans="14:39" x14ac:dyDescent="0.25">
      <c r="N161" s="22"/>
      <c r="O161" s="77"/>
      <c r="P161" s="77"/>
      <c r="Q161" s="77"/>
      <c r="R161" s="77"/>
      <c r="S161" s="77"/>
      <c r="T161" s="77"/>
      <c r="U161" s="78"/>
      <c r="V161" s="10"/>
      <c r="W161" s="10"/>
      <c r="X161" s="10"/>
      <c r="Y161" s="10"/>
      <c r="Z161" s="74"/>
      <c r="AA161" s="74"/>
      <c r="AB161" s="74"/>
      <c r="AC161" s="74"/>
      <c r="AD161" s="74"/>
      <c r="AE161" s="418" t="s">
        <v>159</v>
      </c>
      <c r="AF161" s="419">
        <v>72.8</v>
      </c>
      <c r="AG161" s="420">
        <v>23.74</v>
      </c>
      <c r="AH161" s="420">
        <v>1.1000000000000001</v>
      </c>
      <c r="AI161" s="422">
        <v>12.775</v>
      </c>
      <c r="AJ161" s="421">
        <v>1.99</v>
      </c>
      <c r="AK161" s="74"/>
      <c r="AL161" s="74"/>
      <c r="AM161" s="74"/>
    </row>
    <row r="162" spans="14:39" x14ac:dyDescent="0.25">
      <c r="N162" s="22"/>
      <c r="O162" s="77"/>
      <c r="P162" s="77"/>
      <c r="Q162" s="77"/>
      <c r="R162" s="77"/>
      <c r="S162" s="77"/>
      <c r="T162" s="77"/>
      <c r="U162" s="78"/>
      <c r="V162" s="10"/>
      <c r="W162" s="10"/>
      <c r="X162" s="10"/>
      <c r="Y162" s="10"/>
      <c r="Z162" s="74"/>
      <c r="AA162" s="74"/>
      <c r="AB162" s="74"/>
      <c r="AC162" s="74"/>
      <c r="AD162" s="74"/>
      <c r="AE162" s="418" t="s">
        <v>158</v>
      </c>
      <c r="AF162" s="419">
        <v>65.400000000000006</v>
      </c>
      <c r="AG162" s="420">
        <v>23.35</v>
      </c>
      <c r="AH162" s="420">
        <v>1</v>
      </c>
      <c r="AI162" s="422">
        <v>12.675000000000001</v>
      </c>
      <c r="AJ162" s="421">
        <v>1.79</v>
      </c>
      <c r="AK162" s="74"/>
      <c r="AL162" s="74"/>
      <c r="AM162" s="74"/>
    </row>
    <row r="163" spans="14:39" x14ac:dyDescent="0.25">
      <c r="N163" s="22"/>
      <c r="O163" s="77"/>
      <c r="P163" s="77"/>
      <c r="Q163" s="77"/>
      <c r="R163" s="77"/>
      <c r="S163" s="77"/>
      <c r="T163" s="77"/>
      <c r="U163" s="78"/>
      <c r="V163" s="10"/>
      <c r="W163" s="10"/>
      <c r="X163" s="10"/>
      <c r="Y163" s="10"/>
      <c r="Z163" s="74"/>
      <c r="AA163" s="74"/>
      <c r="AB163" s="74"/>
      <c r="AC163" s="74"/>
      <c r="AD163" s="74"/>
      <c r="AE163" s="418" t="s">
        <v>368</v>
      </c>
      <c r="AF163" s="419">
        <v>59.2</v>
      </c>
      <c r="AG163" s="420">
        <v>23</v>
      </c>
      <c r="AH163" s="420">
        <v>0.91</v>
      </c>
      <c r="AI163" s="420">
        <v>12.6</v>
      </c>
      <c r="AJ163" s="421">
        <v>1.63</v>
      </c>
      <c r="AK163" s="74"/>
      <c r="AL163" s="74"/>
      <c r="AM163" s="74"/>
    </row>
    <row r="164" spans="14:39" x14ac:dyDescent="0.25">
      <c r="N164" s="22"/>
      <c r="O164" s="77"/>
      <c r="P164" s="77"/>
      <c r="Q164" s="77"/>
      <c r="R164" s="77"/>
      <c r="S164" s="77"/>
      <c r="T164" s="77"/>
      <c r="U164" s="78"/>
      <c r="V164" s="10"/>
      <c r="W164" s="10"/>
      <c r="X164" s="10"/>
      <c r="Y164" s="10"/>
      <c r="Z164" s="74"/>
      <c r="AA164" s="74"/>
      <c r="AB164" s="74"/>
      <c r="AC164" s="74"/>
      <c r="AD164" s="74"/>
      <c r="AE164" s="418" t="s">
        <v>367</v>
      </c>
      <c r="AF164" s="419">
        <v>53.6</v>
      </c>
      <c r="AG164" s="420">
        <v>22.7</v>
      </c>
      <c r="AH164" s="420">
        <v>0.83</v>
      </c>
      <c r="AI164" s="420">
        <v>12.5</v>
      </c>
      <c r="AJ164" s="421">
        <v>1.48</v>
      </c>
      <c r="AK164" s="74"/>
      <c r="AL164" s="74"/>
      <c r="AM164" s="74"/>
    </row>
    <row r="165" spans="14:39" x14ac:dyDescent="0.25">
      <c r="N165" s="22"/>
      <c r="O165" s="77"/>
      <c r="P165" s="77"/>
      <c r="Q165" s="77"/>
      <c r="R165" s="77"/>
      <c r="S165" s="77"/>
      <c r="T165" s="77"/>
      <c r="U165" s="78"/>
      <c r="V165" s="10"/>
      <c r="W165" s="10"/>
      <c r="X165" s="10"/>
      <c r="Y165" s="10"/>
      <c r="Z165" s="74"/>
      <c r="AA165" s="74"/>
      <c r="AB165" s="74"/>
      <c r="AC165" s="74"/>
      <c r="AD165" s="74"/>
      <c r="AE165" s="418" t="s">
        <v>366</v>
      </c>
      <c r="AF165" s="419">
        <v>48.8</v>
      </c>
      <c r="AG165" s="420">
        <v>22.5</v>
      </c>
      <c r="AH165" s="420">
        <v>0.75</v>
      </c>
      <c r="AI165" s="420">
        <v>12.4</v>
      </c>
      <c r="AJ165" s="421">
        <v>1.36</v>
      </c>
      <c r="AK165" s="74"/>
      <c r="AL165" s="74"/>
      <c r="AM165" s="74"/>
    </row>
    <row r="166" spans="14:39" x14ac:dyDescent="0.25">
      <c r="N166" s="22"/>
      <c r="O166" s="77"/>
      <c r="P166" s="77"/>
      <c r="Q166" s="77"/>
      <c r="R166" s="77"/>
      <c r="S166" s="77"/>
      <c r="T166" s="77"/>
      <c r="U166" s="78"/>
      <c r="V166" s="10"/>
      <c r="W166" s="10"/>
      <c r="X166" s="10"/>
      <c r="Y166" s="10"/>
      <c r="Z166" s="74"/>
      <c r="AA166" s="74"/>
      <c r="AB166" s="74"/>
      <c r="AC166" s="74"/>
      <c r="AD166" s="74"/>
      <c r="AE166" s="418" t="s">
        <v>427</v>
      </c>
      <c r="AF166" s="419">
        <v>43.2</v>
      </c>
      <c r="AG166" s="420">
        <v>22.1</v>
      </c>
      <c r="AH166" s="420">
        <v>0.72</v>
      </c>
      <c r="AI166" s="420">
        <v>12.5</v>
      </c>
      <c r="AJ166" s="421">
        <v>1.1499999999999999</v>
      </c>
      <c r="AK166" s="74"/>
      <c r="AL166" s="74"/>
      <c r="AM166" s="74"/>
    </row>
    <row r="167" spans="14:39" x14ac:dyDescent="0.25">
      <c r="N167" s="22"/>
      <c r="O167" s="77"/>
      <c r="P167" s="77"/>
      <c r="Q167" s="77"/>
      <c r="R167" s="77"/>
      <c r="S167" s="77"/>
      <c r="T167" s="77"/>
      <c r="U167" s="78"/>
      <c r="V167" s="10"/>
      <c r="W167" s="10"/>
      <c r="X167" s="10"/>
      <c r="Y167" s="10"/>
      <c r="Z167" s="74"/>
      <c r="AA167" s="74"/>
      <c r="AB167" s="74"/>
      <c r="AC167" s="74"/>
      <c r="AD167" s="74"/>
      <c r="AE167" s="418" t="s">
        <v>426</v>
      </c>
      <c r="AF167" s="419">
        <v>38.799999999999997</v>
      </c>
      <c r="AG167" s="420">
        <v>21.8</v>
      </c>
      <c r="AH167" s="420">
        <v>0.65</v>
      </c>
      <c r="AI167" s="420">
        <v>12.4</v>
      </c>
      <c r="AJ167" s="421">
        <v>1.03</v>
      </c>
      <c r="AK167" s="74"/>
      <c r="AL167" s="74"/>
      <c r="AM167" s="74"/>
    </row>
    <row r="168" spans="14:39" x14ac:dyDescent="0.25">
      <c r="N168" s="22"/>
      <c r="O168" s="77"/>
      <c r="P168" s="77"/>
      <c r="Q168" s="77"/>
      <c r="R168" s="77"/>
      <c r="S168" s="77"/>
      <c r="T168" s="77"/>
      <c r="U168" s="78"/>
      <c r="V168" s="10"/>
      <c r="W168" s="10"/>
      <c r="X168" s="10"/>
      <c r="Y168" s="10"/>
      <c r="Z168" s="74"/>
      <c r="AA168" s="74"/>
      <c r="AB168" s="74"/>
      <c r="AC168" s="74"/>
      <c r="AD168" s="74"/>
      <c r="AE168" s="418" t="s">
        <v>425</v>
      </c>
      <c r="AF168" s="419">
        <v>35.9</v>
      </c>
      <c r="AG168" s="420">
        <v>21.7</v>
      </c>
      <c r="AH168" s="420">
        <v>0.6</v>
      </c>
      <c r="AI168" s="420">
        <v>12.4</v>
      </c>
      <c r="AJ168" s="421">
        <v>0.96</v>
      </c>
      <c r="AK168" s="74"/>
      <c r="AL168" s="74"/>
      <c r="AM168" s="74"/>
    </row>
    <row r="169" spans="14:39" x14ac:dyDescent="0.25">
      <c r="N169" s="22"/>
      <c r="O169" s="77"/>
      <c r="P169" s="77"/>
      <c r="Q169" s="77"/>
      <c r="R169" s="77"/>
      <c r="S169" s="77"/>
      <c r="T169" s="77"/>
      <c r="U169" s="78"/>
      <c r="V169" s="10"/>
      <c r="W169" s="10"/>
      <c r="X169" s="10"/>
      <c r="Y169" s="10"/>
      <c r="Z169" s="74"/>
      <c r="AA169" s="74"/>
      <c r="AB169" s="74"/>
      <c r="AC169" s="74"/>
      <c r="AD169" s="74"/>
      <c r="AE169" s="418" t="s">
        <v>424</v>
      </c>
      <c r="AF169" s="419">
        <v>32.700000000000003</v>
      </c>
      <c r="AG169" s="420">
        <v>21.5</v>
      </c>
      <c r="AH169" s="420">
        <v>0.55000000000000004</v>
      </c>
      <c r="AI169" s="420">
        <v>12.3</v>
      </c>
      <c r="AJ169" s="421">
        <v>0.875</v>
      </c>
      <c r="AK169" s="74"/>
      <c r="AL169" s="74"/>
      <c r="AM169" s="74"/>
    </row>
    <row r="170" spans="14:39" x14ac:dyDescent="0.25">
      <c r="N170" s="22"/>
      <c r="O170" s="77"/>
      <c r="P170" s="77"/>
      <c r="Q170" s="77"/>
      <c r="R170" s="77"/>
      <c r="S170" s="77"/>
      <c r="T170" s="77"/>
      <c r="U170" s="78"/>
      <c r="V170" s="10"/>
      <c r="W170" s="10"/>
      <c r="X170" s="10"/>
      <c r="Y170" s="10"/>
      <c r="Z170" s="74"/>
      <c r="AA170" s="74"/>
      <c r="AB170" s="74"/>
      <c r="AC170" s="74"/>
      <c r="AD170" s="74"/>
      <c r="AE170" s="418" t="s">
        <v>423</v>
      </c>
      <c r="AF170" s="419">
        <v>29.8</v>
      </c>
      <c r="AG170" s="420">
        <v>21.4</v>
      </c>
      <c r="AH170" s="420">
        <v>0.5</v>
      </c>
      <c r="AI170" s="420">
        <v>12.3</v>
      </c>
      <c r="AJ170" s="421">
        <v>0.8</v>
      </c>
      <c r="AK170" s="74"/>
      <c r="AL170" s="74"/>
      <c r="AM170" s="74"/>
    </row>
    <row r="171" spans="14:39" x14ac:dyDescent="0.25">
      <c r="N171" s="22"/>
      <c r="O171" s="77"/>
      <c r="P171" s="77"/>
      <c r="Q171" s="77"/>
      <c r="R171" s="77"/>
      <c r="S171" s="77"/>
      <c r="T171" s="77"/>
      <c r="U171" s="78"/>
      <c r="V171" s="10"/>
      <c r="W171" s="10"/>
      <c r="X171" s="10"/>
      <c r="Y171" s="10"/>
      <c r="Z171" s="74"/>
      <c r="AA171" s="74"/>
      <c r="AB171" s="74"/>
      <c r="AC171" s="74"/>
      <c r="AD171" s="74"/>
      <c r="AE171" s="418" t="s">
        <v>422</v>
      </c>
      <c r="AF171" s="419">
        <v>27.3</v>
      </c>
      <c r="AG171" s="420">
        <v>21.6</v>
      </c>
      <c r="AH171" s="420">
        <v>0.57999999999999996</v>
      </c>
      <c r="AI171" s="420">
        <v>8.42</v>
      </c>
      <c r="AJ171" s="421">
        <v>0.93</v>
      </c>
      <c r="AK171" s="74"/>
      <c r="AL171" s="74"/>
      <c r="AM171" s="74"/>
    </row>
    <row r="172" spans="14:39" x14ac:dyDescent="0.25">
      <c r="N172" s="22"/>
      <c r="O172" s="77"/>
      <c r="P172" s="77"/>
      <c r="Q172" s="77"/>
      <c r="R172" s="77"/>
      <c r="S172" s="77"/>
      <c r="T172" s="77"/>
      <c r="U172" s="78"/>
      <c r="V172" s="10"/>
      <c r="W172" s="10"/>
      <c r="X172" s="10"/>
      <c r="Y172" s="10"/>
      <c r="Z172" s="74"/>
      <c r="AA172" s="74"/>
      <c r="AB172" s="74"/>
      <c r="AC172" s="74"/>
      <c r="AD172" s="74"/>
      <c r="AE172" s="418" t="s">
        <v>421</v>
      </c>
      <c r="AF172" s="419">
        <v>24.3</v>
      </c>
      <c r="AG172" s="420">
        <v>21.4</v>
      </c>
      <c r="AH172" s="420">
        <v>0.51500000000000001</v>
      </c>
      <c r="AI172" s="420">
        <v>8.36</v>
      </c>
      <c r="AJ172" s="421">
        <v>0.83499999999999996</v>
      </c>
      <c r="AK172" s="74"/>
      <c r="AL172" s="74"/>
      <c r="AM172" s="74"/>
    </row>
    <row r="173" spans="14:39" x14ac:dyDescent="0.25">
      <c r="N173" s="22"/>
      <c r="O173" s="77"/>
      <c r="P173" s="77"/>
      <c r="Q173" s="77"/>
      <c r="R173" s="77"/>
      <c r="S173" s="77"/>
      <c r="T173" s="77"/>
      <c r="U173" s="78"/>
      <c r="V173" s="10"/>
      <c r="W173" s="10"/>
      <c r="X173" s="10"/>
      <c r="Y173" s="10"/>
      <c r="Z173" s="74"/>
      <c r="AA173" s="74"/>
      <c r="AB173" s="74"/>
      <c r="AC173" s="74"/>
      <c r="AD173" s="74"/>
      <c r="AE173" s="418" t="s">
        <v>375</v>
      </c>
      <c r="AF173" s="419">
        <v>21.5</v>
      </c>
      <c r="AG173" s="420">
        <v>21.2</v>
      </c>
      <c r="AH173" s="420">
        <v>0.45500000000000002</v>
      </c>
      <c r="AI173" s="420">
        <v>8.3000000000000007</v>
      </c>
      <c r="AJ173" s="421">
        <v>0.74</v>
      </c>
      <c r="AK173" s="74"/>
      <c r="AL173" s="74"/>
      <c r="AM173" s="74"/>
    </row>
    <row r="174" spans="14:39" x14ac:dyDescent="0.25">
      <c r="N174" s="22"/>
      <c r="O174" s="77"/>
      <c r="P174" s="77"/>
      <c r="Q174" s="77"/>
      <c r="R174" s="77"/>
      <c r="S174" s="77"/>
      <c r="T174" s="77"/>
      <c r="U174" s="78"/>
      <c r="V174" s="10"/>
      <c r="W174" s="10"/>
      <c r="X174" s="10"/>
      <c r="Y174" s="10"/>
      <c r="Z174" s="74"/>
      <c r="AA174" s="74"/>
      <c r="AB174" s="74"/>
      <c r="AC174" s="74"/>
      <c r="AD174" s="74"/>
      <c r="AE174" s="418" t="s">
        <v>374</v>
      </c>
      <c r="AF174" s="419">
        <v>20</v>
      </c>
      <c r="AG174" s="420">
        <v>21.1</v>
      </c>
      <c r="AH174" s="420">
        <v>0.43</v>
      </c>
      <c r="AI174" s="420">
        <v>8.27</v>
      </c>
      <c r="AJ174" s="421">
        <v>0.68500000000000005</v>
      </c>
      <c r="AK174" s="74"/>
      <c r="AL174" s="74"/>
      <c r="AM174" s="74"/>
    </row>
    <row r="175" spans="14:39" x14ac:dyDescent="0.25">
      <c r="N175" s="22"/>
      <c r="O175" s="77"/>
      <c r="P175" s="77"/>
      <c r="Q175" s="77"/>
      <c r="R175" s="77"/>
      <c r="S175" s="77"/>
      <c r="T175" s="77"/>
      <c r="U175" s="78"/>
      <c r="V175" s="10"/>
      <c r="W175" s="10"/>
      <c r="X175" s="10"/>
      <c r="Y175" s="10"/>
      <c r="Z175" s="74"/>
      <c r="AA175" s="74"/>
      <c r="AB175" s="74"/>
      <c r="AC175" s="74"/>
      <c r="AD175" s="74"/>
      <c r="AE175" s="418" t="s">
        <v>373</v>
      </c>
      <c r="AF175" s="419">
        <v>18.3</v>
      </c>
      <c r="AG175" s="420">
        <v>21</v>
      </c>
      <c r="AH175" s="420">
        <v>0.4</v>
      </c>
      <c r="AI175" s="420">
        <v>8.24</v>
      </c>
      <c r="AJ175" s="421">
        <v>0.61499999999999999</v>
      </c>
      <c r="AK175" s="74"/>
      <c r="AL175" s="74"/>
      <c r="AM175" s="74"/>
    </row>
    <row r="176" spans="14:39" x14ac:dyDescent="0.25">
      <c r="N176" s="22"/>
      <c r="O176" s="77"/>
      <c r="P176" s="77"/>
      <c r="Q176" s="77"/>
      <c r="R176" s="77"/>
      <c r="S176" s="77"/>
      <c r="T176" s="77"/>
      <c r="U176" s="78"/>
      <c r="V176" s="10"/>
      <c r="W176" s="10"/>
      <c r="X176" s="10"/>
      <c r="Y176" s="10"/>
      <c r="Z176" s="74"/>
      <c r="AA176" s="74"/>
      <c r="AB176" s="74"/>
      <c r="AC176" s="74"/>
      <c r="AD176" s="74"/>
      <c r="AE176" s="418" t="s">
        <v>372</v>
      </c>
      <c r="AF176" s="419">
        <v>16.7</v>
      </c>
      <c r="AG176" s="420">
        <v>21.1</v>
      </c>
      <c r="AH176" s="420">
        <v>0.40500000000000003</v>
      </c>
      <c r="AI176" s="420">
        <v>6.56</v>
      </c>
      <c r="AJ176" s="421">
        <v>0.65</v>
      </c>
      <c r="AK176" s="74"/>
      <c r="AL176" s="74"/>
      <c r="AM176" s="74"/>
    </row>
    <row r="177" spans="14:39" x14ac:dyDescent="0.25">
      <c r="N177" s="22"/>
      <c r="O177" s="77"/>
      <c r="P177" s="77"/>
      <c r="Q177" s="77"/>
      <c r="R177" s="77"/>
      <c r="S177" s="77"/>
      <c r="T177" s="77"/>
      <c r="U177" s="78"/>
      <c r="V177" s="10"/>
      <c r="W177" s="10"/>
      <c r="X177" s="10"/>
      <c r="Y177" s="10"/>
      <c r="Z177" s="74"/>
      <c r="AA177" s="74"/>
      <c r="AB177" s="74"/>
      <c r="AC177" s="74"/>
      <c r="AD177" s="74"/>
      <c r="AE177" s="418" t="s">
        <v>6</v>
      </c>
      <c r="AF177" s="419">
        <v>16.2</v>
      </c>
      <c r="AG177" s="420">
        <v>20.8</v>
      </c>
      <c r="AH177" s="420">
        <v>0.375</v>
      </c>
      <c r="AI177" s="420">
        <v>8.2200000000000006</v>
      </c>
      <c r="AJ177" s="421">
        <v>0.52200000000000002</v>
      </c>
      <c r="AK177" s="74"/>
      <c r="AL177" s="74"/>
      <c r="AM177" s="74"/>
    </row>
    <row r="178" spans="14:39" x14ac:dyDescent="0.25">
      <c r="N178" s="22"/>
      <c r="O178" s="77"/>
      <c r="P178" s="77"/>
      <c r="Q178" s="77"/>
      <c r="R178" s="77"/>
      <c r="S178" s="77"/>
      <c r="T178" s="77"/>
      <c r="U178" s="78"/>
      <c r="V178" s="10"/>
      <c r="W178" s="10"/>
      <c r="X178" s="10"/>
      <c r="Y178" s="10"/>
      <c r="Z178" s="74"/>
      <c r="AA178" s="74"/>
      <c r="AB178" s="74"/>
      <c r="AC178" s="74"/>
      <c r="AD178" s="74"/>
      <c r="AE178" s="418" t="s">
        <v>371</v>
      </c>
      <c r="AF178" s="419">
        <v>14.7</v>
      </c>
      <c r="AG178" s="420">
        <v>20.8</v>
      </c>
      <c r="AH178" s="420">
        <v>0.38</v>
      </c>
      <c r="AI178" s="420">
        <v>6.53</v>
      </c>
      <c r="AJ178" s="421">
        <v>0.53500000000000003</v>
      </c>
      <c r="AK178" s="74"/>
      <c r="AL178" s="74"/>
      <c r="AM178" s="74"/>
    </row>
    <row r="179" spans="14:39" x14ac:dyDescent="0.25">
      <c r="N179" s="22"/>
      <c r="O179" s="77"/>
      <c r="P179" s="77"/>
      <c r="Q179" s="77"/>
      <c r="R179" s="77"/>
      <c r="S179" s="77"/>
      <c r="T179" s="77"/>
      <c r="U179" s="78"/>
      <c r="V179" s="10"/>
      <c r="W179" s="10"/>
      <c r="X179" s="10"/>
      <c r="Y179" s="10"/>
      <c r="Z179" s="74"/>
      <c r="AA179" s="74"/>
      <c r="AB179" s="74"/>
      <c r="AC179" s="74"/>
      <c r="AD179" s="74"/>
      <c r="AE179" s="418" t="s">
        <v>7</v>
      </c>
      <c r="AF179" s="419">
        <v>14.1</v>
      </c>
      <c r="AG179" s="420">
        <v>20.6</v>
      </c>
      <c r="AH179" s="420">
        <v>0.35</v>
      </c>
      <c r="AI179" s="420">
        <v>8.14</v>
      </c>
      <c r="AJ179" s="421">
        <v>0.43</v>
      </c>
      <c r="AK179" s="74"/>
      <c r="AL179" s="74"/>
      <c r="AM179" s="74"/>
    </row>
    <row r="180" spans="14:39" x14ac:dyDescent="0.25">
      <c r="N180" s="22"/>
      <c r="O180" s="77"/>
      <c r="P180" s="77"/>
      <c r="Q180" s="77"/>
      <c r="R180" s="77"/>
      <c r="S180" s="77"/>
      <c r="T180" s="77"/>
      <c r="U180" s="78"/>
      <c r="V180" s="10"/>
      <c r="W180" s="10"/>
      <c r="X180" s="10"/>
      <c r="Y180" s="10"/>
      <c r="Z180" s="74"/>
      <c r="AA180" s="74"/>
      <c r="AB180" s="74"/>
      <c r="AC180" s="74"/>
      <c r="AD180" s="74"/>
      <c r="AE180" s="418" t="s">
        <v>370</v>
      </c>
      <c r="AF180" s="419">
        <v>13</v>
      </c>
      <c r="AG180" s="420">
        <v>20.7</v>
      </c>
      <c r="AH180" s="420">
        <v>0.35</v>
      </c>
      <c r="AI180" s="420">
        <v>6.5</v>
      </c>
      <c r="AJ180" s="421">
        <v>0.45</v>
      </c>
      <c r="AK180" s="74"/>
      <c r="AL180" s="74"/>
      <c r="AM180" s="74"/>
    </row>
    <row r="181" spans="14:39" x14ac:dyDescent="0.25">
      <c r="N181" s="22"/>
      <c r="O181" s="77"/>
      <c r="P181" s="77"/>
      <c r="Q181" s="77"/>
      <c r="R181" s="77"/>
      <c r="S181" s="77"/>
      <c r="T181" s="77"/>
      <c r="U181" s="78"/>
      <c r="V181" s="10"/>
      <c r="W181" s="10"/>
      <c r="X181" s="10"/>
      <c r="Y181" s="10"/>
      <c r="Z181" s="74"/>
      <c r="AA181" s="74"/>
      <c r="AB181" s="74"/>
      <c r="AC181" s="74"/>
      <c r="AD181" s="74"/>
      <c r="AE181" s="418" t="s">
        <v>369</v>
      </c>
      <c r="AF181" s="419">
        <v>91.5</v>
      </c>
      <c r="AG181" s="420">
        <v>22.32</v>
      </c>
      <c r="AH181" s="420">
        <v>1.52</v>
      </c>
      <c r="AI181" s="420">
        <v>12.005000000000001</v>
      </c>
      <c r="AJ181" s="421">
        <v>2.74</v>
      </c>
      <c r="AK181" s="74"/>
      <c r="AL181" s="74"/>
      <c r="AM181" s="74"/>
    </row>
    <row r="182" spans="14:39" x14ac:dyDescent="0.25">
      <c r="N182" s="22"/>
      <c r="O182" s="77"/>
      <c r="P182" s="77"/>
      <c r="Q182" s="77"/>
      <c r="R182" s="77"/>
      <c r="S182" s="77"/>
      <c r="T182" s="77"/>
      <c r="U182" s="78"/>
      <c r="V182" s="10"/>
      <c r="W182" s="10"/>
      <c r="X182" s="10"/>
      <c r="Y182" s="10"/>
      <c r="Z182" s="74"/>
      <c r="AA182" s="74"/>
      <c r="AB182" s="74"/>
      <c r="AC182" s="74"/>
      <c r="AD182" s="74"/>
      <c r="AE182" s="418" t="s">
        <v>216</v>
      </c>
      <c r="AF182" s="419">
        <v>83.2</v>
      </c>
      <c r="AG182" s="420">
        <v>21.85</v>
      </c>
      <c r="AH182" s="420">
        <v>1.4</v>
      </c>
      <c r="AI182" s="420">
        <v>11.89</v>
      </c>
      <c r="AJ182" s="421">
        <v>2.5</v>
      </c>
      <c r="AK182" s="74"/>
      <c r="AL182" s="74"/>
      <c r="AM182" s="74"/>
    </row>
    <row r="183" spans="14:39" x14ac:dyDescent="0.25">
      <c r="N183" s="22"/>
      <c r="O183" s="77"/>
      <c r="P183" s="77"/>
      <c r="Q183" s="77"/>
      <c r="R183" s="77"/>
      <c r="S183" s="77"/>
      <c r="T183" s="77"/>
      <c r="U183" s="78"/>
      <c r="V183" s="10"/>
      <c r="W183" s="10"/>
      <c r="X183" s="10"/>
      <c r="Y183" s="10"/>
      <c r="Z183" s="74"/>
      <c r="AA183" s="74"/>
      <c r="AB183" s="74"/>
      <c r="AC183" s="74"/>
      <c r="AD183" s="74"/>
      <c r="AE183" s="418" t="s">
        <v>215</v>
      </c>
      <c r="AF183" s="419">
        <v>75.900000000000006</v>
      </c>
      <c r="AG183" s="420">
        <v>21.46</v>
      </c>
      <c r="AH183" s="420">
        <v>1.28</v>
      </c>
      <c r="AI183" s="420">
        <v>11.77</v>
      </c>
      <c r="AJ183" s="421">
        <v>2.2999999999999998</v>
      </c>
      <c r="AK183" s="74"/>
      <c r="AL183" s="74"/>
      <c r="AM183" s="74"/>
    </row>
    <row r="184" spans="14:39" x14ac:dyDescent="0.25">
      <c r="N184" s="22"/>
      <c r="O184" s="77"/>
      <c r="P184" s="77"/>
      <c r="Q184" s="77"/>
      <c r="R184" s="77"/>
      <c r="S184" s="77"/>
      <c r="T184" s="77"/>
      <c r="U184" s="78"/>
      <c r="V184" s="10"/>
      <c r="W184" s="10"/>
      <c r="X184" s="10"/>
      <c r="Y184" s="10"/>
      <c r="Z184" s="74"/>
      <c r="AA184" s="74"/>
      <c r="AB184" s="74"/>
      <c r="AC184" s="74"/>
      <c r="AD184" s="74"/>
      <c r="AE184" s="418" t="s">
        <v>430</v>
      </c>
      <c r="AF184" s="419">
        <v>68.8</v>
      </c>
      <c r="AG184" s="420">
        <v>21.06</v>
      </c>
      <c r="AH184" s="420">
        <v>1.1599999999999999</v>
      </c>
      <c r="AI184" s="420">
        <v>11.65</v>
      </c>
      <c r="AJ184" s="421">
        <v>2.11</v>
      </c>
      <c r="AK184" s="74"/>
      <c r="AL184" s="74"/>
      <c r="AM184" s="74"/>
    </row>
    <row r="185" spans="14:39" x14ac:dyDescent="0.25">
      <c r="N185" s="22"/>
      <c r="O185" s="77"/>
      <c r="P185" s="77"/>
      <c r="Q185" s="77"/>
      <c r="R185" s="77"/>
      <c r="S185" s="77"/>
      <c r="T185" s="77"/>
      <c r="U185" s="78"/>
      <c r="V185" s="10"/>
      <c r="W185" s="10"/>
      <c r="X185" s="10"/>
      <c r="Y185" s="10"/>
      <c r="Z185" s="74"/>
      <c r="AA185" s="74"/>
      <c r="AB185" s="74"/>
      <c r="AC185" s="74"/>
      <c r="AD185" s="74"/>
      <c r="AE185" s="418" t="s">
        <v>429</v>
      </c>
      <c r="AF185" s="419">
        <v>62.1</v>
      </c>
      <c r="AG185" s="420">
        <v>20.67</v>
      </c>
      <c r="AH185" s="420">
        <v>1.06</v>
      </c>
      <c r="AI185" s="420">
        <v>11.555</v>
      </c>
      <c r="AJ185" s="421">
        <v>1.91</v>
      </c>
      <c r="AK185" s="74"/>
      <c r="AL185" s="74"/>
      <c r="AM185" s="74"/>
    </row>
    <row r="186" spans="14:39" x14ac:dyDescent="0.25">
      <c r="N186" s="22"/>
      <c r="O186" s="77"/>
      <c r="P186" s="77"/>
      <c r="Q186" s="77"/>
      <c r="R186" s="77"/>
      <c r="S186" s="77"/>
      <c r="T186" s="77"/>
      <c r="U186" s="78"/>
      <c r="V186" s="10"/>
      <c r="W186" s="10"/>
      <c r="X186" s="10"/>
      <c r="Y186" s="10"/>
      <c r="Z186" s="74"/>
      <c r="AA186" s="74"/>
      <c r="AB186" s="74"/>
      <c r="AC186" s="74"/>
      <c r="AD186" s="74"/>
      <c r="AE186" s="418" t="s">
        <v>428</v>
      </c>
      <c r="AF186" s="419">
        <v>56.4</v>
      </c>
      <c r="AG186" s="420">
        <v>20.350000000000001</v>
      </c>
      <c r="AH186" s="420">
        <v>0.96</v>
      </c>
      <c r="AI186" s="420">
        <v>11.455</v>
      </c>
      <c r="AJ186" s="421">
        <v>1.75</v>
      </c>
      <c r="AK186" s="74"/>
      <c r="AL186" s="74"/>
      <c r="AM186" s="74"/>
    </row>
    <row r="187" spans="14:39" x14ac:dyDescent="0.25">
      <c r="N187" s="22"/>
      <c r="O187" s="77"/>
      <c r="P187" s="77"/>
      <c r="Q187" s="77"/>
      <c r="R187" s="77"/>
      <c r="S187" s="77"/>
      <c r="T187" s="77"/>
      <c r="U187" s="78"/>
      <c r="V187" s="10"/>
      <c r="W187" s="10"/>
      <c r="X187" s="10"/>
      <c r="Y187" s="10"/>
      <c r="Z187" s="74"/>
      <c r="AA187" s="74"/>
      <c r="AB187" s="74"/>
      <c r="AC187" s="74"/>
      <c r="AD187" s="74"/>
      <c r="AE187" s="418" t="s">
        <v>248</v>
      </c>
      <c r="AF187" s="419">
        <v>51.3</v>
      </c>
      <c r="AG187" s="420">
        <v>20</v>
      </c>
      <c r="AH187" s="420">
        <v>0.89</v>
      </c>
      <c r="AI187" s="420">
        <v>11.4</v>
      </c>
      <c r="AJ187" s="421">
        <v>1.59</v>
      </c>
      <c r="AK187" s="74"/>
      <c r="AL187" s="74"/>
      <c r="AM187" s="74"/>
    </row>
    <row r="188" spans="14:39" x14ac:dyDescent="0.25">
      <c r="N188" s="22"/>
      <c r="O188" s="77"/>
      <c r="P188" s="77"/>
      <c r="Q188" s="77"/>
      <c r="R188" s="77"/>
      <c r="S188" s="77"/>
      <c r="T188" s="77"/>
      <c r="U188" s="78"/>
      <c r="V188" s="10"/>
      <c r="W188" s="10"/>
      <c r="X188" s="10"/>
      <c r="Y188" s="10"/>
      <c r="Z188" s="74"/>
      <c r="AA188" s="74"/>
      <c r="AB188" s="74"/>
      <c r="AC188" s="74"/>
      <c r="AD188" s="74"/>
      <c r="AE188" s="418" t="s">
        <v>247</v>
      </c>
      <c r="AF188" s="419">
        <v>46.3</v>
      </c>
      <c r="AG188" s="420">
        <v>19.7</v>
      </c>
      <c r="AH188" s="420">
        <v>0.81</v>
      </c>
      <c r="AI188" s="420">
        <v>11.3</v>
      </c>
      <c r="AJ188" s="421">
        <v>1.44</v>
      </c>
      <c r="AK188" s="74"/>
      <c r="AL188" s="74"/>
      <c r="AM188" s="74"/>
    </row>
    <row r="189" spans="14:39" x14ac:dyDescent="0.25">
      <c r="N189" s="22"/>
      <c r="O189" s="77"/>
      <c r="P189" s="77"/>
      <c r="Q189" s="77"/>
      <c r="R189" s="77"/>
      <c r="S189" s="77"/>
      <c r="T189" s="77"/>
      <c r="U189" s="78"/>
      <c r="V189" s="10"/>
      <c r="W189" s="10"/>
      <c r="X189" s="10"/>
      <c r="Y189" s="10"/>
      <c r="Z189" s="74"/>
      <c r="AA189" s="74"/>
      <c r="AB189" s="74"/>
      <c r="AC189" s="74"/>
      <c r="AD189" s="74"/>
      <c r="AE189" s="418" t="s">
        <v>246</v>
      </c>
      <c r="AF189" s="419">
        <v>42.1</v>
      </c>
      <c r="AG189" s="420">
        <v>19.5</v>
      </c>
      <c r="AH189" s="420">
        <v>0.73</v>
      </c>
      <c r="AI189" s="420">
        <v>11.2</v>
      </c>
      <c r="AJ189" s="421">
        <v>1.32</v>
      </c>
      <c r="AK189" s="74"/>
      <c r="AL189" s="74"/>
      <c r="AM189" s="74"/>
    </row>
    <row r="190" spans="14:39" x14ac:dyDescent="0.25">
      <c r="N190" s="22"/>
      <c r="O190" s="77"/>
      <c r="P190" s="77"/>
      <c r="Q190" s="77"/>
      <c r="R190" s="77"/>
      <c r="S190" s="77"/>
      <c r="T190" s="77"/>
      <c r="U190" s="78"/>
      <c r="V190" s="10"/>
      <c r="W190" s="10"/>
      <c r="X190" s="10"/>
      <c r="Y190" s="10"/>
      <c r="Z190" s="74"/>
      <c r="AA190" s="74"/>
      <c r="AB190" s="74"/>
      <c r="AC190" s="74"/>
      <c r="AD190" s="74"/>
      <c r="AE190" s="418" t="s">
        <v>287</v>
      </c>
      <c r="AF190" s="419">
        <v>38.200000000000003</v>
      </c>
      <c r="AG190" s="420">
        <v>19.3</v>
      </c>
      <c r="AH190" s="420">
        <v>0.67</v>
      </c>
      <c r="AI190" s="420">
        <v>11.2</v>
      </c>
      <c r="AJ190" s="421">
        <v>1.2</v>
      </c>
      <c r="AK190" s="74"/>
      <c r="AL190" s="74"/>
      <c r="AM190" s="74"/>
    </row>
    <row r="191" spans="14:39" x14ac:dyDescent="0.25">
      <c r="N191" s="22"/>
      <c r="O191" s="77"/>
      <c r="P191" s="77"/>
      <c r="Q191" s="77"/>
      <c r="R191" s="77"/>
      <c r="S191" s="77"/>
      <c r="T191" s="77"/>
      <c r="U191" s="78"/>
      <c r="V191" s="10"/>
      <c r="W191" s="10"/>
      <c r="X191" s="10"/>
      <c r="Y191" s="10"/>
      <c r="Z191" s="74"/>
      <c r="AA191" s="74"/>
      <c r="AB191" s="74"/>
      <c r="AC191" s="74"/>
      <c r="AD191" s="74"/>
      <c r="AE191" s="418" t="s">
        <v>286</v>
      </c>
      <c r="AF191" s="419">
        <v>35.1</v>
      </c>
      <c r="AG191" s="420">
        <v>19</v>
      </c>
      <c r="AH191" s="420">
        <v>0.65500000000000003</v>
      </c>
      <c r="AI191" s="420">
        <v>11.3</v>
      </c>
      <c r="AJ191" s="421">
        <v>1.06</v>
      </c>
      <c r="AK191" s="74"/>
      <c r="AL191" s="74"/>
      <c r="AM191" s="74"/>
    </row>
    <row r="192" spans="14:39" x14ac:dyDescent="0.25">
      <c r="N192" s="22"/>
      <c r="O192" s="77"/>
      <c r="P192" s="77"/>
      <c r="Q192" s="77"/>
      <c r="R192" s="77"/>
      <c r="S192" s="77"/>
      <c r="T192" s="77"/>
      <c r="U192" s="78"/>
      <c r="V192" s="10"/>
      <c r="W192" s="10"/>
      <c r="X192" s="10"/>
      <c r="Y192" s="10"/>
      <c r="Z192" s="74"/>
      <c r="AA192" s="74"/>
      <c r="AB192" s="74"/>
      <c r="AC192" s="74"/>
      <c r="AD192" s="74"/>
      <c r="AE192" s="418" t="s">
        <v>285</v>
      </c>
      <c r="AF192" s="419">
        <v>31.1</v>
      </c>
      <c r="AG192" s="420">
        <v>18.7</v>
      </c>
      <c r="AH192" s="420">
        <v>0.59</v>
      </c>
      <c r="AI192" s="420">
        <v>11.2</v>
      </c>
      <c r="AJ192" s="421">
        <v>0.94</v>
      </c>
      <c r="AK192" s="74"/>
      <c r="AL192" s="74"/>
      <c r="AM192" s="74"/>
    </row>
    <row r="193" spans="14:39" x14ac:dyDescent="0.25">
      <c r="N193" s="22"/>
      <c r="O193" s="77"/>
      <c r="P193" s="77"/>
      <c r="Q193" s="77"/>
      <c r="R193" s="77"/>
      <c r="S193" s="77"/>
      <c r="T193" s="77"/>
      <c r="U193" s="78"/>
      <c r="V193" s="10"/>
      <c r="W193" s="10"/>
      <c r="X193" s="10"/>
      <c r="Y193" s="10"/>
      <c r="Z193" s="74"/>
      <c r="AA193" s="74"/>
      <c r="AB193" s="74"/>
      <c r="AC193" s="74"/>
      <c r="AD193" s="74"/>
      <c r="AE193" s="418" t="s">
        <v>206</v>
      </c>
      <c r="AF193" s="419">
        <v>28.5</v>
      </c>
      <c r="AG193" s="420">
        <v>18.600000000000001</v>
      </c>
      <c r="AH193" s="420">
        <v>0.53500000000000003</v>
      </c>
      <c r="AI193" s="420">
        <v>11.1</v>
      </c>
      <c r="AJ193" s="421">
        <v>0.87</v>
      </c>
      <c r="AK193" s="74"/>
      <c r="AL193" s="74"/>
      <c r="AM193" s="74"/>
    </row>
    <row r="194" spans="14:39" x14ac:dyDescent="0.25">
      <c r="N194" s="22"/>
      <c r="O194" s="77"/>
      <c r="P194" s="77"/>
      <c r="Q194" s="77"/>
      <c r="R194" s="77"/>
      <c r="S194" s="77"/>
      <c r="T194" s="77"/>
      <c r="U194" s="78"/>
      <c r="V194" s="10"/>
      <c r="W194" s="10"/>
      <c r="X194" s="10"/>
      <c r="Y194" s="10"/>
      <c r="Z194" s="74"/>
      <c r="AA194" s="74"/>
      <c r="AB194" s="74"/>
      <c r="AC194" s="74"/>
      <c r="AD194" s="74"/>
      <c r="AE194" s="418" t="s">
        <v>93</v>
      </c>
      <c r="AF194" s="419">
        <v>25.3</v>
      </c>
      <c r="AG194" s="420">
        <v>18.399999999999999</v>
      </c>
      <c r="AH194" s="420">
        <v>0.48</v>
      </c>
      <c r="AI194" s="420">
        <v>11.1</v>
      </c>
      <c r="AJ194" s="421">
        <v>0.77</v>
      </c>
      <c r="AK194" s="74"/>
      <c r="AL194" s="74"/>
      <c r="AM194" s="74"/>
    </row>
    <row r="195" spans="14:39" x14ac:dyDescent="0.25">
      <c r="N195" s="22"/>
      <c r="O195" s="77"/>
      <c r="P195" s="77"/>
      <c r="Q195" s="77"/>
      <c r="R195" s="77"/>
      <c r="S195" s="77"/>
      <c r="T195" s="77"/>
      <c r="U195" s="78"/>
      <c r="V195" s="10"/>
      <c r="W195" s="10"/>
      <c r="X195" s="10"/>
      <c r="Y195" s="10"/>
      <c r="Z195" s="74"/>
      <c r="AA195" s="74"/>
      <c r="AB195" s="74"/>
      <c r="AC195" s="74"/>
      <c r="AD195" s="74"/>
      <c r="AE195" s="418" t="s">
        <v>313</v>
      </c>
      <c r="AF195" s="419">
        <v>22.3</v>
      </c>
      <c r="AG195" s="420">
        <v>18.2</v>
      </c>
      <c r="AH195" s="420">
        <v>0.42499999999999999</v>
      </c>
      <c r="AI195" s="420">
        <v>11</v>
      </c>
      <c r="AJ195" s="421">
        <v>0.68</v>
      </c>
      <c r="AK195" s="74"/>
      <c r="AL195" s="74"/>
      <c r="AM195" s="74"/>
    </row>
    <row r="196" spans="14:39" x14ac:dyDescent="0.25">
      <c r="N196" s="22"/>
      <c r="O196" s="77"/>
      <c r="P196" s="77"/>
      <c r="Q196" s="77"/>
      <c r="R196" s="77"/>
      <c r="S196" s="77"/>
      <c r="T196" s="77"/>
      <c r="U196" s="78"/>
      <c r="V196" s="10"/>
      <c r="W196" s="10"/>
      <c r="X196" s="10"/>
      <c r="Y196" s="10"/>
      <c r="Z196" s="74"/>
      <c r="AA196" s="74"/>
      <c r="AB196" s="74"/>
      <c r="AC196" s="74"/>
      <c r="AD196" s="74"/>
      <c r="AE196" s="418" t="s">
        <v>312</v>
      </c>
      <c r="AF196" s="419">
        <v>20.8</v>
      </c>
      <c r="AG196" s="420">
        <v>18.5</v>
      </c>
      <c r="AH196" s="420">
        <v>0.495</v>
      </c>
      <c r="AI196" s="420">
        <v>7.64</v>
      </c>
      <c r="AJ196" s="421">
        <v>0.81</v>
      </c>
      <c r="AK196" s="74"/>
      <c r="AL196" s="74"/>
      <c r="AM196" s="74"/>
    </row>
    <row r="197" spans="14:39" x14ac:dyDescent="0.25">
      <c r="N197" s="22"/>
      <c r="O197" s="77"/>
      <c r="P197" s="77"/>
      <c r="Q197" s="77"/>
      <c r="R197" s="77"/>
      <c r="S197" s="77"/>
      <c r="T197" s="77"/>
      <c r="U197" s="78"/>
      <c r="V197" s="10"/>
      <c r="W197" s="10"/>
      <c r="X197" s="10"/>
      <c r="Y197" s="10"/>
      <c r="Z197" s="74"/>
      <c r="AA197" s="74"/>
      <c r="AB197" s="74"/>
      <c r="AC197" s="74"/>
      <c r="AD197" s="74"/>
      <c r="AE197" s="418" t="s">
        <v>311</v>
      </c>
      <c r="AF197" s="419">
        <v>19.100000000000001</v>
      </c>
      <c r="AG197" s="420">
        <v>18.399999999999999</v>
      </c>
      <c r="AH197" s="420">
        <v>0.45</v>
      </c>
      <c r="AI197" s="420">
        <v>7.59</v>
      </c>
      <c r="AJ197" s="421">
        <v>0.75</v>
      </c>
      <c r="AK197" s="74"/>
      <c r="AL197" s="74"/>
      <c r="AM197" s="74"/>
    </row>
    <row r="198" spans="14:39" x14ac:dyDescent="0.25">
      <c r="N198" s="22"/>
      <c r="O198" s="77"/>
      <c r="P198" s="77"/>
      <c r="Q198" s="77"/>
      <c r="R198" s="77"/>
      <c r="S198" s="77"/>
      <c r="T198" s="77"/>
      <c r="U198" s="78"/>
      <c r="V198" s="10"/>
      <c r="W198" s="10"/>
      <c r="X198" s="10"/>
      <c r="Y198" s="10"/>
      <c r="Z198" s="74"/>
      <c r="AA198" s="74"/>
      <c r="AB198" s="74"/>
      <c r="AC198" s="74"/>
      <c r="AD198" s="74"/>
      <c r="AE198" s="418" t="s">
        <v>310</v>
      </c>
      <c r="AF198" s="419">
        <v>17.600000000000001</v>
      </c>
      <c r="AG198" s="420">
        <v>18.2</v>
      </c>
      <c r="AH198" s="420">
        <v>0.41499999999999998</v>
      </c>
      <c r="AI198" s="420">
        <v>7.56</v>
      </c>
      <c r="AJ198" s="421">
        <v>0.69499999999999995</v>
      </c>
      <c r="AK198" s="74"/>
      <c r="AL198" s="74"/>
      <c r="AM198" s="74"/>
    </row>
    <row r="199" spans="14:39" x14ac:dyDescent="0.25">
      <c r="N199" s="22"/>
      <c r="O199" s="77"/>
      <c r="P199" s="77"/>
      <c r="Q199" s="77"/>
      <c r="R199" s="77"/>
      <c r="S199" s="77"/>
      <c r="T199" s="77"/>
      <c r="U199" s="78"/>
      <c r="V199" s="10"/>
      <c r="W199" s="10"/>
      <c r="X199" s="10"/>
      <c r="Y199" s="10"/>
      <c r="Z199" s="74"/>
      <c r="AA199" s="74"/>
      <c r="AB199" s="74"/>
      <c r="AC199" s="74"/>
      <c r="AD199" s="74"/>
      <c r="AE199" s="418" t="s">
        <v>309</v>
      </c>
      <c r="AF199" s="419">
        <v>16.2</v>
      </c>
      <c r="AG199" s="420">
        <v>18.100000000000001</v>
      </c>
      <c r="AH199" s="420">
        <v>0.39</v>
      </c>
      <c r="AI199" s="420">
        <v>7.53</v>
      </c>
      <c r="AJ199" s="421">
        <v>0.63</v>
      </c>
      <c r="AK199" s="74"/>
      <c r="AL199" s="74"/>
      <c r="AM199" s="74"/>
    </row>
    <row r="200" spans="14:39" x14ac:dyDescent="0.25">
      <c r="N200" s="22"/>
      <c r="O200" s="77"/>
      <c r="P200" s="77"/>
      <c r="Q200" s="77"/>
      <c r="R200" s="77"/>
      <c r="S200" s="77"/>
      <c r="T200" s="77"/>
      <c r="U200" s="78"/>
      <c r="V200" s="10"/>
      <c r="W200" s="10"/>
      <c r="X200" s="10"/>
      <c r="Y200" s="10"/>
      <c r="Z200" s="74"/>
      <c r="AA200" s="74"/>
      <c r="AB200" s="74"/>
      <c r="AC200" s="74"/>
      <c r="AD200" s="74"/>
      <c r="AE200" s="418" t="s">
        <v>354</v>
      </c>
      <c r="AF200" s="419">
        <v>14.7</v>
      </c>
      <c r="AG200" s="420">
        <v>18</v>
      </c>
      <c r="AH200" s="420">
        <v>0.35499999999999998</v>
      </c>
      <c r="AI200" s="420">
        <v>7.5</v>
      </c>
      <c r="AJ200" s="421">
        <v>0.56999999999999995</v>
      </c>
      <c r="AK200" s="74"/>
      <c r="AL200" s="74"/>
      <c r="AM200" s="74"/>
    </row>
    <row r="201" spans="14:39" x14ac:dyDescent="0.25">
      <c r="N201" s="22"/>
      <c r="O201" s="77"/>
      <c r="P201" s="77"/>
      <c r="Q201" s="77"/>
      <c r="R201" s="77"/>
      <c r="S201" s="77"/>
      <c r="T201" s="77"/>
      <c r="U201" s="78"/>
      <c r="V201" s="10"/>
      <c r="W201" s="10"/>
      <c r="X201" s="10"/>
      <c r="Y201" s="10"/>
      <c r="Z201" s="74"/>
      <c r="AA201" s="74"/>
      <c r="AB201" s="74"/>
      <c r="AC201" s="74"/>
      <c r="AD201" s="74"/>
      <c r="AE201" s="418" t="s">
        <v>353</v>
      </c>
      <c r="AF201" s="419">
        <v>13.5</v>
      </c>
      <c r="AG201" s="420">
        <v>18.100000000000001</v>
      </c>
      <c r="AH201" s="420">
        <v>0.36</v>
      </c>
      <c r="AI201" s="420">
        <v>6.06</v>
      </c>
      <c r="AJ201" s="421">
        <v>0.60499999999999998</v>
      </c>
      <c r="AK201" s="74"/>
      <c r="AL201" s="74"/>
      <c r="AM201" s="74"/>
    </row>
    <row r="202" spans="14:39" x14ac:dyDescent="0.25">
      <c r="N202" s="22"/>
      <c r="O202" s="77"/>
      <c r="P202" s="77"/>
      <c r="Q202" s="77"/>
      <c r="R202" s="77"/>
      <c r="S202" s="77"/>
      <c r="T202" s="77"/>
      <c r="U202" s="78"/>
      <c r="V202" s="10"/>
      <c r="W202" s="10"/>
      <c r="X202" s="10"/>
      <c r="Y202" s="10"/>
      <c r="Z202" s="74"/>
      <c r="AA202" s="74"/>
      <c r="AB202" s="74"/>
      <c r="AC202" s="74"/>
      <c r="AD202" s="74"/>
      <c r="AE202" s="418" t="s">
        <v>352</v>
      </c>
      <c r="AF202" s="419">
        <v>11.8</v>
      </c>
      <c r="AG202" s="420">
        <v>17.899999999999999</v>
      </c>
      <c r="AH202" s="420">
        <v>0.315</v>
      </c>
      <c r="AI202" s="420">
        <v>6.02</v>
      </c>
      <c r="AJ202" s="421">
        <v>0.52500000000000002</v>
      </c>
      <c r="AK202" s="74"/>
      <c r="AL202" s="74"/>
      <c r="AM202" s="74"/>
    </row>
    <row r="203" spans="14:39" x14ac:dyDescent="0.25">
      <c r="N203" s="22"/>
      <c r="O203" s="77"/>
      <c r="P203" s="77"/>
      <c r="Q203" s="77"/>
      <c r="R203" s="77"/>
      <c r="S203" s="77"/>
      <c r="T203" s="77"/>
      <c r="U203" s="78"/>
      <c r="V203" s="10"/>
      <c r="W203" s="10"/>
      <c r="X203" s="10"/>
      <c r="Y203" s="10"/>
      <c r="Z203" s="74"/>
      <c r="AA203" s="74"/>
      <c r="AB203" s="74"/>
      <c r="AC203" s="74"/>
      <c r="AD203" s="74"/>
      <c r="AE203" s="418" t="s">
        <v>351</v>
      </c>
      <c r="AF203" s="419">
        <v>10.3</v>
      </c>
      <c r="AG203" s="420">
        <v>17.7</v>
      </c>
      <c r="AH203" s="420">
        <v>0.3</v>
      </c>
      <c r="AI203" s="420">
        <v>6</v>
      </c>
      <c r="AJ203" s="421">
        <v>0.42499999999999999</v>
      </c>
      <c r="AK203" s="74"/>
      <c r="AL203" s="74"/>
      <c r="AM203" s="74"/>
    </row>
    <row r="204" spans="14:39" x14ac:dyDescent="0.25">
      <c r="N204" s="22"/>
      <c r="O204" s="77"/>
      <c r="P204" s="77"/>
      <c r="Q204" s="77"/>
      <c r="R204" s="77"/>
      <c r="S204" s="77"/>
      <c r="T204" s="77"/>
      <c r="U204" s="78"/>
      <c r="V204" s="10"/>
      <c r="W204" s="10"/>
      <c r="X204" s="10"/>
      <c r="Y204" s="10"/>
      <c r="Z204" s="74"/>
      <c r="AA204" s="74"/>
      <c r="AB204" s="74"/>
      <c r="AC204" s="74"/>
      <c r="AD204" s="74"/>
      <c r="AE204" s="418" t="s">
        <v>350</v>
      </c>
      <c r="AF204" s="419">
        <v>29.7</v>
      </c>
      <c r="AG204" s="420">
        <v>17</v>
      </c>
      <c r="AH204" s="420">
        <v>0.58499999999999996</v>
      </c>
      <c r="AI204" s="420">
        <v>10.4</v>
      </c>
      <c r="AJ204" s="421">
        <v>0.98499999999999999</v>
      </c>
      <c r="AK204" s="74"/>
      <c r="AL204" s="74"/>
      <c r="AM204" s="74"/>
    </row>
    <row r="205" spans="14:39" x14ac:dyDescent="0.25">
      <c r="N205" s="22"/>
      <c r="O205" s="77"/>
      <c r="P205" s="77"/>
      <c r="Q205" s="77"/>
      <c r="R205" s="77"/>
      <c r="S205" s="77"/>
      <c r="T205" s="77"/>
      <c r="U205" s="39"/>
      <c r="V205" s="10"/>
      <c r="W205" s="10"/>
      <c r="X205" s="10"/>
      <c r="Y205" s="10"/>
      <c r="Z205" s="74"/>
      <c r="AA205" s="74"/>
      <c r="AB205" s="74"/>
      <c r="AC205" s="74"/>
      <c r="AD205" s="74"/>
      <c r="AE205" s="418" t="s">
        <v>194</v>
      </c>
      <c r="AF205" s="419">
        <v>26.4</v>
      </c>
      <c r="AG205" s="420">
        <v>16.8</v>
      </c>
      <c r="AH205" s="420">
        <v>0.52500000000000002</v>
      </c>
      <c r="AI205" s="420">
        <v>10.4</v>
      </c>
      <c r="AJ205" s="421">
        <v>0.875</v>
      </c>
      <c r="AK205" s="74"/>
      <c r="AL205" s="74"/>
      <c r="AM205" s="74"/>
    </row>
    <row r="206" spans="14:39" x14ac:dyDescent="0.25">
      <c r="N206" s="22"/>
      <c r="O206" s="77"/>
      <c r="P206" s="77"/>
      <c r="Q206" s="77"/>
      <c r="R206" s="77"/>
      <c r="S206" s="77"/>
      <c r="T206" s="77"/>
      <c r="U206" s="70"/>
      <c r="V206" s="10"/>
      <c r="W206" s="10"/>
      <c r="X206" s="10"/>
      <c r="Y206" s="10"/>
      <c r="Z206" s="74"/>
      <c r="AA206" s="74"/>
      <c r="AB206" s="74"/>
      <c r="AC206" s="74"/>
      <c r="AD206" s="74"/>
      <c r="AE206" s="418" t="s">
        <v>193</v>
      </c>
      <c r="AF206" s="419">
        <v>22.9</v>
      </c>
      <c r="AG206" s="420">
        <v>16.5</v>
      </c>
      <c r="AH206" s="420">
        <v>0.45500000000000002</v>
      </c>
      <c r="AI206" s="420">
        <v>10.3</v>
      </c>
      <c r="AJ206" s="421">
        <v>0.76</v>
      </c>
      <c r="AK206" s="74"/>
      <c r="AL206" s="74"/>
      <c r="AM206" s="74"/>
    </row>
    <row r="207" spans="14:39" x14ac:dyDescent="0.25">
      <c r="N207" s="22"/>
      <c r="O207" s="77"/>
      <c r="P207" s="77"/>
      <c r="Q207" s="77"/>
      <c r="R207" s="77"/>
      <c r="S207" s="77"/>
      <c r="T207" s="77"/>
      <c r="U207" s="70"/>
      <c r="V207" s="10"/>
      <c r="W207" s="10"/>
      <c r="X207" s="10"/>
      <c r="Y207" s="10"/>
      <c r="Z207" s="74"/>
      <c r="AA207" s="74"/>
      <c r="AB207" s="74"/>
      <c r="AC207" s="74"/>
      <c r="AD207" s="74"/>
      <c r="AE207" s="418" t="s">
        <v>192</v>
      </c>
      <c r="AF207" s="419">
        <v>20</v>
      </c>
      <c r="AG207" s="420">
        <v>16.3</v>
      </c>
      <c r="AH207" s="420">
        <v>0.39500000000000002</v>
      </c>
      <c r="AI207" s="420">
        <v>10.199999999999999</v>
      </c>
      <c r="AJ207" s="421">
        <v>0.66500000000000004</v>
      </c>
      <c r="AK207" s="74"/>
      <c r="AL207" s="74"/>
      <c r="AM207" s="74"/>
    </row>
    <row r="208" spans="14:39" x14ac:dyDescent="0.25">
      <c r="N208" s="22"/>
      <c r="O208" s="77"/>
      <c r="P208" s="77"/>
      <c r="Q208" s="77"/>
      <c r="R208" s="77"/>
      <c r="S208" s="77"/>
      <c r="T208" s="77"/>
      <c r="V208" s="10"/>
      <c r="W208" s="10"/>
      <c r="X208" s="10"/>
      <c r="Y208" s="10"/>
      <c r="Z208" s="74"/>
      <c r="AA208" s="74"/>
      <c r="AB208" s="74"/>
      <c r="AC208" s="74"/>
      <c r="AD208" s="74"/>
      <c r="AE208" s="418" t="s">
        <v>191</v>
      </c>
      <c r="AF208" s="419">
        <v>16.8</v>
      </c>
      <c r="AG208" s="420">
        <v>16.399999999999999</v>
      </c>
      <c r="AH208" s="420">
        <v>0.43</v>
      </c>
      <c r="AI208" s="420">
        <v>7.12</v>
      </c>
      <c r="AJ208" s="421">
        <v>0.71499999999999997</v>
      </c>
      <c r="AK208" s="74"/>
      <c r="AL208" s="74"/>
      <c r="AM208" s="74"/>
    </row>
    <row r="209" spans="14:39" x14ac:dyDescent="0.25">
      <c r="N209" s="22"/>
      <c r="O209" s="77"/>
      <c r="P209" s="77"/>
      <c r="Q209" s="77"/>
      <c r="R209" s="77"/>
      <c r="S209" s="77"/>
      <c r="T209" s="77"/>
      <c r="U209" s="43"/>
      <c r="V209" s="10"/>
      <c r="W209" s="10"/>
      <c r="X209" s="10"/>
      <c r="Y209" s="10"/>
      <c r="Z209" s="74"/>
      <c r="AA209" s="74"/>
      <c r="AB209" s="74"/>
      <c r="AC209" s="74"/>
      <c r="AD209" s="74"/>
      <c r="AE209" s="418" t="s">
        <v>190</v>
      </c>
      <c r="AF209" s="419">
        <v>14.7</v>
      </c>
      <c r="AG209" s="420">
        <v>16.3</v>
      </c>
      <c r="AH209" s="420">
        <v>0.38</v>
      </c>
      <c r="AI209" s="420">
        <v>7.07</v>
      </c>
      <c r="AJ209" s="421">
        <v>0.63</v>
      </c>
      <c r="AK209" s="74"/>
      <c r="AL209" s="74"/>
      <c r="AM209" s="74"/>
    </row>
    <row r="210" spans="14:39" x14ac:dyDescent="0.25">
      <c r="N210" s="22"/>
      <c r="O210" s="77"/>
      <c r="P210" s="77"/>
      <c r="Q210" s="77"/>
      <c r="R210" s="77"/>
      <c r="S210" s="77"/>
      <c r="T210" s="77"/>
      <c r="V210" s="10"/>
      <c r="W210" s="10"/>
      <c r="X210" s="10"/>
      <c r="Y210" s="10"/>
      <c r="Z210" s="74"/>
      <c r="AA210" s="74"/>
      <c r="AB210" s="74"/>
      <c r="AC210" s="74"/>
      <c r="AD210" s="74"/>
      <c r="AE210" s="418" t="s">
        <v>408</v>
      </c>
      <c r="AF210" s="419">
        <v>13.3</v>
      </c>
      <c r="AG210" s="420">
        <v>16.100000000000001</v>
      </c>
      <c r="AH210" s="420">
        <v>0.34499999999999997</v>
      </c>
      <c r="AI210" s="420">
        <v>7.04</v>
      </c>
      <c r="AJ210" s="421">
        <v>0.56499999999999995</v>
      </c>
      <c r="AK210" s="74"/>
      <c r="AL210" s="74"/>
      <c r="AM210" s="74"/>
    </row>
    <row r="211" spans="14:39" x14ac:dyDescent="0.25">
      <c r="AE211" s="418" t="s">
        <v>407</v>
      </c>
      <c r="AF211" s="419">
        <v>11.8</v>
      </c>
      <c r="AG211" s="420">
        <v>16</v>
      </c>
      <c r="AH211" s="420">
        <v>0.30499999999999999</v>
      </c>
      <c r="AI211" s="420">
        <v>7</v>
      </c>
      <c r="AJ211" s="421">
        <v>0.505</v>
      </c>
    </row>
    <row r="212" spans="14:39" x14ac:dyDescent="0.25">
      <c r="AE212" s="418" t="s">
        <v>406</v>
      </c>
      <c r="AF212" s="419">
        <v>10.6</v>
      </c>
      <c r="AG212" s="420">
        <v>15.9</v>
      </c>
      <c r="AH212" s="420">
        <v>0.29499999999999998</v>
      </c>
      <c r="AI212" s="420">
        <v>6.99</v>
      </c>
      <c r="AJ212" s="421">
        <v>0.43</v>
      </c>
    </row>
    <row r="213" spans="14:39" x14ac:dyDescent="0.25">
      <c r="AE213" s="418" t="s">
        <v>284</v>
      </c>
      <c r="AF213" s="419">
        <v>9.1300000000000008</v>
      </c>
      <c r="AG213" s="420">
        <v>15.9</v>
      </c>
      <c r="AH213" s="420">
        <v>0.27500000000000002</v>
      </c>
      <c r="AI213" s="420">
        <v>5.53</v>
      </c>
      <c r="AJ213" s="421">
        <v>0.44</v>
      </c>
    </row>
    <row r="214" spans="14:39" x14ac:dyDescent="0.25">
      <c r="AE214" s="418" t="s">
        <v>283</v>
      </c>
      <c r="AF214" s="419">
        <v>7.68</v>
      </c>
      <c r="AG214" s="420">
        <v>15.7</v>
      </c>
      <c r="AH214" s="420">
        <v>0.25</v>
      </c>
      <c r="AI214" s="420">
        <v>5.5</v>
      </c>
      <c r="AJ214" s="421">
        <v>0.34499999999999997</v>
      </c>
    </row>
    <row r="215" spans="14:39" x14ac:dyDescent="0.25">
      <c r="AE215" s="418" t="s">
        <v>92</v>
      </c>
      <c r="AF215" s="419">
        <v>237</v>
      </c>
      <c r="AG215" s="420">
        <v>22.8</v>
      </c>
      <c r="AH215" s="420">
        <v>3.74</v>
      </c>
      <c r="AI215" s="420">
        <v>18.600000000000001</v>
      </c>
      <c r="AJ215" s="421">
        <v>5.12</v>
      </c>
    </row>
    <row r="216" spans="14:39" x14ac:dyDescent="0.25">
      <c r="AE216" s="418" t="s">
        <v>282</v>
      </c>
      <c r="AF216" s="419">
        <v>215</v>
      </c>
      <c r="AG216" s="420">
        <v>22.4</v>
      </c>
      <c r="AH216" s="420">
        <v>3.07</v>
      </c>
      <c r="AI216" s="420">
        <v>17.899999999999999</v>
      </c>
      <c r="AJ216" s="421">
        <v>4.91</v>
      </c>
    </row>
    <row r="217" spans="14:39" x14ac:dyDescent="0.25">
      <c r="AE217" s="418" t="s">
        <v>281</v>
      </c>
      <c r="AF217" s="419">
        <v>196</v>
      </c>
      <c r="AG217" s="420">
        <v>21.6</v>
      </c>
      <c r="AH217" s="420">
        <v>2.83</v>
      </c>
      <c r="AI217" s="420">
        <v>17.7</v>
      </c>
      <c r="AJ217" s="421">
        <v>4.5199999999999996</v>
      </c>
    </row>
    <row r="218" spans="14:39" x14ac:dyDescent="0.25">
      <c r="AE218" s="418" t="s">
        <v>335</v>
      </c>
      <c r="AF218" s="419">
        <v>178</v>
      </c>
      <c r="AG218" s="420">
        <v>20.9</v>
      </c>
      <c r="AH218" s="420">
        <v>2.6</v>
      </c>
      <c r="AI218" s="420">
        <v>17.399999999999999</v>
      </c>
      <c r="AJ218" s="421">
        <v>4.16</v>
      </c>
    </row>
    <row r="219" spans="14:39" x14ac:dyDescent="0.25">
      <c r="AE219" s="418" t="s">
        <v>334</v>
      </c>
      <c r="AF219" s="419">
        <v>162</v>
      </c>
      <c r="AG219" s="420">
        <v>20.2</v>
      </c>
      <c r="AH219" s="420">
        <v>2.38</v>
      </c>
      <c r="AI219" s="420">
        <v>17.2</v>
      </c>
      <c r="AJ219" s="421">
        <v>3.82</v>
      </c>
    </row>
    <row r="220" spans="14:39" x14ac:dyDescent="0.25">
      <c r="AE220" s="418" t="s">
        <v>333</v>
      </c>
      <c r="AF220" s="419">
        <v>147</v>
      </c>
      <c r="AG220" s="420">
        <v>19.600000000000001</v>
      </c>
      <c r="AH220" s="420">
        <v>2.19</v>
      </c>
      <c r="AI220" s="420">
        <v>17</v>
      </c>
      <c r="AJ220" s="421">
        <v>3.5</v>
      </c>
    </row>
    <row r="221" spans="14:39" x14ac:dyDescent="0.25">
      <c r="AE221" s="418" t="s">
        <v>332</v>
      </c>
      <c r="AF221" s="419">
        <v>134</v>
      </c>
      <c r="AG221" s="420">
        <v>19</v>
      </c>
      <c r="AH221" s="420">
        <v>2.02</v>
      </c>
      <c r="AI221" s="420">
        <v>16.8</v>
      </c>
      <c r="AJ221" s="421">
        <v>3.21</v>
      </c>
    </row>
    <row r="222" spans="14:39" x14ac:dyDescent="0.25">
      <c r="AE222" s="418" t="s">
        <v>331</v>
      </c>
      <c r="AF222" s="419">
        <v>125</v>
      </c>
      <c r="AG222" s="420">
        <v>18.7</v>
      </c>
      <c r="AH222" s="420">
        <v>1.88</v>
      </c>
      <c r="AI222" s="420">
        <v>16.7</v>
      </c>
      <c r="AJ222" s="421">
        <v>3.04</v>
      </c>
    </row>
    <row r="223" spans="14:39" x14ac:dyDescent="0.25">
      <c r="AE223" s="418" t="s">
        <v>399</v>
      </c>
      <c r="AF223" s="419">
        <v>117</v>
      </c>
      <c r="AG223" s="420">
        <v>18.3</v>
      </c>
      <c r="AH223" s="420">
        <v>1.77</v>
      </c>
      <c r="AI223" s="420">
        <v>16.600000000000001</v>
      </c>
      <c r="AJ223" s="421">
        <v>2.85</v>
      </c>
    </row>
    <row r="224" spans="14:39" x14ac:dyDescent="0.25">
      <c r="AE224" s="418" t="s">
        <v>20</v>
      </c>
      <c r="AF224" s="419">
        <v>109</v>
      </c>
      <c r="AG224" s="420">
        <v>17.899999999999999</v>
      </c>
      <c r="AH224" s="420">
        <v>1.66</v>
      </c>
      <c r="AI224" s="420">
        <v>16.5</v>
      </c>
      <c r="AJ224" s="421">
        <v>2.66</v>
      </c>
    </row>
    <row r="225" spans="31:36" x14ac:dyDescent="0.25">
      <c r="AE225" s="418" t="s">
        <v>360</v>
      </c>
      <c r="AF225" s="419">
        <v>101</v>
      </c>
      <c r="AG225" s="420">
        <v>17.5</v>
      </c>
      <c r="AH225" s="420">
        <v>1.54</v>
      </c>
      <c r="AI225" s="420">
        <v>16.399999999999999</v>
      </c>
      <c r="AJ225" s="421">
        <v>2.4700000000000002</v>
      </c>
    </row>
    <row r="226" spans="31:36" x14ac:dyDescent="0.25">
      <c r="AE226" s="418" t="s">
        <v>266</v>
      </c>
      <c r="AF226" s="419">
        <v>91.4</v>
      </c>
      <c r="AG226" s="420">
        <v>17.100000000000001</v>
      </c>
      <c r="AH226" s="420">
        <v>1.41</v>
      </c>
      <c r="AI226" s="420">
        <v>16.2</v>
      </c>
      <c r="AJ226" s="421">
        <v>2.2599999999999998</v>
      </c>
    </row>
    <row r="227" spans="31:36" x14ac:dyDescent="0.25">
      <c r="AE227" s="418" t="s">
        <v>265</v>
      </c>
      <c r="AF227" s="419">
        <v>83.3</v>
      </c>
      <c r="AG227" s="420">
        <v>16.7</v>
      </c>
      <c r="AH227" s="420">
        <v>1.29</v>
      </c>
      <c r="AI227" s="420">
        <v>16.100000000000001</v>
      </c>
      <c r="AJ227" s="421">
        <v>2.0699999999999998</v>
      </c>
    </row>
    <row r="228" spans="31:36" x14ac:dyDescent="0.25">
      <c r="AE228" s="418" t="s">
        <v>264</v>
      </c>
      <c r="AF228" s="419">
        <v>75.599999999999994</v>
      </c>
      <c r="AG228" s="420">
        <v>16.399999999999999</v>
      </c>
      <c r="AH228" s="420">
        <v>1.18</v>
      </c>
      <c r="AI228" s="420">
        <v>16</v>
      </c>
      <c r="AJ228" s="421">
        <v>1.89</v>
      </c>
    </row>
    <row r="229" spans="31:36" x14ac:dyDescent="0.25">
      <c r="AE229" s="418" t="s">
        <v>263</v>
      </c>
      <c r="AF229" s="419">
        <v>68.5</v>
      </c>
      <c r="AG229" s="420">
        <v>16</v>
      </c>
      <c r="AH229" s="420">
        <v>1.07</v>
      </c>
      <c r="AI229" s="420">
        <v>15.9</v>
      </c>
      <c r="AJ229" s="421">
        <v>1.72</v>
      </c>
    </row>
    <row r="230" spans="31:36" x14ac:dyDescent="0.25">
      <c r="AE230" s="418" t="s">
        <v>262</v>
      </c>
      <c r="AF230" s="419">
        <v>62</v>
      </c>
      <c r="AG230" s="420">
        <v>15.7</v>
      </c>
      <c r="AH230" s="420">
        <v>0.98</v>
      </c>
      <c r="AI230" s="420">
        <v>15.8</v>
      </c>
      <c r="AJ230" s="421">
        <v>1.56</v>
      </c>
    </row>
    <row r="231" spans="31:36" x14ac:dyDescent="0.25">
      <c r="AE231" s="418" t="s">
        <v>336</v>
      </c>
      <c r="AF231" s="419">
        <v>56.8</v>
      </c>
      <c r="AG231" s="420">
        <v>15.5</v>
      </c>
      <c r="AH231" s="420">
        <v>0.89</v>
      </c>
      <c r="AI231" s="420">
        <v>15.7</v>
      </c>
      <c r="AJ231" s="421">
        <v>1.44</v>
      </c>
    </row>
    <row r="232" spans="31:36" x14ac:dyDescent="0.25">
      <c r="AE232" s="418" t="s">
        <v>142</v>
      </c>
      <c r="AF232" s="419">
        <v>51.8</v>
      </c>
      <c r="AG232" s="420">
        <v>15.2</v>
      </c>
      <c r="AH232" s="420">
        <v>0.83</v>
      </c>
      <c r="AI232" s="420">
        <v>15.7</v>
      </c>
      <c r="AJ232" s="421">
        <v>1.31</v>
      </c>
    </row>
    <row r="233" spans="31:36" x14ac:dyDescent="0.25">
      <c r="AE233" s="418" t="s">
        <v>141</v>
      </c>
      <c r="AF233" s="419">
        <v>46.7</v>
      </c>
      <c r="AG233" s="420">
        <v>15</v>
      </c>
      <c r="AH233" s="420">
        <v>0.745</v>
      </c>
      <c r="AI233" s="420">
        <v>15.6</v>
      </c>
      <c r="AJ233" s="421">
        <v>1.19</v>
      </c>
    </row>
    <row r="234" spans="31:36" x14ac:dyDescent="0.25">
      <c r="AE234" s="418" t="s">
        <v>140</v>
      </c>
      <c r="AF234" s="419">
        <v>42.7</v>
      </c>
      <c r="AG234" s="420">
        <v>14.8</v>
      </c>
      <c r="AH234" s="420">
        <v>0.68</v>
      </c>
      <c r="AI234" s="420">
        <v>15.5</v>
      </c>
      <c r="AJ234" s="421">
        <v>1.0900000000000001</v>
      </c>
    </row>
    <row r="235" spans="31:36" x14ac:dyDescent="0.25">
      <c r="AE235" s="418" t="s">
        <v>139</v>
      </c>
      <c r="AF235" s="419">
        <v>38.799999999999997</v>
      </c>
      <c r="AG235" s="420">
        <v>14.7</v>
      </c>
      <c r="AH235" s="420">
        <v>0.64500000000000002</v>
      </c>
      <c r="AI235" s="420">
        <v>14.7</v>
      </c>
      <c r="AJ235" s="421">
        <v>1.03</v>
      </c>
    </row>
    <row r="236" spans="31:36" x14ac:dyDescent="0.25">
      <c r="AE236" s="418" t="s">
        <v>138</v>
      </c>
      <c r="AF236" s="419">
        <v>35.299999999999997</v>
      </c>
      <c r="AG236" s="420">
        <v>14.5</v>
      </c>
      <c r="AH236" s="420">
        <v>0.59</v>
      </c>
      <c r="AI236" s="420">
        <v>14.7</v>
      </c>
      <c r="AJ236" s="421">
        <v>0.94</v>
      </c>
    </row>
    <row r="237" spans="31:36" x14ac:dyDescent="0.25">
      <c r="AE237" s="418" t="s">
        <v>137</v>
      </c>
      <c r="AF237" s="419">
        <v>32</v>
      </c>
      <c r="AG237" s="420">
        <v>14.3</v>
      </c>
      <c r="AH237" s="420">
        <v>0.52500000000000002</v>
      </c>
      <c r="AI237" s="420">
        <v>14.6</v>
      </c>
      <c r="AJ237" s="421">
        <v>0.86</v>
      </c>
    </row>
    <row r="238" spans="31:36" x14ac:dyDescent="0.25">
      <c r="AE238" s="418" t="s">
        <v>136</v>
      </c>
      <c r="AF238" s="419">
        <v>29.1</v>
      </c>
      <c r="AG238" s="420">
        <v>14.2</v>
      </c>
      <c r="AH238" s="420">
        <v>0.48499999999999999</v>
      </c>
      <c r="AI238" s="420">
        <v>14.6</v>
      </c>
      <c r="AJ238" s="421">
        <v>0.78</v>
      </c>
    </row>
    <row r="239" spans="31:36" x14ac:dyDescent="0.25">
      <c r="AE239" s="418" t="s">
        <v>135</v>
      </c>
      <c r="AF239" s="419">
        <v>26.5</v>
      </c>
      <c r="AG239" s="420">
        <v>14</v>
      </c>
      <c r="AH239" s="420">
        <v>0.44</v>
      </c>
      <c r="AI239" s="420">
        <v>14.5</v>
      </c>
      <c r="AJ239" s="421">
        <v>0.71</v>
      </c>
    </row>
    <row r="240" spans="31:36" x14ac:dyDescent="0.25">
      <c r="AE240" s="418" t="s">
        <v>134</v>
      </c>
      <c r="AF240" s="419">
        <v>24</v>
      </c>
      <c r="AG240" s="420">
        <v>14.3</v>
      </c>
      <c r="AH240" s="420">
        <v>0.51</v>
      </c>
      <c r="AI240" s="420">
        <v>10.1</v>
      </c>
      <c r="AJ240" s="421">
        <v>0.85499999999999998</v>
      </c>
    </row>
    <row r="241" spans="31:36" x14ac:dyDescent="0.25">
      <c r="AE241" s="418" t="s">
        <v>205</v>
      </c>
      <c r="AF241" s="419">
        <v>21.8</v>
      </c>
      <c r="AG241" s="420">
        <v>14.2</v>
      </c>
      <c r="AH241" s="420">
        <v>0.45</v>
      </c>
      <c r="AI241" s="420">
        <v>10.1</v>
      </c>
      <c r="AJ241" s="421">
        <v>0.78500000000000003</v>
      </c>
    </row>
    <row r="242" spans="31:36" x14ac:dyDescent="0.25">
      <c r="AE242" s="418" t="s">
        <v>204</v>
      </c>
      <c r="AF242" s="419">
        <v>20</v>
      </c>
      <c r="AG242" s="420">
        <v>14</v>
      </c>
      <c r="AH242" s="420">
        <v>0.41499999999999998</v>
      </c>
      <c r="AI242" s="420">
        <v>10</v>
      </c>
      <c r="AJ242" s="421">
        <v>0.72</v>
      </c>
    </row>
    <row r="243" spans="31:36" x14ac:dyDescent="0.25">
      <c r="AE243" s="418" t="s">
        <v>203</v>
      </c>
      <c r="AF243" s="419">
        <v>17.899999999999999</v>
      </c>
      <c r="AG243" s="420">
        <v>13.9</v>
      </c>
      <c r="AH243" s="420">
        <v>0.375</v>
      </c>
      <c r="AI243" s="420">
        <v>9.99</v>
      </c>
      <c r="AJ243" s="421">
        <v>0.64500000000000002</v>
      </c>
    </row>
    <row r="244" spans="31:36" x14ac:dyDescent="0.25">
      <c r="AE244" s="418" t="s">
        <v>202</v>
      </c>
      <c r="AF244" s="419">
        <v>15.6</v>
      </c>
      <c r="AG244" s="420">
        <v>13.9</v>
      </c>
      <c r="AH244" s="420">
        <v>0.37</v>
      </c>
      <c r="AI244" s="420">
        <v>8.06</v>
      </c>
      <c r="AJ244" s="421">
        <v>0.66</v>
      </c>
    </row>
    <row r="245" spans="31:36" x14ac:dyDescent="0.25">
      <c r="AE245" s="418" t="s">
        <v>201</v>
      </c>
      <c r="AF245" s="419">
        <v>14.1</v>
      </c>
      <c r="AG245" s="420">
        <v>13.8</v>
      </c>
      <c r="AH245" s="420">
        <v>0.34</v>
      </c>
      <c r="AI245" s="420">
        <v>8.0299999999999994</v>
      </c>
      <c r="AJ245" s="421">
        <v>0.59499999999999997</v>
      </c>
    </row>
    <row r="246" spans="31:36" x14ac:dyDescent="0.25">
      <c r="AE246" s="418" t="s">
        <v>200</v>
      </c>
      <c r="AF246" s="419">
        <v>12.6</v>
      </c>
      <c r="AG246" s="420">
        <v>13.7</v>
      </c>
      <c r="AH246" s="420">
        <v>0.30499999999999999</v>
      </c>
      <c r="AI246" s="420">
        <v>8</v>
      </c>
      <c r="AJ246" s="421">
        <v>0.53</v>
      </c>
    </row>
    <row r="247" spans="31:36" x14ac:dyDescent="0.25">
      <c r="AE247" s="418" t="s">
        <v>199</v>
      </c>
      <c r="AF247" s="419">
        <v>11.2</v>
      </c>
      <c r="AG247" s="420">
        <v>14.1</v>
      </c>
      <c r="AH247" s="420">
        <v>0.31</v>
      </c>
      <c r="AI247" s="420">
        <v>6.77</v>
      </c>
      <c r="AJ247" s="421">
        <v>0.51500000000000001</v>
      </c>
    </row>
    <row r="248" spans="31:36" x14ac:dyDescent="0.25">
      <c r="AE248" s="418" t="s">
        <v>198</v>
      </c>
      <c r="AF248" s="419">
        <v>10</v>
      </c>
      <c r="AG248" s="420">
        <v>14</v>
      </c>
      <c r="AH248" s="420">
        <v>0.28499999999999998</v>
      </c>
      <c r="AI248" s="420">
        <v>6.75</v>
      </c>
      <c r="AJ248" s="421">
        <v>0.45500000000000002</v>
      </c>
    </row>
    <row r="249" spans="31:36" x14ac:dyDescent="0.25">
      <c r="AE249" s="418" t="s">
        <v>438</v>
      </c>
      <c r="AF249" s="419">
        <v>8.85</v>
      </c>
      <c r="AG249" s="420">
        <v>13.8</v>
      </c>
      <c r="AH249" s="420">
        <v>0.27</v>
      </c>
      <c r="AI249" s="420">
        <v>6.73</v>
      </c>
      <c r="AJ249" s="421">
        <v>0.38500000000000001</v>
      </c>
    </row>
    <row r="250" spans="31:36" x14ac:dyDescent="0.25">
      <c r="AE250" s="418" t="s">
        <v>437</v>
      </c>
      <c r="AF250" s="419">
        <v>7.69</v>
      </c>
      <c r="AG250" s="420">
        <v>13.9</v>
      </c>
      <c r="AH250" s="420">
        <v>0.255</v>
      </c>
      <c r="AI250" s="420">
        <v>5.03</v>
      </c>
      <c r="AJ250" s="421">
        <v>0.42</v>
      </c>
    </row>
    <row r="251" spans="31:36" x14ac:dyDescent="0.25">
      <c r="AE251" s="418" t="s">
        <v>436</v>
      </c>
      <c r="AF251" s="419">
        <v>6.49</v>
      </c>
      <c r="AG251" s="420">
        <v>13.7</v>
      </c>
      <c r="AH251" s="420">
        <v>0.23</v>
      </c>
      <c r="AI251" s="420">
        <v>5</v>
      </c>
      <c r="AJ251" s="421">
        <v>0.33500000000000002</v>
      </c>
    </row>
    <row r="252" spans="31:36" x14ac:dyDescent="0.25">
      <c r="AE252" s="418" t="s">
        <v>322</v>
      </c>
      <c r="AF252" s="419">
        <v>98.8</v>
      </c>
      <c r="AG252" s="420">
        <v>16.8</v>
      </c>
      <c r="AH252" s="420">
        <v>1.78</v>
      </c>
      <c r="AI252" s="420">
        <v>13.4</v>
      </c>
      <c r="AJ252" s="421">
        <v>2.96</v>
      </c>
    </row>
    <row r="253" spans="31:36" x14ac:dyDescent="0.25">
      <c r="AE253" s="418" t="s">
        <v>321</v>
      </c>
      <c r="AF253" s="419">
        <v>89.6</v>
      </c>
      <c r="AG253" s="420">
        <v>16.3</v>
      </c>
      <c r="AH253" s="420">
        <v>1.63</v>
      </c>
      <c r="AI253" s="420">
        <v>13.2</v>
      </c>
      <c r="AJ253" s="421">
        <v>2.71</v>
      </c>
    </row>
    <row r="254" spans="31:36" x14ac:dyDescent="0.25">
      <c r="AE254" s="418" t="s">
        <v>320</v>
      </c>
      <c r="AF254" s="419">
        <v>81.900000000000006</v>
      </c>
      <c r="AG254" s="420">
        <v>15.9</v>
      </c>
      <c r="AH254" s="420">
        <v>1.53</v>
      </c>
      <c r="AI254" s="420">
        <v>13.1</v>
      </c>
      <c r="AJ254" s="421">
        <v>2.4700000000000002</v>
      </c>
    </row>
    <row r="255" spans="31:36" x14ac:dyDescent="0.25">
      <c r="AE255" s="418" t="s">
        <v>78</v>
      </c>
      <c r="AF255" s="419">
        <v>74</v>
      </c>
      <c r="AG255" s="420">
        <v>15.4</v>
      </c>
      <c r="AH255" s="420">
        <v>1.4</v>
      </c>
      <c r="AI255" s="420">
        <v>13</v>
      </c>
      <c r="AJ255" s="421">
        <v>2.25</v>
      </c>
    </row>
    <row r="256" spans="31:36" x14ac:dyDescent="0.25">
      <c r="AE256" s="418" t="s">
        <v>77</v>
      </c>
      <c r="AF256" s="419">
        <v>67.7</v>
      </c>
      <c r="AG256" s="420">
        <v>15.1</v>
      </c>
      <c r="AH256" s="420">
        <v>1.29</v>
      </c>
      <c r="AI256" s="420">
        <v>12.9</v>
      </c>
      <c r="AJ256" s="421">
        <v>2.0699999999999998</v>
      </c>
    </row>
    <row r="257" spans="31:36" x14ac:dyDescent="0.25">
      <c r="AE257" s="418" t="s">
        <v>76</v>
      </c>
      <c r="AF257" s="419">
        <v>61.8</v>
      </c>
      <c r="AG257" s="420">
        <v>14.7</v>
      </c>
      <c r="AH257" s="420">
        <v>1.18</v>
      </c>
      <c r="AI257" s="420">
        <v>12.8</v>
      </c>
      <c r="AJ257" s="421">
        <v>1.9</v>
      </c>
    </row>
    <row r="258" spans="31:36" x14ac:dyDescent="0.25">
      <c r="AE258" s="418" t="s">
        <v>75</v>
      </c>
      <c r="AF258" s="419">
        <v>55.8</v>
      </c>
      <c r="AG258" s="420">
        <v>14.4</v>
      </c>
      <c r="AH258" s="420">
        <v>1.06</v>
      </c>
      <c r="AI258" s="420">
        <v>12.7</v>
      </c>
      <c r="AJ258" s="421">
        <v>1.74</v>
      </c>
    </row>
    <row r="259" spans="31:36" x14ac:dyDescent="0.25">
      <c r="AE259" s="418" t="s">
        <v>74</v>
      </c>
      <c r="AF259" s="419">
        <v>50</v>
      </c>
      <c r="AG259" s="420">
        <v>14</v>
      </c>
      <c r="AH259" s="420">
        <v>0.96</v>
      </c>
      <c r="AI259" s="420">
        <v>12.6</v>
      </c>
      <c r="AJ259" s="421">
        <v>1.56</v>
      </c>
    </row>
    <row r="260" spans="31:36" x14ac:dyDescent="0.25">
      <c r="AE260" s="418" t="s">
        <v>73</v>
      </c>
      <c r="AF260" s="419">
        <v>44.7</v>
      </c>
      <c r="AG260" s="420">
        <v>13.7</v>
      </c>
      <c r="AH260" s="420">
        <v>0.87</v>
      </c>
      <c r="AI260" s="420">
        <v>12.5</v>
      </c>
      <c r="AJ260" s="421">
        <v>1.4</v>
      </c>
    </row>
    <row r="261" spans="31:36" x14ac:dyDescent="0.25">
      <c r="AE261" s="418" t="s">
        <v>72</v>
      </c>
      <c r="AF261" s="419">
        <v>39.9</v>
      </c>
      <c r="AG261" s="420">
        <v>13.4</v>
      </c>
      <c r="AH261" s="420">
        <v>0.79</v>
      </c>
      <c r="AI261" s="420">
        <v>12.4</v>
      </c>
      <c r="AJ261" s="421">
        <v>1.25</v>
      </c>
    </row>
    <row r="262" spans="31:36" x14ac:dyDescent="0.25">
      <c r="AE262" s="418" t="s">
        <v>340</v>
      </c>
      <c r="AF262" s="419">
        <v>35.299999999999997</v>
      </c>
      <c r="AG262" s="420">
        <v>13.1</v>
      </c>
      <c r="AH262" s="420">
        <v>0.71</v>
      </c>
      <c r="AI262" s="420">
        <v>12.3</v>
      </c>
      <c r="AJ262" s="421">
        <v>1.1100000000000001</v>
      </c>
    </row>
    <row r="263" spans="31:36" x14ac:dyDescent="0.25">
      <c r="AE263" s="418" t="s">
        <v>232</v>
      </c>
      <c r="AF263" s="419">
        <v>31.2</v>
      </c>
      <c r="AG263" s="420">
        <v>12.9</v>
      </c>
      <c r="AH263" s="420">
        <v>0.61</v>
      </c>
      <c r="AI263" s="420">
        <v>12.2</v>
      </c>
      <c r="AJ263" s="421">
        <v>0.99</v>
      </c>
    </row>
    <row r="264" spans="31:36" x14ac:dyDescent="0.25">
      <c r="AE264" s="418" t="s">
        <v>231</v>
      </c>
      <c r="AF264" s="419">
        <v>28.2</v>
      </c>
      <c r="AG264" s="420">
        <v>12.7</v>
      </c>
      <c r="AH264" s="420">
        <v>0.55000000000000004</v>
      </c>
      <c r="AI264" s="420">
        <v>12.2</v>
      </c>
      <c r="AJ264" s="421">
        <v>0.9</v>
      </c>
    </row>
    <row r="265" spans="31:36" x14ac:dyDescent="0.25">
      <c r="AE265" s="418" t="s">
        <v>230</v>
      </c>
      <c r="AF265" s="419">
        <v>25.6</v>
      </c>
      <c r="AG265" s="420">
        <v>12.5</v>
      </c>
      <c r="AH265" s="420">
        <v>0.51500000000000001</v>
      </c>
      <c r="AI265" s="420">
        <v>12.1</v>
      </c>
      <c r="AJ265" s="421">
        <v>0.81</v>
      </c>
    </row>
    <row r="266" spans="31:36" x14ac:dyDescent="0.25">
      <c r="AE266" s="418" t="s">
        <v>175</v>
      </c>
      <c r="AF266" s="419">
        <v>23.2</v>
      </c>
      <c r="AG266" s="420">
        <v>12.4</v>
      </c>
      <c r="AH266" s="420">
        <v>0.47</v>
      </c>
      <c r="AI266" s="420">
        <v>12.1</v>
      </c>
      <c r="AJ266" s="421">
        <v>0.73499999999999999</v>
      </c>
    </row>
    <row r="267" spans="31:36" x14ac:dyDescent="0.25">
      <c r="AE267" s="418" t="s">
        <v>174</v>
      </c>
      <c r="AF267" s="419">
        <v>21.1</v>
      </c>
      <c r="AG267" s="420">
        <v>12.3</v>
      </c>
      <c r="AH267" s="420">
        <v>0.43</v>
      </c>
      <c r="AI267" s="420">
        <v>12</v>
      </c>
      <c r="AJ267" s="421">
        <v>0.67</v>
      </c>
    </row>
    <row r="268" spans="31:36" x14ac:dyDescent="0.25">
      <c r="AE268" s="418" t="s">
        <v>173</v>
      </c>
      <c r="AF268" s="419">
        <v>19.100000000000001</v>
      </c>
      <c r="AG268" s="420">
        <v>12.1</v>
      </c>
      <c r="AH268" s="420">
        <v>0.39</v>
      </c>
      <c r="AI268" s="420">
        <v>12</v>
      </c>
      <c r="AJ268" s="421">
        <v>0.60499999999999998</v>
      </c>
    </row>
    <row r="269" spans="31:36" x14ac:dyDescent="0.25">
      <c r="AE269" s="418" t="s">
        <v>169</v>
      </c>
      <c r="AF269" s="419">
        <v>17</v>
      </c>
      <c r="AG269" s="420">
        <v>12.2</v>
      </c>
      <c r="AH269" s="420">
        <v>0.36</v>
      </c>
      <c r="AI269" s="420">
        <v>10</v>
      </c>
      <c r="AJ269" s="421">
        <v>0.64</v>
      </c>
    </row>
    <row r="270" spans="31:36" x14ac:dyDescent="0.25">
      <c r="AE270" s="418" t="s">
        <v>225</v>
      </c>
      <c r="AF270" s="419">
        <v>15.6</v>
      </c>
      <c r="AG270" s="420">
        <v>12.1</v>
      </c>
      <c r="AH270" s="420">
        <v>0.34499999999999997</v>
      </c>
      <c r="AI270" s="420">
        <v>9.99</v>
      </c>
      <c r="AJ270" s="421">
        <v>0.57499999999999996</v>
      </c>
    </row>
    <row r="271" spans="31:36" x14ac:dyDescent="0.25">
      <c r="AE271" s="418" t="s">
        <v>168</v>
      </c>
      <c r="AF271" s="419">
        <v>14.6</v>
      </c>
      <c r="AG271" s="420">
        <v>12.2</v>
      </c>
      <c r="AH271" s="420">
        <v>0.37</v>
      </c>
      <c r="AI271" s="420">
        <v>8.08</v>
      </c>
      <c r="AJ271" s="421">
        <v>0.64</v>
      </c>
    </row>
    <row r="272" spans="31:36" x14ac:dyDescent="0.25">
      <c r="AE272" s="418" t="s">
        <v>167</v>
      </c>
      <c r="AF272" s="419">
        <v>13.1</v>
      </c>
      <c r="AG272" s="420">
        <v>12.1</v>
      </c>
      <c r="AH272" s="420">
        <v>0.33500000000000002</v>
      </c>
      <c r="AI272" s="420">
        <v>8.0500000000000007</v>
      </c>
      <c r="AJ272" s="421">
        <v>0.57499999999999996</v>
      </c>
    </row>
    <row r="273" spans="31:36" x14ac:dyDescent="0.25">
      <c r="AE273" s="418" t="s">
        <v>166</v>
      </c>
      <c r="AF273" s="419">
        <v>11.7</v>
      </c>
      <c r="AG273" s="420">
        <v>11.9</v>
      </c>
      <c r="AH273" s="420">
        <v>0.29499999999999998</v>
      </c>
      <c r="AI273" s="420">
        <v>8.01</v>
      </c>
      <c r="AJ273" s="421">
        <v>0.51500000000000001</v>
      </c>
    </row>
    <row r="274" spans="31:36" x14ac:dyDescent="0.25">
      <c r="AE274" s="418" t="s">
        <v>257</v>
      </c>
      <c r="AF274" s="419">
        <v>10.3</v>
      </c>
      <c r="AG274" s="420">
        <v>12.5</v>
      </c>
      <c r="AH274" s="420">
        <v>0.3</v>
      </c>
      <c r="AI274" s="420">
        <v>6.56</v>
      </c>
      <c r="AJ274" s="421">
        <v>0.52</v>
      </c>
    </row>
    <row r="275" spans="31:36" x14ac:dyDescent="0.25">
      <c r="AE275" s="418" t="s">
        <v>256</v>
      </c>
      <c r="AF275" s="419">
        <v>8.7899999999999991</v>
      </c>
      <c r="AG275" s="420">
        <v>12.3</v>
      </c>
      <c r="AH275" s="420">
        <v>0.26</v>
      </c>
      <c r="AI275" s="420">
        <v>6.52</v>
      </c>
      <c r="AJ275" s="421">
        <v>0.44</v>
      </c>
    </row>
    <row r="276" spans="31:36" x14ac:dyDescent="0.25">
      <c r="AE276" s="418" t="s">
        <v>111</v>
      </c>
      <c r="AF276" s="419">
        <v>7.65</v>
      </c>
      <c r="AG276" s="420">
        <v>12.2</v>
      </c>
      <c r="AH276" s="420">
        <v>0.23</v>
      </c>
      <c r="AI276" s="420">
        <v>6.49</v>
      </c>
      <c r="AJ276" s="421">
        <v>0.38</v>
      </c>
    </row>
    <row r="277" spans="31:36" x14ac:dyDescent="0.25">
      <c r="AE277" s="418" t="s">
        <v>110</v>
      </c>
      <c r="AF277" s="419">
        <v>6.48</v>
      </c>
      <c r="AG277" s="420">
        <v>12.3</v>
      </c>
      <c r="AH277" s="420">
        <v>0.26</v>
      </c>
      <c r="AI277" s="420">
        <v>4.03</v>
      </c>
      <c r="AJ277" s="421">
        <v>0.42499999999999999</v>
      </c>
    </row>
    <row r="278" spans="31:36" x14ac:dyDescent="0.25">
      <c r="AE278" s="418" t="s">
        <v>109</v>
      </c>
      <c r="AF278" s="419">
        <v>5.57</v>
      </c>
      <c r="AG278" s="420">
        <v>12.2</v>
      </c>
      <c r="AH278" s="420">
        <v>0.23499999999999999</v>
      </c>
      <c r="AI278" s="420">
        <v>4.01</v>
      </c>
      <c r="AJ278" s="421">
        <v>0.35</v>
      </c>
    </row>
    <row r="279" spans="31:36" x14ac:dyDescent="0.25">
      <c r="AE279" s="418" t="s">
        <v>108</v>
      </c>
      <c r="AF279" s="419">
        <v>4.71</v>
      </c>
      <c r="AG279" s="420">
        <v>12</v>
      </c>
      <c r="AH279" s="420">
        <v>0.22</v>
      </c>
      <c r="AI279" s="420">
        <v>3.99</v>
      </c>
      <c r="AJ279" s="421">
        <v>0.26500000000000001</v>
      </c>
    </row>
    <row r="280" spans="31:36" x14ac:dyDescent="0.25">
      <c r="AE280" s="418" t="s">
        <v>107</v>
      </c>
      <c r="AF280" s="419">
        <v>4.16</v>
      </c>
      <c r="AG280" s="420">
        <v>11.9</v>
      </c>
      <c r="AH280" s="420">
        <v>0.2</v>
      </c>
      <c r="AI280" s="420">
        <v>3.97</v>
      </c>
      <c r="AJ280" s="421">
        <v>0.22500000000000001</v>
      </c>
    </row>
    <row r="281" spans="31:36" x14ac:dyDescent="0.25">
      <c r="AE281" s="418" t="s">
        <v>106</v>
      </c>
      <c r="AF281" s="419">
        <v>32.9</v>
      </c>
      <c r="AG281" s="420">
        <v>11.4</v>
      </c>
      <c r="AH281" s="420">
        <v>0.755</v>
      </c>
      <c r="AI281" s="420">
        <v>10.4</v>
      </c>
      <c r="AJ281" s="421">
        <v>1.25</v>
      </c>
    </row>
    <row r="282" spans="31:36" x14ac:dyDescent="0.25">
      <c r="AE282" s="418" t="s">
        <v>105</v>
      </c>
      <c r="AF282" s="419">
        <v>29.4</v>
      </c>
      <c r="AG282" s="420">
        <v>11.1</v>
      </c>
      <c r="AH282" s="420">
        <v>0.68</v>
      </c>
      <c r="AI282" s="420">
        <v>10.3</v>
      </c>
      <c r="AJ282" s="421">
        <v>1.1200000000000001</v>
      </c>
    </row>
    <row r="283" spans="31:36" x14ac:dyDescent="0.25">
      <c r="AE283" s="418" t="s">
        <v>104</v>
      </c>
      <c r="AF283" s="419">
        <v>25.9</v>
      </c>
      <c r="AG283" s="420">
        <v>10.8</v>
      </c>
      <c r="AH283" s="420">
        <v>0.60499999999999998</v>
      </c>
      <c r="AI283" s="420">
        <v>10.3</v>
      </c>
      <c r="AJ283" s="421">
        <v>0.99</v>
      </c>
    </row>
    <row r="284" spans="31:36" x14ac:dyDescent="0.25">
      <c r="AE284" s="418" t="s">
        <v>103</v>
      </c>
      <c r="AF284" s="419">
        <v>22.6</v>
      </c>
      <c r="AG284" s="420">
        <v>10.6</v>
      </c>
      <c r="AH284" s="420">
        <v>0.53</v>
      </c>
      <c r="AI284" s="420">
        <v>10.199999999999999</v>
      </c>
      <c r="AJ284" s="421">
        <v>0.87</v>
      </c>
    </row>
    <row r="285" spans="31:36" x14ac:dyDescent="0.25">
      <c r="AE285" s="418" t="s">
        <v>102</v>
      </c>
      <c r="AF285" s="419">
        <v>20</v>
      </c>
      <c r="AG285" s="420">
        <v>10.4</v>
      </c>
      <c r="AH285" s="420">
        <v>0.47</v>
      </c>
      <c r="AI285" s="420">
        <v>10.1</v>
      </c>
      <c r="AJ285" s="421">
        <v>0.77</v>
      </c>
    </row>
    <row r="286" spans="31:36" x14ac:dyDescent="0.25">
      <c r="AE286" s="418" t="s">
        <v>101</v>
      </c>
      <c r="AF286" s="419">
        <v>17.600000000000001</v>
      </c>
      <c r="AG286" s="420">
        <v>10.199999999999999</v>
      </c>
      <c r="AH286" s="420">
        <v>0.42</v>
      </c>
      <c r="AI286" s="420">
        <v>10.1</v>
      </c>
      <c r="AJ286" s="421">
        <v>0.68</v>
      </c>
    </row>
    <row r="287" spans="31:36" x14ac:dyDescent="0.25">
      <c r="AE287" s="418" t="s">
        <v>358</v>
      </c>
      <c r="AF287" s="419">
        <v>15.8</v>
      </c>
      <c r="AG287" s="420">
        <v>10.1</v>
      </c>
      <c r="AH287" s="420">
        <v>0.37</v>
      </c>
      <c r="AI287" s="420">
        <v>10</v>
      </c>
      <c r="AJ287" s="421">
        <v>0.61499999999999999</v>
      </c>
    </row>
    <row r="288" spans="31:36" x14ac:dyDescent="0.25">
      <c r="AE288" s="418" t="s">
        <v>224</v>
      </c>
      <c r="AF288" s="419">
        <v>14.4</v>
      </c>
      <c r="AG288" s="420">
        <v>9.98</v>
      </c>
      <c r="AH288" s="420">
        <v>0.34</v>
      </c>
      <c r="AI288" s="420">
        <v>10</v>
      </c>
      <c r="AJ288" s="421">
        <v>0.56000000000000005</v>
      </c>
    </row>
    <row r="289" spans="31:36" x14ac:dyDescent="0.25">
      <c r="AE289" s="418" t="s">
        <v>223</v>
      </c>
      <c r="AF289" s="419">
        <v>13.3</v>
      </c>
      <c r="AG289" s="420">
        <v>10.1</v>
      </c>
      <c r="AH289" s="420">
        <v>0.35</v>
      </c>
      <c r="AI289" s="420">
        <v>8.02</v>
      </c>
      <c r="AJ289" s="421">
        <v>0.62</v>
      </c>
    </row>
    <row r="290" spans="31:36" x14ac:dyDescent="0.25">
      <c r="AE290" s="418" t="s">
        <v>222</v>
      </c>
      <c r="AF290" s="419">
        <v>11.5</v>
      </c>
      <c r="AG290" s="420">
        <v>9.92</v>
      </c>
      <c r="AH290" s="420">
        <v>0.315</v>
      </c>
      <c r="AI290" s="420">
        <v>7.99</v>
      </c>
      <c r="AJ290" s="421">
        <v>0.53</v>
      </c>
    </row>
    <row r="291" spans="31:36" x14ac:dyDescent="0.25">
      <c r="AE291" s="418" t="s">
        <v>221</v>
      </c>
      <c r="AF291" s="419">
        <v>9.7100000000000009</v>
      </c>
      <c r="AG291" s="420">
        <v>9.73</v>
      </c>
      <c r="AH291" s="420">
        <v>0.28999999999999998</v>
      </c>
      <c r="AI291" s="420">
        <v>7.96</v>
      </c>
      <c r="AJ291" s="421">
        <v>0.435</v>
      </c>
    </row>
    <row r="292" spans="31:36" x14ac:dyDescent="0.25">
      <c r="AE292" s="418" t="s">
        <v>435</v>
      </c>
      <c r="AF292" s="419">
        <v>8.84</v>
      </c>
      <c r="AG292" s="420">
        <v>10.5</v>
      </c>
      <c r="AH292" s="420">
        <v>0.3</v>
      </c>
      <c r="AI292" s="420">
        <v>5.81</v>
      </c>
      <c r="AJ292" s="421">
        <v>0.51</v>
      </c>
    </row>
    <row r="293" spans="31:36" x14ac:dyDescent="0.25">
      <c r="AE293" s="418" t="s">
        <v>434</v>
      </c>
      <c r="AF293" s="419">
        <v>7.61</v>
      </c>
      <c r="AG293" s="420">
        <v>10.3</v>
      </c>
      <c r="AH293" s="420">
        <v>0.26</v>
      </c>
      <c r="AI293" s="420">
        <v>5.77</v>
      </c>
      <c r="AJ293" s="421">
        <v>0.44</v>
      </c>
    </row>
    <row r="294" spans="31:36" x14ac:dyDescent="0.25">
      <c r="AE294" s="418" t="s">
        <v>319</v>
      </c>
      <c r="AF294" s="419">
        <v>6.49</v>
      </c>
      <c r="AG294" s="420">
        <v>10.199999999999999</v>
      </c>
      <c r="AH294" s="420">
        <v>0.24</v>
      </c>
      <c r="AI294" s="420">
        <v>5.75</v>
      </c>
      <c r="AJ294" s="421">
        <v>0.36</v>
      </c>
    </row>
    <row r="295" spans="31:36" x14ac:dyDescent="0.25">
      <c r="AE295" s="418" t="s">
        <v>318</v>
      </c>
      <c r="AF295" s="419">
        <v>5.62</v>
      </c>
      <c r="AG295" s="420">
        <v>10.199999999999999</v>
      </c>
      <c r="AH295" s="420">
        <v>0.25</v>
      </c>
      <c r="AI295" s="420">
        <v>4.0199999999999996</v>
      </c>
      <c r="AJ295" s="421">
        <v>0.39500000000000002</v>
      </c>
    </row>
    <row r="296" spans="31:36" x14ac:dyDescent="0.25">
      <c r="AE296" s="418" t="s">
        <v>80</v>
      </c>
      <c r="AF296" s="419">
        <v>4.99</v>
      </c>
      <c r="AG296" s="420">
        <v>10.1</v>
      </c>
      <c r="AH296" s="420">
        <v>0.24</v>
      </c>
      <c r="AI296" s="420">
        <v>4.01</v>
      </c>
      <c r="AJ296" s="421">
        <v>0.33</v>
      </c>
    </row>
    <row r="297" spans="31:36" x14ac:dyDescent="0.25">
      <c r="AE297" s="418" t="s">
        <v>79</v>
      </c>
      <c r="AF297" s="419">
        <v>4.41</v>
      </c>
      <c r="AG297" s="420">
        <v>9.99</v>
      </c>
      <c r="AH297" s="420">
        <v>0.23</v>
      </c>
      <c r="AI297" s="420">
        <v>4</v>
      </c>
      <c r="AJ297" s="421">
        <v>0.27</v>
      </c>
    </row>
    <row r="298" spans="31:36" x14ac:dyDescent="0.25">
      <c r="AE298" s="418" t="s">
        <v>184</v>
      </c>
      <c r="AF298" s="419">
        <v>3.54</v>
      </c>
      <c r="AG298" s="420">
        <v>9.8699999999999992</v>
      </c>
      <c r="AH298" s="420">
        <v>0.19</v>
      </c>
      <c r="AI298" s="420">
        <v>3.96</v>
      </c>
      <c r="AJ298" s="421">
        <v>0.21</v>
      </c>
    </row>
    <row r="299" spans="31:36" x14ac:dyDescent="0.25">
      <c r="AE299" s="418" t="s">
        <v>183</v>
      </c>
      <c r="AF299" s="419">
        <v>19.7</v>
      </c>
      <c r="AG299" s="420">
        <v>9</v>
      </c>
      <c r="AH299" s="420">
        <v>0.56999999999999995</v>
      </c>
      <c r="AI299" s="420">
        <v>8.2799999999999994</v>
      </c>
      <c r="AJ299" s="421">
        <v>0.93500000000000005</v>
      </c>
    </row>
    <row r="300" spans="31:36" x14ac:dyDescent="0.25">
      <c r="AE300" s="418" t="s">
        <v>182</v>
      </c>
      <c r="AF300" s="419">
        <v>17.100000000000001</v>
      </c>
      <c r="AG300" s="420">
        <v>8.75</v>
      </c>
      <c r="AH300" s="420">
        <v>0.51</v>
      </c>
      <c r="AI300" s="420">
        <v>8.2200000000000006</v>
      </c>
      <c r="AJ300" s="421">
        <v>0.81</v>
      </c>
    </row>
    <row r="301" spans="31:36" x14ac:dyDescent="0.25">
      <c r="AE301" s="418" t="s">
        <v>181</v>
      </c>
      <c r="AF301" s="419">
        <v>14.1</v>
      </c>
      <c r="AG301" s="420">
        <v>8.5</v>
      </c>
      <c r="AH301" s="420">
        <v>0.4</v>
      </c>
      <c r="AI301" s="420">
        <v>8.11</v>
      </c>
      <c r="AJ301" s="421">
        <v>0.68500000000000005</v>
      </c>
    </row>
    <row r="302" spans="31:36" x14ac:dyDescent="0.25">
      <c r="AE302" s="418" t="s">
        <v>211</v>
      </c>
      <c r="AF302" s="419">
        <v>11.7</v>
      </c>
      <c r="AG302" s="420">
        <v>8.25</v>
      </c>
      <c r="AH302" s="420">
        <v>0.36</v>
      </c>
      <c r="AI302" s="420">
        <v>8.07</v>
      </c>
      <c r="AJ302" s="421">
        <v>0.56000000000000005</v>
      </c>
    </row>
    <row r="303" spans="31:36" x14ac:dyDescent="0.25">
      <c r="AE303" s="418" t="s">
        <v>120</v>
      </c>
      <c r="AF303" s="419">
        <v>10.3</v>
      </c>
      <c r="AG303" s="420">
        <v>8.1199999999999992</v>
      </c>
      <c r="AH303" s="420">
        <v>0.31</v>
      </c>
      <c r="AI303" s="420">
        <v>8.02</v>
      </c>
      <c r="AJ303" s="421">
        <v>0.495</v>
      </c>
    </row>
    <row r="304" spans="31:36" x14ac:dyDescent="0.25">
      <c r="AE304" s="418" t="s">
        <v>119</v>
      </c>
      <c r="AF304" s="419">
        <v>9.1199999999999992</v>
      </c>
      <c r="AG304" s="420">
        <v>8</v>
      </c>
      <c r="AH304" s="420">
        <v>0.28499999999999998</v>
      </c>
      <c r="AI304" s="420">
        <v>8</v>
      </c>
      <c r="AJ304" s="421">
        <v>0.435</v>
      </c>
    </row>
    <row r="305" spans="31:36" x14ac:dyDescent="0.25">
      <c r="AE305" s="418" t="s">
        <v>410</v>
      </c>
      <c r="AF305" s="419">
        <v>8.24</v>
      </c>
      <c r="AG305" s="420">
        <v>8.06</v>
      </c>
      <c r="AH305" s="420">
        <v>0.28499999999999998</v>
      </c>
      <c r="AI305" s="420">
        <v>6.54</v>
      </c>
      <c r="AJ305" s="421">
        <v>0.46500000000000002</v>
      </c>
    </row>
    <row r="306" spans="31:36" x14ac:dyDescent="0.25">
      <c r="AE306" s="418" t="s">
        <v>329</v>
      </c>
      <c r="AF306" s="419">
        <v>7.08</v>
      </c>
      <c r="AG306" s="420">
        <v>7.93</v>
      </c>
      <c r="AH306" s="420">
        <v>0.245</v>
      </c>
      <c r="AI306" s="420">
        <v>6.5</v>
      </c>
      <c r="AJ306" s="421">
        <v>0.4</v>
      </c>
    </row>
    <row r="307" spans="31:36" x14ac:dyDescent="0.25">
      <c r="AE307" s="418" t="s">
        <v>328</v>
      </c>
      <c r="AF307" s="419">
        <v>6.16</v>
      </c>
      <c r="AG307" s="420">
        <v>8.2799999999999994</v>
      </c>
      <c r="AH307" s="420">
        <v>0.25</v>
      </c>
      <c r="AI307" s="420">
        <v>5.27</v>
      </c>
      <c r="AJ307" s="421">
        <v>0.4</v>
      </c>
    </row>
    <row r="308" spans="31:36" x14ac:dyDescent="0.25">
      <c r="AE308" s="418" t="s">
        <v>327</v>
      </c>
      <c r="AF308" s="419">
        <v>5.26</v>
      </c>
      <c r="AG308" s="420">
        <v>8.14</v>
      </c>
      <c r="AH308" s="420">
        <v>0.23</v>
      </c>
      <c r="AI308" s="420">
        <v>5.25</v>
      </c>
      <c r="AJ308" s="421">
        <v>0.33</v>
      </c>
    </row>
    <row r="309" spans="31:36" x14ac:dyDescent="0.25">
      <c r="AE309" s="418" t="s">
        <v>326</v>
      </c>
      <c r="AF309" s="419">
        <v>4.4400000000000004</v>
      </c>
      <c r="AG309" s="420">
        <v>8.11</v>
      </c>
      <c r="AH309" s="420">
        <v>0.245</v>
      </c>
      <c r="AI309" s="420">
        <v>4.01</v>
      </c>
      <c r="AJ309" s="421">
        <v>0.315</v>
      </c>
    </row>
    <row r="310" spans="31:36" x14ac:dyDescent="0.25">
      <c r="AE310" s="418" t="s">
        <v>325</v>
      </c>
      <c r="AF310" s="419">
        <v>3.84</v>
      </c>
      <c r="AG310" s="420">
        <v>7.99</v>
      </c>
      <c r="AH310" s="420">
        <v>0.23</v>
      </c>
      <c r="AI310" s="420">
        <v>4</v>
      </c>
      <c r="AJ310" s="421">
        <v>0.255</v>
      </c>
    </row>
    <row r="311" spans="31:36" x14ac:dyDescent="0.25">
      <c r="AE311" s="418" t="s">
        <v>324</v>
      </c>
      <c r="AF311" s="419">
        <v>2.96</v>
      </c>
      <c r="AG311" s="420">
        <v>7.89</v>
      </c>
      <c r="AH311" s="420">
        <v>0.17</v>
      </c>
      <c r="AI311" s="420">
        <v>3.94</v>
      </c>
      <c r="AJ311" s="421">
        <v>0.20499999999999999</v>
      </c>
    </row>
    <row r="312" spans="31:36" x14ac:dyDescent="0.25">
      <c r="AE312" s="418" t="s">
        <v>323</v>
      </c>
      <c r="AF312" s="419">
        <v>7.36</v>
      </c>
      <c r="AG312" s="420">
        <v>6.38</v>
      </c>
      <c r="AH312" s="420">
        <v>0.32</v>
      </c>
      <c r="AI312" s="420">
        <v>6.08</v>
      </c>
      <c r="AJ312" s="421">
        <v>0.45500000000000002</v>
      </c>
    </row>
    <row r="313" spans="31:36" x14ac:dyDescent="0.25">
      <c r="AE313" s="418" t="s">
        <v>61</v>
      </c>
      <c r="AF313" s="419">
        <v>5.89</v>
      </c>
      <c r="AG313" s="420">
        <v>6.2</v>
      </c>
      <c r="AH313" s="420">
        <v>0.26</v>
      </c>
      <c r="AI313" s="420">
        <v>6.02</v>
      </c>
      <c r="AJ313" s="421">
        <v>0.36499999999999999</v>
      </c>
    </row>
    <row r="314" spans="31:36" x14ac:dyDescent="0.25">
      <c r="AE314" s="418" t="s">
        <v>100</v>
      </c>
      <c r="AF314" s="419">
        <v>4.74</v>
      </c>
      <c r="AG314" s="420">
        <v>6.28</v>
      </c>
      <c r="AH314" s="420">
        <v>0.26</v>
      </c>
      <c r="AI314" s="420">
        <v>4.03</v>
      </c>
      <c r="AJ314" s="421">
        <v>0.40500000000000003</v>
      </c>
    </row>
    <row r="315" spans="31:36" x14ac:dyDescent="0.25">
      <c r="AE315" s="418" t="s">
        <v>17</v>
      </c>
      <c r="AF315" s="419">
        <v>4.45</v>
      </c>
      <c r="AG315" s="420">
        <v>5.99</v>
      </c>
      <c r="AH315" s="420">
        <v>0.23</v>
      </c>
      <c r="AI315" s="420">
        <v>5.99</v>
      </c>
      <c r="AJ315" s="421">
        <v>0.26</v>
      </c>
    </row>
    <row r="316" spans="31:36" x14ac:dyDescent="0.25">
      <c r="AE316" s="418" t="s">
        <v>16</v>
      </c>
      <c r="AF316" s="419">
        <v>3.55</v>
      </c>
      <c r="AG316" s="420">
        <v>6.03</v>
      </c>
      <c r="AH316" s="420">
        <v>0.23</v>
      </c>
      <c r="AI316" s="420">
        <v>4</v>
      </c>
      <c r="AJ316" s="421">
        <v>0.28000000000000003</v>
      </c>
    </row>
    <row r="317" spans="31:36" x14ac:dyDescent="0.25">
      <c r="AE317" s="418" t="s">
        <v>15</v>
      </c>
      <c r="AF317" s="419">
        <v>2.68</v>
      </c>
      <c r="AG317" s="420">
        <v>5.9</v>
      </c>
      <c r="AH317" s="420">
        <v>0.17</v>
      </c>
      <c r="AI317" s="420">
        <v>3.94</v>
      </c>
      <c r="AJ317" s="421">
        <v>0.215</v>
      </c>
    </row>
    <row r="318" spans="31:36" x14ac:dyDescent="0.25">
      <c r="AE318" s="418" t="s">
        <v>8</v>
      </c>
      <c r="AF318" s="419">
        <v>2.5099999999999998</v>
      </c>
      <c r="AG318" s="420">
        <v>5.83</v>
      </c>
      <c r="AH318" s="420">
        <v>0.17</v>
      </c>
      <c r="AI318" s="420">
        <v>3.94</v>
      </c>
      <c r="AJ318" s="421">
        <v>0.19400000000000001</v>
      </c>
    </row>
    <row r="319" spans="31:36" x14ac:dyDescent="0.25">
      <c r="AE319" s="418" t="s">
        <v>14</v>
      </c>
      <c r="AF319" s="419">
        <v>5.56</v>
      </c>
      <c r="AG319" s="420">
        <v>5.15</v>
      </c>
      <c r="AH319" s="420">
        <v>0.27</v>
      </c>
      <c r="AI319" s="420">
        <v>5.03</v>
      </c>
      <c r="AJ319" s="421">
        <v>0.43</v>
      </c>
    </row>
    <row r="320" spans="31:36" x14ac:dyDescent="0.25">
      <c r="AE320" s="418" t="s">
        <v>13</v>
      </c>
      <c r="AF320" s="419">
        <v>4.71</v>
      </c>
      <c r="AG320" s="420">
        <v>5.01</v>
      </c>
      <c r="AH320" s="420">
        <v>0.24</v>
      </c>
      <c r="AI320" s="420">
        <v>5</v>
      </c>
      <c r="AJ320" s="421">
        <v>0.36</v>
      </c>
    </row>
    <row r="321" spans="31:36" x14ac:dyDescent="0.25">
      <c r="AE321" s="424" t="s">
        <v>330</v>
      </c>
      <c r="AF321" s="425">
        <v>3.83</v>
      </c>
      <c r="AG321" s="426">
        <v>4.16</v>
      </c>
      <c r="AH321" s="426">
        <v>0.28000000000000003</v>
      </c>
      <c r="AI321" s="426">
        <v>4.0599999999999996</v>
      </c>
      <c r="AJ321" s="427">
        <v>0.34499999999999997</v>
      </c>
    </row>
    <row r="322" spans="31:36" x14ac:dyDescent="0.25">
      <c r="AE322" s="414" t="s">
        <v>258</v>
      </c>
      <c r="AF322" s="428">
        <v>35.5</v>
      </c>
      <c r="AG322" s="429">
        <v>24.5</v>
      </c>
      <c r="AH322" s="429">
        <v>0.8</v>
      </c>
      <c r="AI322" s="429">
        <v>8.0500000000000007</v>
      </c>
      <c r="AJ322" s="430">
        <v>1.0900000000000001</v>
      </c>
    </row>
    <row r="323" spans="31:36" x14ac:dyDescent="0.25">
      <c r="AE323" s="418" t="s">
        <v>118</v>
      </c>
      <c r="AF323" s="431">
        <v>31.1</v>
      </c>
      <c r="AG323" s="432">
        <v>24.5</v>
      </c>
      <c r="AH323" s="432">
        <v>0.62</v>
      </c>
      <c r="AI323" s="432">
        <v>7.87</v>
      </c>
      <c r="AJ323" s="433">
        <v>1.0900000000000001</v>
      </c>
    </row>
    <row r="324" spans="31:36" x14ac:dyDescent="0.25">
      <c r="AE324" s="418" t="s">
        <v>117</v>
      </c>
      <c r="AF324" s="431">
        <v>29.3</v>
      </c>
      <c r="AG324" s="432">
        <v>24</v>
      </c>
      <c r="AH324" s="432">
        <v>0.745</v>
      </c>
      <c r="AI324" s="432">
        <v>7.25</v>
      </c>
      <c r="AJ324" s="433">
        <v>0.87</v>
      </c>
    </row>
    <row r="325" spans="31:36" x14ac:dyDescent="0.25">
      <c r="AE325" s="418" t="s">
        <v>116</v>
      </c>
      <c r="AF325" s="431">
        <v>26.5</v>
      </c>
      <c r="AG325" s="432">
        <v>24</v>
      </c>
      <c r="AH325" s="432">
        <v>0.625</v>
      </c>
      <c r="AI325" s="432">
        <v>7.13</v>
      </c>
      <c r="AJ325" s="433">
        <v>0.87</v>
      </c>
    </row>
    <row r="326" spans="31:36" x14ac:dyDescent="0.25">
      <c r="AE326" s="418" t="s">
        <v>393</v>
      </c>
      <c r="AF326" s="431">
        <v>23.5</v>
      </c>
      <c r="AG326" s="432">
        <v>24</v>
      </c>
      <c r="AH326" s="432">
        <v>0.5</v>
      </c>
      <c r="AI326" s="432">
        <v>7</v>
      </c>
      <c r="AJ326" s="433">
        <v>0.87</v>
      </c>
    </row>
    <row r="327" spans="31:36" x14ac:dyDescent="0.25">
      <c r="AE327" s="418" t="s">
        <v>392</v>
      </c>
      <c r="AF327" s="431">
        <v>28.2</v>
      </c>
      <c r="AG327" s="432">
        <v>20.3</v>
      </c>
      <c r="AH327" s="432">
        <v>0.8</v>
      </c>
      <c r="AI327" s="432">
        <v>7.2</v>
      </c>
      <c r="AJ327" s="433">
        <v>0.92</v>
      </c>
    </row>
    <row r="328" spans="31:36" x14ac:dyDescent="0.25">
      <c r="AE328" s="418" t="s">
        <v>391</v>
      </c>
      <c r="AF328" s="431">
        <v>25.3</v>
      </c>
      <c r="AG328" s="432">
        <v>20.3</v>
      </c>
      <c r="AH328" s="432">
        <v>0.66</v>
      </c>
      <c r="AI328" s="432">
        <v>7.06</v>
      </c>
      <c r="AJ328" s="433">
        <v>0.92</v>
      </c>
    </row>
    <row r="329" spans="31:36" x14ac:dyDescent="0.25">
      <c r="AE329" s="418" t="s">
        <v>390</v>
      </c>
      <c r="AF329" s="431">
        <v>22</v>
      </c>
      <c r="AG329" s="432">
        <v>20</v>
      </c>
      <c r="AH329" s="432">
        <v>0.63500000000000001</v>
      </c>
      <c r="AI329" s="432">
        <v>6.39</v>
      </c>
      <c r="AJ329" s="433">
        <v>0.79500000000000004</v>
      </c>
    </row>
    <row r="330" spans="31:36" x14ac:dyDescent="0.25">
      <c r="AE330" s="418" t="s">
        <v>389</v>
      </c>
      <c r="AF330" s="431">
        <v>19.399999999999999</v>
      </c>
      <c r="AG330" s="432">
        <v>20</v>
      </c>
      <c r="AH330" s="432">
        <v>0.505</v>
      </c>
      <c r="AI330" s="432">
        <v>6.26</v>
      </c>
      <c r="AJ330" s="433">
        <v>0.79500000000000004</v>
      </c>
    </row>
    <row r="331" spans="31:36" x14ac:dyDescent="0.25">
      <c r="AE331" s="418" t="s">
        <v>293</v>
      </c>
      <c r="AF331" s="431">
        <v>20.5</v>
      </c>
      <c r="AG331" s="432">
        <v>18</v>
      </c>
      <c r="AH331" s="432">
        <v>0.71099999999999997</v>
      </c>
      <c r="AI331" s="432">
        <v>6.25</v>
      </c>
      <c r="AJ331" s="433">
        <v>0.69099999999999995</v>
      </c>
    </row>
    <row r="332" spans="31:36" x14ac:dyDescent="0.25">
      <c r="AE332" s="418" t="s">
        <v>292</v>
      </c>
      <c r="AF332" s="431">
        <v>16</v>
      </c>
      <c r="AG332" s="432">
        <v>18</v>
      </c>
      <c r="AH332" s="432">
        <v>0.46100000000000002</v>
      </c>
      <c r="AI332" s="432">
        <v>6</v>
      </c>
      <c r="AJ332" s="433">
        <v>0.69099999999999995</v>
      </c>
    </row>
    <row r="333" spans="31:36" x14ac:dyDescent="0.25">
      <c r="AE333" s="418" t="s">
        <v>291</v>
      </c>
      <c r="AF333" s="431">
        <v>14.7</v>
      </c>
      <c r="AG333" s="432">
        <v>15</v>
      </c>
      <c r="AH333" s="432">
        <v>0.55000000000000004</v>
      </c>
      <c r="AI333" s="432">
        <v>5.64</v>
      </c>
      <c r="AJ333" s="433">
        <v>0.622</v>
      </c>
    </row>
    <row r="334" spans="31:36" x14ac:dyDescent="0.25">
      <c r="AE334" s="418" t="s">
        <v>272</v>
      </c>
      <c r="AF334" s="431">
        <v>12.6</v>
      </c>
      <c r="AG334" s="432">
        <v>15</v>
      </c>
      <c r="AH334" s="432">
        <v>0.41099999999999998</v>
      </c>
      <c r="AI334" s="432">
        <v>5.5</v>
      </c>
      <c r="AJ334" s="433">
        <v>0.622</v>
      </c>
    </row>
    <row r="335" spans="31:36" x14ac:dyDescent="0.25">
      <c r="AE335" s="418" t="s">
        <v>86</v>
      </c>
      <c r="AF335" s="431">
        <v>14.6</v>
      </c>
      <c r="AG335" s="432">
        <v>12</v>
      </c>
      <c r="AH335" s="432">
        <v>0.68700000000000006</v>
      </c>
      <c r="AI335" s="432">
        <v>5.48</v>
      </c>
      <c r="AJ335" s="433">
        <v>0.65900000000000003</v>
      </c>
    </row>
    <row r="336" spans="31:36" x14ac:dyDescent="0.25">
      <c r="AE336" s="418" t="s">
        <v>85</v>
      </c>
      <c r="AF336" s="431">
        <v>11.9</v>
      </c>
      <c r="AG336" s="432">
        <v>12</v>
      </c>
      <c r="AH336" s="432">
        <v>0.46200000000000002</v>
      </c>
      <c r="AI336" s="432">
        <v>5.25</v>
      </c>
      <c r="AJ336" s="433">
        <v>0.65900000000000003</v>
      </c>
    </row>
    <row r="337" spans="31:36" x14ac:dyDescent="0.25">
      <c r="AE337" s="418" t="s">
        <v>84</v>
      </c>
      <c r="AF337" s="431">
        <v>10.199999999999999</v>
      </c>
      <c r="AG337" s="432">
        <v>12</v>
      </c>
      <c r="AH337" s="432">
        <v>0.42799999999999999</v>
      </c>
      <c r="AI337" s="432">
        <v>5.08</v>
      </c>
      <c r="AJ337" s="433">
        <v>0.54400000000000004</v>
      </c>
    </row>
    <row r="338" spans="31:36" x14ac:dyDescent="0.25">
      <c r="AE338" s="418" t="s">
        <v>83</v>
      </c>
      <c r="AF338" s="431">
        <v>9.31</v>
      </c>
      <c r="AG338" s="432">
        <v>12</v>
      </c>
      <c r="AH338" s="432">
        <v>0.35</v>
      </c>
      <c r="AI338" s="432">
        <v>5</v>
      </c>
      <c r="AJ338" s="433">
        <v>0.54400000000000004</v>
      </c>
    </row>
    <row r="339" spans="31:36" x14ac:dyDescent="0.25">
      <c r="AE339" s="418" t="s">
        <v>82</v>
      </c>
      <c r="AF339" s="431">
        <v>10.3</v>
      </c>
      <c r="AG339" s="432">
        <v>10</v>
      </c>
      <c r="AH339" s="432">
        <v>0.59399999999999997</v>
      </c>
      <c r="AI339" s="432">
        <v>4.9400000000000004</v>
      </c>
      <c r="AJ339" s="433">
        <v>0.49099999999999999</v>
      </c>
    </row>
    <row r="340" spans="31:36" x14ac:dyDescent="0.25">
      <c r="AE340" s="418" t="s">
        <v>98</v>
      </c>
      <c r="AF340" s="431">
        <v>7.45</v>
      </c>
      <c r="AG340" s="432">
        <v>10</v>
      </c>
      <c r="AH340" s="432">
        <v>0.311</v>
      </c>
      <c r="AI340" s="432">
        <v>4.66</v>
      </c>
      <c r="AJ340" s="433">
        <v>0.49099999999999999</v>
      </c>
    </row>
    <row r="341" spans="31:36" x14ac:dyDescent="0.25">
      <c r="AE341" s="418" t="s">
        <v>97</v>
      </c>
      <c r="AF341" s="431">
        <v>6.76</v>
      </c>
      <c r="AG341" s="432">
        <v>8</v>
      </c>
      <c r="AH341" s="432">
        <v>0.441</v>
      </c>
      <c r="AI341" s="432">
        <v>4.17</v>
      </c>
      <c r="AJ341" s="433">
        <v>0.42499999999999999</v>
      </c>
    </row>
    <row r="342" spans="31:36" x14ac:dyDescent="0.25">
      <c r="AE342" s="418" t="s">
        <v>96</v>
      </c>
      <c r="AF342" s="431">
        <v>5.4</v>
      </c>
      <c r="AG342" s="432">
        <v>8</v>
      </c>
      <c r="AH342" s="432">
        <v>0.27100000000000002</v>
      </c>
      <c r="AI342" s="432">
        <v>4</v>
      </c>
      <c r="AJ342" s="433">
        <v>0.42499999999999999</v>
      </c>
    </row>
    <row r="343" spans="31:36" x14ac:dyDescent="0.25">
      <c r="AE343" s="418" t="s">
        <v>95</v>
      </c>
      <c r="AF343" s="419">
        <v>5.88</v>
      </c>
      <c r="AG343" s="420">
        <v>7</v>
      </c>
      <c r="AH343" s="420">
        <v>0.45</v>
      </c>
      <c r="AI343" s="420">
        <v>3.86</v>
      </c>
      <c r="AJ343" s="421">
        <v>0.39200000000000002</v>
      </c>
    </row>
    <row r="344" spans="31:36" x14ac:dyDescent="0.25">
      <c r="AE344" s="418" t="s">
        <v>94</v>
      </c>
      <c r="AF344" s="419">
        <v>4.5</v>
      </c>
      <c r="AG344" s="420">
        <v>7</v>
      </c>
      <c r="AH344" s="420">
        <v>0.252</v>
      </c>
      <c r="AI344" s="420">
        <v>3.6619999999999999</v>
      </c>
      <c r="AJ344" s="421">
        <v>0.39200000000000002</v>
      </c>
    </row>
    <row r="345" spans="31:36" x14ac:dyDescent="0.25">
      <c r="AE345" s="418" t="s">
        <v>304</v>
      </c>
      <c r="AF345" s="431">
        <v>5.0599999999999996</v>
      </c>
      <c r="AG345" s="432">
        <v>6</v>
      </c>
      <c r="AH345" s="432">
        <v>0.46500000000000002</v>
      </c>
      <c r="AI345" s="432">
        <v>3.57</v>
      </c>
      <c r="AJ345" s="433">
        <v>0.35899999999999999</v>
      </c>
    </row>
    <row r="346" spans="31:36" x14ac:dyDescent="0.25">
      <c r="AE346" s="418" t="s">
        <v>65</v>
      </c>
      <c r="AF346" s="431">
        <v>3.66</v>
      </c>
      <c r="AG346" s="432">
        <v>6</v>
      </c>
      <c r="AH346" s="432">
        <v>0.23200000000000001</v>
      </c>
      <c r="AI346" s="432">
        <v>3.33</v>
      </c>
      <c r="AJ346" s="433">
        <v>0.35899999999999999</v>
      </c>
    </row>
    <row r="347" spans="31:36" x14ac:dyDescent="0.25">
      <c r="AE347" s="418" t="s">
        <v>64</v>
      </c>
      <c r="AF347" s="419">
        <v>4.34</v>
      </c>
      <c r="AG347" s="420">
        <v>5</v>
      </c>
      <c r="AH347" s="420">
        <v>0.49399999999999999</v>
      </c>
      <c r="AI347" s="420">
        <v>3.2839999999999998</v>
      </c>
      <c r="AJ347" s="421">
        <v>0.32600000000000001</v>
      </c>
    </row>
    <row r="348" spans="31:36" x14ac:dyDescent="0.25">
      <c r="AE348" s="418" t="s">
        <v>113</v>
      </c>
      <c r="AF348" s="431">
        <v>2.93</v>
      </c>
      <c r="AG348" s="432">
        <v>5</v>
      </c>
      <c r="AH348" s="432">
        <v>0.214</v>
      </c>
      <c r="AI348" s="432">
        <v>3</v>
      </c>
      <c r="AJ348" s="433">
        <v>0.32600000000000001</v>
      </c>
    </row>
    <row r="349" spans="31:36" x14ac:dyDescent="0.25">
      <c r="AE349" s="418" t="s">
        <v>112</v>
      </c>
      <c r="AF349" s="431">
        <v>2.79</v>
      </c>
      <c r="AG349" s="432">
        <v>4</v>
      </c>
      <c r="AH349" s="432">
        <v>0.32600000000000001</v>
      </c>
      <c r="AI349" s="432">
        <v>2.8</v>
      </c>
      <c r="AJ349" s="433">
        <v>0.29299999999999998</v>
      </c>
    </row>
    <row r="350" spans="31:36" x14ac:dyDescent="0.25">
      <c r="AE350" s="418" t="s">
        <v>178</v>
      </c>
      <c r="AF350" s="431">
        <v>2.2599999999999998</v>
      </c>
      <c r="AG350" s="432">
        <v>4</v>
      </c>
      <c r="AH350" s="432">
        <v>0.193</v>
      </c>
      <c r="AI350" s="432">
        <v>2.66</v>
      </c>
      <c r="AJ350" s="433">
        <v>0.29299999999999998</v>
      </c>
    </row>
    <row r="351" spans="31:36" x14ac:dyDescent="0.25">
      <c r="AE351" s="418" t="s">
        <v>177</v>
      </c>
      <c r="AF351" s="431">
        <v>2.2000000000000002</v>
      </c>
      <c r="AG351" s="432">
        <v>3</v>
      </c>
      <c r="AH351" s="432">
        <v>0.34899999999999998</v>
      </c>
      <c r="AI351" s="432">
        <v>2.5099999999999998</v>
      </c>
      <c r="AJ351" s="433">
        <v>0.26</v>
      </c>
    </row>
    <row r="352" spans="31:36" x14ac:dyDescent="0.25">
      <c r="AE352" s="424" t="s">
        <v>176</v>
      </c>
      <c r="AF352" s="434">
        <v>1.66</v>
      </c>
      <c r="AG352" s="435">
        <v>3</v>
      </c>
      <c r="AH352" s="435">
        <v>0.17</v>
      </c>
      <c r="AI352" s="435">
        <v>2.33</v>
      </c>
      <c r="AJ352" s="436">
        <v>0.26</v>
      </c>
    </row>
    <row r="353" spans="31:36" x14ac:dyDescent="0.25">
      <c r="AE353" s="414" t="s">
        <v>114</v>
      </c>
      <c r="AF353" s="415">
        <v>5.0999999999999996</v>
      </c>
      <c r="AG353" s="416">
        <v>14</v>
      </c>
      <c r="AH353" s="416">
        <v>0.215</v>
      </c>
      <c r="AI353" s="416">
        <v>4</v>
      </c>
      <c r="AJ353" s="417">
        <v>0.27</v>
      </c>
    </row>
    <row r="354" spans="31:36" x14ac:dyDescent="0.25">
      <c r="AE354" s="418" t="s">
        <v>398</v>
      </c>
      <c r="AF354" s="431">
        <v>3.47</v>
      </c>
      <c r="AG354" s="432">
        <v>12</v>
      </c>
      <c r="AH354" s="432">
        <v>0.17699999999999999</v>
      </c>
      <c r="AI354" s="432">
        <v>3.07</v>
      </c>
      <c r="AJ354" s="433">
        <v>0.22500000000000001</v>
      </c>
    </row>
    <row r="355" spans="31:36" x14ac:dyDescent="0.25">
      <c r="AE355" s="418" t="s">
        <v>124</v>
      </c>
      <c r="AF355" s="431">
        <v>3.18</v>
      </c>
      <c r="AG355" s="432">
        <v>12</v>
      </c>
      <c r="AH355" s="432">
        <v>0.16</v>
      </c>
      <c r="AI355" s="432">
        <v>3.07</v>
      </c>
      <c r="AJ355" s="433">
        <v>0.21</v>
      </c>
    </row>
    <row r="356" spans="31:36" x14ac:dyDescent="0.25">
      <c r="AE356" s="418" t="s">
        <v>123</v>
      </c>
      <c r="AF356" s="431">
        <v>2.95</v>
      </c>
      <c r="AG356" s="432">
        <v>12</v>
      </c>
      <c r="AH356" s="432">
        <v>0.14899999999999999</v>
      </c>
      <c r="AI356" s="432">
        <v>3.25</v>
      </c>
      <c r="AJ356" s="433">
        <v>0.18</v>
      </c>
    </row>
    <row r="357" spans="31:36" x14ac:dyDescent="0.25">
      <c r="AE357" s="418" t="s">
        <v>433</v>
      </c>
      <c r="AF357" s="431">
        <v>2.65</v>
      </c>
      <c r="AG357" s="432">
        <v>10</v>
      </c>
      <c r="AH357" s="432">
        <v>0.157</v>
      </c>
      <c r="AI357" s="432">
        <v>2.69</v>
      </c>
      <c r="AJ357" s="433">
        <v>0.20599999999999999</v>
      </c>
    </row>
    <row r="358" spans="31:36" x14ac:dyDescent="0.25">
      <c r="AE358" s="418" t="s">
        <v>432</v>
      </c>
      <c r="AF358" s="431">
        <v>2.37</v>
      </c>
      <c r="AG358" s="432">
        <v>9.9499999999999993</v>
      </c>
      <c r="AH358" s="432">
        <v>0.14099999999999999</v>
      </c>
      <c r="AI358" s="432">
        <v>2.69</v>
      </c>
      <c r="AJ358" s="433">
        <v>0.182</v>
      </c>
    </row>
    <row r="359" spans="31:36" x14ac:dyDescent="0.25">
      <c r="AE359" s="418" t="s">
        <v>431</v>
      </c>
      <c r="AF359" s="431">
        <v>2.2200000000000002</v>
      </c>
      <c r="AG359" s="432">
        <v>9.99</v>
      </c>
      <c r="AH359" s="432">
        <v>0.13</v>
      </c>
      <c r="AI359" s="432">
        <v>2.69</v>
      </c>
      <c r="AJ359" s="433">
        <v>0.17299999999999999</v>
      </c>
    </row>
    <row r="360" spans="31:36" x14ac:dyDescent="0.25">
      <c r="AE360" s="418" t="s">
        <v>45</v>
      </c>
      <c r="AF360" s="431">
        <v>1.92</v>
      </c>
      <c r="AG360" s="432">
        <v>8</v>
      </c>
      <c r="AH360" s="432">
        <v>0.13500000000000001</v>
      </c>
      <c r="AI360" s="432">
        <v>2.2799999999999998</v>
      </c>
      <c r="AJ360" s="433">
        <v>0.189</v>
      </c>
    </row>
    <row r="361" spans="31:36" x14ac:dyDescent="0.25">
      <c r="AE361" s="418" t="s">
        <v>9</v>
      </c>
      <c r="AF361" s="431">
        <v>1.82</v>
      </c>
      <c r="AG361" s="432">
        <v>8</v>
      </c>
      <c r="AH361" s="432">
        <v>0.129</v>
      </c>
      <c r="AI361" s="432">
        <v>2.2799999999999998</v>
      </c>
      <c r="AJ361" s="433">
        <v>0.17699999999999999</v>
      </c>
    </row>
    <row r="362" spans="31:36" x14ac:dyDescent="0.25">
      <c r="AE362" s="418" t="s">
        <v>44</v>
      </c>
      <c r="AF362" s="431">
        <v>1.29</v>
      </c>
      <c r="AG362" s="432">
        <v>6</v>
      </c>
      <c r="AH362" s="432">
        <v>0.114</v>
      </c>
      <c r="AI362" s="432">
        <v>1.84</v>
      </c>
      <c r="AJ362" s="433">
        <v>0.17100000000000001</v>
      </c>
    </row>
    <row r="363" spans="31:36" x14ac:dyDescent="0.25">
      <c r="AE363" s="418" t="s">
        <v>10</v>
      </c>
      <c r="AF363" s="431">
        <v>1.0900000000000001</v>
      </c>
      <c r="AG363" s="432">
        <v>5.92</v>
      </c>
      <c r="AH363" s="432">
        <v>9.8000000000000004E-2</v>
      </c>
      <c r="AI363" s="432">
        <v>2</v>
      </c>
      <c r="AJ363" s="433">
        <v>0.129</v>
      </c>
    </row>
    <row r="364" spans="31:36" x14ac:dyDescent="0.25">
      <c r="AE364" s="418" t="s">
        <v>43</v>
      </c>
      <c r="AF364" s="431">
        <v>5.55</v>
      </c>
      <c r="AG364" s="432">
        <v>5</v>
      </c>
      <c r="AH364" s="432">
        <v>0.316</v>
      </c>
      <c r="AI364" s="432">
        <v>5</v>
      </c>
      <c r="AJ364" s="433">
        <v>0.41599999999999998</v>
      </c>
    </row>
    <row r="365" spans="31:36" x14ac:dyDescent="0.25">
      <c r="AE365" s="424" t="s">
        <v>11</v>
      </c>
      <c r="AF365" s="434">
        <v>1.75</v>
      </c>
      <c r="AG365" s="435">
        <v>3.8</v>
      </c>
      <c r="AH365" s="435">
        <v>0.13</v>
      </c>
      <c r="AI365" s="435">
        <v>3.8</v>
      </c>
      <c r="AJ365" s="436">
        <v>0.16</v>
      </c>
    </row>
    <row r="366" spans="31:36" x14ac:dyDescent="0.25">
      <c r="AE366" s="414" t="s">
        <v>278</v>
      </c>
      <c r="AF366" s="428">
        <v>34.4</v>
      </c>
      <c r="AG366" s="429">
        <v>14.2</v>
      </c>
      <c r="AH366" s="429">
        <v>0.80500000000000005</v>
      </c>
      <c r="AI366" s="429">
        <v>14.9</v>
      </c>
      <c r="AJ366" s="430">
        <v>0.80500000000000005</v>
      </c>
    </row>
    <row r="367" spans="31:36" x14ac:dyDescent="0.25">
      <c r="AE367" s="418" t="s">
        <v>2</v>
      </c>
      <c r="AF367" s="431">
        <v>30</v>
      </c>
      <c r="AG367" s="432">
        <v>14</v>
      </c>
      <c r="AH367" s="432">
        <v>0.70499999999999996</v>
      </c>
      <c r="AI367" s="432">
        <v>14.8</v>
      </c>
      <c r="AJ367" s="433">
        <v>0.70499999999999996</v>
      </c>
    </row>
    <row r="368" spans="31:36" x14ac:dyDescent="0.25">
      <c r="AE368" s="418" t="s">
        <v>1</v>
      </c>
      <c r="AF368" s="431">
        <v>26.1</v>
      </c>
      <c r="AG368" s="432">
        <v>13.8</v>
      </c>
      <c r="AH368" s="432">
        <v>0.61499999999999999</v>
      </c>
      <c r="AI368" s="432">
        <v>14.7</v>
      </c>
      <c r="AJ368" s="433">
        <v>0.61499999999999999</v>
      </c>
    </row>
    <row r="369" spans="31:36" x14ac:dyDescent="0.25">
      <c r="AE369" s="418" t="s">
        <v>379</v>
      </c>
      <c r="AF369" s="431">
        <v>21.4</v>
      </c>
      <c r="AG369" s="432">
        <v>13.6</v>
      </c>
      <c r="AH369" s="432">
        <v>0.505</v>
      </c>
      <c r="AI369" s="432">
        <v>14.6</v>
      </c>
      <c r="AJ369" s="433">
        <v>0.505</v>
      </c>
    </row>
    <row r="370" spans="31:36" x14ac:dyDescent="0.25">
      <c r="AE370" s="418" t="s">
        <v>378</v>
      </c>
      <c r="AF370" s="419">
        <v>29.4</v>
      </c>
      <c r="AG370" s="420">
        <v>13.15</v>
      </c>
      <c r="AH370" s="420">
        <v>0.76500000000000001</v>
      </c>
      <c r="AI370" s="422">
        <v>13.205</v>
      </c>
      <c r="AJ370" s="421">
        <v>0.76500000000000001</v>
      </c>
    </row>
    <row r="371" spans="31:36" x14ac:dyDescent="0.25">
      <c r="AE371" s="418" t="s">
        <v>377</v>
      </c>
      <c r="AF371" s="419">
        <v>25.5</v>
      </c>
      <c r="AG371" s="420">
        <v>12.95</v>
      </c>
      <c r="AH371" s="420">
        <v>0.66500000000000004</v>
      </c>
      <c r="AI371" s="422">
        <v>13.105</v>
      </c>
      <c r="AJ371" s="421">
        <v>0.66500000000000004</v>
      </c>
    </row>
    <row r="372" spans="31:36" x14ac:dyDescent="0.25">
      <c r="AE372" s="418" t="s">
        <v>441</v>
      </c>
      <c r="AF372" s="419">
        <v>21.6</v>
      </c>
      <c r="AG372" s="420">
        <v>12.75</v>
      </c>
      <c r="AH372" s="420">
        <v>0.56499999999999995</v>
      </c>
      <c r="AI372" s="422">
        <v>13.005000000000001</v>
      </c>
      <c r="AJ372" s="421">
        <v>0.56499999999999995</v>
      </c>
    </row>
    <row r="373" spans="31:36" x14ac:dyDescent="0.25">
      <c r="AE373" s="418" t="s">
        <v>71</v>
      </c>
      <c r="AF373" s="419">
        <v>17.5</v>
      </c>
      <c r="AG373" s="420">
        <v>12.54</v>
      </c>
      <c r="AH373" s="420">
        <v>0.46</v>
      </c>
      <c r="AI373" s="420">
        <v>12.9</v>
      </c>
      <c r="AJ373" s="421">
        <v>0.46</v>
      </c>
    </row>
    <row r="374" spans="31:36" x14ac:dyDescent="0.25">
      <c r="AE374" s="418" t="s">
        <v>70</v>
      </c>
      <c r="AF374" s="431">
        <v>24.6</v>
      </c>
      <c r="AG374" s="432">
        <v>12.3</v>
      </c>
      <c r="AH374" s="432">
        <v>0.68500000000000005</v>
      </c>
      <c r="AI374" s="432">
        <v>12.3</v>
      </c>
      <c r="AJ374" s="433">
        <v>0.68500000000000005</v>
      </c>
    </row>
    <row r="375" spans="31:36" x14ac:dyDescent="0.25">
      <c r="AE375" s="418" t="s">
        <v>69</v>
      </c>
      <c r="AF375" s="431">
        <v>21.8</v>
      </c>
      <c r="AG375" s="432">
        <v>12.1</v>
      </c>
      <c r="AH375" s="432">
        <v>0.60499999999999998</v>
      </c>
      <c r="AI375" s="432">
        <v>12.2</v>
      </c>
      <c r="AJ375" s="433">
        <v>0.61</v>
      </c>
    </row>
    <row r="376" spans="31:36" x14ac:dyDescent="0.25">
      <c r="AE376" s="418" t="s">
        <v>68</v>
      </c>
      <c r="AF376" s="431">
        <v>18.399999999999999</v>
      </c>
      <c r="AG376" s="432">
        <v>11.9</v>
      </c>
      <c r="AH376" s="432">
        <v>0.51500000000000001</v>
      </c>
      <c r="AI376" s="432">
        <v>12.1</v>
      </c>
      <c r="AJ376" s="433">
        <v>0.51500000000000001</v>
      </c>
    </row>
    <row r="377" spans="31:36" x14ac:dyDescent="0.25">
      <c r="AE377" s="418" t="s">
        <v>67</v>
      </c>
      <c r="AF377" s="431">
        <v>15.5</v>
      </c>
      <c r="AG377" s="432">
        <v>11.8</v>
      </c>
      <c r="AH377" s="432">
        <v>0.435</v>
      </c>
      <c r="AI377" s="432">
        <v>12</v>
      </c>
      <c r="AJ377" s="433">
        <v>0.435</v>
      </c>
    </row>
    <row r="378" spans="31:36" x14ac:dyDescent="0.25">
      <c r="AE378" s="418" t="s">
        <v>66</v>
      </c>
      <c r="AF378" s="431">
        <v>16.8</v>
      </c>
      <c r="AG378" s="432">
        <v>9.99</v>
      </c>
      <c r="AH378" s="432">
        <v>0.56499999999999995</v>
      </c>
      <c r="AI378" s="432">
        <v>10.199999999999999</v>
      </c>
      <c r="AJ378" s="433">
        <v>0.56499999999999995</v>
      </c>
    </row>
    <row r="379" spans="31:36" x14ac:dyDescent="0.25">
      <c r="AE379" s="418" t="s">
        <v>197</v>
      </c>
      <c r="AF379" s="431">
        <v>12.4</v>
      </c>
      <c r="AG379" s="432">
        <v>9.6999999999999993</v>
      </c>
      <c r="AH379" s="432">
        <v>0.41499999999999998</v>
      </c>
      <c r="AI379" s="432">
        <v>10.1</v>
      </c>
      <c r="AJ379" s="433">
        <v>0.42</v>
      </c>
    </row>
    <row r="380" spans="31:36" x14ac:dyDescent="0.25">
      <c r="AE380" s="424" t="s">
        <v>115</v>
      </c>
      <c r="AF380" s="434">
        <v>10.6</v>
      </c>
      <c r="AG380" s="435">
        <v>8.02</v>
      </c>
      <c r="AH380" s="435">
        <v>0.44500000000000001</v>
      </c>
      <c r="AI380" s="435">
        <v>8.15</v>
      </c>
      <c r="AJ380" s="436">
        <v>0.44500000000000001</v>
      </c>
    </row>
  </sheetData>
  <sheetProtection sheet="1" objects="1" scenarios="1"/>
  <phoneticPr fontId="35" type="noConversion"/>
  <conditionalFormatting sqref="W30:W31">
    <cfRule type="cellIs" dxfId="9" priority="1" stopIfTrue="1" operator="notEqual">
      <formula>"N.A."</formula>
    </cfRule>
  </conditionalFormatting>
  <conditionalFormatting sqref="AB30:AB31">
    <cfRule type="cellIs" dxfId="8" priority="2" stopIfTrue="1" operator="equal">
      <formula>"    = Imaginary!"</formula>
    </cfRule>
  </conditionalFormatting>
  <conditionalFormatting sqref="J38">
    <cfRule type="cellIs" dxfId="7" priority="3" stopIfTrue="1" operator="notEqual">
      <formula>"OK"</formula>
    </cfRule>
  </conditionalFormatting>
  <dataValidations xWindow="71" yWindow="184" count="17">
    <dataValidation type="decimal" operator="greaterThan" allowBlank="1" showInputMessage="1" showErrorMessage="1" errorTitle="Warning!" error="Invalid steel yield strength" prompt="Typical values to be input for 'Fy' would be either 36 or 50 ksi." sqref="C19">
      <formula1>0</formula1>
    </dataValidation>
    <dataValidation type="list" allowBlank="1" showInputMessage="1" showErrorMessage="1" errorTitle="Warning!" error="Invalid total number of bolts_x000a_(must input either 2, 4, 6, 8, or 10)" prompt="'Nb' is the total number of anchor bolts on both sides of the column flanges.  Note: anchor bolts MUST be in only 2 rows, one row outside of each column flange." sqref="C25">
      <formula1>$K$13:$K$16</formula1>
    </dataValidation>
    <dataValidation type="decimal" operator="greaterThan" allowBlank="1" showInputMessage="1" showErrorMessage="1" errorTitle="Warning!" error="Invalid concrete compressive strength" prompt="Typical values to be input for 'f'c' would be either 3, 4 or 5 ksi." sqref="C20">
      <formula1>0</formula1>
    </dataValidation>
    <dataValidation allowBlank="1" showInputMessage="1" showErrorMessage="1" prompt="The base plate length, 'N', is the length of the base plate parallel to the web (Y-axis) of the column." sqref="C17"/>
    <dataValidation allowBlank="1" showInputMessage="1" showErrorMessage="1" prompt="The base plate length, 'B', is the length of the base plate parallel to the flanges (X-axis) of the column." sqref="C18"/>
    <dataValidation allowBlank="1" showInputMessage="1" showErrorMessage="1" prompt="The total bearing area of the concrete support, 'A2', MUST have a minimum value of A2 = N*B.  For base plates supported on slabs or mats, use A2 = 4*(N*B)." sqref="C21"/>
    <dataValidation type="list" allowBlank="1" showInputMessage="1" showErrorMessage="1" errorTitle="Warning!" error="Invalid bolt material type_x000a_(must input either A307 or A36)" prompt="Anchor material may be A307 bolts, A36 threaded rods, A572 (Gr. 50) threaded rods, A588 threaded rods, or F1554 (Grades 36, 55, 105) threaded rods." sqref="C27">
      <formula1>$K$33:$K$39</formula1>
    </dataValidation>
    <dataValidation type="decimal" operator="greaterThanOrEqual" allowBlank="1" showInputMessage="1" showErrorMessage="1" prompt="'ED1' is the anchor bolt edge distance in the direction parallel to the base plate length, 'N'." sqref="C28">
      <formula1>1.375*$C$26</formula1>
    </dataValidation>
    <dataValidation type="decimal" operator="greaterThanOrEqual" allowBlank="1" showInputMessage="1" showErrorMessage="1" prompt="'ED2' is the anchor bolt edge distance in the direction parallel to the base plate width, 'B'._x000a_For total number of bolts (Nb) = 2, the value of 'ED2' would typically = B/2." sqref="C29">
      <formula1>1.375*$C$26</formula1>
    </dataValidation>
    <dataValidation allowBlank="1" showInputMessage="1" showErrorMessage="1" prompt="The moment at the base of the column, 'M', is assumed to be about the X-axis of the column." sqref="C15"/>
    <dataValidation allowBlank="1" showInputMessage="1" showErrorMessage="1" prompt="'V' is the horizontal shear load at the base of the column, normally taken parallel to the web of the column or in 'N' direction of the base plate.  However, user may input the vector sum of the simultaneous shear loads as:  Vr = SQRT(Vx^2+Vy^2)." sqref="C14"/>
    <dataValidation allowBlank="1" showInputMessage="1" showErrorMessage="1" prompt="'P' is the axial load at the base of the column.  Sign convention is as follows:  tension (uplift) load = positive (+),  compression (downward) load = negative (-)." sqref="C12"/>
    <dataValidation type="decimal" operator="lessThanOrEqual" allowBlank="1" showInputMessage="1" showErrorMessage="1" error="P(DL) MUST BE &lt;= 0." prompt="Note: if the user does not wish to consider friction between column base and grout to take a portion of the appled shear load (V), then input P(DL) = 0.  Considering friction will reduce shear to be taken by bolts.  _x000a_Sign convention: P(DL) = -down." sqref="C13">
      <formula1>0</formula1>
    </dataValidation>
    <dataValidation type="list" allowBlank="1" showInputMessage="1" showErrorMessage="1" prompt="User may either select desired size from pick box or type in the size designation.  Note:  input is not case sensitive." sqref="C10">
      <formula1>$AE$6:$AE$380</formula1>
    </dataValidation>
    <dataValidation type="list" allowBlank="1" showInputMessage="1" showErrorMessage="1" errorTitle="Warning!" error="Invalid bolt diameter" sqref="C26">
      <formula1>$K$17:$K$32</formula1>
    </dataValidation>
    <dataValidation type="list" allowBlank="1" showInputMessage="1" showErrorMessage="1" prompt="Shear Coefficient, 'C':_x000a_C = 1.85 for base plate on top of grout bed._x000a_C = 1.25 for base plate recessed in grout._x000a_C = 1.10 for base plate embedded in concrete." sqref="C22">
      <formula1>$K$40:$K$42</formula1>
    </dataValidation>
    <dataValidation type="list" allowBlank="1" showInputMessage="1" showErrorMessage="1" prompt="Coefficient of Friction:_x000a_  = 0.55 for base plate on top of grout bed._x000a_  = 0.70 for base plate recessed in grout._x000a_  = 0.90 for base plate embedded in concrete." sqref="C23">
      <formula1>$K$43:$K$45</formula1>
    </dataValidation>
  </dataValidations>
  <pageMargins left="1" right="0.5" top="1" bottom="1" header="0.5" footer="0.5"/>
  <pageSetup scale="95" orientation="portrait" r:id="rId1"/>
  <headerFooter alignWithMargins="0">
    <oddHeader>&amp;R"BASEPLT9.xls" Program
Version 3.7</oddHeader>
    <oddFooter>&amp;C&amp;P of &amp;N&amp;R&amp;D  &amp;T</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210"/>
  <sheetViews>
    <sheetView zoomScaleNormal="100" workbookViewId="0"/>
  </sheetViews>
  <sheetFormatPr defaultColWidth="9.109375" defaultRowHeight="13.2" x14ac:dyDescent="0.25"/>
  <cols>
    <col min="1" max="1" width="12.33203125" style="10" customWidth="1"/>
    <col min="2" max="2" width="9.109375" style="10"/>
    <col min="3" max="3" width="10.6640625" style="10" customWidth="1"/>
    <col min="4" max="4" width="9.44140625" style="10" customWidth="1"/>
    <col min="5" max="5" width="9.109375" style="10"/>
    <col min="6" max="6" width="9.44140625" style="10" customWidth="1"/>
    <col min="7" max="7" width="9.109375" style="10"/>
    <col min="8" max="8" width="8.5546875" style="10" customWidth="1"/>
    <col min="9" max="9" width="11.6640625" style="10" customWidth="1"/>
    <col min="10" max="13" width="0" style="24" hidden="1" customWidth="1"/>
    <col min="14" max="14" width="10.6640625" style="89" hidden="1" customWidth="1"/>
    <col min="15" max="16" width="0" style="24" hidden="1" customWidth="1"/>
    <col min="17" max="17" width="11.6640625" style="24" hidden="1" customWidth="1"/>
    <col min="18" max="26" width="0" style="24" hidden="1" customWidth="1"/>
    <col min="27" max="29" width="9.109375" style="10"/>
    <col min="30" max="30" width="10.6640625" style="10" customWidth="1"/>
    <col min="31" max="52" width="9.109375" style="74"/>
    <col min="53" max="16384" width="9.109375" style="10"/>
  </cols>
  <sheetData>
    <row r="1" spans="1:31" ht="15.6" x14ac:dyDescent="0.3">
      <c r="A1" s="9" t="s">
        <v>531</v>
      </c>
      <c r="B1" s="15"/>
      <c r="C1" s="16"/>
      <c r="D1" s="16"/>
      <c r="E1" s="16"/>
      <c r="F1" s="16"/>
      <c r="G1" s="15"/>
      <c r="H1" s="15"/>
      <c r="I1" s="98"/>
      <c r="J1" s="33"/>
      <c r="K1" s="95"/>
      <c r="M1" s="25" t="s">
        <v>303</v>
      </c>
      <c r="N1" s="24"/>
      <c r="R1" s="74"/>
      <c r="S1" s="74"/>
      <c r="T1" s="74"/>
      <c r="U1" s="74"/>
      <c r="V1" s="74"/>
      <c r="W1" s="74"/>
      <c r="X1" s="74"/>
      <c r="Y1" s="74"/>
      <c r="Z1" s="74"/>
      <c r="AA1" s="130" t="s">
        <v>858</v>
      </c>
    </row>
    <row r="2" spans="1:31" x14ac:dyDescent="0.25">
      <c r="A2" s="17" t="s">
        <v>604</v>
      </c>
      <c r="B2" s="19"/>
      <c r="C2" s="18"/>
      <c r="D2" s="19"/>
      <c r="E2" s="19"/>
      <c r="F2" s="19"/>
      <c r="G2" s="20"/>
      <c r="H2" s="20"/>
      <c r="I2" s="99"/>
      <c r="J2" s="33"/>
      <c r="K2" s="23"/>
      <c r="M2" s="33"/>
      <c r="N2" s="24"/>
      <c r="R2" s="74"/>
      <c r="S2" s="74"/>
      <c r="T2" s="74"/>
      <c r="U2" s="74"/>
      <c r="V2" s="74"/>
      <c r="W2" s="74"/>
      <c r="X2" s="74"/>
      <c r="Y2" s="74"/>
      <c r="Z2" s="74"/>
    </row>
    <row r="3" spans="1:31" x14ac:dyDescent="0.25">
      <c r="A3" s="11" t="s">
        <v>600</v>
      </c>
      <c r="B3" s="101"/>
      <c r="C3" s="101"/>
      <c r="D3" s="101"/>
      <c r="E3" s="101"/>
      <c r="F3" s="101"/>
      <c r="G3" s="102"/>
      <c r="H3" s="102"/>
      <c r="I3" s="103"/>
      <c r="J3" s="33"/>
      <c r="K3" s="29">
        <v>36</v>
      </c>
      <c r="M3" s="482" t="s">
        <v>359</v>
      </c>
      <c r="U3" s="150"/>
      <c r="V3" s="150"/>
      <c r="W3" s="150"/>
      <c r="X3" s="150"/>
      <c r="Y3" s="150"/>
      <c r="Z3" s="150"/>
    </row>
    <row r="4" spans="1:31" x14ac:dyDescent="0.25">
      <c r="A4" s="51" t="s">
        <v>99</v>
      </c>
      <c r="B4" s="107"/>
      <c r="C4" s="105"/>
      <c r="D4" s="105"/>
      <c r="E4" s="105"/>
      <c r="F4" s="97" t="s">
        <v>448</v>
      </c>
      <c r="G4" s="194"/>
      <c r="H4" s="195"/>
      <c r="I4" s="196"/>
      <c r="J4" s="22"/>
      <c r="K4" s="29">
        <v>50</v>
      </c>
      <c r="M4" s="483" t="s">
        <v>722</v>
      </c>
      <c r="N4" s="4">
        <f>ABS($C$10)</f>
        <v>17.25</v>
      </c>
      <c r="O4" s="26" t="s">
        <v>50</v>
      </c>
      <c r="U4" s="33"/>
      <c r="V4" s="33"/>
      <c r="W4" s="33"/>
      <c r="X4" s="33"/>
      <c r="Y4" s="33"/>
      <c r="Z4" s="33"/>
      <c r="AA4" s="27" t="s">
        <v>209</v>
      </c>
      <c r="AE4" s="10"/>
    </row>
    <row r="5" spans="1:31" x14ac:dyDescent="0.25">
      <c r="A5" s="51" t="s">
        <v>47</v>
      </c>
      <c r="B5" s="108"/>
      <c r="C5" s="105"/>
      <c r="D5" s="105"/>
      <c r="E5" s="105"/>
      <c r="F5" s="97" t="s">
        <v>449</v>
      </c>
      <c r="G5" s="104"/>
      <c r="H5" s="97" t="s">
        <v>447</v>
      </c>
      <c r="I5" s="202"/>
      <c r="J5" s="22"/>
      <c r="K5" s="29">
        <v>2.5</v>
      </c>
      <c r="M5" s="483" t="s">
        <v>801</v>
      </c>
      <c r="N5" s="4">
        <f>-$C$11</f>
        <v>0</v>
      </c>
      <c r="O5" s="26" t="s">
        <v>50</v>
      </c>
      <c r="U5" s="33"/>
      <c r="V5" s="33"/>
      <c r="W5" s="33"/>
      <c r="X5" s="33"/>
      <c r="Y5" s="33"/>
      <c r="Z5" s="33"/>
      <c r="AA5" s="30" t="s">
        <v>208</v>
      </c>
      <c r="AB5" s="31" t="s">
        <v>49</v>
      </c>
      <c r="AE5" s="32" t="s">
        <v>121</v>
      </c>
    </row>
    <row r="6" spans="1:31" x14ac:dyDescent="0.25">
      <c r="A6" s="47"/>
      <c r="B6" s="71"/>
      <c r="C6" s="71"/>
      <c r="D6" s="71"/>
      <c r="E6" s="71"/>
      <c r="F6" s="71"/>
      <c r="G6" s="71"/>
      <c r="H6" s="126"/>
      <c r="I6" s="128"/>
      <c r="J6" s="33"/>
      <c r="K6" s="29">
        <v>3</v>
      </c>
      <c r="L6" s="55"/>
      <c r="M6" s="482" t="s">
        <v>528</v>
      </c>
      <c r="N6" s="24"/>
      <c r="Q6" s="10"/>
      <c r="R6" s="150"/>
      <c r="S6" s="150"/>
      <c r="T6" s="150"/>
      <c r="U6" s="33"/>
      <c r="V6" s="33"/>
      <c r="W6" s="33"/>
      <c r="X6" s="33"/>
      <c r="Y6" s="33"/>
      <c r="Z6" s="33"/>
      <c r="AA6" s="27" t="s">
        <v>529</v>
      </c>
      <c r="AE6" s="10"/>
    </row>
    <row r="7" spans="1:31" x14ac:dyDescent="0.25">
      <c r="A7" s="13" t="s">
        <v>48</v>
      </c>
      <c r="B7" s="71"/>
      <c r="C7" s="71"/>
      <c r="D7" s="71"/>
      <c r="E7" s="71"/>
      <c r="F7" s="71"/>
      <c r="G7" s="72"/>
      <c r="H7" s="126"/>
      <c r="I7" s="129"/>
      <c r="J7" s="33"/>
      <c r="K7" s="29">
        <v>3.5</v>
      </c>
      <c r="L7" s="55"/>
      <c r="M7" s="28" t="s">
        <v>521</v>
      </c>
      <c r="N7" s="4">
        <f>IF(1/2*$C$23*$N$5&gt;=$N$4,0,$N$4-1/2*$C$23*$N$5)</f>
        <v>17.25</v>
      </c>
      <c r="O7" s="24" t="s">
        <v>50</v>
      </c>
      <c r="P7" s="24" t="s">
        <v>803</v>
      </c>
      <c r="Q7" s="10"/>
      <c r="R7" s="33"/>
      <c r="S7" s="33"/>
      <c r="T7" s="33"/>
      <c r="U7" s="33"/>
      <c r="V7" s="33"/>
      <c r="W7" s="33"/>
      <c r="X7" s="33"/>
      <c r="Y7" s="33"/>
      <c r="Z7" s="33"/>
      <c r="AA7" s="30">
        <v>35</v>
      </c>
      <c r="AB7" s="41" t="str">
        <f>IF($N$7=0,"Shear lug is not req'd.",IF($C$35&lt;=$C$20,"t(req'd) &lt;= t, O.K.","t(req'd) &gt; t"))</f>
        <v>t(req'd) &lt;= t, O.K.</v>
      </c>
      <c r="AE7" s="92">
        <f>IF($N$7=0,"N.A.",$C$35/$C$20)</f>
        <v>0.90431066441670238</v>
      </c>
    </row>
    <row r="8" spans="1:31" x14ac:dyDescent="0.25">
      <c r="A8" s="21"/>
      <c r="B8" s="71"/>
      <c r="C8" s="71"/>
      <c r="D8" s="71"/>
      <c r="E8" s="125"/>
      <c r="F8" s="71"/>
      <c r="G8" s="72"/>
      <c r="H8" s="126"/>
      <c r="I8" s="127"/>
      <c r="J8" s="33"/>
      <c r="K8" s="29">
        <v>4</v>
      </c>
      <c r="L8" s="55"/>
      <c r="M8" s="28" t="s">
        <v>516</v>
      </c>
      <c r="N8" s="4">
        <f>($N$7/$C$19)*(($C$18+$C$17)/2)</f>
        <v>5.75</v>
      </c>
      <c r="O8" s="24" t="s">
        <v>518</v>
      </c>
      <c r="P8" s="24" t="s">
        <v>517</v>
      </c>
      <c r="Q8" s="10"/>
      <c r="R8" s="33"/>
      <c r="S8" s="33"/>
      <c r="T8" s="33"/>
      <c r="U8" s="33"/>
      <c r="V8" s="33"/>
      <c r="W8" s="33"/>
      <c r="X8" s="33"/>
      <c r="Y8" s="33"/>
      <c r="Z8" s="33"/>
      <c r="AA8" s="27" t="s">
        <v>582</v>
      </c>
      <c r="AB8" s="74"/>
      <c r="AE8" s="96"/>
    </row>
    <row r="9" spans="1:31" x14ac:dyDescent="0.25">
      <c r="A9" s="13" t="s">
        <v>359</v>
      </c>
      <c r="B9" s="12"/>
      <c r="C9" s="12"/>
      <c r="D9" s="12"/>
      <c r="E9" s="208"/>
      <c r="F9" s="208"/>
      <c r="G9" s="209"/>
      <c r="H9" s="208"/>
      <c r="I9" s="211"/>
      <c r="J9" s="33"/>
      <c r="K9" s="29">
        <v>4.5</v>
      </c>
      <c r="L9" s="55"/>
      <c r="M9" s="484" t="s">
        <v>529</v>
      </c>
      <c r="N9" s="33"/>
      <c r="Q9" s="485"/>
      <c r="R9" s="33"/>
      <c r="S9" s="33"/>
      <c r="T9" s="33"/>
      <c r="U9" s="33"/>
      <c r="V9" s="33"/>
      <c r="W9" s="33"/>
      <c r="X9" s="33"/>
      <c r="Y9" s="33"/>
      <c r="Z9" s="33"/>
      <c r="AA9" s="30">
        <v>39</v>
      </c>
      <c r="AB9" s="41" t="str">
        <f>IF($N$7=0,"Shear lug is not req'd.",IF($C$39&gt;=$C$38,"Fp &gt;= fp, O.K.","Fp &lt; fp"))</f>
        <v>Fp &gt;= fp, O.K.</v>
      </c>
      <c r="AE9" s="92">
        <f>IF($N$7=0,"N.A.",$C$38/$C$39)</f>
        <v>0.9126984126984129</v>
      </c>
    </row>
    <row r="10" spans="1:31" x14ac:dyDescent="0.25">
      <c r="A10" s="58"/>
      <c r="B10" s="61" t="s">
        <v>811</v>
      </c>
      <c r="C10" s="112">
        <v>17.25</v>
      </c>
      <c r="D10" s="256" t="s">
        <v>50</v>
      </c>
      <c r="E10" s="208"/>
      <c r="F10" s="44"/>
      <c r="G10" s="37"/>
      <c r="H10" s="44"/>
      <c r="I10" s="211"/>
      <c r="J10" s="23"/>
      <c r="K10" s="29">
        <v>5</v>
      </c>
      <c r="L10" s="55"/>
      <c r="M10" s="28" t="s">
        <v>592</v>
      </c>
      <c r="N10" s="486">
        <f>SQRT((6*$N$8)/(0.75*$C$22))</f>
        <v>1.1303883305208779</v>
      </c>
      <c r="O10" s="26" t="s">
        <v>252</v>
      </c>
      <c r="P10" s="24" t="s">
        <v>842</v>
      </c>
      <c r="Q10" s="485"/>
      <c r="R10" s="33"/>
      <c r="S10" s="33"/>
      <c r="T10" s="33"/>
      <c r="U10" s="33"/>
      <c r="V10" s="33"/>
      <c r="W10" s="33"/>
      <c r="X10" s="33"/>
      <c r="Y10" s="33"/>
      <c r="Z10" s="33"/>
      <c r="AA10" s="27" t="s">
        <v>583</v>
      </c>
      <c r="AB10" s="74"/>
    </row>
    <row r="11" spans="1:31" x14ac:dyDescent="0.25">
      <c r="A11" s="58"/>
      <c r="B11" s="61" t="s">
        <v>642</v>
      </c>
      <c r="C11" s="113">
        <v>0</v>
      </c>
      <c r="D11" s="488" t="s">
        <v>857</v>
      </c>
      <c r="E11" s="209"/>
      <c r="F11" s="477" t="str">
        <f>"                 P(DL)="&amp;$C$11</f>
        <v xml:space="preserve">                 P(DL)=0</v>
      </c>
      <c r="G11" s="235"/>
      <c r="H11" s="44"/>
      <c r="I11" s="211"/>
      <c r="K11" s="29">
        <v>5.5</v>
      </c>
      <c r="L11" s="55"/>
      <c r="M11" s="25" t="s">
        <v>582</v>
      </c>
      <c r="N11" s="33"/>
      <c r="Q11" s="485"/>
      <c r="R11" s="33"/>
      <c r="S11" s="33"/>
      <c r="T11" s="33"/>
      <c r="U11" s="33"/>
      <c r="V11" s="33"/>
      <c r="W11" s="33"/>
      <c r="X11" s="33"/>
      <c r="Y11" s="33"/>
      <c r="Z11" s="33"/>
      <c r="AA11" s="30">
        <v>46</v>
      </c>
      <c r="AB11" s="41" t="str">
        <f>IF($N$7=0,"Shear lug is not req'd.",IF($C$46&gt;=$C$42,"Vu &lt;= V(allow), O.K.","Vu &gt; V(allow)"))</f>
        <v>Vu &lt;= V(allow), O.K.</v>
      </c>
      <c r="AE11" s="92">
        <f>IF($N$7=0,"N.A.",$C$42/$C$46)</f>
        <v>0.75164790111090807</v>
      </c>
    </row>
    <row r="12" spans="1:31" x14ac:dyDescent="0.25">
      <c r="A12" s="58"/>
      <c r="B12" s="61"/>
      <c r="C12" s="608"/>
      <c r="D12" s="256"/>
      <c r="E12" s="208"/>
      <c r="F12" s="44"/>
      <c r="G12" s="37"/>
      <c r="H12" s="209"/>
      <c r="I12" s="216"/>
      <c r="K12" s="29">
        <v>6</v>
      </c>
      <c r="L12" s="55"/>
      <c r="M12" s="28" t="s">
        <v>579</v>
      </c>
      <c r="N12" s="486">
        <f>IF($N$7=0,"N.A.",$N$7/($C$19*($C$18-$C$17)))</f>
        <v>0.95833333333333337</v>
      </c>
      <c r="O12" s="24" t="s">
        <v>153</v>
      </c>
      <c r="P12" s="24" t="s">
        <v>580</v>
      </c>
      <c r="Q12" s="485"/>
      <c r="R12" s="33"/>
      <c r="S12" s="33"/>
      <c r="T12" s="33"/>
      <c r="U12" s="33"/>
      <c r="V12" s="33"/>
      <c r="W12" s="33"/>
      <c r="X12" s="33"/>
      <c r="Y12" s="33"/>
      <c r="Z12" s="33"/>
      <c r="AA12" s="27" t="s">
        <v>602</v>
      </c>
      <c r="AB12" s="74"/>
    </row>
    <row r="13" spans="1:31" x14ac:dyDescent="0.25">
      <c r="A13" s="50" t="s">
        <v>533</v>
      </c>
      <c r="B13" s="42"/>
      <c r="C13" s="12"/>
      <c r="D13" s="12"/>
      <c r="E13" s="208"/>
      <c r="F13" s="44"/>
      <c r="G13" s="237"/>
      <c r="H13" s="218" t="s">
        <v>535</v>
      </c>
      <c r="I13" s="211"/>
      <c r="K13" s="201">
        <v>0.55000000000000004</v>
      </c>
      <c r="M13" s="28" t="s">
        <v>570</v>
      </c>
      <c r="N13" s="486">
        <f>IF($N$7=0,"N.A.",0.35*$C$26)</f>
        <v>1.0499999999999998</v>
      </c>
      <c r="O13" s="24" t="s">
        <v>153</v>
      </c>
      <c r="P13" s="24" t="s">
        <v>581</v>
      </c>
      <c r="Q13" s="485"/>
      <c r="R13" s="33"/>
      <c r="S13" s="33"/>
      <c r="T13" s="33"/>
      <c r="U13" s="33"/>
      <c r="V13" s="33"/>
      <c r="W13" s="33"/>
      <c r="X13" s="33"/>
      <c r="Y13" s="33"/>
      <c r="Z13" s="33"/>
      <c r="AA13" s="30">
        <v>51</v>
      </c>
      <c r="AB13" s="74" t="str">
        <f>IF($N$7=0,"Shear lug is not req'd.",IF($C$21&gt;=$C$51,"Weld used &gt;= Weld req'd., O.K.","Weld used &lt; Weld req'd."))</f>
        <v>Weld used &gt;= Weld req'd., O.K.</v>
      </c>
      <c r="AE13" s="92">
        <f>IF($N$7=0,"N.A.",$C$51/$C$21)</f>
        <v>0.87442879851421829</v>
      </c>
    </row>
    <row r="14" spans="1:31" x14ac:dyDescent="0.25">
      <c r="A14" s="58"/>
      <c r="B14" s="61" t="s">
        <v>275</v>
      </c>
      <c r="C14" s="114">
        <v>14</v>
      </c>
      <c r="D14" s="90" t="s">
        <v>252</v>
      </c>
      <c r="E14" s="209"/>
      <c r="F14" s="44"/>
      <c r="G14" s="37"/>
      <c r="H14" s="239"/>
      <c r="I14" s="211"/>
      <c r="K14" s="201">
        <v>0.7</v>
      </c>
      <c r="M14" s="25" t="s">
        <v>583</v>
      </c>
      <c r="N14" s="35"/>
      <c r="O14" s="26"/>
      <c r="Q14" s="78"/>
      <c r="S14" s="33"/>
      <c r="T14" s="33"/>
      <c r="U14" s="33"/>
      <c r="V14" s="33"/>
      <c r="W14" s="33"/>
      <c r="X14" s="33"/>
      <c r="Y14" s="33"/>
      <c r="Z14" s="33"/>
      <c r="AA14" s="74"/>
      <c r="AB14" s="74"/>
    </row>
    <row r="15" spans="1:31" x14ac:dyDescent="0.25">
      <c r="A15" s="58"/>
      <c r="B15" s="61" t="s">
        <v>276</v>
      </c>
      <c r="C15" s="115">
        <v>14</v>
      </c>
      <c r="D15" s="90" t="s">
        <v>252</v>
      </c>
      <c r="E15" s="218"/>
      <c r="F15" s="44"/>
      <c r="G15" s="37"/>
      <c r="H15" s="209"/>
      <c r="I15" s="211"/>
      <c r="K15" s="201">
        <v>0.9</v>
      </c>
      <c r="M15" s="28" t="s">
        <v>584</v>
      </c>
      <c r="N15" s="46">
        <f>IF($N$7=0,"N.A.",1.7*$N$7)</f>
        <v>29.324999999999999</v>
      </c>
      <c r="O15" s="24" t="s">
        <v>50</v>
      </c>
      <c r="P15" s="26" t="s">
        <v>601</v>
      </c>
      <c r="Q15" s="78"/>
      <c r="S15" s="33"/>
      <c r="T15" s="33"/>
      <c r="U15" s="33"/>
      <c r="V15" s="33"/>
      <c r="W15" s="33"/>
      <c r="X15" s="33"/>
      <c r="Y15" s="33"/>
      <c r="Z15" s="33"/>
      <c r="AA15" s="74"/>
      <c r="AB15" s="74"/>
    </row>
    <row r="16" spans="1:31" x14ac:dyDescent="0.25">
      <c r="A16" s="58"/>
      <c r="B16" s="61" t="s">
        <v>534</v>
      </c>
      <c r="C16" s="270">
        <v>1.5</v>
      </c>
      <c r="D16" s="90" t="s">
        <v>252</v>
      </c>
      <c r="E16" s="311" t="str">
        <f>"V="&amp;$N$4</f>
        <v>V=17.25</v>
      </c>
      <c r="F16" s="209"/>
      <c r="G16" s="37"/>
      <c r="H16" s="209"/>
      <c r="I16" s="211"/>
      <c r="K16" s="29"/>
      <c r="M16" s="28" t="s">
        <v>590</v>
      </c>
      <c r="N16" s="486">
        <f>IF($N$7=0,"N.A.",($C$24-$C$20)/2)</f>
        <v>9.375</v>
      </c>
      <c r="O16" s="24" t="s">
        <v>252</v>
      </c>
      <c r="P16" s="26" t="s">
        <v>725</v>
      </c>
      <c r="Q16" s="78"/>
      <c r="S16" s="33"/>
      <c r="T16" s="33"/>
      <c r="U16" s="33"/>
      <c r="V16" s="33"/>
      <c r="W16" s="33"/>
      <c r="X16" s="33"/>
      <c r="Y16" s="33"/>
      <c r="Z16" s="33"/>
      <c r="AA16" s="74"/>
      <c r="AB16" s="74"/>
    </row>
    <row r="17" spans="1:28" x14ac:dyDescent="0.25">
      <c r="A17" s="21"/>
      <c r="B17" s="61" t="s">
        <v>536</v>
      </c>
      <c r="C17" s="116">
        <v>2</v>
      </c>
      <c r="D17" s="256" t="s">
        <v>252</v>
      </c>
      <c r="E17" s="209"/>
      <c r="F17" s="6"/>
      <c r="G17" s="37"/>
      <c r="H17" s="209"/>
      <c r="I17" s="220" t="str">
        <f>"  tp="&amp;ROUND($C$16,3)</f>
        <v xml:space="preserve">  tp=1.5</v>
      </c>
      <c r="K17" s="34"/>
      <c r="M17" s="28" t="s">
        <v>589</v>
      </c>
      <c r="N17" s="486">
        <f>IF($N$7=0,"N.A.",($C$25-$C$19)/2)</f>
        <v>5.5</v>
      </c>
      <c r="O17" s="24" t="s">
        <v>252</v>
      </c>
      <c r="P17" s="26" t="s">
        <v>726</v>
      </c>
      <c r="Q17" s="78"/>
      <c r="S17" s="33"/>
      <c r="T17" s="33"/>
      <c r="U17" s="33"/>
      <c r="V17" s="33"/>
      <c r="W17" s="33"/>
      <c r="X17" s="33"/>
      <c r="Y17" s="33"/>
      <c r="Z17" s="33"/>
      <c r="AA17" s="74"/>
      <c r="AB17" s="74"/>
    </row>
    <row r="18" spans="1:28" x14ac:dyDescent="0.25">
      <c r="A18" s="58"/>
      <c r="B18" s="61" t="s">
        <v>519</v>
      </c>
      <c r="C18" s="116">
        <v>4</v>
      </c>
      <c r="D18" s="90" t="s">
        <v>252</v>
      </c>
      <c r="E18" s="209"/>
      <c r="F18" s="40"/>
      <c r="G18" s="209"/>
      <c r="H18" s="209"/>
      <c r="I18" s="217" t="str">
        <f>"     G="&amp;$C$17</f>
        <v xml:space="preserve">     G=2</v>
      </c>
      <c r="K18" s="34"/>
      <c r="M18" s="28" t="s">
        <v>585</v>
      </c>
      <c r="N18" s="479">
        <f>IF($N$7=0,"N.A.",(2*$N$17+$C$19)*($C$18-$C$17+$N$16)-($C$18-$C$17)*$C$19)</f>
        <v>209.5</v>
      </c>
      <c r="O18" s="24" t="s">
        <v>151</v>
      </c>
      <c r="P18" s="26" t="s">
        <v>851</v>
      </c>
      <c r="Q18" s="78"/>
      <c r="S18" s="33"/>
      <c r="T18" s="33"/>
      <c r="U18" s="33"/>
      <c r="V18" s="33"/>
      <c r="W18" s="33"/>
      <c r="X18" s="33"/>
      <c r="Y18" s="33"/>
      <c r="Z18" s="33"/>
      <c r="AA18" s="74"/>
      <c r="AB18" s="74"/>
    </row>
    <row r="19" spans="1:28" x14ac:dyDescent="0.25">
      <c r="A19" s="58"/>
      <c r="B19" s="61" t="s">
        <v>520</v>
      </c>
      <c r="C19" s="116">
        <v>9</v>
      </c>
      <c r="D19" s="256" t="s">
        <v>252</v>
      </c>
      <c r="E19" s="204" t="s">
        <v>537</v>
      </c>
      <c r="F19" s="122"/>
      <c r="G19" s="209"/>
      <c r="H19" s="238" t="str">
        <f>"H="&amp;$C$18</f>
        <v>H=4</v>
      </c>
      <c r="I19" s="210"/>
      <c r="K19" s="34"/>
      <c r="M19" s="56" t="s">
        <v>586</v>
      </c>
      <c r="N19" s="46">
        <f>IF($N$7=0,"N.A.",4*0.85*SQRT($C$26*1000)/1000*$N$18)</f>
        <v>39.014277771092985</v>
      </c>
      <c r="O19" s="24" t="s">
        <v>50</v>
      </c>
      <c r="P19" s="264" t="s">
        <v>587</v>
      </c>
      <c r="Q19" s="78"/>
      <c r="S19" s="33"/>
      <c r="T19" s="33"/>
      <c r="U19" s="33"/>
      <c r="V19" s="33"/>
      <c r="W19" s="33"/>
      <c r="X19" s="33"/>
      <c r="Y19" s="33"/>
      <c r="Z19" s="33"/>
      <c r="AA19" s="74"/>
      <c r="AB19" s="74"/>
    </row>
    <row r="20" spans="1:28" x14ac:dyDescent="0.25">
      <c r="A20" s="58"/>
      <c r="B20" s="61" t="s">
        <v>591</v>
      </c>
      <c r="C20" s="269">
        <v>1.25</v>
      </c>
      <c r="D20" s="406" t="s">
        <v>252</v>
      </c>
      <c r="E20" s="265" t="s">
        <v>541</v>
      </c>
      <c r="F20" s="209"/>
      <c r="G20" s="209"/>
      <c r="H20" s="209"/>
      <c r="I20" s="210"/>
      <c r="K20" s="34"/>
      <c r="M20" s="484" t="s">
        <v>514</v>
      </c>
      <c r="N20" s="33"/>
      <c r="S20" s="33"/>
      <c r="T20" s="33"/>
      <c r="U20" s="33"/>
      <c r="V20" s="33"/>
      <c r="W20" s="33"/>
      <c r="X20" s="33"/>
      <c r="Y20" s="33"/>
      <c r="Z20" s="33"/>
      <c r="AA20" s="74"/>
      <c r="AB20" s="74"/>
    </row>
    <row r="21" spans="1:28" x14ac:dyDescent="0.25">
      <c r="A21" s="58"/>
      <c r="B21" s="61" t="s">
        <v>593</v>
      </c>
      <c r="C21" s="270">
        <v>0.3125</v>
      </c>
      <c r="D21" s="406" t="s">
        <v>252</v>
      </c>
      <c r="E21" s="236" t="s">
        <v>530</v>
      </c>
      <c r="F21" s="207"/>
      <c r="G21" s="207"/>
      <c r="H21" s="207"/>
      <c r="I21" s="213"/>
      <c r="K21" s="34"/>
      <c r="M21" s="28" t="s">
        <v>597</v>
      </c>
      <c r="N21" s="486">
        <f>IF($N$7=0,"N.A.",$C$20+2*(1/3)*$C$21)</f>
        <v>1.4583333333333333</v>
      </c>
      <c r="O21" s="24" t="s">
        <v>252</v>
      </c>
      <c r="P21" s="24" t="s">
        <v>599</v>
      </c>
      <c r="S21" s="33"/>
      <c r="T21" s="33"/>
      <c r="U21" s="33"/>
      <c r="V21" s="33"/>
      <c r="W21" s="33"/>
      <c r="X21" s="33"/>
      <c r="Y21" s="33"/>
      <c r="Z21" s="33"/>
      <c r="AA21" s="74"/>
      <c r="AB21" s="74"/>
    </row>
    <row r="22" spans="1:28" x14ac:dyDescent="0.25">
      <c r="A22" s="58"/>
      <c r="B22" s="61" t="s">
        <v>588</v>
      </c>
      <c r="C22" s="116">
        <v>36</v>
      </c>
      <c r="D22" s="256" t="s">
        <v>153</v>
      </c>
      <c r="E22" s="209"/>
      <c r="F22" s="209"/>
      <c r="G22" s="218" t="str">
        <f>"            t="&amp;ROUND($C$20,3)</f>
        <v xml:space="preserve">            t=1.25</v>
      </c>
      <c r="H22" s="209"/>
      <c r="I22" s="213"/>
      <c r="K22" s="34"/>
      <c r="M22" s="28" t="s">
        <v>522</v>
      </c>
      <c r="N22" s="486">
        <f>IF($N$7=0,"N.A.",SQRT(($N$8/$N$21)^2+($N$7/(2*$C$19))^2))</f>
        <v>4.0576502100054617</v>
      </c>
      <c r="O22" s="24" t="s">
        <v>515</v>
      </c>
      <c r="P22" s="24" t="s">
        <v>856</v>
      </c>
      <c r="S22" s="33"/>
      <c r="T22" s="33"/>
      <c r="U22" s="33"/>
      <c r="V22" s="33"/>
      <c r="W22" s="33"/>
      <c r="X22" s="33"/>
      <c r="Y22" s="33"/>
      <c r="Z22" s="33"/>
      <c r="AA22" s="74"/>
      <c r="AB22" s="74"/>
    </row>
    <row r="23" spans="1:28" x14ac:dyDescent="0.25">
      <c r="A23" s="58"/>
      <c r="B23" s="44" t="s">
        <v>702</v>
      </c>
      <c r="C23" s="263">
        <v>0.55000000000000004</v>
      </c>
      <c r="D23" s="12"/>
      <c r="E23" s="209"/>
      <c r="F23" s="209"/>
      <c r="G23" s="209"/>
      <c r="H23" s="209"/>
      <c r="I23" s="213"/>
      <c r="K23" s="479"/>
      <c r="M23" s="56" t="s">
        <v>594</v>
      </c>
      <c r="N23" s="8">
        <f>IF($N$7=0,"N.A.",$N$22/(0.7071*0.3*70))</f>
        <v>0.27325899953569321</v>
      </c>
      <c r="O23" s="24" t="s">
        <v>252</v>
      </c>
      <c r="P23" s="487" t="s">
        <v>595</v>
      </c>
      <c r="S23" s="33"/>
      <c r="T23" s="33"/>
      <c r="U23" s="33"/>
      <c r="V23" s="33"/>
      <c r="W23" s="33"/>
      <c r="X23" s="33"/>
      <c r="Y23" s="33"/>
      <c r="Z23" s="33"/>
      <c r="AA23" s="74"/>
      <c r="AB23" s="74"/>
    </row>
    <row r="24" spans="1:28" x14ac:dyDescent="0.25">
      <c r="A24" s="58"/>
      <c r="B24" s="61" t="s">
        <v>723</v>
      </c>
      <c r="C24" s="269">
        <v>20</v>
      </c>
      <c r="D24" s="256" t="s">
        <v>252</v>
      </c>
      <c r="E24" s="59"/>
      <c r="F24" s="232"/>
      <c r="G24" s="233"/>
      <c r="H24" s="233"/>
      <c r="I24" s="234"/>
      <c r="J24" s="33"/>
      <c r="K24" s="34"/>
      <c r="U24" s="74"/>
      <c r="V24" s="74"/>
      <c r="W24" s="74"/>
      <c r="X24" s="74"/>
      <c r="Y24" s="74"/>
      <c r="Z24" s="74"/>
      <c r="AA24" s="74"/>
      <c r="AB24" s="74"/>
    </row>
    <row r="25" spans="1:28" x14ac:dyDescent="0.25">
      <c r="A25" s="58"/>
      <c r="B25" s="61" t="s">
        <v>724</v>
      </c>
      <c r="C25" s="269">
        <v>20</v>
      </c>
      <c r="D25" s="256" t="s">
        <v>252</v>
      </c>
      <c r="E25" s="12"/>
      <c r="F25" s="240" t="s">
        <v>540</v>
      </c>
      <c r="G25" s="12"/>
      <c r="H25" s="12"/>
      <c r="I25" s="14"/>
      <c r="J25" s="33"/>
      <c r="K25" s="34"/>
      <c r="R25" s="33"/>
      <c r="S25" s="33"/>
      <c r="T25" s="33"/>
      <c r="U25" s="86"/>
      <c r="V25" s="86"/>
      <c r="W25" s="86"/>
      <c r="X25" s="86"/>
      <c r="Y25" s="86"/>
      <c r="Z25" s="86"/>
      <c r="AA25" s="74"/>
      <c r="AB25" s="74"/>
    </row>
    <row r="26" spans="1:28" x14ac:dyDescent="0.25">
      <c r="A26" s="58"/>
      <c r="B26" s="61" t="s">
        <v>362</v>
      </c>
      <c r="C26" s="118">
        <v>3</v>
      </c>
      <c r="D26" s="256" t="s">
        <v>153</v>
      </c>
      <c r="E26" s="12"/>
      <c r="F26" s="12"/>
      <c r="G26" s="12"/>
      <c r="H26" s="12"/>
      <c r="I26" s="14"/>
      <c r="J26" s="33"/>
      <c r="K26" s="34"/>
      <c r="R26" s="33"/>
      <c r="S26" s="33"/>
      <c r="T26" s="33"/>
      <c r="U26" s="74"/>
      <c r="V26" s="74"/>
      <c r="W26" s="74"/>
      <c r="X26" s="74"/>
      <c r="Y26" s="74"/>
      <c r="Z26" s="74"/>
      <c r="AA26" s="74"/>
      <c r="AB26" s="74"/>
    </row>
    <row r="27" spans="1:28" x14ac:dyDescent="0.25">
      <c r="A27" s="58"/>
      <c r="B27" s="12"/>
      <c r="C27" s="12"/>
      <c r="D27" s="12"/>
      <c r="E27" s="12"/>
      <c r="F27" s="12"/>
      <c r="G27" s="12"/>
      <c r="H27" s="12"/>
      <c r="I27" s="14"/>
      <c r="J27" s="33"/>
      <c r="K27" s="34"/>
      <c r="R27" s="33"/>
      <c r="S27" s="33"/>
      <c r="T27" s="33"/>
      <c r="U27" s="74"/>
      <c r="V27" s="74"/>
      <c r="W27" s="74"/>
      <c r="X27" s="74"/>
      <c r="Y27" s="74"/>
      <c r="Z27" s="74"/>
      <c r="AA27" s="74"/>
      <c r="AB27" s="74"/>
    </row>
    <row r="28" spans="1:28" x14ac:dyDescent="0.25">
      <c r="A28" s="13" t="s">
        <v>49</v>
      </c>
      <c r="B28" s="45" t="str">
        <f>IF($N$7=0,"Shear lug is not required!","")</f>
        <v/>
      </c>
      <c r="C28" s="12"/>
      <c r="D28" s="12"/>
      <c r="E28" s="12"/>
      <c r="F28" s="12"/>
      <c r="G28" s="12"/>
      <c r="H28" s="12"/>
      <c r="I28" s="14"/>
      <c r="J28" s="33"/>
      <c r="K28" s="34"/>
      <c r="R28" s="33"/>
      <c r="S28" s="74"/>
      <c r="T28" s="74"/>
      <c r="U28" s="74"/>
      <c r="V28" s="74"/>
      <c r="W28" s="74"/>
      <c r="X28" s="74"/>
      <c r="Y28" s="74"/>
      <c r="Z28" s="74"/>
      <c r="AA28" s="74"/>
      <c r="AB28" s="74"/>
    </row>
    <row r="29" spans="1:28" x14ac:dyDescent="0.25">
      <c r="A29" s="21"/>
      <c r="B29" s="12"/>
      <c r="C29" s="12"/>
      <c r="D29" s="12"/>
      <c r="E29" s="12"/>
      <c r="F29" s="12"/>
      <c r="G29" s="12"/>
      <c r="H29" s="12"/>
      <c r="I29" s="14"/>
      <c r="J29" s="33"/>
      <c r="K29" s="34"/>
      <c r="R29" s="33"/>
      <c r="S29" s="86"/>
      <c r="T29" s="86"/>
      <c r="U29" s="74"/>
      <c r="V29" s="74"/>
      <c r="W29" s="74"/>
      <c r="X29" s="74"/>
      <c r="Y29" s="74"/>
      <c r="Z29" s="74"/>
      <c r="AA29" s="74"/>
      <c r="AB29" s="74"/>
    </row>
    <row r="30" spans="1:28" x14ac:dyDescent="0.25">
      <c r="A30" s="13" t="s">
        <v>528</v>
      </c>
      <c r="B30" s="12"/>
      <c r="C30" s="12"/>
      <c r="D30" s="12"/>
      <c r="E30" s="12"/>
      <c r="F30" s="12"/>
      <c r="G30" s="12"/>
      <c r="H30" s="12"/>
      <c r="I30" s="211"/>
      <c r="J30" s="33"/>
      <c r="K30" s="34"/>
      <c r="R30" s="33"/>
      <c r="S30" s="74"/>
      <c r="T30" s="74"/>
      <c r="U30" s="74"/>
      <c r="V30" s="74"/>
      <c r="W30" s="74"/>
      <c r="X30" s="74"/>
      <c r="Y30" s="74"/>
      <c r="Z30" s="74"/>
      <c r="AA30" s="74"/>
      <c r="AB30" s="74"/>
    </row>
    <row r="31" spans="1:28" x14ac:dyDescent="0.25">
      <c r="A31" s="21"/>
      <c r="B31" s="36" t="s">
        <v>538</v>
      </c>
      <c r="C31" s="109">
        <f>$N$7</f>
        <v>17.25</v>
      </c>
      <c r="D31" s="256" t="s">
        <v>50</v>
      </c>
      <c r="E31" s="42" t="s">
        <v>802</v>
      </c>
      <c r="F31" s="12"/>
      <c r="G31" s="12"/>
      <c r="H31" s="12"/>
      <c r="I31" s="609"/>
      <c r="J31" s="33"/>
      <c r="K31" s="34"/>
      <c r="R31" s="33"/>
      <c r="S31" s="74"/>
      <c r="T31" s="74"/>
      <c r="U31" s="74"/>
      <c r="V31" s="74"/>
      <c r="W31" s="74"/>
      <c r="X31" s="74"/>
      <c r="Y31" s="74"/>
      <c r="Z31" s="74"/>
      <c r="AA31" s="74"/>
      <c r="AB31" s="74"/>
    </row>
    <row r="32" spans="1:28" x14ac:dyDescent="0.25">
      <c r="A32" s="21"/>
      <c r="B32" s="36" t="s">
        <v>539</v>
      </c>
      <c r="C32" s="121">
        <f>$N$8</f>
        <v>5.75</v>
      </c>
      <c r="D32" s="488" t="s">
        <v>855</v>
      </c>
      <c r="E32" s="12" t="str">
        <f>$P$8</f>
        <v>M(lg) = (V(lg)/W)*(H+G)/2</v>
      </c>
      <c r="F32" s="12"/>
      <c r="G32" s="12"/>
      <c r="H32" s="12"/>
      <c r="I32" s="14"/>
      <c r="J32" s="33"/>
      <c r="K32" s="34"/>
      <c r="R32" s="33"/>
      <c r="S32" s="74"/>
      <c r="T32" s="74"/>
      <c r="U32" s="74"/>
      <c r="V32" s="74"/>
      <c r="W32" s="74"/>
      <c r="X32" s="74"/>
      <c r="Y32" s="74"/>
      <c r="Z32" s="74"/>
      <c r="AA32" s="74"/>
      <c r="AB32" s="74"/>
    </row>
    <row r="33" spans="1:28" x14ac:dyDescent="0.25">
      <c r="A33" s="21"/>
      <c r="B33" s="12"/>
      <c r="C33" s="12"/>
      <c r="D33" s="12"/>
      <c r="E33" s="12"/>
      <c r="F33" s="12"/>
      <c r="G33" s="12"/>
      <c r="H33" s="12"/>
      <c r="I33" s="14"/>
      <c r="J33" s="33"/>
      <c r="R33" s="33"/>
      <c r="S33" s="74"/>
      <c r="T33" s="74"/>
      <c r="U33" s="74"/>
      <c r="V33" s="74"/>
      <c r="W33" s="74"/>
      <c r="X33" s="74"/>
      <c r="Y33" s="74"/>
      <c r="Z33" s="74"/>
      <c r="AA33" s="74"/>
      <c r="AB33" s="74"/>
    </row>
    <row r="34" spans="1:28" x14ac:dyDescent="0.25">
      <c r="A34" s="13" t="s">
        <v>529</v>
      </c>
      <c r="B34" s="12"/>
      <c r="C34" s="12"/>
      <c r="D34" s="12"/>
      <c r="E34" s="12"/>
      <c r="F34" s="12"/>
      <c r="G34" s="12"/>
      <c r="H34" s="12"/>
      <c r="I34" s="14"/>
      <c r="J34" s="33"/>
      <c r="R34" s="33"/>
      <c r="S34" s="74"/>
      <c r="T34" s="74"/>
      <c r="U34" s="74"/>
      <c r="V34" s="74"/>
      <c r="W34" s="74"/>
      <c r="X34" s="74"/>
      <c r="Y34" s="74"/>
      <c r="Z34" s="74"/>
      <c r="AA34" s="74"/>
      <c r="AB34" s="74"/>
    </row>
    <row r="35" spans="1:28" x14ac:dyDescent="0.25">
      <c r="A35" s="21"/>
      <c r="B35" s="61" t="s">
        <v>841</v>
      </c>
      <c r="C35" s="3">
        <f>$N$10</f>
        <v>1.1303883305208779</v>
      </c>
      <c r="D35" s="90" t="s">
        <v>252</v>
      </c>
      <c r="E35" s="12" t="str">
        <f>$P$10</f>
        <v>t(req'd) = SQRT(6*M(lg)/(0.75*Fy)) &lt;= t &lt;= tp</v>
      </c>
      <c r="F35" s="12"/>
      <c r="G35" s="12"/>
      <c r="H35" s="12"/>
      <c r="I35" s="14"/>
      <c r="J35" s="33"/>
      <c r="N35" s="22"/>
      <c r="O35" s="77"/>
      <c r="P35" s="87"/>
      <c r="Q35" s="78"/>
      <c r="R35" s="74"/>
      <c r="S35" s="74"/>
      <c r="T35" s="74"/>
      <c r="U35" s="74"/>
      <c r="V35" s="74"/>
      <c r="W35" s="74"/>
      <c r="X35" s="74"/>
      <c r="Y35" s="74"/>
      <c r="Z35" s="74"/>
      <c r="AA35" s="142"/>
      <c r="AB35" s="142"/>
    </row>
    <row r="36" spans="1:28" x14ac:dyDescent="0.25">
      <c r="A36" s="21"/>
      <c r="B36" s="12"/>
      <c r="C36" s="12"/>
      <c r="D36" s="12"/>
      <c r="E36" s="12"/>
      <c r="F36" s="12"/>
      <c r="G36" s="12"/>
      <c r="H36" s="45" t="str">
        <f>IF($N$7=0,"",IF($C$35&lt;=$C$20,"t(req'd) &lt;= t, O.K.","t(req'd) &gt; t"))</f>
        <v>t(req'd) &lt;= t, O.K.</v>
      </c>
      <c r="I36" s="14"/>
      <c r="J36" s="33"/>
      <c r="K36" s="34"/>
      <c r="N36" s="22"/>
      <c r="O36" s="77"/>
      <c r="P36" s="87"/>
      <c r="Q36" s="78"/>
      <c r="R36" s="74"/>
      <c r="S36" s="74"/>
      <c r="T36" s="74"/>
      <c r="U36" s="74"/>
      <c r="V36" s="74"/>
      <c r="W36" s="74"/>
      <c r="X36" s="74"/>
      <c r="Y36" s="74"/>
      <c r="Z36" s="74"/>
      <c r="AA36" s="93" t="s">
        <v>464</v>
      </c>
      <c r="AB36" s="94">
        <f>IF($N$7=0,"N.A.",$C$35/$C$20)</f>
        <v>0.90431066441670238</v>
      </c>
    </row>
    <row r="37" spans="1:28" x14ac:dyDescent="0.25">
      <c r="A37" s="13" t="s">
        <v>582</v>
      </c>
      <c r="B37" s="12"/>
      <c r="C37" s="12"/>
      <c r="D37" s="12"/>
      <c r="E37" s="208"/>
      <c r="F37" s="12"/>
      <c r="G37" s="12"/>
      <c r="H37" s="12"/>
      <c r="I37" s="14"/>
      <c r="J37" s="33"/>
      <c r="K37" s="29"/>
      <c r="N37" s="22"/>
      <c r="O37" s="77"/>
      <c r="P37" s="87"/>
      <c r="Q37" s="78"/>
      <c r="R37" s="74"/>
      <c r="S37" s="74"/>
      <c r="T37" s="74"/>
      <c r="U37" s="74"/>
      <c r="V37" s="74"/>
      <c r="W37" s="74"/>
      <c r="X37" s="74"/>
      <c r="Y37" s="74"/>
      <c r="Z37" s="74"/>
      <c r="AA37" s="43"/>
      <c r="AB37" s="145"/>
    </row>
    <row r="38" spans="1:28" x14ac:dyDescent="0.25">
      <c r="A38" s="21"/>
      <c r="B38" s="61" t="s">
        <v>579</v>
      </c>
      <c r="C38" s="119">
        <f>$N$12</f>
        <v>0.95833333333333337</v>
      </c>
      <c r="D38" s="256" t="s">
        <v>153</v>
      </c>
      <c r="E38" s="12" t="str">
        <f>$P$12</f>
        <v>fp = V/(W*(H-G))</v>
      </c>
      <c r="F38" s="12"/>
      <c r="G38" s="12"/>
      <c r="H38" s="12"/>
      <c r="I38" s="14"/>
      <c r="J38" s="33"/>
      <c r="K38" s="29"/>
      <c r="N38" s="22"/>
      <c r="O38" s="77"/>
      <c r="P38" s="87"/>
      <c r="Q38" s="78"/>
      <c r="R38" s="74"/>
      <c r="S38" s="74"/>
      <c r="T38" s="74"/>
      <c r="U38" s="74"/>
      <c r="V38" s="74"/>
      <c r="W38" s="74"/>
      <c r="X38" s="74"/>
      <c r="Y38" s="74"/>
      <c r="Z38" s="74"/>
      <c r="AA38" s="43"/>
      <c r="AB38" s="144"/>
    </row>
    <row r="39" spans="1:28" x14ac:dyDescent="0.25">
      <c r="A39" s="21"/>
      <c r="B39" s="61" t="s">
        <v>570</v>
      </c>
      <c r="C39" s="111">
        <f>$N$13</f>
        <v>1.0499999999999998</v>
      </c>
      <c r="D39" s="256" t="s">
        <v>153</v>
      </c>
      <c r="E39" s="12" t="str">
        <f>$P$13</f>
        <v>Fp = 0.35*(f'c)</v>
      </c>
      <c r="F39" s="12"/>
      <c r="G39" s="12"/>
      <c r="H39" s="45" t="str">
        <f>IF($N$7=0,"",IF($C$39&gt;=$C$38,"Fp &gt;= fp, O.K.","Fp &lt; fp"))</f>
        <v>Fp &gt;= fp, O.K.</v>
      </c>
      <c r="I39" s="14"/>
      <c r="J39" s="33"/>
      <c r="N39" s="22"/>
      <c r="O39" s="77"/>
      <c r="P39" s="87"/>
      <c r="Q39" s="78"/>
      <c r="R39" s="74"/>
      <c r="S39" s="74"/>
      <c r="T39" s="74"/>
      <c r="U39" s="74"/>
      <c r="V39" s="74"/>
      <c r="W39" s="74"/>
      <c r="X39" s="74"/>
      <c r="Y39" s="74"/>
      <c r="Z39" s="74"/>
      <c r="AA39" s="93" t="s">
        <v>464</v>
      </c>
      <c r="AB39" s="94">
        <f>IF($N$7=0,"N.A.",$C$38/$C$39)</f>
        <v>0.9126984126984129</v>
      </c>
    </row>
    <row r="40" spans="1:28" x14ac:dyDescent="0.25">
      <c r="A40" s="21"/>
      <c r="B40" s="12"/>
      <c r="C40" s="209"/>
      <c r="D40" s="12"/>
      <c r="E40" s="12"/>
      <c r="F40" s="12"/>
      <c r="G40" s="12"/>
      <c r="H40" s="12"/>
      <c r="I40" s="14"/>
      <c r="J40" s="33"/>
      <c r="N40" s="22"/>
      <c r="O40" s="77"/>
      <c r="P40" s="87"/>
      <c r="Q40" s="78"/>
      <c r="R40" s="74"/>
      <c r="S40" s="74"/>
      <c r="T40" s="74"/>
      <c r="U40" s="74"/>
      <c r="V40" s="74"/>
      <c r="W40" s="74"/>
      <c r="X40" s="74"/>
      <c r="Y40" s="74"/>
      <c r="Z40" s="74"/>
      <c r="AA40" s="39"/>
      <c r="AB40" s="143"/>
    </row>
    <row r="41" spans="1:28" x14ac:dyDescent="0.25">
      <c r="A41" s="50" t="s">
        <v>583</v>
      </c>
      <c r="B41" s="12"/>
      <c r="C41" s="5"/>
      <c r="D41" s="65"/>
      <c r="E41" s="33"/>
      <c r="F41" s="78"/>
      <c r="G41" s="12"/>
      <c r="H41" s="12"/>
      <c r="I41" s="14"/>
      <c r="J41" s="33"/>
      <c r="K41" s="33"/>
      <c r="N41" s="22"/>
      <c r="O41" s="77"/>
      <c r="P41" s="87"/>
      <c r="Q41" s="78"/>
      <c r="R41" s="74"/>
      <c r="S41" s="74"/>
      <c r="T41" s="74"/>
      <c r="U41" s="74"/>
      <c r="V41" s="74"/>
      <c r="W41" s="74"/>
      <c r="X41" s="74"/>
      <c r="Y41" s="74"/>
      <c r="Z41" s="74"/>
    </row>
    <row r="42" spans="1:28" x14ac:dyDescent="0.25">
      <c r="A42" s="21"/>
      <c r="B42" s="61" t="s">
        <v>584</v>
      </c>
      <c r="C42" s="109">
        <f>$N$15</f>
        <v>29.324999999999999</v>
      </c>
      <c r="D42" s="406" t="s">
        <v>50</v>
      </c>
      <c r="E42" s="12" t="str">
        <f>$P$15</f>
        <v>Vu = 1.7*V(lg)  (assume L.F. = 1.7)</v>
      </c>
      <c r="F42" s="78"/>
      <c r="G42" s="12"/>
      <c r="H42" s="12"/>
      <c r="I42" s="14"/>
      <c r="J42" s="33"/>
      <c r="K42" s="33"/>
      <c r="N42" s="22"/>
      <c r="O42" s="77"/>
      <c r="P42" s="87"/>
      <c r="Q42" s="78"/>
      <c r="R42" s="74"/>
      <c r="S42" s="74"/>
      <c r="T42" s="74"/>
      <c r="U42" s="74"/>
      <c r="V42" s="74"/>
      <c r="W42" s="74"/>
      <c r="X42" s="74"/>
      <c r="Y42" s="74"/>
      <c r="Z42" s="74"/>
      <c r="AA42" s="39"/>
      <c r="AB42" s="143"/>
    </row>
    <row r="43" spans="1:28" x14ac:dyDescent="0.25">
      <c r="A43" s="21"/>
      <c r="B43" s="61" t="s">
        <v>590</v>
      </c>
      <c r="C43" s="268">
        <f>$N$16</f>
        <v>9.375</v>
      </c>
      <c r="D43" s="406" t="s">
        <v>252</v>
      </c>
      <c r="E43" s="12" t="str">
        <f>$P$16</f>
        <v>EDx =(Lpx-t)/2</v>
      </c>
      <c r="F43" s="78"/>
      <c r="G43" s="12"/>
      <c r="H43" s="12"/>
      <c r="I43" s="14"/>
      <c r="J43" s="33"/>
      <c r="K43" s="33"/>
      <c r="N43" s="22"/>
      <c r="O43" s="77"/>
      <c r="P43" s="87"/>
      <c r="Q43" s="78"/>
      <c r="R43" s="74"/>
      <c r="S43" s="74"/>
      <c r="T43" s="74"/>
      <c r="U43" s="74"/>
      <c r="V43" s="74"/>
      <c r="W43" s="74"/>
      <c r="X43" s="74"/>
      <c r="Y43" s="74"/>
      <c r="Z43" s="74"/>
      <c r="AA43" s="74"/>
      <c r="AB43" s="74"/>
    </row>
    <row r="44" spans="1:28" x14ac:dyDescent="0.25">
      <c r="A44" s="21"/>
      <c r="B44" s="61" t="s">
        <v>589</v>
      </c>
      <c r="C44" s="268">
        <f>$N$17</f>
        <v>5.5</v>
      </c>
      <c r="D44" s="406" t="s">
        <v>252</v>
      </c>
      <c r="E44" s="12" t="str">
        <f>$P$17</f>
        <v>EDy =(Lpy-W)/2</v>
      </c>
      <c r="F44" s="78"/>
      <c r="G44" s="12"/>
      <c r="H44" s="12"/>
      <c r="I44" s="14"/>
      <c r="J44" s="33"/>
      <c r="K44" s="33"/>
      <c r="N44" s="22"/>
      <c r="O44" s="77"/>
      <c r="P44" s="87"/>
      <c r="Q44" s="78"/>
      <c r="R44" s="74"/>
      <c r="S44" s="74"/>
      <c r="T44" s="74"/>
      <c r="U44" s="74"/>
      <c r="V44" s="74"/>
      <c r="W44" s="74"/>
      <c r="X44" s="74"/>
      <c r="Y44" s="74"/>
      <c r="Z44" s="74"/>
      <c r="AA44" s="74"/>
      <c r="AB44" s="74"/>
    </row>
    <row r="45" spans="1:28" x14ac:dyDescent="0.25">
      <c r="A45" s="21"/>
      <c r="B45" s="61" t="s">
        <v>585</v>
      </c>
      <c r="C45" s="266">
        <f>$N$18</f>
        <v>209.5</v>
      </c>
      <c r="D45" s="406" t="s">
        <v>151</v>
      </c>
      <c r="E45" s="12" t="str">
        <f>$P$18</f>
        <v>Av = (2*EDy+W)*(H-G+EDx)-(H-G)*W</v>
      </c>
      <c r="F45" s="78"/>
      <c r="G45" s="12"/>
      <c r="H45" s="12"/>
      <c r="I45" s="14"/>
      <c r="J45" s="33"/>
      <c r="K45" s="33"/>
      <c r="N45" s="22"/>
      <c r="O45" s="77"/>
      <c r="P45" s="87"/>
      <c r="Q45" s="78"/>
      <c r="R45" s="74"/>
      <c r="S45" s="74"/>
      <c r="T45" s="74"/>
      <c r="U45" s="74"/>
      <c r="V45" s="74"/>
      <c r="W45" s="74"/>
      <c r="X45" s="74"/>
      <c r="Y45" s="74"/>
      <c r="Z45" s="74"/>
      <c r="AA45" s="74"/>
      <c r="AB45" s="74"/>
    </row>
    <row r="46" spans="1:28" x14ac:dyDescent="0.25">
      <c r="A46" s="21"/>
      <c r="B46" s="271" t="s">
        <v>596</v>
      </c>
      <c r="C46" s="267">
        <f>$N$19</f>
        <v>39.014277771092985</v>
      </c>
      <c r="D46" s="406" t="s">
        <v>50</v>
      </c>
      <c r="E46" s="272" t="s">
        <v>603</v>
      </c>
      <c r="F46" s="78"/>
      <c r="G46" s="12"/>
      <c r="H46" s="12"/>
      <c r="I46" s="14"/>
      <c r="J46" s="33"/>
      <c r="K46" s="33"/>
      <c r="N46" s="22"/>
      <c r="O46" s="77"/>
      <c r="P46" s="87"/>
      <c r="Q46" s="78"/>
      <c r="R46" s="74"/>
      <c r="S46" s="74"/>
      <c r="T46" s="74"/>
      <c r="U46" s="74"/>
      <c r="V46" s="74"/>
      <c r="W46" s="74"/>
      <c r="X46" s="74"/>
      <c r="Y46" s="74"/>
      <c r="Z46" s="74"/>
      <c r="AA46" s="74"/>
      <c r="AB46" s="74"/>
    </row>
    <row r="47" spans="1:28" x14ac:dyDescent="0.25">
      <c r="A47" s="21"/>
      <c r="B47" s="12"/>
      <c r="C47" s="12"/>
      <c r="D47" s="12"/>
      <c r="E47" s="12"/>
      <c r="F47" s="12"/>
      <c r="G47" s="12"/>
      <c r="H47" s="45" t="str">
        <f>IF($N$7=0,"",IF($C$46&gt;=$C$42,"Vu &lt;= V(allow), O.K.","Vu &gt; V(allow)"))</f>
        <v>Vu &lt;= V(allow), O.K.</v>
      </c>
      <c r="I47" s="14"/>
      <c r="J47" s="33"/>
      <c r="K47" s="33"/>
      <c r="N47" s="22"/>
      <c r="O47" s="77"/>
      <c r="P47" s="87"/>
      <c r="Q47" s="78"/>
      <c r="R47" s="74"/>
      <c r="S47" s="74"/>
      <c r="T47" s="74"/>
      <c r="U47" s="74"/>
      <c r="V47" s="74"/>
      <c r="W47" s="74"/>
      <c r="X47" s="74"/>
      <c r="Y47" s="74"/>
      <c r="Z47" s="74"/>
      <c r="AA47" s="93" t="s">
        <v>464</v>
      </c>
      <c r="AB47" s="94">
        <f>IF($N$7=0,"N.A.",$C$42/$C$46)</f>
        <v>0.75164790111090807</v>
      </c>
    </row>
    <row r="48" spans="1:28" x14ac:dyDescent="0.25">
      <c r="A48" s="13" t="s">
        <v>602</v>
      </c>
      <c r="B48" s="12"/>
      <c r="C48" s="12"/>
      <c r="D48" s="12"/>
      <c r="E48" s="12"/>
      <c r="F48" s="12"/>
      <c r="G48" s="12"/>
      <c r="H48" s="12"/>
      <c r="I48" s="14"/>
      <c r="J48" s="33"/>
      <c r="K48" s="33"/>
      <c r="N48" s="22"/>
      <c r="O48" s="77"/>
      <c r="P48" s="87"/>
      <c r="Q48" s="78"/>
      <c r="R48" s="74"/>
      <c r="S48" s="74"/>
      <c r="T48" s="74"/>
      <c r="U48" s="74"/>
      <c r="V48" s="74"/>
      <c r="W48" s="74"/>
      <c r="X48" s="74"/>
      <c r="Y48" s="74"/>
      <c r="Z48" s="74"/>
    </row>
    <row r="49" spans="1:28" x14ac:dyDescent="0.25">
      <c r="A49" s="21"/>
      <c r="B49" s="61" t="s">
        <v>597</v>
      </c>
      <c r="C49" s="245">
        <f>$N$21</f>
        <v>1.4583333333333333</v>
      </c>
      <c r="D49" s="406" t="s">
        <v>252</v>
      </c>
      <c r="E49" s="42" t="s">
        <v>598</v>
      </c>
      <c r="F49" s="12"/>
      <c r="G49" s="208"/>
      <c r="H49" s="208"/>
      <c r="I49" s="212"/>
      <c r="N49" s="22"/>
      <c r="O49" s="77"/>
      <c r="P49" s="87"/>
      <c r="Q49" s="78"/>
      <c r="R49" s="74"/>
      <c r="S49" s="74"/>
      <c r="T49" s="74"/>
      <c r="U49" s="74"/>
      <c r="V49" s="74"/>
      <c r="W49" s="74"/>
      <c r="X49" s="74"/>
      <c r="Y49" s="74"/>
      <c r="Z49" s="74"/>
      <c r="AA49" s="39"/>
      <c r="AB49" s="143"/>
    </row>
    <row r="50" spans="1:28" x14ac:dyDescent="0.25">
      <c r="A50" s="21"/>
      <c r="B50" s="61" t="s">
        <v>522</v>
      </c>
      <c r="C50" s="246">
        <f>$N$22</f>
        <v>4.0576502100054617</v>
      </c>
      <c r="D50" s="406" t="s">
        <v>515</v>
      </c>
      <c r="E50" s="12" t="str">
        <f>$P$22</f>
        <v>Rw = SQRT((M(lg)/s)^2+(V(lg)/(2*W))^2)</v>
      </c>
      <c r="F50" s="12"/>
      <c r="G50" s="12"/>
      <c r="H50" s="12"/>
      <c r="I50" s="14"/>
      <c r="N50" s="22"/>
      <c r="O50" s="77"/>
      <c r="P50" s="87"/>
      <c r="Q50" s="78"/>
      <c r="R50" s="74"/>
      <c r="S50" s="74"/>
      <c r="T50" s="74"/>
      <c r="U50" s="74"/>
      <c r="V50" s="74"/>
      <c r="W50" s="74"/>
      <c r="X50" s="74"/>
      <c r="Y50" s="74"/>
      <c r="Z50" s="74"/>
      <c r="AA50" s="74"/>
      <c r="AB50" s="74"/>
    </row>
    <row r="51" spans="1:28" x14ac:dyDescent="0.25">
      <c r="A51" s="21"/>
      <c r="B51" s="271" t="s">
        <v>839</v>
      </c>
      <c r="C51" s="247">
        <f>$N$23</f>
        <v>0.27325899953569321</v>
      </c>
      <c r="D51" s="406" t="s">
        <v>252</v>
      </c>
      <c r="E51" s="489" t="s">
        <v>840</v>
      </c>
      <c r="F51" s="12"/>
      <c r="G51" s="12"/>
      <c r="H51" s="45" t="str">
        <f>IF($N$7=0,"",IF($C$21&gt;=$C$51,"Weld &gt;= req'd., O.K.","Weld &lt; Weld req'd."))</f>
        <v>Weld &gt;= req'd., O.K.</v>
      </c>
      <c r="I51" s="14"/>
      <c r="N51" s="22"/>
      <c r="O51" s="77"/>
      <c r="P51" s="87"/>
      <c r="Q51" s="78"/>
      <c r="R51" s="74"/>
      <c r="S51" s="74"/>
      <c r="T51" s="74"/>
      <c r="U51" s="74"/>
      <c r="V51" s="74"/>
      <c r="W51" s="74"/>
      <c r="X51" s="74"/>
      <c r="Y51" s="74"/>
      <c r="Z51" s="74"/>
      <c r="AA51" s="93" t="s">
        <v>464</v>
      </c>
      <c r="AB51" s="94">
        <f>IF($N$7=0,"N.A.",$C$51/$C$21)</f>
        <v>0.87442879851421829</v>
      </c>
    </row>
    <row r="52" spans="1:28" x14ac:dyDescent="0.25">
      <c r="A52" s="21"/>
      <c r="B52" s="12"/>
      <c r="C52" s="12"/>
      <c r="D52" s="12"/>
      <c r="E52" s="12"/>
      <c r="F52" s="12"/>
      <c r="G52" s="12"/>
      <c r="H52" s="12"/>
      <c r="I52" s="14"/>
      <c r="N52" s="22"/>
      <c r="O52" s="77"/>
      <c r="P52" s="87"/>
      <c r="Q52" s="78"/>
      <c r="R52" s="74"/>
      <c r="S52" s="74"/>
      <c r="T52" s="74"/>
      <c r="U52" s="74"/>
      <c r="V52" s="74"/>
      <c r="W52" s="74"/>
      <c r="X52" s="74"/>
      <c r="Y52" s="74"/>
      <c r="Z52" s="74"/>
    </row>
    <row r="53" spans="1:28" x14ac:dyDescent="0.25">
      <c r="A53" s="490"/>
      <c r="B53" s="491"/>
      <c r="C53" s="492"/>
      <c r="D53" s="493"/>
      <c r="E53" s="197"/>
      <c r="F53" s="197"/>
      <c r="G53" s="197"/>
      <c r="H53" s="198"/>
      <c r="I53" s="199"/>
      <c r="N53" s="22"/>
      <c r="O53" s="77"/>
      <c r="P53" s="87"/>
      <c r="Q53" s="78"/>
      <c r="R53" s="74"/>
      <c r="S53" s="74"/>
      <c r="T53" s="74"/>
      <c r="U53" s="74"/>
      <c r="V53" s="74"/>
      <c r="W53" s="74"/>
      <c r="X53" s="74"/>
      <c r="Y53" s="74"/>
      <c r="Z53" s="74"/>
      <c r="AA53" s="74"/>
      <c r="AB53" s="74"/>
    </row>
    <row r="54" spans="1:28" x14ac:dyDescent="0.25">
      <c r="A54" s="59"/>
      <c r="B54" s="7"/>
      <c r="C54" s="12"/>
      <c r="D54" s="12"/>
      <c r="E54" s="12"/>
      <c r="F54" s="12"/>
      <c r="G54" s="12"/>
      <c r="H54" s="36"/>
      <c r="I54" s="12"/>
      <c r="N54" s="22"/>
      <c r="O54" s="77"/>
      <c r="P54" s="87"/>
      <c r="Q54" s="78"/>
      <c r="R54" s="74"/>
      <c r="S54" s="74"/>
      <c r="T54" s="74"/>
      <c r="U54" s="74"/>
      <c r="V54" s="74"/>
      <c r="W54" s="74"/>
      <c r="X54" s="74"/>
      <c r="Y54" s="74"/>
      <c r="Z54" s="74"/>
      <c r="AA54" s="74"/>
      <c r="AB54" s="74"/>
    </row>
    <row r="55" spans="1:28" x14ac:dyDescent="0.25">
      <c r="G55" s="12"/>
      <c r="H55" s="12"/>
      <c r="I55" s="59"/>
      <c r="N55" s="22"/>
      <c r="O55" s="77"/>
      <c r="P55" s="87"/>
      <c r="Q55" s="78"/>
      <c r="R55" s="74"/>
      <c r="S55" s="74"/>
      <c r="T55" s="74"/>
      <c r="U55" s="74"/>
      <c r="V55" s="74"/>
      <c r="W55" s="74"/>
      <c r="X55" s="74"/>
      <c r="Y55" s="74"/>
      <c r="Z55" s="74"/>
      <c r="AA55" s="74"/>
      <c r="AB55" s="74"/>
    </row>
    <row r="56" spans="1:28" x14ac:dyDescent="0.25">
      <c r="G56" s="59"/>
      <c r="H56" s="59"/>
      <c r="I56" s="59"/>
      <c r="N56" s="22"/>
      <c r="O56" s="77"/>
      <c r="P56" s="87"/>
      <c r="Q56" s="78"/>
      <c r="R56" s="74"/>
      <c r="S56" s="74"/>
      <c r="T56" s="74"/>
      <c r="U56" s="74"/>
      <c r="V56" s="74"/>
      <c r="W56" s="74"/>
      <c r="X56" s="74"/>
      <c r="Y56" s="74"/>
      <c r="Z56" s="74"/>
      <c r="AA56" s="74"/>
      <c r="AB56" s="74"/>
    </row>
    <row r="57" spans="1:28" x14ac:dyDescent="0.25">
      <c r="G57" s="59"/>
      <c r="H57" s="59"/>
      <c r="I57" s="12"/>
      <c r="N57" s="22"/>
      <c r="O57" s="77"/>
      <c r="P57" s="87"/>
      <c r="Q57" s="78"/>
      <c r="R57" s="74"/>
      <c r="S57" s="74"/>
      <c r="T57" s="74"/>
      <c r="U57" s="74"/>
      <c r="V57" s="74"/>
      <c r="W57" s="74"/>
      <c r="X57" s="74"/>
      <c r="Y57" s="74"/>
      <c r="Z57" s="74"/>
      <c r="AA57" s="74"/>
      <c r="AB57" s="74"/>
    </row>
    <row r="58" spans="1:28" x14ac:dyDescent="0.25">
      <c r="G58" s="59"/>
      <c r="H58" s="12"/>
      <c r="I58" s="12"/>
      <c r="N58" s="22"/>
      <c r="O58" s="77"/>
      <c r="P58" s="87"/>
      <c r="Q58" s="78"/>
      <c r="R58" s="74"/>
      <c r="S58" s="74"/>
      <c r="T58" s="74"/>
      <c r="U58" s="74"/>
      <c r="V58" s="74"/>
      <c r="W58" s="74"/>
      <c r="X58" s="74"/>
      <c r="Y58" s="74"/>
      <c r="Z58" s="74"/>
      <c r="AA58" s="74"/>
      <c r="AB58" s="74"/>
    </row>
    <row r="59" spans="1:28" x14ac:dyDescent="0.25">
      <c r="A59" s="12"/>
      <c r="B59" s="12"/>
      <c r="C59" s="12"/>
      <c r="D59" s="12"/>
      <c r="E59" s="12"/>
      <c r="F59" s="12"/>
      <c r="G59" s="12"/>
      <c r="H59" s="12"/>
      <c r="I59" s="12"/>
      <c r="N59" s="22"/>
      <c r="O59" s="77"/>
      <c r="P59" s="87"/>
      <c r="Q59" s="78"/>
      <c r="R59" s="74"/>
      <c r="S59" s="74"/>
      <c r="T59" s="74"/>
      <c r="U59" s="74"/>
      <c r="V59" s="74"/>
      <c r="W59" s="74"/>
      <c r="X59" s="74"/>
      <c r="Y59" s="74"/>
      <c r="Z59" s="74"/>
      <c r="AA59" s="74"/>
      <c r="AB59" s="74"/>
    </row>
    <row r="60" spans="1:28" x14ac:dyDescent="0.25">
      <c r="A60" s="67"/>
      <c r="B60" s="12"/>
      <c r="C60" s="12"/>
      <c r="D60" s="12"/>
      <c r="E60" s="12"/>
      <c r="F60" s="12"/>
      <c r="G60" s="12"/>
      <c r="H60" s="12"/>
      <c r="I60" s="12"/>
      <c r="N60" s="22"/>
      <c r="O60" s="77"/>
      <c r="P60" s="87"/>
      <c r="Q60" s="78"/>
      <c r="R60" s="74"/>
      <c r="S60" s="74"/>
      <c r="T60" s="74"/>
      <c r="U60" s="74"/>
      <c r="V60" s="74"/>
      <c r="W60" s="74"/>
      <c r="X60" s="74"/>
      <c r="Y60" s="74"/>
      <c r="Z60" s="74"/>
      <c r="AA60" s="74"/>
      <c r="AB60" s="74"/>
    </row>
    <row r="61" spans="1:28" x14ac:dyDescent="0.25">
      <c r="A61" s="12"/>
      <c r="B61" s="12"/>
      <c r="C61" s="12"/>
      <c r="D61" s="12"/>
      <c r="E61" s="12"/>
      <c r="F61" s="12"/>
      <c r="G61" s="12"/>
      <c r="H61" s="12"/>
      <c r="I61" s="12"/>
      <c r="N61" s="22"/>
      <c r="O61" s="77"/>
      <c r="P61" s="87"/>
      <c r="Q61" s="78"/>
      <c r="R61" s="74"/>
      <c r="S61" s="74"/>
      <c r="T61" s="74"/>
      <c r="U61" s="74"/>
      <c r="V61" s="74"/>
      <c r="W61" s="74"/>
      <c r="X61" s="74"/>
      <c r="Y61" s="74"/>
      <c r="Z61" s="74"/>
      <c r="AA61" s="74"/>
      <c r="AB61" s="74"/>
    </row>
    <row r="62" spans="1:28" x14ac:dyDescent="0.25">
      <c r="A62" s="68"/>
      <c r="B62" s="2"/>
      <c r="C62" s="2"/>
      <c r="D62" s="2"/>
      <c r="E62" s="5"/>
      <c r="F62" s="12"/>
      <c r="G62" s="12"/>
      <c r="H62" s="12"/>
      <c r="I62" s="12"/>
      <c r="N62" s="22"/>
      <c r="O62" s="77"/>
      <c r="P62" s="87"/>
      <c r="Q62" s="78"/>
      <c r="R62" s="74"/>
      <c r="S62" s="74"/>
      <c r="T62" s="74"/>
      <c r="U62" s="74"/>
      <c r="V62" s="74"/>
      <c r="W62" s="74"/>
      <c r="X62" s="74"/>
      <c r="Y62" s="74"/>
      <c r="Z62" s="74"/>
      <c r="AA62" s="74"/>
      <c r="AB62" s="74"/>
    </row>
    <row r="63" spans="1:28" x14ac:dyDescent="0.25">
      <c r="A63" s="12"/>
      <c r="B63" s="12"/>
      <c r="C63" s="12"/>
      <c r="D63" s="12"/>
      <c r="E63" s="12"/>
      <c r="F63" s="12"/>
      <c r="G63" s="12"/>
      <c r="H63" s="12"/>
      <c r="I63" s="12"/>
      <c r="N63" s="22"/>
      <c r="O63" s="77"/>
      <c r="P63" s="87"/>
      <c r="Q63" s="78"/>
      <c r="R63" s="74"/>
      <c r="S63" s="74"/>
      <c r="T63" s="74"/>
      <c r="U63" s="74"/>
      <c r="V63" s="74"/>
      <c r="W63" s="74"/>
      <c r="X63" s="74"/>
      <c r="Y63" s="74"/>
      <c r="Z63" s="74"/>
      <c r="AA63" s="74"/>
      <c r="AB63" s="74"/>
    </row>
    <row r="64" spans="1:28" x14ac:dyDescent="0.25">
      <c r="A64" s="12"/>
      <c r="B64" s="12"/>
      <c r="C64" s="12"/>
      <c r="D64" s="12"/>
      <c r="E64" s="12"/>
      <c r="F64" s="12"/>
      <c r="G64" s="12"/>
      <c r="H64" s="12"/>
      <c r="I64" s="12"/>
      <c r="N64" s="22"/>
      <c r="O64" s="77"/>
      <c r="P64" s="87"/>
      <c r="Q64" s="78"/>
      <c r="R64" s="74"/>
      <c r="S64" s="74"/>
      <c r="T64" s="74"/>
      <c r="U64" s="74"/>
      <c r="V64" s="74"/>
      <c r="W64" s="74"/>
      <c r="X64" s="74"/>
      <c r="Y64" s="74"/>
      <c r="Z64" s="74"/>
      <c r="AA64" s="74"/>
      <c r="AB64" s="74"/>
    </row>
    <row r="65" spans="1:28" x14ac:dyDescent="0.25">
      <c r="A65" s="12"/>
      <c r="B65" s="12"/>
      <c r="C65" s="12"/>
      <c r="D65" s="12"/>
      <c r="E65" s="12"/>
      <c r="F65" s="12"/>
      <c r="G65" s="12"/>
      <c r="H65" s="12"/>
      <c r="I65" s="12"/>
      <c r="N65" s="22"/>
      <c r="O65" s="77"/>
      <c r="P65" s="87"/>
      <c r="Q65" s="78"/>
      <c r="R65" s="74"/>
      <c r="S65" s="74"/>
      <c r="T65" s="74"/>
      <c r="U65" s="74"/>
      <c r="V65" s="74"/>
      <c r="W65" s="74"/>
      <c r="X65" s="74"/>
      <c r="Y65" s="74"/>
      <c r="Z65" s="74"/>
      <c r="AA65" s="74"/>
      <c r="AB65" s="74"/>
    </row>
    <row r="66" spans="1:28" x14ac:dyDescent="0.25">
      <c r="A66" s="36"/>
      <c r="B66" s="4"/>
      <c r="C66" s="12"/>
      <c r="D66" s="38"/>
      <c r="E66" s="4"/>
      <c r="F66" s="12"/>
      <c r="G66" s="60"/>
      <c r="H66" s="12"/>
      <c r="I66" s="12"/>
      <c r="N66" s="22"/>
      <c r="O66" s="77"/>
      <c r="P66" s="87"/>
      <c r="Q66" s="78"/>
      <c r="R66" s="74"/>
      <c r="S66" s="74"/>
      <c r="T66" s="74"/>
      <c r="U66" s="74"/>
      <c r="V66" s="74"/>
      <c r="W66" s="74"/>
      <c r="X66" s="74"/>
      <c r="Y66" s="74"/>
      <c r="Z66" s="74"/>
      <c r="AA66" s="74"/>
      <c r="AB66" s="74"/>
    </row>
    <row r="67" spans="1:28" x14ac:dyDescent="0.25">
      <c r="A67" s="12"/>
      <c r="B67" s="12"/>
      <c r="C67" s="12"/>
      <c r="D67" s="12"/>
      <c r="E67" s="12"/>
      <c r="F67" s="12"/>
      <c r="G67" s="12"/>
      <c r="H67" s="12"/>
      <c r="I67" s="12"/>
      <c r="N67" s="22"/>
      <c r="O67" s="77"/>
      <c r="P67" s="87"/>
      <c r="Q67" s="78"/>
      <c r="R67" s="74"/>
      <c r="S67" s="74"/>
      <c r="T67" s="74"/>
      <c r="U67" s="74"/>
      <c r="V67" s="74"/>
      <c r="W67" s="74"/>
      <c r="X67" s="74"/>
      <c r="Y67" s="74"/>
      <c r="Z67" s="74"/>
      <c r="AA67" s="74"/>
      <c r="AB67" s="74"/>
    </row>
    <row r="68" spans="1:28" x14ac:dyDescent="0.25">
      <c r="A68" s="67"/>
      <c r="B68" s="12"/>
      <c r="C68" s="12"/>
      <c r="D68" s="12"/>
      <c r="E68" s="12"/>
      <c r="F68" s="12"/>
      <c r="G68" s="12"/>
      <c r="H68" s="12"/>
      <c r="I68" s="12"/>
      <c r="N68" s="22"/>
      <c r="O68" s="77"/>
      <c r="P68" s="87"/>
      <c r="Q68" s="78"/>
      <c r="R68" s="74"/>
      <c r="S68" s="74"/>
      <c r="T68" s="74"/>
      <c r="U68" s="74"/>
      <c r="V68" s="74"/>
      <c r="W68" s="74"/>
      <c r="X68" s="74"/>
      <c r="Y68" s="74"/>
      <c r="Z68" s="74"/>
      <c r="AA68" s="74"/>
      <c r="AB68" s="74"/>
    </row>
    <row r="69" spans="1:28" x14ac:dyDescent="0.25">
      <c r="A69" s="69"/>
      <c r="B69" s="12"/>
      <c r="C69" s="12"/>
      <c r="D69" s="12"/>
      <c r="E69" s="12"/>
      <c r="F69" s="12"/>
      <c r="G69" s="12"/>
      <c r="H69" s="12"/>
      <c r="I69" s="12"/>
      <c r="N69" s="22"/>
      <c r="O69" s="77"/>
      <c r="P69" s="87"/>
      <c r="Q69" s="78"/>
      <c r="R69" s="74"/>
      <c r="S69" s="74"/>
      <c r="T69" s="74"/>
      <c r="U69" s="74"/>
      <c r="V69" s="74"/>
      <c r="W69" s="74"/>
      <c r="X69" s="74"/>
      <c r="Y69" s="74"/>
      <c r="Z69" s="74"/>
      <c r="AA69" s="74"/>
      <c r="AB69" s="74"/>
    </row>
    <row r="70" spans="1:28" x14ac:dyDescent="0.25">
      <c r="A70" s="36"/>
      <c r="B70" s="12"/>
      <c r="C70" s="12"/>
      <c r="D70" s="5"/>
      <c r="E70" s="12"/>
      <c r="F70" s="12"/>
      <c r="G70" s="12"/>
      <c r="H70" s="12"/>
      <c r="I70" s="12"/>
      <c r="N70" s="22"/>
      <c r="O70" s="77"/>
      <c r="P70" s="87"/>
      <c r="Q70" s="78"/>
      <c r="R70" s="74"/>
      <c r="S70" s="74"/>
      <c r="T70" s="74"/>
      <c r="U70" s="74"/>
      <c r="V70" s="74"/>
      <c r="W70" s="74"/>
      <c r="X70" s="74"/>
      <c r="Y70" s="74"/>
      <c r="Z70" s="74"/>
      <c r="AA70" s="74"/>
      <c r="AB70" s="74"/>
    </row>
    <row r="71" spans="1:28" x14ac:dyDescent="0.25">
      <c r="A71" s="12"/>
      <c r="B71" s="12"/>
      <c r="C71" s="12"/>
      <c r="D71" s="12"/>
      <c r="E71" s="12"/>
      <c r="F71" s="12"/>
      <c r="G71" s="12"/>
      <c r="H71" s="12"/>
      <c r="I71" s="12"/>
      <c r="N71" s="22"/>
      <c r="O71" s="77"/>
      <c r="P71" s="87"/>
      <c r="Q71" s="78"/>
      <c r="R71" s="74"/>
      <c r="S71" s="74"/>
      <c r="T71" s="74"/>
      <c r="U71" s="74"/>
      <c r="V71" s="74"/>
      <c r="W71" s="74"/>
      <c r="X71" s="74"/>
      <c r="Y71" s="74"/>
      <c r="Z71" s="74"/>
      <c r="AA71" s="74"/>
      <c r="AB71" s="74"/>
    </row>
    <row r="72" spans="1:28" x14ac:dyDescent="0.25">
      <c r="A72" s="12"/>
      <c r="B72" s="12"/>
      <c r="C72" s="12"/>
      <c r="D72" s="12"/>
      <c r="E72" s="12"/>
      <c r="F72" s="12"/>
      <c r="G72" s="12"/>
      <c r="H72" s="12"/>
      <c r="I72" s="12"/>
      <c r="N72" s="22"/>
      <c r="O72" s="77"/>
      <c r="P72" s="87"/>
      <c r="Q72" s="78"/>
      <c r="R72" s="74"/>
      <c r="S72" s="74"/>
      <c r="T72" s="74"/>
      <c r="U72" s="74"/>
      <c r="V72" s="74"/>
      <c r="W72" s="74"/>
      <c r="X72" s="74"/>
      <c r="Y72" s="74"/>
      <c r="Z72" s="74"/>
      <c r="AA72" s="74"/>
      <c r="AB72" s="74"/>
    </row>
    <row r="73" spans="1:28" x14ac:dyDescent="0.25">
      <c r="A73" s="12"/>
      <c r="B73" s="12"/>
      <c r="C73" s="12"/>
      <c r="D73" s="12"/>
      <c r="E73" s="12"/>
      <c r="F73" s="12"/>
      <c r="G73" s="12"/>
      <c r="H73" s="12"/>
      <c r="I73" s="12"/>
      <c r="N73" s="22"/>
      <c r="O73" s="77"/>
      <c r="P73" s="87"/>
      <c r="Q73" s="78"/>
      <c r="R73" s="74"/>
      <c r="S73" s="74"/>
      <c r="T73" s="74"/>
      <c r="U73" s="74"/>
      <c r="V73" s="74"/>
      <c r="W73" s="74"/>
      <c r="X73" s="74"/>
      <c r="Y73" s="74"/>
      <c r="Z73" s="74"/>
      <c r="AA73" s="74"/>
      <c r="AB73" s="74"/>
    </row>
    <row r="74" spans="1:28" x14ac:dyDescent="0.25">
      <c r="A74" s="12"/>
      <c r="B74" s="12"/>
      <c r="C74" s="12"/>
      <c r="D74" s="12"/>
      <c r="E74" s="12"/>
      <c r="F74" s="12"/>
      <c r="G74" s="12"/>
      <c r="H74" s="12"/>
      <c r="I74" s="12"/>
      <c r="N74" s="22"/>
      <c r="O74" s="77"/>
      <c r="P74" s="87"/>
      <c r="Q74" s="78"/>
      <c r="R74" s="74"/>
      <c r="S74" s="74"/>
      <c r="T74" s="74"/>
      <c r="U74" s="74"/>
      <c r="V74" s="74"/>
      <c r="W74" s="74"/>
      <c r="X74" s="74"/>
      <c r="Y74" s="74"/>
      <c r="Z74" s="74"/>
      <c r="AA74" s="74"/>
      <c r="AB74" s="74"/>
    </row>
    <row r="75" spans="1:28" x14ac:dyDescent="0.25">
      <c r="A75" s="12"/>
      <c r="B75" s="12"/>
      <c r="C75" s="12"/>
      <c r="D75" s="12"/>
      <c r="E75" s="12"/>
      <c r="F75" s="12"/>
      <c r="G75" s="12"/>
      <c r="H75" s="12"/>
      <c r="I75" s="12"/>
      <c r="N75" s="22"/>
      <c r="O75" s="77"/>
      <c r="P75" s="87"/>
      <c r="Q75" s="78"/>
      <c r="R75" s="74"/>
      <c r="S75" s="74"/>
      <c r="T75" s="74"/>
      <c r="U75" s="74"/>
      <c r="V75" s="74"/>
      <c r="W75" s="74"/>
      <c r="X75" s="74"/>
      <c r="Y75" s="74"/>
      <c r="Z75" s="74"/>
      <c r="AA75" s="74"/>
      <c r="AB75" s="74"/>
    </row>
    <row r="76" spans="1:28" x14ac:dyDescent="0.25">
      <c r="A76" s="12"/>
      <c r="B76" s="12"/>
      <c r="C76" s="12"/>
      <c r="D76" s="12"/>
      <c r="E76" s="12"/>
      <c r="F76" s="12"/>
      <c r="G76" s="12"/>
      <c r="H76" s="12"/>
      <c r="I76" s="12"/>
      <c r="N76" s="22"/>
      <c r="O76" s="77"/>
      <c r="P76" s="87"/>
      <c r="Q76" s="78"/>
      <c r="R76" s="74"/>
      <c r="S76" s="74"/>
      <c r="T76" s="74"/>
      <c r="U76" s="74"/>
      <c r="V76" s="74"/>
      <c r="W76" s="74"/>
      <c r="X76" s="74"/>
      <c r="Y76" s="74"/>
      <c r="Z76" s="74"/>
      <c r="AA76" s="74"/>
      <c r="AB76" s="74"/>
    </row>
    <row r="77" spans="1:28" x14ac:dyDescent="0.25">
      <c r="A77" s="12"/>
      <c r="B77" s="12"/>
      <c r="C77" s="12"/>
      <c r="D77" s="12"/>
      <c r="E77" s="12"/>
      <c r="F77" s="12"/>
      <c r="G77" s="12"/>
      <c r="H77" s="12"/>
      <c r="I77" s="12"/>
      <c r="N77" s="22"/>
      <c r="O77" s="77"/>
      <c r="P77" s="87"/>
      <c r="Q77" s="78"/>
      <c r="R77" s="74"/>
      <c r="S77" s="74"/>
      <c r="T77" s="74"/>
      <c r="U77" s="74"/>
      <c r="V77" s="74"/>
      <c r="W77" s="74"/>
      <c r="X77" s="74"/>
      <c r="Y77" s="74"/>
      <c r="Z77" s="74"/>
      <c r="AA77" s="74"/>
      <c r="AB77" s="74"/>
    </row>
    <row r="78" spans="1:28" x14ac:dyDescent="0.25">
      <c r="A78" s="12"/>
      <c r="B78" s="12"/>
      <c r="C78" s="12"/>
      <c r="D78" s="12"/>
      <c r="E78" s="12"/>
      <c r="F78" s="12"/>
      <c r="G78" s="12"/>
      <c r="H78" s="12"/>
      <c r="I78" s="12"/>
      <c r="N78" s="22"/>
      <c r="O78" s="77"/>
      <c r="P78" s="87"/>
      <c r="Q78" s="78"/>
      <c r="R78" s="74"/>
      <c r="S78" s="74"/>
      <c r="T78" s="74"/>
      <c r="U78" s="74"/>
      <c r="V78" s="74"/>
      <c r="W78" s="74"/>
      <c r="X78" s="74"/>
      <c r="Y78" s="74"/>
      <c r="Z78" s="74"/>
      <c r="AA78" s="74"/>
      <c r="AB78" s="74"/>
    </row>
    <row r="79" spans="1:28" x14ac:dyDescent="0.25">
      <c r="A79" s="12"/>
      <c r="B79" s="12"/>
      <c r="C79" s="12"/>
      <c r="D79" s="12"/>
      <c r="E79" s="12"/>
      <c r="F79" s="12"/>
      <c r="G79" s="12"/>
      <c r="H79" s="12"/>
      <c r="I79" s="12"/>
      <c r="N79" s="22"/>
      <c r="O79" s="77"/>
      <c r="P79" s="87"/>
      <c r="Q79" s="78"/>
      <c r="R79" s="74"/>
      <c r="S79" s="74"/>
      <c r="T79" s="74"/>
      <c r="U79" s="74"/>
      <c r="V79" s="74"/>
      <c r="W79" s="74"/>
      <c r="X79" s="74"/>
      <c r="Y79" s="74"/>
      <c r="Z79" s="74"/>
      <c r="AA79" s="74"/>
      <c r="AB79" s="74"/>
    </row>
    <row r="80" spans="1:28" x14ac:dyDescent="0.25">
      <c r="A80" s="12"/>
      <c r="B80" s="12"/>
      <c r="C80" s="12"/>
      <c r="D80" s="12"/>
      <c r="E80" s="12"/>
      <c r="F80" s="12"/>
      <c r="G80" s="12"/>
      <c r="H80" s="12"/>
      <c r="I80" s="12"/>
      <c r="N80" s="22"/>
      <c r="O80" s="77"/>
      <c r="P80" s="87"/>
      <c r="Q80" s="78"/>
      <c r="R80" s="74"/>
      <c r="S80" s="74"/>
      <c r="T80" s="74"/>
      <c r="U80" s="74"/>
      <c r="V80" s="74"/>
      <c r="W80" s="74"/>
      <c r="X80" s="74"/>
      <c r="Y80" s="74"/>
      <c r="Z80" s="74"/>
      <c r="AA80" s="74"/>
      <c r="AB80" s="74"/>
    </row>
    <row r="81" spans="1:28" x14ac:dyDescent="0.25">
      <c r="A81" s="12"/>
      <c r="B81" s="12"/>
      <c r="C81" s="12"/>
      <c r="D81" s="12"/>
      <c r="E81" s="12"/>
      <c r="F81" s="12"/>
      <c r="G81" s="12"/>
      <c r="H81" s="12"/>
      <c r="I81" s="12"/>
      <c r="N81" s="22"/>
      <c r="O81" s="77"/>
      <c r="P81" s="87"/>
      <c r="Q81" s="78"/>
      <c r="R81" s="74"/>
      <c r="S81" s="74"/>
      <c r="T81" s="74"/>
      <c r="U81" s="74"/>
      <c r="V81" s="74"/>
      <c r="W81" s="74"/>
      <c r="X81" s="74"/>
      <c r="Y81" s="74"/>
      <c r="Z81" s="74"/>
      <c r="AA81" s="74"/>
      <c r="AB81" s="74"/>
    </row>
    <row r="82" spans="1:28" x14ac:dyDescent="0.25">
      <c r="A82" s="12"/>
      <c r="B82" s="12"/>
      <c r="C82" s="12"/>
      <c r="D82" s="12"/>
      <c r="E82" s="12"/>
      <c r="F82" s="12"/>
      <c r="G82" s="12"/>
      <c r="H82" s="12"/>
      <c r="I82" s="12"/>
      <c r="N82" s="22"/>
      <c r="O82" s="77"/>
      <c r="P82" s="87"/>
      <c r="Q82" s="78"/>
      <c r="R82" s="74"/>
      <c r="S82" s="74"/>
      <c r="T82" s="74"/>
      <c r="U82" s="74"/>
      <c r="V82" s="74"/>
      <c r="W82" s="74"/>
      <c r="X82" s="74"/>
      <c r="Y82" s="74"/>
      <c r="Z82" s="74"/>
      <c r="AA82" s="74"/>
      <c r="AB82" s="74"/>
    </row>
    <row r="83" spans="1:28" x14ac:dyDescent="0.25">
      <c r="A83" s="12"/>
      <c r="B83" s="12"/>
      <c r="C83" s="12"/>
      <c r="D83" s="12"/>
      <c r="E83" s="12"/>
      <c r="F83" s="12"/>
      <c r="G83" s="12"/>
      <c r="H83" s="12"/>
      <c r="I83" s="12"/>
      <c r="N83" s="22"/>
      <c r="O83" s="77"/>
      <c r="P83" s="87"/>
      <c r="Q83" s="78"/>
      <c r="R83" s="74"/>
      <c r="S83" s="74"/>
      <c r="T83" s="74"/>
      <c r="U83" s="74"/>
      <c r="V83" s="74"/>
      <c r="W83" s="74"/>
      <c r="X83" s="74"/>
      <c r="Y83" s="74"/>
      <c r="Z83" s="74"/>
      <c r="AA83" s="74"/>
      <c r="AB83" s="74"/>
    </row>
    <row r="84" spans="1:28" x14ac:dyDescent="0.25">
      <c r="A84" s="12"/>
      <c r="B84" s="12"/>
      <c r="C84" s="12"/>
      <c r="D84" s="12"/>
      <c r="E84" s="12"/>
      <c r="F84" s="12"/>
      <c r="G84" s="12"/>
      <c r="H84" s="12"/>
      <c r="I84" s="12"/>
      <c r="N84" s="22"/>
      <c r="O84" s="77"/>
      <c r="P84" s="87"/>
      <c r="Q84" s="78"/>
      <c r="R84" s="74"/>
      <c r="S84" s="74"/>
      <c r="T84" s="74"/>
      <c r="U84" s="74"/>
      <c r="V84" s="74"/>
      <c r="W84" s="74"/>
      <c r="X84" s="74"/>
      <c r="Y84" s="74"/>
      <c r="Z84" s="74"/>
      <c r="AA84" s="74"/>
      <c r="AB84" s="74"/>
    </row>
    <row r="85" spans="1:28" x14ac:dyDescent="0.25">
      <c r="A85" s="12"/>
      <c r="B85" s="12"/>
      <c r="C85" s="12"/>
      <c r="D85" s="12"/>
      <c r="E85" s="12"/>
      <c r="F85" s="12"/>
      <c r="G85" s="12"/>
      <c r="H85" s="12"/>
      <c r="I85" s="12"/>
      <c r="N85" s="22"/>
      <c r="O85" s="77"/>
      <c r="P85" s="87"/>
      <c r="Q85" s="78"/>
      <c r="R85" s="74"/>
      <c r="S85" s="74"/>
      <c r="T85" s="74"/>
      <c r="U85" s="74"/>
      <c r="V85" s="74"/>
      <c r="W85" s="74"/>
      <c r="X85" s="74"/>
      <c r="Y85" s="74"/>
      <c r="Z85" s="74"/>
      <c r="AA85" s="74"/>
      <c r="AB85" s="74"/>
    </row>
    <row r="86" spans="1:28" x14ac:dyDescent="0.25">
      <c r="A86" s="12"/>
      <c r="B86" s="12"/>
      <c r="C86" s="12"/>
      <c r="D86" s="12"/>
      <c r="E86" s="12"/>
      <c r="F86" s="12"/>
      <c r="G86" s="12"/>
      <c r="H86" s="12"/>
      <c r="I86" s="12"/>
      <c r="N86" s="22"/>
      <c r="O86" s="77"/>
      <c r="P86" s="87"/>
      <c r="Q86" s="78"/>
      <c r="R86" s="74"/>
      <c r="S86" s="74"/>
      <c r="T86" s="74"/>
      <c r="U86" s="74"/>
      <c r="V86" s="74"/>
      <c r="W86" s="74"/>
      <c r="X86" s="74"/>
      <c r="Y86" s="74"/>
      <c r="Z86" s="74"/>
      <c r="AA86" s="74"/>
      <c r="AB86" s="74"/>
    </row>
    <row r="87" spans="1:28" x14ac:dyDescent="0.25">
      <c r="A87" s="12"/>
      <c r="B87" s="12"/>
      <c r="C87" s="12"/>
      <c r="D87" s="12"/>
      <c r="E87" s="12"/>
      <c r="F87" s="12"/>
      <c r="G87" s="12"/>
      <c r="H87" s="12"/>
      <c r="I87" s="12"/>
      <c r="N87" s="22"/>
      <c r="O87" s="77"/>
      <c r="P87" s="87"/>
      <c r="Q87" s="78"/>
      <c r="R87" s="74"/>
      <c r="S87" s="74"/>
      <c r="T87" s="74"/>
      <c r="U87" s="74"/>
      <c r="V87" s="74"/>
      <c r="W87" s="74"/>
      <c r="X87" s="74"/>
      <c r="Y87" s="74"/>
      <c r="Z87" s="74"/>
      <c r="AA87" s="74"/>
      <c r="AB87" s="74"/>
    </row>
    <row r="88" spans="1:28" x14ac:dyDescent="0.25">
      <c r="A88" s="12"/>
      <c r="B88" s="12"/>
      <c r="C88" s="12"/>
      <c r="D88" s="12"/>
      <c r="E88" s="12"/>
      <c r="F88" s="12"/>
      <c r="G88" s="12"/>
      <c r="H88" s="12"/>
      <c r="I88" s="12"/>
      <c r="N88" s="22"/>
      <c r="O88" s="77"/>
      <c r="P88" s="87"/>
      <c r="Q88" s="78"/>
      <c r="R88" s="74"/>
      <c r="S88" s="74"/>
      <c r="T88" s="74"/>
      <c r="U88" s="74"/>
      <c r="V88" s="74"/>
      <c r="W88" s="74"/>
      <c r="X88" s="74"/>
      <c r="Y88" s="74"/>
      <c r="Z88" s="74"/>
      <c r="AA88" s="74"/>
      <c r="AB88" s="74"/>
    </row>
    <row r="89" spans="1:28" x14ac:dyDescent="0.25">
      <c r="A89" s="12"/>
      <c r="B89" s="12"/>
      <c r="C89" s="12"/>
      <c r="D89" s="12"/>
      <c r="E89" s="12"/>
      <c r="F89" s="12"/>
      <c r="G89" s="12"/>
      <c r="H89" s="12"/>
      <c r="I89" s="12"/>
      <c r="N89" s="22"/>
      <c r="O89" s="77"/>
      <c r="P89" s="87"/>
      <c r="Q89" s="78"/>
      <c r="R89" s="74"/>
      <c r="S89" s="74"/>
      <c r="T89" s="74"/>
      <c r="U89" s="74"/>
      <c r="V89" s="74"/>
      <c r="W89" s="74"/>
      <c r="X89" s="74"/>
      <c r="Y89" s="74"/>
      <c r="Z89" s="74"/>
      <c r="AA89" s="74"/>
      <c r="AB89" s="74"/>
    </row>
    <row r="90" spans="1:28" x14ac:dyDescent="0.25">
      <c r="A90" s="12"/>
      <c r="B90" s="12"/>
      <c r="C90" s="12"/>
      <c r="D90" s="12"/>
      <c r="E90" s="12"/>
      <c r="F90" s="12"/>
      <c r="G90" s="12"/>
      <c r="H90" s="12"/>
      <c r="I90" s="12"/>
      <c r="N90" s="22"/>
      <c r="O90" s="77"/>
      <c r="P90" s="87"/>
      <c r="Q90" s="78"/>
      <c r="R90" s="74"/>
      <c r="S90" s="74"/>
      <c r="T90" s="74"/>
      <c r="U90" s="74"/>
      <c r="V90" s="74"/>
      <c r="W90" s="74"/>
      <c r="X90" s="74"/>
      <c r="Y90" s="74"/>
      <c r="Z90" s="74"/>
      <c r="AA90" s="74"/>
      <c r="AB90" s="74"/>
    </row>
    <row r="91" spans="1:28" x14ac:dyDescent="0.25">
      <c r="A91" s="12"/>
      <c r="B91" s="12"/>
      <c r="C91" s="12"/>
      <c r="D91" s="12"/>
      <c r="E91" s="12"/>
      <c r="F91" s="12"/>
      <c r="G91" s="12"/>
      <c r="H91" s="12"/>
      <c r="I91" s="12"/>
      <c r="N91" s="22"/>
      <c r="O91" s="77"/>
      <c r="P91" s="87"/>
      <c r="Q91" s="78"/>
      <c r="R91" s="74"/>
      <c r="S91" s="74"/>
      <c r="T91" s="74"/>
      <c r="U91" s="74"/>
      <c r="V91" s="74"/>
      <c r="W91" s="74"/>
      <c r="X91" s="74"/>
      <c r="Y91" s="74"/>
      <c r="Z91" s="74"/>
      <c r="AA91" s="74"/>
      <c r="AB91" s="74"/>
    </row>
    <row r="92" spans="1:28" x14ac:dyDescent="0.25">
      <c r="A92" s="12"/>
      <c r="B92" s="12"/>
      <c r="C92" s="12"/>
      <c r="D92" s="12"/>
      <c r="E92" s="12"/>
      <c r="F92" s="12"/>
      <c r="G92" s="12"/>
      <c r="H92" s="12"/>
      <c r="I92" s="12"/>
      <c r="N92" s="22"/>
      <c r="O92" s="77"/>
      <c r="P92" s="87"/>
      <c r="Q92" s="78"/>
      <c r="R92" s="74"/>
      <c r="S92" s="74"/>
      <c r="T92" s="74"/>
      <c r="U92" s="74"/>
      <c r="V92" s="74"/>
      <c r="W92" s="74"/>
      <c r="X92" s="74"/>
      <c r="Y92" s="74"/>
      <c r="Z92" s="74"/>
      <c r="AA92" s="74"/>
      <c r="AB92" s="74"/>
    </row>
    <row r="93" spans="1:28" x14ac:dyDescent="0.25">
      <c r="A93" s="12"/>
      <c r="B93" s="12"/>
      <c r="C93" s="12"/>
      <c r="D93" s="12"/>
      <c r="E93" s="12"/>
      <c r="F93" s="12"/>
      <c r="G93" s="12"/>
      <c r="H93" s="12"/>
      <c r="I93" s="12"/>
      <c r="N93" s="22"/>
      <c r="O93" s="77"/>
      <c r="P93" s="87"/>
      <c r="Q93" s="78"/>
      <c r="R93" s="74"/>
      <c r="S93" s="74"/>
      <c r="T93" s="74"/>
      <c r="U93" s="74"/>
      <c r="V93" s="74"/>
      <c r="W93" s="74"/>
      <c r="X93" s="74"/>
      <c r="Y93" s="74"/>
      <c r="Z93" s="74"/>
      <c r="AA93" s="74"/>
      <c r="AB93" s="74"/>
    </row>
    <row r="94" spans="1:28" x14ac:dyDescent="0.25">
      <c r="A94" s="12"/>
      <c r="B94" s="12"/>
      <c r="C94" s="12"/>
      <c r="D94" s="12"/>
      <c r="E94" s="12"/>
      <c r="F94" s="12"/>
      <c r="G94" s="12"/>
      <c r="H94" s="12"/>
      <c r="I94" s="12"/>
      <c r="N94" s="22"/>
      <c r="O94" s="77"/>
      <c r="P94" s="87"/>
      <c r="Q94" s="78"/>
      <c r="R94" s="74"/>
      <c r="S94" s="74"/>
      <c r="T94" s="74"/>
      <c r="U94" s="74"/>
      <c r="V94" s="74"/>
      <c r="W94" s="74"/>
      <c r="X94" s="74"/>
      <c r="Y94" s="74"/>
      <c r="Z94" s="74"/>
      <c r="AA94" s="74"/>
      <c r="AB94" s="74"/>
    </row>
    <row r="95" spans="1:28" x14ac:dyDescent="0.25">
      <c r="A95" s="12"/>
      <c r="B95" s="12"/>
      <c r="C95" s="12"/>
      <c r="D95" s="12"/>
      <c r="E95" s="12"/>
      <c r="F95" s="12"/>
      <c r="G95" s="12"/>
      <c r="H95" s="12"/>
      <c r="I95" s="12"/>
      <c r="N95" s="22"/>
      <c r="O95" s="77"/>
      <c r="P95" s="87"/>
      <c r="Q95" s="78"/>
      <c r="R95" s="74"/>
      <c r="S95" s="74"/>
      <c r="T95" s="74"/>
      <c r="U95" s="74"/>
      <c r="V95" s="74"/>
      <c r="W95" s="74"/>
      <c r="X95" s="74"/>
      <c r="Y95" s="74"/>
      <c r="Z95" s="74"/>
      <c r="AA95" s="74"/>
      <c r="AB95" s="74"/>
    </row>
    <row r="96" spans="1:28" x14ac:dyDescent="0.25">
      <c r="A96" s="12"/>
      <c r="B96" s="12"/>
      <c r="C96" s="12"/>
      <c r="D96" s="12"/>
      <c r="E96" s="12"/>
      <c r="F96" s="12"/>
      <c r="G96" s="12"/>
      <c r="H96" s="12"/>
      <c r="I96" s="62"/>
      <c r="N96" s="22"/>
      <c r="O96" s="77"/>
      <c r="P96" s="87"/>
      <c r="Q96" s="78"/>
      <c r="R96" s="74"/>
      <c r="S96" s="74"/>
      <c r="T96" s="74"/>
      <c r="U96" s="74"/>
      <c r="V96" s="74"/>
      <c r="W96" s="74"/>
      <c r="X96" s="74"/>
      <c r="Y96" s="74"/>
      <c r="Z96" s="74"/>
      <c r="AA96" s="74"/>
      <c r="AB96" s="74"/>
    </row>
    <row r="97" spans="1:28" x14ac:dyDescent="0.25">
      <c r="A97" s="12"/>
      <c r="B97" s="12"/>
      <c r="C97" s="12"/>
      <c r="D97" s="12"/>
      <c r="E97" s="12"/>
      <c r="F97" s="12"/>
      <c r="G97" s="12"/>
      <c r="H97" s="62"/>
      <c r="I97" s="63"/>
      <c r="N97" s="22"/>
      <c r="O97" s="77"/>
      <c r="P97" s="87"/>
      <c r="Q97" s="78"/>
      <c r="R97" s="74"/>
      <c r="S97" s="74"/>
      <c r="T97" s="74"/>
      <c r="U97" s="74"/>
      <c r="V97" s="74"/>
      <c r="W97" s="74"/>
      <c r="X97" s="74"/>
      <c r="Y97" s="74"/>
      <c r="Z97" s="74"/>
      <c r="AA97" s="74"/>
      <c r="AB97" s="74"/>
    </row>
    <row r="98" spans="1:28" x14ac:dyDescent="0.25">
      <c r="A98" s="12"/>
      <c r="B98" s="12"/>
      <c r="C98" s="12"/>
      <c r="D98" s="12"/>
      <c r="E98" s="12"/>
      <c r="F98" s="12"/>
      <c r="G98" s="12"/>
      <c r="H98" s="62"/>
      <c r="I98" s="64"/>
      <c r="N98" s="22"/>
      <c r="O98" s="77"/>
      <c r="P98" s="87"/>
      <c r="Q98" s="78"/>
      <c r="R98" s="74"/>
      <c r="S98" s="74"/>
      <c r="T98" s="74"/>
      <c r="U98" s="74"/>
      <c r="V98" s="74"/>
      <c r="W98" s="74"/>
      <c r="X98" s="74"/>
      <c r="Y98" s="74"/>
      <c r="Z98" s="74"/>
      <c r="AA98" s="74"/>
      <c r="AB98" s="74"/>
    </row>
    <row r="99" spans="1:28" x14ac:dyDescent="0.25">
      <c r="N99" s="22"/>
      <c r="O99" s="77"/>
      <c r="P99" s="87"/>
      <c r="Q99" s="78"/>
      <c r="R99" s="74"/>
      <c r="S99" s="74"/>
      <c r="T99" s="74"/>
      <c r="U99" s="74"/>
      <c r="V99" s="74"/>
      <c r="W99" s="74"/>
      <c r="X99" s="74"/>
      <c r="Y99" s="74"/>
      <c r="Z99" s="74"/>
      <c r="AA99" s="74"/>
      <c r="AB99" s="74"/>
    </row>
    <row r="100" spans="1:28" x14ac:dyDescent="0.25">
      <c r="N100" s="22"/>
      <c r="O100" s="77"/>
      <c r="P100" s="87"/>
      <c r="Q100" s="78"/>
      <c r="R100" s="74"/>
      <c r="S100" s="74"/>
      <c r="T100" s="74"/>
      <c r="U100" s="74"/>
      <c r="V100" s="74"/>
      <c r="W100" s="74"/>
      <c r="X100" s="74"/>
      <c r="Y100" s="74"/>
      <c r="Z100" s="74"/>
      <c r="AA100" s="74"/>
      <c r="AB100" s="74"/>
    </row>
    <row r="101" spans="1:28" x14ac:dyDescent="0.25">
      <c r="N101" s="22"/>
      <c r="O101" s="77"/>
      <c r="P101" s="87"/>
      <c r="Q101" s="78"/>
      <c r="R101" s="74"/>
      <c r="S101" s="74"/>
      <c r="T101" s="74"/>
      <c r="U101" s="74"/>
      <c r="V101" s="74"/>
      <c r="W101" s="74"/>
      <c r="X101" s="74"/>
      <c r="Y101" s="74"/>
      <c r="Z101" s="74"/>
      <c r="AA101" s="74"/>
      <c r="AB101" s="74"/>
    </row>
    <row r="102" spans="1:28" x14ac:dyDescent="0.25">
      <c r="N102" s="22"/>
      <c r="O102" s="77"/>
      <c r="P102" s="87"/>
      <c r="Q102" s="78"/>
      <c r="R102" s="74"/>
      <c r="S102" s="74"/>
      <c r="T102" s="74"/>
      <c r="U102" s="74"/>
      <c r="V102" s="74"/>
      <c r="W102" s="74"/>
      <c r="X102" s="74"/>
      <c r="Y102" s="74"/>
      <c r="Z102" s="74"/>
      <c r="AA102" s="74"/>
      <c r="AB102" s="74"/>
    </row>
    <row r="103" spans="1:28" x14ac:dyDescent="0.25">
      <c r="N103" s="22"/>
      <c r="O103" s="77"/>
      <c r="P103" s="87"/>
      <c r="Q103" s="78"/>
      <c r="R103" s="74"/>
      <c r="S103" s="74"/>
      <c r="T103" s="74"/>
      <c r="U103" s="74"/>
      <c r="V103" s="74"/>
      <c r="W103" s="74"/>
      <c r="X103" s="74"/>
      <c r="Y103" s="74"/>
      <c r="Z103" s="74"/>
      <c r="AA103" s="74"/>
      <c r="AB103" s="74"/>
    </row>
    <row r="104" spans="1:28" x14ac:dyDescent="0.25">
      <c r="N104" s="22"/>
      <c r="O104" s="77"/>
      <c r="P104" s="87"/>
      <c r="Q104" s="78"/>
      <c r="R104" s="74"/>
      <c r="S104" s="74"/>
      <c r="T104" s="74"/>
      <c r="U104" s="74"/>
      <c r="V104" s="74"/>
      <c r="W104" s="74"/>
      <c r="X104" s="74"/>
      <c r="Y104" s="74"/>
      <c r="Z104" s="74"/>
      <c r="AA104" s="74"/>
      <c r="AB104" s="74"/>
    </row>
    <row r="105" spans="1:28" x14ac:dyDescent="0.25">
      <c r="N105" s="22"/>
      <c r="O105" s="77"/>
      <c r="P105" s="87"/>
      <c r="Q105" s="78"/>
      <c r="R105" s="74"/>
      <c r="S105" s="74"/>
      <c r="T105" s="74"/>
      <c r="U105" s="74"/>
      <c r="V105" s="74"/>
      <c r="W105" s="74"/>
      <c r="X105" s="74"/>
      <c r="Y105" s="74"/>
      <c r="Z105" s="74"/>
      <c r="AA105" s="74"/>
      <c r="AB105" s="74"/>
    </row>
    <row r="106" spans="1:28" x14ac:dyDescent="0.25">
      <c r="N106" s="22"/>
      <c r="O106" s="77"/>
      <c r="P106" s="87"/>
      <c r="Q106" s="78"/>
      <c r="R106" s="74"/>
      <c r="S106" s="74"/>
      <c r="T106" s="74"/>
      <c r="U106" s="74"/>
      <c r="V106" s="74"/>
      <c r="W106" s="74"/>
      <c r="X106" s="74"/>
      <c r="Y106" s="74"/>
      <c r="Z106" s="74"/>
      <c r="AA106" s="74"/>
      <c r="AB106" s="74"/>
    </row>
    <row r="107" spans="1:28" x14ac:dyDescent="0.25">
      <c r="N107" s="22"/>
      <c r="O107" s="77"/>
      <c r="P107" s="87"/>
      <c r="Q107" s="78"/>
      <c r="R107" s="74"/>
      <c r="S107" s="74"/>
      <c r="T107" s="74"/>
      <c r="U107" s="74"/>
      <c r="V107" s="74"/>
      <c r="W107" s="74"/>
      <c r="X107" s="74"/>
      <c r="Y107" s="74"/>
      <c r="Z107" s="74"/>
      <c r="AA107" s="74"/>
      <c r="AB107" s="74"/>
    </row>
    <row r="108" spans="1:28" x14ac:dyDescent="0.25">
      <c r="N108" s="22"/>
      <c r="O108" s="77"/>
      <c r="P108" s="87"/>
      <c r="Q108" s="78"/>
      <c r="R108" s="74"/>
      <c r="S108" s="74"/>
      <c r="T108" s="74"/>
      <c r="U108" s="74"/>
      <c r="V108" s="74"/>
      <c r="W108" s="74"/>
      <c r="X108" s="74"/>
      <c r="Y108" s="74"/>
      <c r="Z108" s="74"/>
      <c r="AA108" s="74"/>
      <c r="AB108" s="74"/>
    </row>
    <row r="109" spans="1:28" x14ac:dyDescent="0.25">
      <c r="N109" s="22"/>
      <c r="O109" s="77"/>
      <c r="P109" s="87"/>
      <c r="Q109" s="78"/>
      <c r="R109" s="74"/>
      <c r="S109" s="74"/>
      <c r="T109" s="74"/>
      <c r="U109" s="74"/>
      <c r="V109" s="74"/>
      <c r="W109" s="74"/>
      <c r="X109" s="74"/>
      <c r="Y109" s="74"/>
      <c r="Z109" s="74"/>
      <c r="AA109" s="74"/>
      <c r="AB109" s="74"/>
    </row>
    <row r="110" spans="1:28" x14ac:dyDescent="0.25">
      <c r="N110" s="22"/>
      <c r="O110" s="77"/>
      <c r="P110" s="87"/>
      <c r="Q110" s="78"/>
      <c r="R110" s="74"/>
      <c r="S110" s="74"/>
      <c r="T110" s="74"/>
      <c r="U110" s="74"/>
      <c r="V110" s="74"/>
      <c r="W110" s="74"/>
      <c r="X110" s="74"/>
      <c r="Y110" s="74"/>
      <c r="Z110" s="74"/>
      <c r="AA110" s="74"/>
      <c r="AB110" s="74"/>
    </row>
    <row r="111" spans="1:28" x14ac:dyDescent="0.25">
      <c r="N111" s="22"/>
      <c r="O111" s="77"/>
      <c r="P111" s="87"/>
      <c r="Q111" s="78"/>
      <c r="R111" s="74"/>
      <c r="S111" s="74"/>
      <c r="T111" s="74"/>
      <c r="U111" s="74"/>
      <c r="V111" s="74"/>
      <c r="W111" s="74"/>
      <c r="X111" s="74"/>
      <c r="Y111" s="74"/>
      <c r="Z111" s="74"/>
      <c r="AA111" s="74"/>
      <c r="AB111" s="74"/>
    </row>
    <row r="112" spans="1:28" x14ac:dyDescent="0.25">
      <c r="N112" s="22"/>
      <c r="O112" s="77"/>
      <c r="P112" s="87"/>
      <c r="Q112" s="78"/>
      <c r="R112" s="74"/>
      <c r="S112" s="74"/>
      <c r="T112" s="74"/>
      <c r="U112" s="74"/>
      <c r="V112" s="74"/>
      <c r="W112" s="74"/>
      <c r="X112" s="74"/>
      <c r="Y112" s="74"/>
      <c r="Z112" s="74"/>
      <c r="AA112" s="74"/>
      <c r="AB112" s="74"/>
    </row>
    <row r="113" spans="14:28" x14ac:dyDescent="0.25">
      <c r="N113" s="22"/>
      <c r="O113" s="77"/>
      <c r="P113" s="87"/>
      <c r="Q113" s="78"/>
      <c r="R113" s="74"/>
      <c r="S113" s="74"/>
      <c r="T113" s="74"/>
      <c r="U113" s="74"/>
      <c r="V113" s="74"/>
      <c r="W113" s="74"/>
      <c r="X113" s="74"/>
      <c r="Y113" s="74"/>
      <c r="Z113" s="74"/>
      <c r="AA113" s="74"/>
      <c r="AB113" s="74"/>
    </row>
    <row r="114" spans="14:28" x14ac:dyDescent="0.25">
      <c r="N114" s="22"/>
      <c r="O114" s="77"/>
      <c r="P114" s="87"/>
      <c r="Q114" s="78"/>
      <c r="R114" s="74"/>
      <c r="S114" s="74"/>
      <c r="T114" s="74"/>
      <c r="U114" s="74"/>
      <c r="V114" s="74"/>
      <c r="W114" s="74"/>
      <c r="X114" s="74"/>
      <c r="Y114" s="74"/>
      <c r="Z114" s="74"/>
      <c r="AA114" s="74"/>
      <c r="AB114" s="74"/>
    </row>
    <row r="115" spans="14:28" x14ac:dyDescent="0.25">
      <c r="N115" s="22"/>
      <c r="O115" s="77"/>
      <c r="P115" s="87"/>
      <c r="Q115" s="78"/>
      <c r="R115" s="74"/>
      <c r="S115" s="74"/>
      <c r="T115" s="74"/>
      <c r="U115" s="74"/>
      <c r="V115" s="74"/>
      <c r="W115" s="74"/>
      <c r="X115" s="74"/>
      <c r="Y115" s="74"/>
      <c r="Z115" s="74"/>
      <c r="AA115" s="74"/>
      <c r="AB115" s="74"/>
    </row>
    <row r="116" spans="14:28" x14ac:dyDescent="0.25">
      <c r="N116" s="22"/>
      <c r="O116" s="77"/>
      <c r="P116" s="87"/>
      <c r="Q116" s="78"/>
      <c r="R116" s="74"/>
      <c r="S116" s="74"/>
      <c r="T116" s="74"/>
      <c r="U116" s="74"/>
      <c r="V116" s="74"/>
      <c r="W116" s="74"/>
      <c r="X116" s="74"/>
      <c r="Y116" s="74"/>
      <c r="Z116" s="74"/>
      <c r="AA116" s="74"/>
      <c r="AB116" s="74"/>
    </row>
    <row r="117" spans="14:28" x14ac:dyDescent="0.25">
      <c r="N117" s="22"/>
      <c r="O117" s="77"/>
      <c r="P117" s="87"/>
      <c r="Q117" s="78"/>
      <c r="R117" s="74"/>
      <c r="S117" s="74"/>
      <c r="T117" s="74"/>
      <c r="U117" s="74"/>
      <c r="V117" s="74"/>
      <c r="W117" s="74"/>
      <c r="X117" s="74"/>
      <c r="Y117" s="74"/>
      <c r="Z117" s="74"/>
      <c r="AA117" s="74"/>
      <c r="AB117" s="74"/>
    </row>
    <row r="118" spans="14:28" x14ac:dyDescent="0.25">
      <c r="N118" s="22"/>
      <c r="O118" s="77"/>
      <c r="P118" s="87"/>
      <c r="Q118" s="78"/>
      <c r="R118" s="74"/>
      <c r="S118" s="74"/>
      <c r="T118" s="74"/>
      <c r="U118" s="74"/>
      <c r="V118" s="74"/>
      <c r="W118" s="74"/>
      <c r="X118" s="74"/>
      <c r="Y118" s="74"/>
      <c r="Z118" s="74"/>
      <c r="AA118" s="74"/>
      <c r="AB118" s="74"/>
    </row>
    <row r="119" spans="14:28" x14ac:dyDescent="0.25">
      <c r="N119" s="22"/>
      <c r="O119" s="77"/>
      <c r="P119" s="87"/>
      <c r="Q119" s="78"/>
      <c r="R119" s="74"/>
      <c r="S119" s="74"/>
      <c r="T119" s="74"/>
      <c r="U119" s="74"/>
      <c r="V119" s="74"/>
      <c r="W119" s="74"/>
      <c r="X119" s="74"/>
      <c r="Y119" s="74"/>
      <c r="Z119" s="74"/>
      <c r="AA119" s="74"/>
      <c r="AB119" s="74"/>
    </row>
    <row r="120" spans="14:28" x14ac:dyDescent="0.25">
      <c r="N120" s="22"/>
      <c r="O120" s="77"/>
      <c r="P120" s="87"/>
      <c r="Q120" s="78"/>
      <c r="R120" s="74"/>
      <c r="S120" s="74"/>
      <c r="T120" s="74"/>
      <c r="U120" s="74"/>
      <c r="V120" s="74"/>
      <c r="W120" s="74"/>
      <c r="X120" s="74"/>
      <c r="Y120" s="74"/>
      <c r="Z120" s="74"/>
      <c r="AA120" s="74"/>
      <c r="AB120" s="74"/>
    </row>
    <row r="121" spans="14:28" x14ac:dyDescent="0.25">
      <c r="N121" s="22"/>
      <c r="O121" s="77"/>
      <c r="P121" s="87"/>
      <c r="Q121" s="78"/>
      <c r="R121" s="74"/>
      <c r="S121" s="74"/>
      <c r="T121" s="74"/>
      <c r="U121" s="74"/>
      <c r="V121" s="74"/>
      <c r="W121" s="74"/>
      <c r="X121" s="74"/>
      <c r="Y121" s="74"/>
      <c r="Z121" s="74"/>
      <c r="AA121" s="74"/>
      <c r="AB121" s="74"/>
    </row>
    <row r="122" spans="14:28" x14ac:dyDescent="0.25">
      <c r="N122" s="22"/>
      <c r="O122" s="77"/>
      <c r="P122" s="87"/>
      <c r="Q122" s="78"/>
      <c r="R122" s="74"/>
      <c r="S122" s="74"/>
      <c r="T122" s="74"/>
      <c r="U122" s="74"/>
      <c r="V122" s="74"/>
      <c r="W122" s="74"/>
      <c r="X122" s="74"/>
      <c r="Y122" s="74"/>
      <c r="Z122" s="74"/>
      <c r="AA122" s="74"/>
      <c r="AB122" s="74"/>
    </row>
    <row r="123" spans="14:28" x14ac:dyDescent="0.25">
      <c r="N123" s="22"/>
      <c r="O123" s="77"/>
      <c r="P123" s="87"/>
      <c r="Q123" s="78"/>
      <c r="R123" s="74"/>
      <c r="S123" s="74"/>
      <c r="T123" s="74"/>
      <c r="U123" s="74"/>
      <c r="V123" s="74"/>
      <c r="W123" s="74"/>
      <c r="X123" s="74"/>
      <c r="Y123" s="74"/>
      <c r="Z123" s="74"/>
      <c r="AA123" s="74"/>
      <c r="AB123" s="74"/>
    </row>
    <row r="124" spans="14:28" x14ac:dyDescent="0.25">
      <c r="N124" s="22"/>
      <c r="O124" s="77"/>
      <c r="P124" s="87"/>
      <c r="Q124" s="78"/>
      <c r="R124" s="74"/>
      <c r="S124" s="74"/>
      <c r="T124" s="74"/>
      <c r="U124" s="74"/>
      <c r="V124" s="74"/>
      <c r="W124" s="74"/>
      <c r="X124" s="74"/>
      <c r="Y124" s="74"/>
      <c r="Z124" s="74"/>
      <c r="AA124" s="74"/>
      <c r="AB124" s="74"/>
    </row>
    <row r="125" spans="14:28" x14ac:dyDescent="0.25">
      <c r="N125" s="22"/>
      <c r="O125" s="77"/>
      <c r="P125" s="87"/>
      <c r="Q125" s="78"/>
      <c r="R125" s="74"/>
      <c r="S125" s="74"/>
      <c r="T125" s="74"/>
      <c r="U125" s="74"/>
      <c r="V125" s="74"/>
      <c r="W125" s="74"/>
      <c r="X125" s="74"/>
      <c r="Y125" s="74"/>
      <c r="Z125" s="74"/>
      <c r="AA125" s="74"/>
      <c r="AB125" s="74"/>
    </row>
    <row r="126" spans="14:28" x14ac:dyDescent="0.25">
      <c r="N126" s="22"/>
      <c r="O126" s="77"/>
      <c r="P126" s="87"/>
      <c r="Q126" s="78"/>
      <c r="R126" s="74"/>
      <c r="S126" s="74"/>
      <c r="T126" s="74"/>
      <c r="U126" s="74"/>
      <c r="V126" s="74"/>
      <c r="W126" s="74"/>
      <c r="X126" s="74"/>
      <c r="Y126" s="74"/>
      <c r="Z126" s="74"/>
      <c r="AA126" s="74"/>
      <c r="AB126" s="74"/>
    </row>
    <row r="127" spans="14:28" x14ac:dyDescent="0.25">
      <c r="N127" s="22"/>
      <c r="O127" s="77"/>
      <c r="P127" s="87"/>
      <c r="Q127" s="78"/>
      <c r="R127" s="74"/>
      <c r="S127" s="74"/>
      <c r="T127" s="74"/>
      <c r="U127" s="74"/>
      <c r="V127" s="74"/>
      <c r="W127" s="74"/>
      <c r="X127" s="74"/>
      <c r="Y127" s="74"/>
      <c r="Z127" s="74"/>
      <c r="AA127" s="74"/>
      <c r="AB127" s="74"/>
    </row>
    <row r="128" spans="14:28" x14ac:dyDescent="0.25">
      <c r="N128" s="22"/>
      <c r="O128" s="77"/>
      <c r="P128" s="87"/>
      <c r="Q128" s="78"/>
      <c r="R128" s="74"/>
      <c r="S128" s="74"/>
      <c r="T128" s="74"/>
      <c r="U128" s="74"/>
      <c r="V128" s="74"/>
      <c r="W128" s="74"/>
      <c r="X128" s="74"/>
      <c r="Y128" s="74"/>
      <c r="Z128" s="74"/>
      <c r="AA128" s="74"/>
      <c r="AB128" s="74"/>
    </row>
    <row r="129" spans="14:28" x14ac:dyDescent="0.25">
      <c r="N129" s="22"/>
      <c r="O129" s="77"/>
      <c r="P129" s="87"/>
      <c r="Q129" s="78"/>
      <c r="R129" s="74"/>
      <c r="S129" s="74"/>
      <c r="T129" s="74"/>
      <c r="U129" s="74"/>
      <c r="V129" s="74"/>
      <c r="W129" s="74"/>
      <c r="X129" s="74"/>
      <c r="Y129" s="74"/>
      <c r="Z129" s="74"/>
      <c r="AA129" s="74"/>
      <c r="AB129" s="74"/>
    </row>
    <row r="130" spans="14:28" x14ac:dyDescent="0.25">
      <c r="N130" s="22"/>
      <c r="O130" s="77"/>
      <c r="P130" s="87"/>
      <c r="Q130" s="78"/>
      <c r="R130" s="74"/>
      <c r="S130" s="74"/>
      <c r="T130" s="74"/>
      <c r="U130" s="74"/>
      <c r="V130" s="74"/>
      <c r="W130" s="74"/>
      <c r="X130" s="74"/>
      <c r="Y130" s="74"/>
      <c r="Z130" s="74"/>
      <c r="AA130" s="74"/>
      <c r="AB130" s="74"/>
    </row>
    <row r="131" spans="14:28" x14ac:dyDescent="0.25">
      <c r="N131" s="22"/>
      <c r="O131" s="77"/>
      <c r="P131" s="87"/>
      <c r="Q131" s="78"/>
      <c r="R131" s="74"/>
      <c r="S131" s="74"/>
      <c r="T131" s="74"/>
      <c r="U131" s="74"/>
      <c r="V131" s="74"/>
      <c r="W131" s="74"/>
      <c r="X131" s="74"/>
      <c r="Y131" s="74"/>
      <c r="Z131" s="74"/>
      <c r="AA131" s="74"/>
      <c r="AB131" s="74"/>
    </row>
    <row r="132" spans="14:28" x14ac:dyDescent="0.25">
      <c r="N132" s="22"/>
      <c r="O132" s="77"/>
      <c r="P132" s="87"/>
      <c r="Q132" s="78"/>
      <c r="R132" s="74"/>
      <c r="S132" s="74"/>
      <c r="T132" s="74"/>
      <c r="U132" s="74"/>
      <c r="V132" s="74"/>
      <c r="W132" s="74"/>
      <c r="X132" s="74"/>
      <c r="Y132" s="74"/>
      <c r="Z132" s="74"/>
      <c r="AA132" s="74"/>
      <c r="AB132" s="74"/>
    </row>
    <row r="133" spans="14:28" x14ac:dyDescent="0.25">
      <c r="N133" s="22"/>
      <c r="O133" s="77"/>
      <c r="P133" s="87"/>
      <c r="Q133" s="78"/>
      <c r="R133" s="74"/>
      <c r="S133" s="74"/>
      <c r="T133" s="74"/>
      <c r="U133" s="74"/>
      <c r="V133" s="74"/>
      <c r="W133" s="74"/>
      <c r="X133" s="74"/>
      <c r="Y133" s="74"/>
      <c r="Z133" s="74"/>
      <c r="AA133" s="74"/>
      <c r="AB133" s="74"/>
    </row>
    <row r="134" spans="14:28" x14ac:dyDescent="0.25">
      <c r="N134" s="22"/>
      <c r="O134" s="77"/>
      <c r="P134" s="87"/>
      <c r="Q134" s="78"/>
      <c r="R134" s="74"/>
      <c r="S134" s="74"/>
      <c r="T134" s="74"/>
      <c r="U134" s="74"/>
      <c r="V134" s="74"/>
      <c r="W134" s="74"/>
      <c r="X134" s="74"/>
      <c r="Y134" s="74"/>
      <c r="Z134" s="74"/>
      <c r="AA134" s="74"/>
      <c r="AB134" s="74"/>
    </row>
    <row r="135" spans="14:28" x14ac:dyDescent="0.25">
      <c r="N135" s="22"/>
      <c r="O135" s="77"/>
      <c r="P135" s="87"/>
      <c r="Q135" s="78"/>
      <c r="R135" s="74"/>
      <c r="S135" s="74"/>
      <c r="T135" s="74"/>
      <c r="U135" s="74"/>
      <c r="V135" s="74"/>
      <c r="W135" s="74"/>
      <c r="X135" s="74"/>
      <c r="Y135" s="74"/>
      <c r="Z135" s="74"/>
      <c r="AA135" s="74"/>
      <c r="AB135" s="74"/>
    </row>
    <row r="136" spans="14:28" x14ac:dyDescent="0.25">
      <c r="N136" s="22"/>
      <c r="O136" s="77"/>
      <c r="P136" s="87"/>
      <c r="Q136" s="78"/>
      <c r="R136" s="74"/>
      <c r="S136" s="74"/>
      <c r="T136" s="74"/>
      <c r="U136" s="74"/>
      <c r="V136" s="74"/>
      <c r="W136" s="74"/>
      <c r="X136" s="74"/>
      <c r="Y136" s="74"/>
      <c r="Z136" s="74"/>
      <c r="AA136" s="74"/>
      <c r="AB136" s="74"/>
    </row>
    <row r="137" spans="14:28" x14ac:dyDescent="0.25">
      <c r="N137" s="22"/>
      <c r="O137" s="77"/>
      <c r="P137" s="87"/>
      <c r="Q137" s="78"/>
      <c r="R137" s="74"/>
      <c r="S137" s="74"/>
      <c r="T137" s="74"/>
      <c r="U137" s="74"/>
      <c r="V137" s="74"/>
      <c r="W137" s="74"/>
      <c r="X137" s="74"/>
      <c r="Y137" s="74"/>
      <c r="Z137" s="74"/>
      <c r="AA137" s="74"/>
      <c r="AB137" s="74"/>
    </row>
    <row r="138" spans="14:28" x14ac:dyDescent="0.25">
      <c r="N138" s="22"/>
      <c r="O138" s="77"/>
      <c r="P138" s="87"/>
      <c r="Q138" s="78"/>
      <c r="R138" s="74"/>
      <c r="S138" s="74"/>
      <c r="T138" s="74"/>
      <c r="U138" s="74"/>
      <c r="V138" s="74"/>
      <c r="W138" s="74"/>
      <c r="X138" s="74"/>
      <c r="Y138" s="74"/>
      <c r="Z138" s="74"/>
      <c r="AA138" s="74"/>
      <c r="AB138" s="74"/>
    </row>
    <row r="139" spans="14:28" x14ac:dyDescent="0.25">
      <c r="N139" s="22"/>
      <c r="O139" s="77"/>
      <c r="P139" s="87"/>
      <c r="Q139" s="78"/>
      <c r="R139" s="74"/>
      <c r="S139" s="74"/>
      <c r="T139" s="74"/>
      <c r="U139" s="74"/>
      <c r="V139" s="74"/>
      <c r="W139" s="74"/>
      <c r="X139" s="74"/>
      <c r="Y139" s="74"/>
      <c r="Z139" s="74"/>
      <c r="AA139" s="74"/>
      <c r="AB139" s="74"/>
    </row>
    <row r="140" spans="14:28" x14ac:dyDescent="0.25">
      <c r="N140" s="22"/>
      <c r="O140" s="77"/>
      <c r="P140" s="87"/>
      <c r="Q140" s="78"/>
      <c r="R140" s="74"/>
      <c r="S140" s="74"/>
      <c r="T140" s="74"/>
      <c r="U140" s="74"/>
      <c r="V140" s="74"/>
      <c r="W140" s="74"/>
      <c r="X140" s="74"/>
      <c r="Y140" s="74"/>
      <c r="Z140" s="74"/>
      <c r="AA140" s="74"/>
      <c r="AB140" s="74"/>
    </row>
    <row r="141" spans="14:28" x14ac:dyDescent="0.25">
      <c r="N141" s="22"/>
      <c r="O141" s="77"/>
      <c r="P141" s="87"/>
      <c r="Q141" s="78"/>
      <c r="R141" s="74"/>
      <c r="S141" s="74"/>
      <c r="T141" s="74"/>
      <c r="U141" s="74"/>
      <c r="V141" s="74"/>
      <c r="W141" s="74"/>
      <c r="X141" s="74"/>
      <c r="Y141" s="74"/>
      <c r="Z141" s="74"/>
      <c r="AA141" s="74"/>
      <c r="AB141" s="74"/>
    </row>
    <row r="142" spans="14:28" x14ac:dyDescent="0.25">
      <c r="N142" s="22"/>
      <c r="O142" s="77"/>
      <c r="P142" s="87"/>
      <c r="Q142" s="78"/>
      <c r="R142" s="74"/>
      <c r="S142" s="74"/>
      <c r="T142" s="74"/>
      <c r="U142" s="74"/>
      <c r="V142" s="74"/>
      <c r="W142" s="74"/>
      <c r="X142" s="74"/>
      <c r="Y142" s="74"/>
      <c r="Z142" s="74"/>
      <c r="AA142" s="74"/>
      <c r="AB142" s="74"/>
    </row>
    <row r="143" spans="14:28" x14ac:dyDescent="0.25">
      <c r="N143" s="22"/>
      <c r="O143" s="77"/>
      <c r="P143" s="87"/>
      <c r="Q143" s="78"/>
      <c r="R143" s="74"/>
      <c r="S143" s="74"/>
      <c r="T143" s="74"/>
      <c r="U143" s="74"/>
      <c r="V143" s="74"/>
      <c r="W143" s="74"/>
      <c r="X143" s="74"/>
      <c r="Y143" s="74"/>
      <c r="Z143" s="74"/>
      <c r="AA143" s="74"/>
      <c r="AB143" s="74"/>
    </row>
    <row r="144" spans="14:28" x14ac:dyDescent="0.25">
      <c r="N144" s="22"/>
      <c r="O144" s="77"/>
      <c r="P144" s="87"/>
      <c r="Q144" s="78"/>
      <c r="R144" s="74"/>
      <c r="S144" s="74"/>
      <c r="T144" s="74"/>
      <c r="U144" s="74"/>
      <c r="V144" s="74"/>
      <c r="W144" s="74"/>
      <c r="X144" s="74"/>
      <c r="Y144" s="74"/>
      <c r="Z144" s="74"/>
      <c r="AA144" s="74"/>
      <c r="AB144" s="74"/>
    </row>
    <row r="145" spans="14:28" x14ac:dyDescent="0.25">
      <c r="N145" s="22"/>
      <c r="O145" s="77"/>
      <c r="P145" s="87"/>
      <c r="Q145" s="78"/>
      <c r="R145" s="74"/>
      <c r="S145" s="74"/>
      <c r="T145" s="74"/>
      <c r="U145" s="74"/>
      <c r="V145" s="74"/>
      <c r="W145" s="74"/>
      <c r="X145" s="74"/>
      <c r="Y145" s="74"/>
      <c r="Z145" s="74"/>
      <c r="AA145" s="74"/>
      <c r="AB145" s="74"/>
    </row>
    <row r="146" spans="14:28" x14ac:dyDescent="0.25">
      <c r="N146" s="22"/>
      <c r="O146" s="77"/>
      <c r="P146" s="87"/>
      <c r="Q146" s="78"/>
      <c r="R146" s="74"/>
      <c r="S146" s="74"/>
      <c r="T146" s="74"/>
      <c r="U146" s="74"/>
      <c r="V146" s="74"/>
      <c r="W146" s="74"/>
      <c r="X146" s="74"/>
      <c r="Y146" s="74"/>
      <c r="Z146" s="74"/>
      <c r="AA146" s="74"/>
      <c r="AB146" s="74"/>
    </row>
    <row r="147" spans="14:28" x14ac:dyDescent="0.25">
      <c r="N147" s="22"/>
      <c r="O147" s="77"/>
      <c r="P147" s="87"/>
      <c r="Q147" s="78"/>
      <c r="R147" s="74"/>
      <c r="S147" s="74"/>
      <c r="T147" s="74"/>
      <c r="U147" s="74"/>
      <c r="V147" s="74"/>
      <c r="W147" s="74"/>
      <c r="X147" s="74"/>
      <c r="Y147" s="74"/>
      <c r="Z147" s="74"/>
      <c r="AA147" s="74"/>
      <c r="AB147" s="74"/>
    </row>
    <row r="148" spans="14:28" x14ac:dyDescent="0.25">
      <c r="N148" s="22"/>
      <c r="O148" s="77"/>
      <c r="P148" s="87"/>
      <c r="Q148" s="78"/>
      <c r="R148" s="74"/>
      <c r="S148" s="74"/>
      <c r="T148" s="74"/>
      <c r="U148" s="74"/>
      <c r="V148" s="74"/>
      <c r="W148" s="74"/>
      <c r="X148" s="74"/>
      <c r="Y148" s="74"/>
      <c r="Z148" s="74"/>
      <c r="AA148" s="74"/>
      <c r="AB148" s="74"/>
    </row>
    <row r="149" spans="14:28" x14ac:dyDescent="0.25">
      <c r="N149" s="22"/>
      <c r="O149" s="77"/>
      <c r="P149" s="87"/>
      <c r="Q149" s="78"/>
      <c r="R149" s="74"/>
      <c r="S149" s="74"/>
      <c r="T149" s="74"/>
      <c r="U149" s="74"/>
      <c r="V149" s="74"/>
      <c r="W149" s="74"/>
      <c r="X149" s="74"/>
      <c r="Y149" s="74"/>
      <c r="Z149" s="74"/>
      <c r="AA149" s="74"/>
      <c r="AB149" s="74"/>
    </row>
    <row r="150" spans="14:28" x14ac:dyDescent="0.25">
      <c r="N150" s="22"/>
      <c r="O150" s="77"/>
      <c r="P150" s="87"/>
      <c r="Q150" s="78"/>
      <c r="R150" s="74"/>
      <c r="S150" s="74"/>
      <c r="T150" s="74"/>
      <c r="U150" s="74"/>
      <c r="V150" s="74"/>
      <c r="W150" s="74"/>
      <c r="X150" s="74"/>
      <c r="Y150" s="74"/>
      <c r="Z150" s="74"/>
      <c r="AA150" s="74"/>
      <c r="AB150" s="74"/>
    </row>
    <row r="151" spans="14:28" x14ac:dyDescent="0.25">
      <c r="N151" s="22"/>
      <c r="O151" s="77"/>
      <c r="P151" s="87"/>
      <c r="Q151" s="78"/>
      <c r="R151" s="74"/>
      <c r="S151" s="74"/>
      <c r="T151" s="74"/>
      <c r="U151" s="74"/>
      <c r="V151" s="74"/>
      <c r="W151" s="74"/>
      <c r="X151" s="74"/>
      <c r="Y151" s="74"/>
      <c r="Z151" s="74"/>
      <c r="AA151" s="74"/>
      <c r="AB151" s="74"/>
    </row>
    <row r="152" spans="14:28" x14ac:dyDescent="0.25">
      <c r="N152" s="22"/>
      <c r="O152" s="77"/>
      <c r="P152" s="87"/>
      <c r="Q152" s="78"/>
      <c r="R152" s="74"/>
      <c r="S152" s="74"/>
      <c r="T152" s="74"/>
      <c r="U152" s="74"/>
      <c r="V152" s="74"/>
      <c r="W152" s="74"/>
      <c r="X152" s="74"/>
      <c r="Y152" s="74"/>
      <c r="Z152" s="74"/>
      <c r="AA152" s="74"/>
      <c r="AB152" s="74"/>
    </row>
    <row r="153" spans="14:28" x14ac:dyDescent="0.25">
      <c r="N153" s="22"/>
      <c r="O153" s="77"/>
      <c r="P153" s="87"/>
      <c r="Q153" s="78"/>
      <c r="R153" s="74"/>
      <c r="S153" s="74"/>
      <c r="T153" s="74"/>
      <c r="U153" s="74"/>
      <c r="V153" s="74"/>
      <c r="W153" s="74"/>
      <c r="X153" s="74"/>
      <c r="Y153" s="74"/>
      <c r="Z153" s="74"/>
      <c r="AA153" s="74"/>
      <c r="AB153" s="74"/>
    </row>
    <row r="154" spans="14:28" x14ac:dyDescent="0.25">
      <c r="N154" s="22"/>
      <c r="O154" s="77"/>
      <c r="P154" s="87"/>
      <c r="Q154" s="78"/>
      <c r="R154" s="74"/>
      <c r="S154" s="74"/>
      <c r="T154" s="74"/>
      <c r="U154" s="74"/>
      <c r="V154" s="74"/>
      <c r="W154" s="74"/>
      <c r="X154" s="74"/>
      <c r="Y154" s="74"/>
      <c r="Z154" s="74"/>
      <c r="AA154" s="74"/>
      <c r="AB154" s="74"/>
    </row>
    <row r="155" spans="14:28" x14ac:dyDescent="0.25">
      <c r="N155" s="22"/>
      <c r="O155" s="77"/>
      <c r="P155" s="87"/>
      <c r="Q155" s="78"/>
      <c r="R155" s="74"/>
      <c r="S155" s="74"/>
      <c r="T155" s="74"/>
      <c r="U155" s="74"/>
      <c r="V155" s="74"/>
      <c r="W155" s="74"/>
      <c r="X155" s="74"/>
      <c r="Y155" s="74"/>
      <c r="Z155" s="74"/>
      <c r="AA155" s="74"/>
      <c r="AB155" s="74"/>
    </row>
    <row r="156" spans="14:28" x14ac:dyDescent="0.25">
      <c r="N156" s="22"/>
      <c r="O156" s="77"/>
      <c r="P156" s="87"/>
      <c r="Q156" s="78"/>
      <c r="R156" s="74"/>
      <c r="S156" s="74"/>
      <c r="T156" s="74"/>
      <c r="U156" s="74"/>
      <c r="V156" s="74"/>
      <c r="W156" s="74"/>
      <c r="X156" s="74"/>
      <c r="Y156" s="74"/>
      <c r="Z156" s="74"/>
      <c r="AA156" s="74"/>
      <c r="AB156" s="74"/>
    </row>
    <row r="157" spans="14:28" x14ac:dyDescent="0.25">
      <c r="N157" s="22"/>
      <c r="O157" s="77"/>
      <c r="P157" s="87"/>
      <c r="Q157" s="78"/>
      <c r="R157" s="74"/>
      <c r="S157" s="74"/>
      <c r="T157" s="74"/>
      <c r="U157" s="74"/>
      <c r="V157" s="74"/>
      <c r="W157" s="74"/>
      <c r="X157" s="74"/>
      <c r="Y157" s="74"/>
      <c r="Z157" s="74"/>
      <c r="AA157" s="74"/>
      <c r="AB157" s="74"/>
    </row>
    <row r="158" spans="14:28" x14ac:dyDescent="0.25">
      <c r="N158" s="22"/>
      <c r="O158" s="77"/>
      <c r="P158" s="87"/>
      <c r="Q158" s="78"/>
      <c r="R158" s="74"/>
      <c r="S158" s="74"/>
      <c r="T158" s="74"/>
      <c r="U158" s="74"/>
      <c r="V158" s="74"/>
      <c r="W158" s="74"/>
      <c r="X158" s="74"/>
      <c r="Y158" s="74"/>
      <c r="Z158" s="74"/>
      <c r="AA158" s="74"/>
      <c r="AB158" s="74"/>
    </row>
    <row r="159" spans="14:28" x14ac:dyDescent="0.25">
      <c r="N159" s="22"/>
      <c r="O159" s="77"/>
      <c r="P159" s="87"/>
      <c r="Q159" s="78"/>
      <c r="R159" s="74"/>
      <c r="S159" s="74"/>
      <c r="T159" s="74"/>
      <c r="U159" s="74"/>
      <c r="V159" s="74"/>
      <c r="W159" s="74"/>
      <c r="X159" s="74"/>
      <c r="Y159" s="74"/>
      <c r="Z159" s="74"/>
      <c r="AA159" s="74"/>
      <c r="AB159" s="74"/>
    </row>
    <row r="160" spans="14:28" x14ac:dyDescent="0.25">
      <c r="N160" s="22"/>
      <c r="O160" s="77"/>
      <c r="P160" s="87"/>
      <c r="Q160" s="78"/>
      <c r="R160" s="74"/>
      <c r="S160" s="74"/>
      <c r="T160" s="74"/>
      <c r="U160" s="74"/>
      <c r="V160" s="74"/>
      <c r="W160" s="74"/>
      <c r="X160" s="74"/>
      <c r="Y160" s="74"/>
      <c r="Z160" s="74"/>
      <c r="AA160" s="74"/>
      <c r="AB160" s="74"/>
    </row>
    <row r="161" spans="14:28" x14ac:dyDescent="0.25">
      <c r="N161" s="22"/>
      <c r="O161" s="77"/>
      <c r="P161" s="87"/>
      <c r="Q161" s="78"/>
      <c r="R161" s="74"/>
      <c r="S161" s="74"/>
      <c r="T161" s="74"/>
      <c r="U161" s="74"/>
      <c r="V161" s="74"/>
      <c r="W161" s="74"/>
      <c r="X161" s="74"/>
      <c r="Y161" s="74"/>
      <c r="Z161" s="74"/>
      <c r="AA161" s="74"/>
      <c r="AB161" s="74"/>
    </row>
    <row r="162" spans="14:28" x14ac:dyDescent="0.25">
      <c r="N162" s="22"/>
      <c r="O162" s="77"/>
      <c r="P162" s="87"/>
      <c r="Q162" s="78"/>
      <c r="R162" s="74"/>
      <c r="S162" s="74"/>
      <c r="T162" s="74"/>
      <c r="U162" s="74"/>
      <c r="V162" s="74"/>
      <c r="W162" s="74"/>
      <c r="X162" s="74"/>
      <c r="Y162" s="74"/>
      <c r="Z162" s="74"/>
      <c r="AA162" s="74"/>
      <c r="AB162" s="74"/>
    </row>
    <row r="163" spans="14:28" x14ac:dyDescent="0.25">
      <c r="N163" s="22"/>
      <c r="O163" s="77"/>
      <c r="P163" s="87"/>
      <c r="Q163" s="78"/>
      <c r="R163" s="74"/>
      <c r="S163" s="74"/>
      <c r="T163" s="74"/>
      <c r="U163" s="74"/>
      <c r="V163" s="74"/>
      <c r="W163" s="74"/>
      <c r="X163" s="74"/>
      <c r="Y163" s="74"/>
      <c r="Z163" s="74"/>
      <c r="AA163" s="74"/>
      <c r="AB163" s="74"/>
    </row>
    <row r="164" spans="14:28" x14ac:dyDescent="0.25">
      <c r="N164" s="22"/>
      <c r="O164" s="77"/>
      <c r="P164" s="87"/>
      <c r="Q164" s="78"/>
      <c r="R164" s="74"/>
      <c r="S164" s="74"/>
      <c r="T164" s="74"/>
      <c r="U164" s="74"/>
      <c r="V164" s="74"/>
      <c r="W164" s="74"/>
      <c r="X164" s="74"/>
      <c r="Y164" s="74"/>
      <c r="Z164" s="74"/>
      <c r="AA164" s="74"/>
      <c r="AB164" s="74"/>
    </row>
    <row r="165" spans="14:28" x14ac:dyDescent="0.25">
      <c r="N165" s="22"/>
      <c r="O165" s="77"/>
      <c r="P165" s="87"/>
      <c r="Q165" s="78"/>
      <c r="R165" s="74"/>
      <c r="S165" s="74"/>
      <c r="T165" s="74"/>
      <c r="U165" s="74"/>
      <c r="V165" s="74"/>
      <c r="W165" s="74"/>
      <c r="X165" s="74"/>
      <c r="Y165" s="74"/>
      <c r="Z165" s="74"/>
      <c r="AA165" s="74"/>
      <c r="AB165" s="74"/>
    </row>
    <row r="166" spans="14:28" x14ac:dyDescent="0.25">
      <c r="N166" s="22"/>
      <c r="O166" s="77"/>
      <c r="P166" s="87"/>
      <c r="Q166" s="78"/>
      <c r="R166" s="74"/>
      <c r="S166" s="74"/>
      <c r="T166" s="74"/>
      <c r="U166" s="74"/>
      <c r="V166" s="74"/>
      <c r="W166" s="74"/>
      <c r="X166" s="74"/>
      <c r="Y166" s="74"/>
      <c r="Z166" s="74"/>
      <c r="AA166" s="74"/>
      <c r="AB166" s="74"/>
    </row>
    <row r="167" spans="14:28" x14ac:dyDescent="0.25">
      <c r="N167" s="22"/>
      <c r="O167" s="77"/>
      <c r="P167" s="87"/>
      <c r="Q167" s="78"/>
      <c r="R167" s="74"/>
      <c r="S167" s="74"/>
      <c r="T167" s="74"/>
      <c r="U167" s="74"/>
      <c r="V167" s="74"/>
      <c r="W167" s="74"/>
      <c r="X167" s="74"/>
      <c r="Y167" s="74"/>
      <c r="Z167" s="74"/>
      <c r="AA167" s="74"/>
      <c r="AB167" s="74"/>
    </row>
    <row r="168" spans="14:28" x14ac:dyDescent="0.25">
      <c r="N168" s="22"/>
      <c r="O168" s="77"/>
      <c r="P168" s="87"/>
      <c r="Q168" s="78"/>
      <c r="R168" s="74"/>
      <c r="S168" s="74"/>
      <c r="T168" s="74"/>
      <c r="U168" s="74"/>
      <c r="V168" s="74"/>
      <c r="W168" s="74"/>
      <c r="X168" s="74"/>
      <c r="Y168" s="74"/>
      <c r="Z168" s="74"/>
      <c r="AA168" s="74"/>
      <c r="AB168" s="74"/>
    </row>
    <row r="169" spans="14:28" x14ac:dyDescent="0.25">
      <c r="N169" s="22"/>
      <c r="O169" s="77"/>
      <c r="P169" s="87"/>
      <c r="Q169" s="78"/>
      <c r="R169" s="74"/>
      <c r="S169" s="74"/>
      <c r="T169" s="74"/>
      <c r="U169" s="74"/>
      <c r="V169" s="74"/>
      <c r="W169" s="74"/>
      <c r="X169" s="74"/>
      <c r="Y169" s="74"/>
      <c r="Z169" s="74"/>
      <c r="AA169" s="74"/>
      <c r="AB169" s="74"/>
    </row>
    <row r="170" spans="14:28" x14ac:dyDescent="0.25">
      <c r="N170" s="22"/>
      <c r="O170" s="77"/>
      <c r="P170" s="87"/>
      <c r="Q170" s="78"/>
      <c r="R170" s="74"/>
      <c r="S170" s="74"/>
      <c r="T170" s="74"/>
      <c r="U170" s="74"/>
      <c r="V170" s="74"/>
      <c r="W170" s="74"/>
      <c r="X170" s="74"/>
      <c r="Y170" s="74"/>
      <c r="Z170" s="74"/>
      <c r="AA170" s="74"/>
      <c r="AB170" s="74"/>
    </row>
    <row r="171" spans="14:28" x14ac:dyDescent="0.25">
      <c r="N171" s="22"/>
      <c r="O171" s="77"/>
      <c r="P171" s="87"/>
      <c r="Q171" s="78"/>
      <c r="R171" s="74"/>
      <c r="S171" s="74"/>
      <c r="T171" s="74"/>
      <c r="U171" s="74"/>
      <c r="V171" s="74"/>
      <c r="W171" s="74"/>
      <c r="X171" s="74"/>
      <c r="Y171" s="74"/>
      <c r="Z171" s="74"/>
      <c r="AA171" s="74"/>
      <c r="AB171" s="74"/>
    </row>
    <row r="172" spans="14:28" x14ac:dyDescent="0.25">
      <c r="N172" s="22"/>
      <c r="O172" s="77"/>
      <c r="P172" s="87"/>
      <c r="Q172" s="78"/>
      <c r="R172" s="74"/>
      <c r="S172" s="74"/>
      <c r="T172" s="74"/>
      <c r="U172" s="74"/>
      <c r="V172" s="74"/>
      <c r="W172" s="74"/>
      <c r="X172" s="74"/>
      <c r="Y172" s="74"/>
      <c r="Z172" s="74"/>
      <c r="AA172" s="74"/>
      <c r="AB172" s="74"/>
    </row>
    <row r="173" spans="14:28" x14ac:dyDescent="0.25">
      <c r="N173" s="22"/>
      <c r="O173" s="77"/>
      <c r="P173" s="87"/>
      <c r="Q173" s="78"/>
      <c r="R173" s="74"/>
      <c r="S173" s="74"/>
      <c r="T173" s="74"/>
      <c r="U173" s="74"/>
      <c r="V173" s="74"/>
      <c r="W173" s="74"/>
      <c r="X173" s="74"/>
      <c r="Y173" s="74"/>
      <c r="Z173" s="74"/>
      <c r="AA173" s="74"/>
      <c r="AB173" s="74"/>
    </row>
    <row r="174" spans="14:28" x14ac:dyDescent="0.25">
      <c r="N174" s="22"/>
      <c r="O174" s="77"/>
      <c r="P174" s="87"/>
      <c r="Q174" s="78"/>
      <c r="R174" s="74"/>
      <c r="S174" s="74"/>
      <c r="T174" s="74"/>
      <c r="U174" s="74"/>
      <c r="V174" s="74"/>
      <c r="W174" s="74"/>
      <c r="X174" s="74"/>
      <c r="Y174" s="74"/>
      <c r="Z174" s="74"/>
      <c r="AA174" s="74"/>
      <c r="AB174" s="74"/>
    </row>
    <row r="175" spans="14:28" x14ac:dyDescent="0.25">
      <c r="N175" s="22"/>
      <c r="O175" s="77"/>
      <c r="P175" s="87"/>
      <c r="Q175" s="78"/>
      <c r="R175" s="74"/>
      <c r="S175" s="74"/>
      <c r="T175" s="74"/>
      <c r="U175" s="74"/>
      <c r="V175" s="74"/>
      <c r="W175" s="74"/>
      <c r="X175" s="74"/>
      <c r="Y175" s="74"/>
      <c r="Z175" s="74"/>
      <c r="AA175" s="74"/>
      <c r="AB175" s="74"/>
    </row>
    <row r="176" spans="14:28" x14ac:dyDescent="0.25">
      <c r="N176" s="22"/>
      <c r="O176" s="77"/>
      <c r="P176" s="87"/>
      <c r="Q176" s="78"/>
      <c r="R176" s="74"/>
      <c r="S176" s="74"/>
      <c r="T176" s="74"/>
      <c r="U176" s="74"/>
      <c r="V176" s="74"/>
      <c r="W176" s="74"/>
      <c r="X176" s="74"/>
      <c r="Y176" s="74"/>
      <c r="Z176" s="74"/>
      <c r="AA176" s="74"/>
      <c r="AB176" s="74"/>
    </row>
    <row r="177" spans="14:28" x14ac:dyDescent="0.25">
      <c r="N177" s="22"/>
      <c r="O177" s="77"/>
      <c r="P177" s="87"/>
      <c r="Q177" s="78"/>
      <c r="R177" s="74"/>
      <c r="S177" s="74"/>
      <c r="T177" s="74"/>
      <c r="U177" s="74"/>
      <c r="V177" s="74"/>
      <c r="W177" s="74"/>
      <c r="X177" s="74"/>
      <c r="Y177" s="74"/>
      <c r="Z177" s="74"/>
      <c r="AA177" s="74"/>
      <c r="AB177" s="74"/>
    </row>
    <row r="178" spans="14:28" x14ac:dyDescent="0.25">
      <c r="N178" s="22"/>
      <c r="O178" s="77"/>
      <c r="P178" s="87"/>
      <c r="Q178" s="78"/>
      <c r="R178" s="74"/>
      <c r="S178" s="74"/>
      <c r="T178" s="74"/>
      <c r="U178" s="74"/>
      <c r="V178" s="74"/>
      <c r="W178" s="74"/>
      <c r="X178" s="74"/>
      <c r="Y178" s="74"/>
      <c r="Z178" s="74"/>
      <c r="AA178" s="74"/>
      <c r="AB178" s="74"/>
    </row>
    <row r="179" spans="14:28" x14ac:dyDescent="0.25">
      <c r="N179" s="22"/>
      <c r="O179" s="77"/>
      <c r="P179" s="87"/>
      <c r="Q179" s="78"/>
      <c r="R179" s="74"/>
      <c r="S179" s="74"/>
      <c r="T179" s="74"/>
      <c r="U179" s="74"/>
      <c r="V179" s="74"/>
      <c r="W179" s="74"/>
      <c r="X179" s="74"/>
      <c r="Y179" s="74"/>
      <c r="Z179" s="74"/>
      <c r="AA179" s="74"/>
      <c r="AB179" s="74"/>
    </row>
    <row r="180" spans="14:28" x14ac:dyDescent="0.25">
      <c r="N180" s="22"/>
      <c r="O180" s="77"/>
      <c r="P180" s="87"/>
      <c r="Q180" s="78"/>
      <c r="R180" s="74"/>
      <c r="S180" s="74"/>
      <c r="T180" s="74"/>
      <c r="U180" s="74"/>
      <c r="V180" s="74"/>
      <c r="W180" s="74"/>
      <c r="X180" s="74"/>
      <c r="Y180" s="74"/>
      <c r="Z180" s="74"/>
      <c r="AA180" s="74"/>
      <c r="AB180" s="74"/>
    </row>
    <row r="181" spans="14:28" x14ac:dyDescent="0.25">
      <c r="N181" s="22"/>
      <c r="O181" s="77"/>
      <c r="P181" s="87"/>
      <c r="Q181" s="78"/>
      <c r="R181" s="74"/>
      <c r="S181" s="74"/>
      <c r="T181" s="74"/>
      <c r="U181" s="74"/>
      <c r="V181" s="74"/>
      <c r="W181" s="74"/>
      <c r="X181" s="74"/>
      <c r="Y181" s="74"/>
      <c r="Z181" s="74"/>
      <c r="AA181" s="74"/>
      <c r="AB181" s="74"/>
    </row>
    <row r="182" spans="14:28" x14ac:dyDescent="0.25">
      <c r="N182" s="22"/>
      <c r="O182" s="77"/>
      <c r="P182" s="87"/>
      <c r="Q182" s="78"/>
      <c r="R182" s="74"/>
      <c r="S182" s="74"/>
      <c r="T182" s="74"/>
      <c r="U182" s="74"/>
      <c r="V182" s="74"/>
      <c r="W182" s="74"/>
      <c r="X182" s="74"/>
      <c r="Y182" s="74"/>
      <c r="Z182" s="74"/>
      <c r="AA182" s="74"/>
      <c r="AB182" s="74"/>
    </row>
    <row r="183" spans="14:28" x14ac:dyDescent="0.25">
      <c r="N183" s="22"/>
      <c r="O183" s="77"/>
      <c r="P183" s="87"/>
      <c r="Q183" s="78"/>
      <c r="R183" s="74"/>
      <c r="S183" s="74"/>
      <c r="T183" s="74"/>
      <c r="U183" s="74"/>
      <c r="V183" s="74"/>
      <c r="W183" s="74"/>
      <c r="X183" s="74"/>
      <c r="Y183" s="74"/>
      <c r="Z183" s="74"/>
      <c r="AA183" s="74"/>
      <c r="AB183" s="74"/>
    </row>
    <row r="184" spans="14:28" x14ac:dyDescent="0.25">
      <c r="N184" s="22"/>
      <c r="O184" s="77"/>
      <c r="P184" s="87"/>
      <c r="Q184" s="78"/>
      <c r="R184" s="74"/>
      <c r="S184" s="74"/>
      <c r="T184" s="74"/>
      <c r="U184" s="74"/>
      <c r="V184" s="74"/>
      <c r="W184" s="74"/>
      <c r="X184" s="74"/>
      <c r="Y184" s="74"/>
      <c r="Z184" s="74"/>
      <c r="AA184" s="74"/>
      <c r="AB184" s="74"/>
    </row>
    <row r="185" spans="14:28" x14ac:dyDescent="0.25">
      <c r="N185" s="22"/>
      <c r="O185" s="77"/>
      <c r="P185" s="87"/>
      <c r="Q185" s="78"/>
      <c r="R185" s="74"/>
      <c r="S185" s="74"/>
      <c r="T185" s="74"/>
      <c r="U185" s="74"/>
      <c r="V185" s="74"/>
      <c r="W185" s="74"/>
      <c r="X185" s="74"/>
      <c r="Y185" s="74"/>
      <c r="Z185" s="74"/>
      <c r="AA185" s="74"/>
      <c r="AB185" s="74"/>
    </row>
    <row r="186" spans="14:28" x14ac:dyDescent="0.25">
      <c r="N186" s="22"/>
      <c r="O186" s="77"/>
      <c r="P186" s="87"/>
      <c r="Q186" s="78"/>
      <c r="R186" s="74"/>
      <c r="S186" s="74"/>
      <c r="T186" s="74"/>
      <c r="U186" s="74"/>
      <c r="V186" s="74"/>
      <c r="W186" s="74"/>
      <c r="X186" s="74"/>
      <c r="Y186" s="74"/>
      <c r="Z186" s="74"/>
      <c r="AA186" s="74"/>
      <c r="AB186" s="74"/>
    </row>
    <row r="187" spans="14:28" x14ac:dyDescent="0.25">
      <c r="N187" s="22"/>
      <c r="O187" s="77"/>
      <c r="P187" s="87"/>
      <c r="Q187" s="78"/>
      <c r="R187" s="74"/>
      <c r="S187" s="74"/>
      <c r="T187" s="74"/>
      <c r="U187" s="74"/>
      <c r="V187" s="74"/>
      <c r="W187" s="74"/>
      <c r="X187" s="74"/>
      <c r="Y187" s="74"/>
      <c r="Z187" s="74"/>
      <c r="AA187" s="74"/>
      <c r="AB187" s="74"/>
    </row>
    <row r="188" spans="14:28" x14ac:dyDescent="0.25">
      <c r="N188" s="22"/>
      <c r="O188" s="77"/>
      <c r="P188" s="87"/>
      <c r="Q188" s="78"/>
      <c r="R188" s="74"/>
      <c r="S188" s="74"/>
      <c r="T188" s="74"/>
      <c r="U188" s="74"/>
      <c r="V188" s="74"/>
      <c r="W188" s="74"/>
      <c r="X188" s="74"/>
      <c r="Y188" s="74"/>
      <c r="Z188" s="74"/>
      <c r="AA188" s="74"/>
      <c r="AB188" s="74"/>
    </row>
    <row r="189" spans="14:28" x14ac:dyDescent="0.25">
      <c r="N189" s="22"/>
      <c r="O189" s="77"/>
      <c r="P189" s="87"/>
      <c r="Q189" s="78"/>
      <c r="R189" s="74"/>
      <c r="S189" s="74"/>
      <c r="T189" s="74"/>
      <c r="U189" s="74"/>
      <c r="V189" s="74"/>
      <c r="W189" s="74"/>
      <c r="X189" s="74"/>
      <c r="Y189" s="74"/>
      <c r="Z189" s="74"/>
      <c r="AA189" s="74"/>
      <c r="AB189" s="74"/>
    </row>
    <row r="190" spans="14:28" x14ac:dyDescent="0.25">
      <c r="N190" s="22"/>
      <c r="O190" s="77"/>
      <c r="P190" s="87"/>
      <c r="Q190" s="78"/>
      <c r="R190" s="74"/>
      <c r="S190" s="74"/>
      <c r="T190" s="74"/>
      <c r="U190" s="74"/>
      <c r="V190" s="74"/>
      <c r="W190" s="74"/>
      <c r="X190" s="74"/>
      <c r="Y190" s="74"/>
      <c r="Z190" s="74"/>
      <c r="AA190" s="74"/>
      <c r="AB190" s="74"/>
    </row>
    <row r="191" spans="14:28" x14ac:dyDescent="0.25">
      <c r="N191" s="22"/>
      <c r="O191" s="77"/>
      <c r="P191" s="87"/>
      <c r="Q191" s="78"/>
      <c r="R191" s="74"/>
      <c r="S191" s="74"/>
      <c r="T191" s="74"/>
      <c r="U191" s="74"/>
      <c r="V191" s="74"/>
      <c r="W191" s="74"/>
      <c r="X191" s="74"/>
      <c r="Y191" s="74"/>
      <c r="Z191" s="74"/>
      <c r="AA191" s="74"/>
      <c r="AB191" s="74"/>
    </row>
    <row r="192" spans="14:28" x14ac:dyDescent="0.25">
      <c r="N192" s="22"/>
      <c r="O192" s="77"/>
      <c r="P192" s="87"/>
      <c r="Q192" s="78"/>
      <c r="R192" s="74"/>
      <c r="S192" s="74"/>
      <c r="T192" s="74"/>
      <c r="U192" s="74"/>
      <c r="V192" s="74"/>
      <c r="W192" s="74"/>
      <c r="X192" s="74"/>
      <c r="Y192" s="74"/>
      <c r="Z192" s="74"/>
      <c r="AA192" s="74"/>
      <c r="AB192" s="74"/>
    </row>
    <row r="193" spans="14:28" x14ac:dyDescent="0.25">
      <c r="N193" s="22"/>
      <c r="O193" s="77"/>
      <c r="P193" s="87"/>
      <c r="Q193" s="78"/>
      <c r="R193" s="74"/>
      <c r="S193" s="74"/>
      <c r="T193" s="74"/>
      <c r="U193" s="74"/>
      <c r="V193" s="74"/>
      <c r="W193" s="74"/>
      <c r="X193" s="74"/>
      <c r="Y193" s="74"/>
      <c r="Z193" s="74"/>
      <c r="AA193" s="74"/>
      <c r="AB193" s="74"/>
    </row>
    <row r="194" spans="14:28" x14ac:dyDescent="0.25">
      <c r="N194" s="22"/>
      <c r="O194" s="77"/>
      <c r="P194" s="87"/>
      <c r="Q194" s="78"/>
      <c r="R194" s="74"/>
      <c r="S194" s="74"/>
      <c r="T194" s="74"/>
      <c r="U194" s="74"/>
      <c r="V194" s="74"/>
      <c r="W194" s="74"/>
      <c r="X194" s="74"/>
      <c r="Y194" s="74"/>
      <c r="Z194" s="74"/>
      <c r="AA194" s="74"/>
      <c r="AB194" s="74"/>
    </row>
    <row r="195" spans="14:28" x14ac:dyDescent="0.25">
      <c r="N195" s="22"/>
      <c r="O195" s="77"/>
      <c r="P195" s="87"/>
      <c r="Q195" s="78"/>
      <c r="R195" s="74"/>
      <c r="S195" s="74"/>
      <c r="T195" s="74"/>
      <c r="U195" s="74"/>
      <c r="V195" s="74"/>
      <c r="W195" s="74"/>
      <c r="X195" s="74"/>
      <c r="Y195" s="74"/>
      <c r="Z195" s="74"/>
      <c r="AA195" s="74"/>
      <c r="AB195" s="74"/>
    </row>
    <row r="196" spans="14:28" x14ac:dyDescent="0.25">
      <c r="N196" s="22"/>
      <c r="O196" s="77"/>
      <c r="P196" s="87"/>
      <c r="Q196" s="78"/>
      <c r="R196" s="74"/>
      <c r="S196" s="74"/>
      <c r="T196" s="74"/>
      <c r="U196" s="74"/>
      <c r="V196" s="74"/>
      <c r="W196" s="74"/>
      <c r="X196" s="74"/>
      <c r="Y196" s="74"/>
      <c r="Z196" s="74"/>
      <c r="AA196" s="74"/>
      <c r="AB196" s="74"/>
    </row>
    <row r="197" spans="14:28" x14ac:dyDescent="0.25">
      <c r="N197" s="22"/>
      <c r="O197" s="77"/>
      <c r="P197" s="87"/>
      <c r="Q197" s="78"/>
      <c r="R197" s="74"/>
      <c r="S197" s="74"/>
      <c r="T197" s="74"/>
      <c r="U197" s="74"/>
      <c r="V197" s="74"/>
      <c r="W197" s="74"/>
      <c r="X197" s="74"/>
      <c r="Y197" s="74"/>
      <c r="Z197" s="74"/>
      <c r="AA197" s="74"/>
      <c r="AB197" s="74"/>
    </row>
    <row r="198" spans="14:28" x14ac:dyDescent="0.25">
      <c r="N198" s="22"/>
      <c r="O198" s="77"/>
      <c r="P198" s="87"/>
      <c r="Q198" s="78"/>
      <c r="R198" s="74"/>
      <c r="S198" s="74"/>
      <c r="T198" s="74"/>
      <c r="U198" s="74"/>
      <c r="V198" s="74"/>
      <c r="W198" s="74"/>
      <c r="X198" s="74"/>
      <c r="Y198" s="74"/>
      <c r="Z198" s="74"/>
      <c r="AA198" s="74"/>
      <c r="AB198" s="74"/>
    </row>
    <row r="199" spans="14:28" x14ac:dyDescent="0.25">
      <c r="N199" s="22"/>
      <c r="O199" s="77"/>
      <c r="P199" s="87"/>
      <c r="Q199" s="78"/>
      <c r="R199" s="74"/>
      <c r="S199" s="74"/>
      <c r="T199" s="74"/>
      <c r="U199" s="74"/>
      <c r="V199" s="74"/>
      <c r="W199" s="74"/>
      <c r="X199" s="74"/>
      <c r="Y199" s="74"/>
      <c r="Z199" s="74"/>
      <c r="AA199" s="74"/>
      <c r="AB199" s="74"/>
    </row>
    <row r="200" spans="14:28" x14ac:dyDescent="0.25">
      <c r="N200" s="22"/>
      <c r="O200" s="77"/>
      <c r="P200" s="87"/>
      <c r="Q200" s="78"/>
      <c r="R200" s="74"/>
      <c r="S200" s="74"/>
      <c r="T200" s="74"/>
      <c r="U200" s="74"/>
      <c r="V200" s="74"/>
      <c r="W200" s="74"/>
      <c r="X200" s="74"/>
      <c r="Y200" s="74"/>
      <c r="Z200" s="74"/>
      <c r="AA200" s="74"/>
      <c r="AB200" s="74"/>
    </row>
    <row r="201" spans="14:28" x14ac:dyDescent="0.25">
      <c r="N201" s="22"/>
      <c r="O201" s="77"/>
      <c r="P201" s="87"/>
      <c r="Q201" s="78"/>
      <c r="R201" s="74"/>
      <c r="S201" s="74"/>
      <c r="T201" s="74"/>
      <c r="U201" s="74"/>
      <c r="V201" s="74"/>
      <c r="W201" s="74"/>
      <c r="X201" s="74"/>
      <c r="Y201" s="74"/>
      <c r="Z201" s="74"/>
      <c r="AA201" s="74"/>
      <c r="AB201" s="74"/>
    </row>
    <row r="202" spans="14:28" x14ac:dyDescent="0.25">
      <c r="N202" s="22"/>
      <c r="O202" s="77"/>
      <c r="P202" s="87"/>
      <c r="Q202" s="78"/>
      <c r="R202" s="74"/>
      <c r="S202" s="74"/>
      <c r="T202" s="74"/>
      <c r="U202" s="74"/>
      <c r="V202" s="74"/>
      <c r="W202" s="74"/>
      <c r="X202" s="74"/>
      <c r="Y202" s="74"/>
      <c r="Z202" s="74"/>
      <c r="AA202" s="74"/>
      <c r="AB202" s="74"/>
    </row>
    <row r="203" spans="14:28" x14ac:dyDescent="0.25">
      <c r="N203" s="22"/>
      <c r="O203" s="77"/>
      <c r="P203" s="87"/>
      <c r="Q203" s="78"/>
      <c r="R203" s="74"/>
      <c r="S203" s="74"/>
      <c r="T203" s="74"/>
      <c r="U203" s="74"/>
      <c r="V203" s="74"/>
      <c r="W203" s="74"/>
      <c r="X203" s="74"/>
      <c r="Y203" s="74"/>
      <c r="Z203" s="74"/>
      <c r="AA203" s="74"/>
      <c r="AB203" s="74"/>
    </row>
    <row r="204" spans="14:28" x14ac:dyDescent="0.25">
      <c r="N204" s="22"/>
      <c r="O204" s="77"/>
      <c r="P204" s="87"/>
      <c r="Q204" s="78"/>
      <c r="R204" s="74"/>
      <c r="S204" s="74"/>
      <c r="T204" s="74"/>
      <c r="U204" s="74"/>
      <c r="V204" s="74"/>
      <c r="W204" s="74"/>
      <c r="X204" s="74"/>
      <c r="Y204" s="74"/>
      <c r="Z204" s="74"/>
      <c r="AA204" s="74"/>
      <c r="AB204" s="74"/>
    </row>
    <row r="205" spans="14:28" x14ac:dyDescent="0.25">
      <c r="N205" s="22"/>
      <c r="O205" s="77"/>
      <c r="P205" s="87"/>
      <c r="Q205" s="39"/>
      <c r="R205" s="74"/>
      <c r="S205" s="74"/>
      <c r="T205" s="74"/>
      <c r="U205" s="74"/>
      <c r="V205" s="74"/>
      <c r="W205" s="74"/>
      <c r="X205" s="74"/>
      <c r="Y205" s="74"/>
      <c r="Z205" s="74"/>
      <c r="AA205" s="74"/>
      <c r="AB205" s="74"/>
    </row>
    <row r="206" spans="14:28" x14ac:dyDescent="0.25">
      <c r="N206" s="22"/>
      <c r="O206" s="77"/>
      <c r="P206" s="87"/>
      <c r="Q206" s="70"/>
      <c r="R206" s="74"/>
      <c r="S206" s="74"/>
      <c r="T206" s="74"/>
      <c r="U206" s="74"/>
      <c r="V206" s="74"/>
      <c r="W206" s="74"/>
      <c r="X206" s="74"/>
      <c r="Y206" s="74"/>
      <c r="Z206" s="74"/>
      <c r="AA206" s="74"/>
      <c r="AB206" s="74"/>
    </row>
    <row r="207" spans="14:28" x14ac:dyDescent="0.25">
      <c r="N207" s="22"/>
      <c r="O207" s="77"/>
      <c r="P207" s="87"/>
      <c r="Q207" s="70"/>
      <c r="R207" s="74"/>
      <c r="S207" s="74"/>
      <c r="T207" s="74"/>
      <c r="U207" s="74"/>
      <c r="V207" s="74"/>
      <c r="W207" s="74"/>
      <c r="X207" s="74"/>
      <c r="Y207" s="74"/>
      <c r="Z207" s="74"/>
      <c r="AA207" s="74"/>
      <c r="AB207" s="74"/>
    </row>
    <row r="208" spans="14:28" x14ac:dyDescent="0.25">
      <c r="N208" s="22"/>
      <c r="O208" s="77"/>
      <c r="P208" s="87"/>
      <c r="R208" s="74"/>
      <c r="S208" s="74"/>
      <c r="T208" s="74"/>
      <c r="U208" s="74"/>
      <c r="V208" s="74"/>
      <c r="W208" s="74"/>
      <c r="X208" s="74"/>
      <c r="Y208" s="74"/>
      <c r="Z208" s="74"/>
      <c r="AA208" s="74"/>
      <c r="AB208" s="74"/>
    </row>
    <row r="209" spans="14:28" x14ac:dyDescent="0.25">
      <c r="N209" s="22"/>
      <c r="O209" s="77"/>
      <c r="P209" s="87"/>
      <c r="Q209" s="43"/>
      <c r="R209" s="74"/>
      <c r="S209" s="74"/>
      <c r="T209" s="74"/>
      <c r="U209" s="74"/>
      <c r="V209" s="74"/>
      <c r="W209" s="74"/>
      <c r="X209" s="74"/>
      <c r="Y209" s="74"/>
      <c r="Z209" s="74"/>
      <c r="AA209" s="74"/>
      <c r="AB209" s="74"/>
    </row>
    <row r="210" spans="14:28" x14ac:dyDescent="0.25">
      <c r="N210" s="22"/>
      <c r="O210" s="77"/>
      <c r="P210" s="87"/>
      <c r="R210" s="74"/>
      <c r="S210" s="74"/>
      <c r="T210" s="74"/>
      <c r="U210" s="74"/>
      <c r="V210" s="74"/>
      <c r="W210" s="74"/>
      <c r="X210" s="74"/>
      <c r="Y210" s="74"/>
      <c r="Z210" s="74"/>
      <c r="AA210" s="74"/>
      <c r="AB210" s="74"/>
    </row>
  </sheetData>
  <sheetProtection sheet="1" objects="1" scenarios="1"/>
  <phoneticPr fontId="35" type="noConversion"/>
  <conditionalFormatting sqref="J38">
    <cfRule type="cellIs" dxfId="6" priority="1" stopIfTrue="1" operator="notEqual">
      <formula>"OK"</formula>
    </cfRule>
  </conditionalFormatting>
  <dataValidations xWindow="90" yWindow="375" count="11">
    <dataValidation type="decimal" allowBlank="1" showInputMessage="1" showErrorMessage="1" error="Lug width, 'W', MUST BE &lt;= Plate width, 'B'" prompt="Lug width, 'W', MUST BE &lt;= base plate width, 'B'." sqref="C19">
      <formula1>1</formula1>
      <formula2>$C$15</formula2>
    </dataValidation>
    <dataValidation allowBlank="1" showInputMessage="1" showErrorMessage="1" prompt="The base plate length, 'N', is the length of the base plate parallel to the web (Y-axis) of the column." sqref="C14"/>
    <dataValidation allowBlank="1" showInputMessage="1" showErrorMessage="1" prompt="The base plate length, 'B', is the length of the base plate parallel to the flanges (X-axis) of the column." sqref="C15"/>
    <dataValidation type="list" allowBlank="1" showInputMessage="1" showErrorMessage="1" prompt="Coefficient of Friction:_x000a_  = 0.55 for base plate on top of grout bed._x000a_  = 0.70 for base plate recessed in grout._x000a_  = 0.90 for base plate embedded in concrete." sqref="C23">
      <formula1>$K$13:$K$15</formula1>
    </dataValidation>
    <dataValidation type="decimal" operator="greaterThan" allowBlank="1" showInputMessage="1" showErrorMessage="1" sqref="C20">
      <formula1>0</formula1>
    </dataValidation>
    <dataValidation type="decimal" operator="greaterThanOrEqual" allowBlank="1" showInputMessage="1" showErrorMessage="1" error="Pier length, 'Lx', MUST BE &gt;= plate length, 'N'." prompt="Pier length, 'Lx', is the pier dimension parallel to the base plate length, 'N'." sqref="C24">
      <formula1>$C$14</formula1>
    </dataValidation>
    <dataValidation type="decimal" operator="greaterThanOrEqual" allowBlank="1" showInputMessage="1" showErrorMessage="1" error="Pier length, 'Ly', MUST BE &gt;= plate width, 'B'." prompt="Pier width, 'Ly', is the pier dimension parallel to the base plate width, 'B'." sqref="C25">
      <formula1>$C$15</formula1>
    </dataValidation>
    <dataValidation type="decimal" operator="greaterThanOrEqual" allowBlank="1" showInputMessage="1" showErrorMessage="1" error="Lug height, 'H', MUST BE &gt;= G+1&quot;" prompt="Lug height, 'H', MUST BE &gt;= grout thickness, 'G', plus 1&quot;." sqref="C18">
      <formula1>$C$17+1</formula1>
    </dataValidation>
    <dataValidation type="decimal" operator="lessThanOrEqual" allowBlank="1" showInputMessage="1" showErrorMessage="1" error="P(DL) MUST BE &lt;= 0." prompt="Note: if the user does not wish to consider friction between column base and grout to take a portion of the appled shear load (V), then input P(DL) = 0.  Considering friction will reduce the shear to be taken by lug.  Sign convention: P(DL) = -down." sqref="C11">
      <formula1>0</formula1>
    </dataValidation>
    <dataValidation type="decimal" operator="greaterThan" allowBlank="1" showInputMessage="1" showErrorMessage="1" errorTitle="Warning!" error="Invalid steel yield strength" prompt="Typical values to be input for 'Fy' would be either 36 or 50 ksi." sqref="C22">
      <formula1>0</formula1>
    </dataValidation>
    <dataValidation type="decimal" operator="greaterThan" allowBlank="1" showInputMessage="1" showErrorMessage="1" errorTitle="Warning!" error="Invalid concrete compressive strength" prompt="Typical values to be input for 'f'c' would be either 3, 4 or 5 ksi." sqref="C26">
      <formula1>0</formula1>
    </dataValidation>
  </dataValidations>
  <pageMargins left="1" right="0.5" top="1" bottom="1" header="0.5" footer="0.5"/>
  <pageSetup scale="96" orientation="portrait" r:id="rId1"/>
  <headerFooter alignWithMargins="0">
    <oddHeader>&amp;R"BASEPLT9.xls" Program
Version 3.7</oddHeader>
    <oddFooter>&amp;C&amp;P of &amp;N&amp;R&amp;D  &amp;T</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M688"/>
  <sheetViews>
    <sheetView topLeftCell="A390" zoomScale="80" zoomScaleNormal="80" workbookViewId="0">
      <selection activeCell="A380" sqref="A380"/>
    </sheetView>
  </sheetViews>
  <sheetFormatPr defaultColWidth="9.109375" defaultRowHeight="13.2" x14ac:dyDescent="0.25"/>
  <cols>
    <col min="1" max="2" width="12.6640625" style="302" customWidth="1"/>
    <col min="3" max="3" width="9.6640625" style="302" customWidth="1"/>
    <col min="4" max="4" width="10.6640625" style="302" customWidth="1"/>
    <col min="5" max="8" width="9.6640625" style="302" customWidth="1"/>
    <col min="9" max="9" width="9.109375" style="302"/>
    <col min="10" max="14" width="9.33203125" style="302" bestFit="1" customWidth="1"/>
    <col min="15" max="17" width="9.6640625" style="302" customWidth="1"/>
    <col min="18" max="18" width="9.33203125" style="24" bestFit="1" customWidth="1"/>
    <col min="19" max="19" width="9.33203125" style="24" customWidth="1"/>
    <col min="20" max="21" width="9.33203125" style="24" bestFit="1" customWidth="1"/>
    <col min="22" max="22" width="9.88671875" style="24" bestFit="1" customWidth="1"/>
    <col min="23" max="23" width="9.33203125" style="24" bestFit="1" customWidth="1"/>
    <col min="24" max="24" width="9.6640625" style="24" bestFit="1" customWidth="1"/>
    <col min="25" max="25" width="7.6640625" style="24" customWidth="1"/>
    <col min="26" max="26" width="9.33203125" style="24" customWidth="1"/>
    <col min="27" max="28" width="9.109375" style="24"/>
    <col min="29" max="29" width="7.6640625" style="24" customWidth="1"/>
    <col min="30" max="31" width="9.109375" style="24"/>
    <col min="32" max="32" width="7.6640625" style="24" customWidth="1"/>
    <col min="33" max="33" width="10.6640625" style="24" customWidth="1"/>
    <col min="34" max="34" width="12.5546875" style="24" customWidth="1"/>
    <col min="35" max="36" width="9.6640625" style="24" customWidth="1"/>
    <col min="37" max="38" width="9.6640625" style="277" customWidth="1"/>
    <col min="39" max="39" width="9.6640625" style="24" customWidth="1"/>
    <col min="40" max="42" width="9.109375" style="24"/>
    <col min="43" max="43" width="12.6640625" style="24" customWidth="1"/>
    <col min="44" max="47" width="9.109375" style="24"/>
    <col min="48" max="48" width="10.6640625" style="24" customWidth="1"/>
    <col min="49" max="50" width="9.109375" style="278"/>
    <col min="51" max="59" width="9.109375" style="24"/>
    <col min="60" max="60" width="10.6640625" style="24" customWidth="1"/>
    <col min="61" max="70" width="9.109375" style="24"/>
    <col min="71" max="71" width="14.5546875" style="24" customWidth="1"/>
    <col min="72" max="72" width="9.109375" style="24"/>
    <col min="73" max="89" width="10.88671875" style="24" customWidth="1"/>
    <col min="90" max="90" width="11.88671875" style="24" customWidth="1"/>
    <col min="91" max="95" width="9.109375" style="24"/>
    <col min="96" max="97" width="12.6640625" style="24" customWidth="1"/>
    <col min="98" max="99" width="9.109375" style="24"/>
    <col min="100" max="100" width="11.88671875" style="24" customWidth="1"/>
    <col min="101" max="105" width="9.109375" style="24"/>
    <col min="106" max="107" width="9.109375" style="12"/>
    <col min="108" max="108" width="12.6640625" style="12" customWidth="1"/>
    <col min="109" max="112" width="9.109375" style="12"/>
    <col min="113" max="113" width="10.6640625" style="12" customWidth="1"/>
    <col min="114" max="117" width="9.109375" style="12"/>
    <col min="118" max="124" width="9.109375" style="24"/>
    <col min="125" max="125" width="10.6640625" style="24" customWidth="1"/>
    <col min="126" max="135" width="9.109375" style="24"/>
    <col min="136" max="136" width="14.6640625" style="24" customWidth="1"/>
    <col min="137" max="137" width="9.109375" style="24"/>
    <col min="138" max="140" width="9.33203125" style="24" bestFit="1" customWidth="1"/>
    <col min="141" max="160" width="9.109375" style="24"/>
    <col min="161" max="162" width="12.6640625" style="24" customWidth="1"/>
    <col min="163" max="177" width="9.109375" style="24"/>
    <col min="178" max="178" width="9.6640625" style="24" customWidth="1"/>
    <col min="179" max="179" width="10.6640625" style="24" customWidth="1"/>
    <col min="180" max="180" width="11.88671875" style="24" customWidth="1"/>
    <col min="181" max="181" width="9.6640625" style="24" customWidth="1"/>
    <col min="182" max="16384" width="9.109375" style="24"/>
  </cols>
  <sheetData>
    <row r="1" spans="1:15" hidden="1" x14ac:dyDescent="0.25">
      <c r="A1" s="374" t="s">
        <v>478</v>
      </c>
      <c r="B1" s="375"/>
      <c r="C1" s="375"/>
      <c r="D1" s="375"/>
      <c r="E1" s="375"/>
      <c r="F1" s="376"/>
      <c r="G1" s="24"/>
    </row>
    <row r="2" spans="1:15" hidden="1" x14ac:dyDescent="0.25">
      <c r="A2" s="377" t="s">
        <v>479</v>
      </c>
      <c r="B2" s="378"/>
      <c r="C2" s="378"/>
      <c r="D2" s="378"/>
      <c r="E2" s="378"/>
      <c r="F2" s="379"/>
      <c r="G2" s="24"/>
      <c r="H2" s="391" t="s">
        <v>542</v>
      </c>
      <c r="I2" s="392" t="s">
        <v>555</v>
      </c>
      <c r="J2" s="392" t="s">
        <v>550</v>
      </c>
      <c r="K2" s="391" t="s">
        <v>546</v>
      </c>
      <c r="M2" s="29">
        <v>36</v>
      </c>
    </row>
    <row r="3" spans="1:15" hidden="1" x14ac:dyDescent="0.25">
      <c r="A3" s="386" t="s">
        <v>51</v>
      </c>
      <c r="B3" s="387" t="s">
        <v>52</v>
      </c>
      <c r="C3" s="387" t="s">
        <v>28</v>
      </c>
      <c r="D3" s="387" t="s">
        <v>29</v>
      </c>
      <c r="E3" s="387" t="s">
        <v>30</v>
      </c>
      <c r="F3" s="387" t="s">
        <v>31</v>
      </c>
      <c r="G3" s="24"/>
      <c r="H3" s="393" t="s">
        <v>543</v>
      </c>
      <c r="I3" s="394" t="s">
        <v>556</v>
      </c>
      <c r="J3" s="394" t="s">
        <v>544</v>
      </c>
      <c r="K3" s="393" t="s">
        <v>547</v>
      </c>
      <c r="M3" s="29">
        <v>50</v>
      </c>
    </row>
    <row r="4" spans="1:15" hidden="1" x14ac:dyDescent="0.25">
      <c r="A4" s="388" t="s">
        <v>26</v>
      </c>
      <c r="B4" s="349">
        <v>98.3</v>
      </c>
      <c r="C4" s="350">
        <v>44</v>
      </c>
      <c r="D4" s="350">
        <v>1.02</v>
      </c>
      <c r="E4" s="350">
        <v>16</v>
      </c>
      <c r="F4" s="351">
        <v>1.77</v>
      </c>
      <c r="G4" s="24"/>
      <c r="H4" s="395" t="s">
        <v>545</v>
      </c>
      <c r="I4" s="396" t="s">
        <v>557</v>
      </c>
      <c r="J4" s="396" t="s">
        <v>553</v>
      </c>
      <c r="K4" s="395" t="s">
        <v>548</v>
      </c>
      <c r="M4" s="29">
        <v>2.5</v>
      </c>
    </row>
    <row r="5" spans="1:15" hidden="1" x14ac:dyDescent="0.25">
      <c r="A5" s="389" t="s">
        <v>27</v>
      </c>
      <c r="B5" s="352">
        <v>85.8</v>
      </c>
      <c r="C5" s="353">
        <v>43.6</v>
      </c>
      <c r="D5" s="353">
        <v>0.87</v>
      </c>
      <c r="E5" s="353">
        <v>15.8</v>
      </c>
      <c r="F5" s="354">
        <v>1.58</v>
      </c>
      <c r="G5" s="24"/>
      <c r="H5" s="397">
        <v>0.375</v>
      </c>
      <c r="I5" s="380">
        <v>0.11044661672776616</v>
      </c>
      <c r="J5" s="380">
        <v>7.748971308142967E-2</v>
      </c>
      <c r="K5" s="381">
        <v>16</v>
      </c>
      <c r="M5" s="29">
        <v>3</v>
      </c>
    </row>
    <row r="6" spans="1:15" hidden="1" x14ac:dyDescent="0.25">
      <c r="A6" s="389" t="s">
        <v>251</v>
      </c>
      <c r="B6" s="352">
        <v>83.8</v>
      </c>
      <c r="C6" s="353">
        <v>44.02</v>
      </c>
      <c r="D6" s="353">
        <v>1.024</v>
      </c>
      <c r="E6" s="355">
        <v>11.811</v>
      </c>
      <c r="F6" s="354">
        <v>1.772</v>
      </c>
      <c r="G6" s="24"/>
      <c r="H6" s="398">
        <v>0.5</v>
      </c>
      <c r="I6" s="382">
        <v>0.19634954084936207</v>
      </c>
      <c r="J6" s="382">
        <v>0.1418988244310414</v>
      </c>
      <c r="K6" s="383">
        <v>13</v>
      </c>
      <c r="M6" s="29">
        <v>3.5</v>
      </c>
      <c r="O6" s="24"/>
    </row>
    <row r="7" spans="1:15" hidden="1" x14ac:dyDescent="0.25">
      <c r="A7" s="389" t="s">
        <v>381</v>
      </c>
      <c r="B7" s="352">
        <v>77.2</v>
      </c>
      <c r="C7" s="353">
        <v>43.3</v>
      </c>
      <c r="D7" s="353">
        <v>0.79</v>
      </c>
      <c r="E7" s="353">
        <v>15.8</v>
      </c>
      <c r="F7" s="354">
        <v>1.42</v>
      </c>
      <c r="G7" s="24"/>
      <c r="H7" s="398">
        <v>0.625</v>
      </c>
      <c r="I7" s="382">
        <f t="shared" ref="I7:I20" si="0">PI()*$H7^2/4</f>
        <v>0.30679615757712825</v>
      </c>
      <c r="J7" s="382">
        <f t="shared" ref="J7:J20" si="1">0.7854*($H7-0.9743/$K7)^2</f>
        <v>0.22600216354418184</v>
      </c>
      <c r="K7" s="383">
        <v>11</v>
      </c>
      <c r="M7" s="29">
        <v>4</v>
      </c>
      <c r="O7" s="24"/>
    </row>
    <row r="8" spans="1:15" hidden="1" x14ac:dyDescent="0.25">
      <c r="A8" s="389" t="s">
        <v>388</v>
      </c>
      <c r="B8" s="352">
        <v>72.8</v>
      </c>
      <c r="C8" s="353">
        <v>43.62</v>
      </c>
      <c r="D8" s="353">
        <v>0.86499999999999999</v>
      </c>
      <c r="E8" s="355">
        <v>11.811</v>
      </c>
      <c r="F8" s="354">
        <v>1.575</v>
      </c>
      <c r="G8" s="24"/>
      <c r="H8" s="398">
        <v>0.75</v>
      </c>
      <c r="I8" s="382">
        <f t="shared" si="0"/>
        <v>0.44178646691106466</v>
      </c>
      <c r="J8" s="382">
        <f t="shared" si="1"/>
        <v>0.33446070888845997</v>
      </c>
      <c r="K8" s="383">
        <v>10</v>
      </c>
      <c r="M8" s="29">
        <v>4.5</v>
      </c>
      <c r="O8" s="24"/>
    </row>
    <row r="9" spans="1:15" hidden="1" x14ac:dyDescent="0.25">
      <c r="A9" s="389" t="s">
        <v>382</v>
      </c>
      <c r="B9" s="352">
        <v>67.7</v>
      </c>
      <c r="C9" s="353">
        <v>42.9</v>
      </c>
      <c r="D9" s="353">
        <v>0.71</v>
      </c>
      <c r="E9" s="353">
        <v>15.8</v>
      </c>
      <c r="F9" s="354">
        <v>1.22</v>
      </c>
      <c r="G9" s="24"/>
      <c r="H9" s="398">
        <v>0.875</v>
      </c>
      <c r="I9" s="382">
        <f t="shared" si="0"/>
        <v>0.6013204688511713</v>
      </c>
      <c r="J9" s="382">
        <f t="shared" si="1"/>
        <v>0.4617343376400741</v>
      </c>
      <c r="K9" s="383">
        <v>9</v>
      </c>
      <c r="M9" s="29">
        <v>5</v>
      </c>
      <c r="O9" s="24"/>
    </row>
    <row r="10" spans="1:15" hidden="1" x14ac:dyDescent="0.25">
      <c r="A10" s="389" t="s">
        <v>387</v>
      </c>
      <c r="B10" s="352">
        <v>65.8</v>
      </c>
      <c r="C10" s="353">
        <v>43.31</v>
      </c>
      <c r="D10" s="353">
        <v>0.78700000000000003</v>
      </c>
      <c r="E10" s="355">
        <v>11.811</v>
      </c>
      <c r="F10" s="354">
        <v>1.4159999999999999</v>
      </c>
      <c r="G10" s="24"/>
      <c r="H10" s="398">
        <v>1</v>
      </c>
      <c r="I10" s="382">
        <f t="shared" si="0"/>
        <v>0.78539816339744828</v>
      </c>
      <c r="J10" s="382">
        <f t="shared" si="1"/>
        <v>0.60574540107571861</v>
      </c>
      <c r="K10" s="383">
        <v>8</v>
      </c>
      <c r="M10" s="29">
        <v>5.5</v>
      </c>
      <c r="N10" s="24"/>
      <c r="O10" s="24"/>
    </row>
    <row r="11" spans="1:15" hidden="1" x14ac:dyDescent="0.25">
      <c r="A11" s="389" t="s">
        <v>386</v>
      </c>
      <c r="B11" s="352">
        <v>58</v>
      </c>
      <c r="C11" s="353">
        <v>42.91</v>
      </c>
      <c r="D11" s="353">
        <v>0.70899999999999996</v>
      </c>
      <c r="E11" s="355">
        <v>11.811</v>
      </c>
      <c r="F11" s="354">
        <v>1.22</v>
      </c>
      <c r="G11" s="24"/>
      <c r="H11" s="398">
        <v>1.125</v>
      </c>
      <c r="I11" s="382">
        <f t="shared" si="0"/>
        <v>0.99401955054989544</v>
      </c>
      <c r="J11" s="382">
        <f t="shared" si="1"/>
        <v>0.7632751295682858</v>
      </c>
      <c r="K11" s="383">
        <v>7</v>
      </c>
      <c r="M11" s="29">
        <v>6</v>
      </c>
      <c r="N11" s="24"/>
      <c r="O11" s="24"/>
    </row>
    <row r="12" spans="1:15" hidden="1" x14ac:dyDescent="0.25">
      <c r="A12" s="389" t="s">
        <v>385</v>
      </c>
      <c r="B12" s="352">
        <v>192</v>
      </c>
      <c r="C12" s="353">
        <v>43.62</v>
      </c>
      <c r="D12" s="353">
        <v>1.97</v>
      </c>
      <c r="E12" s="353">
        <v>16.87</v>
      </c>
      <c r="F12" s="354">
        <v>3.54</v>
      </c>
      <c r="G12" s="24"/>
      <c r="H12" s="398">
        <v>1.25</v>
      </c>
      <c r="I12" s="382">
        <f t="shared" si="0"/>
        <v>1.227184630308513</v>
      </c>
      <c r="J12" s="382">
        <f t="shared" si="1"/>
        <v>0.96911163956828572</v>
      </c>
      <c r="K12" s="383">
        <v>7</v>
      </c>
      <c r="M12" s="29">
        <v>2</v>
      </c>
      <c r="N12" s="24"/>
      <c r="O12" s="24"/>
    </row>
    <row r="13" spans="1:15" hidden="1" x14ac:dyDescent="0.25">
      <c r="A13" s="389" t="s">
        <v>384</v>
      </c>
      <c r="B13" s="352">
        <v>174</v>
      </c>
      <c r="C13" s="353">
        <v>43</v>
      </c>
      <c r="D13" s="353">
        <v>1.79</v>
      </c>
      <c r="E13" s="353">
        <v>16.7</v>
      </c>
      <c r="F13" s="354">
        <v>3.23</v>
      </c>
      <c r="G13" s="24"/>
      <c r="H13" s="398">
        <v>1.375</v>
      </c>
      <c r="I13" s="382">
        <f t="shared" si="0"/>
        <v>1.4848934026733007</v>
      </c>
      <c r="J13" s="382">
        <f t="shared" si="1"/>
        <v>1.1548829321901668</v>
      </c>
      <c r="K13" s="383">
        <v>6</v>
      </c>
      <c r="M13" s="29">
        <v>4</v>
      </c>
      <c r="N13" s="24"/>
      <c r="O13" s="24"/>
    </row>
    <row r="14" spans="1:15" hidden="1" x14ac:dyDescent="0.25">
      <c r="A14" s="389" t="s">
        <v>383</v>
      </c>
      <c r="B14" s="352">
        <v>156</v>
      </c>
      <c r="C14" s="353">
        <v>42.34</v>
      </c>
      <c r="D14" s="353">
        <v>1.61</v>
      </c>
      <c r="E14" s="353">
        <v>16.510000000000002</v>
      </c>
      <c r="F14" s="354">
        <v>2.91</v>
      </c>
      <c r="G14" s="24"/>
      <c r="H14" s="398">
        <v>1.5</v>
      </c>
      <c r="I14" s="382">
        <f t="shared" si="0"/>
        <v>1.7671458676442586</v>
      </c>
      <c r="J14" s="382">
        <f t="shared" si="1"/>
        <v>1.4052520896901666</v>
      </c>
      <c r="K14" s="383">
        <v>6</v>
      </c>
      <c r="M14" s="29">
        <v>6</v>
      </c>
      <c r="N14" s="24"/>
      <c r="O14" s="24"/>
    </row>
    <row r="15" spans="1:15" hidden="1" x14ac:dyDescent="0.25">
      <c r="A15" s="389" t="s">
        <v>411</v>
      </c>
      <c r="B15" s="352">
        <v>148</v>
      </c>
      <c r="C15" s="353">
        <v>42.1</v>
      </c>
      <c r="D15" s="353">
        <v>1.54</v>
      </c>
      <c r="E15" s="353">
        <v>16.399999999999999</v>
      </c>
      <c r="F15" s="354">
        <v>2.76</v>
      </c>
      <c r="G15" s="55"/>
      <c r="H15" s="398">
        <v>1.75</v>
      </c>
      <c r="I15" s="382">
        <f t="shared" si="0"/>
        <v>2.4052818754046852</v>
      </c>
      <c r="J15" s="382">
        <f t="shared" si="1"/>
        <v>1.8994588135538397</v>
      </c>
      <c r="K15" s="383">
        <v>5</v>
      </c>
      <c r="M15" s="29">
        <v>8</v>
      </c>
      <c r="N15" s="24"/>
      <c r="O15" s="24"/>
    </row>
    <row r="16" spans="1:15" hidden="1" x14ac:dyDescent="0.25">
      <c r="A16" s="389" t="s">
        <v>302</v>
      </c>
      <c r="B16" s="352">
        <v>140</v>
      </c>
      <c r="C16" s="353">
        <v>41.81</v>
      </c>
      <c r="D16" s="353">
        <v>1.46</v>
      </c>
      <c r="E16" s="353">
        <v>16.36</v>
      </c>
      <c r="F16" s="354">
        <v>2.64</v>
      </c>
      <c r="G16" s="55"/>
      <c r="H16" s="398">
        <v>2</v>
      </c>
      <c r="I16" s="382">
        <f t="shared" si="0"/>
        <v>3.1415926535897931</v>
      </c>
      <c r="J16" s="382">
        <f t="shared" si="1"/>
        <v>2.4982259372269628</v>
      </c>
      <c r="K16" s="383">
        <v>4.5</v>
      </c>
      <c r="M16" s="650">
        <v>0.375</v>
      </c>
    </row>
    <row r="17" spans="1:13" s="55" customFormat="1" hidden="1" x14ac:dyDescent="0.25">
      <c r="A17" s="389" t="s">
        <v>250</v>
      </c>
      <c r="B17" s="352">
        <v>137</v>
      </c>
      <c r="C17" s="353">
        <v>42.44</v>
      </c>
      <c r="D17" s="353">
        <v>1.67</v>
      </c>
      <c r="E17" s="353">
        <v>12.64</v>
      </c>
      <c r="F17" s="354">
        <v>2.95</v>
      </c>
      <c r="G17" s="332"/>
      <c r="H17" s="398">
        <v>2.25</v>
      </c>
      <c r="I17" s="382">
        <f t="shared" si="0"/>
        <v>3.9760782021995817</v>
      </c>
      <c r="J17" s="382">
        <f t="shared" si="1"/>
        <v>3.2476895238936292</v>
      </c>
      <c r="K17" s="383">
        <v>4.5</v>
      </c>
      <c r="M17" s="34">
        <v>0.5</v>
      </c>
    </row>
    <row r="18" spans="1:13" s="55" customFormat="1" hidden="1" x14ac:dyDescent="0.25">
      <c r="A18" s="389" t="s">
        <v>301</v>
      </c>
      <c r="B18" s="352">
        <v>128</v>
      </c>
      <c r="C18" s="353">
        <v>41.34</v>
      </c>
      <c r="D18" s="353">
        <v>1.34</v>
      </c>
      <c r="E18" s="353">
        <v>16.239999999999998</v>
      </c>
      <c r="F18" s="354">
        <v>2.4</v>
      </c>
      <c r="G18" s="332"/>
      <c r="H18" s="398">
        <v>2.5</v>
      </c>
      <c r="I18" s="382">
        <f t="shared" si="0"/>
        <v>4.908738521234052</v>
      </c>
      <c r="J18" s="382">
        <f t="shared" si="1"/>
        <v>3.9988277993028754</v>
      </c>
      <c r="K18" s="383">
        <v>4</v>
      </c>
      <c r="M18" s="34">
        <v>0.625</v>
      </c>
    </row>
    <row r="19" spans="1:13" s="332" customFormat="1" hidden="1" x14ac:dyDescent="0.25">
      <c r="A19" s="389" t="s">
        <v>412</v>
      </c>
      <c r="B19" s="352">
        <v>127</v>
      </c>
      <c r="C19" s="353">
        <v>41.3</v>
      </c>
      <c r="D19" s="353">
        <v>1.34</v>
      </c>
      <c r="E19" s="353">
        <v>16.2</v>
      </c>
      <c r="F19" s="354">
        <v>2.36</v>
      </c>
      <c r="H19" s="398">
        <v>2.75</v>
      </c>
      <c r="I19" s="382">
        <f t="shared" si="0"/>
        <v>5.9395736106932029</v>
      </c>
      <c r="J19" s="382">
        <f t="shared" si="1"/>
        <v>4.9340133968028752</v>
      </c>
      <c r="K19" s="383">
        <v>4</v>
      </c>
      <c r="M19" s="34">
        <v>0.75</v>
      </c>
    </row>
    <row r="20" spans="1:13" s="332" customFormat="1" hidden="1" x14ac:dyDescent="0.25">
      <c r="A20" s="389" t="s">
        <v>300</v>
      </c>
      <c r="B20" s="352">
        <v>117</v>
      </c>
      <c r="C20" s="353">
        <v>41</v>
      </c>
      <c r="D20" s="353">
        <v>1.22</v>
      </c>
      <c r="E20" s="353">
        <v>16.100000000000001</v>
      </c>
      <c r="F20" s="354">
        <v>2.2000000000000002</v>
      </c>
      <c r="H20" s="399">
        <v>3</v>
      </c>
      <c r="I20" s="384">
        <f t="shared" si="0"/>
        <v>7.0685834705770345</v>
      </c>
      <c r="J20" s="384">
        <f t="shared" si="1"/>
        <v>5.9673739943028759</v>
      </c>
      <c r="K20" s="385">
        <v>4</v>
      </c>
      <c r="M20" s="34">
        <v>0.875</v>
      </c>
    </row>
    <row r="21" spans="1:13" s="332" customFormat="1" hidden="1" x14ac:dyDescent="0.25">
      <c r="A21" s="389" t="s">
        <v>414</v>
      </c>
      <c r="B21" s="352">
        <v>115</v>
      </c>
      <c r="C21" s="353">
        <v>41.6</v>
      </c>
      <c r="D21" s="353">
        <v>1.42</v>
      </c>
      <c r="E21" s="353">
        <v>12.4</v>
      </c>
      <c r="F21" s="354">
        <v>2.52</v>
      </c>
      <c r="H21" s="248" t="s">
        <v>559</v>
      </c>
      <c r="I21" s="249"/>
      <c r="J21" s="249"/>
      <c r="K21" s="250"/>
      <c r="M21" s="34">
        <v>1</v>
      </c>
    </row>
    <row r="22" spans="1:13" s="332" customFormat="1" hidden="1" x14ac:dyDescent="0.25">
      <c r="A22" s="389" t="s">
        <v>413</v>
      </c>
      <c r="B22" s="352">
        <v>109</v>
      </c>
      <c r="C22" s="353">
        <v>40.6</v>
      </c>
      <c r="D22" s="353">
        <v>1.1599999999999999</v>
      </c>
      <c r="E22" s="353">
        <v>16.100000000000001</v>
      </c>
      <c r="F22" s="354">
        <v>2.0499999999999998</v>
      </c>
      <c r="H22" s="151" t="s">
        <v>558</v>
      </c>
      <c r="I22" s="152"/>
      <c r="J22" s="152"/>
      <c r="K22" s="153"/>
      <c r="M22" s="34">
        <v>1.125</v>
      </c>
    </row>
    <row r="23" spans="1:13" s="332" customFormat="1" hidden="1" x14ac:dyDescent="0.25">
      <c r="A23" s="389" t="s">
        <v>299</v>
      </c>
      <c r="B23" s="352">
        <v>107</v>
      </c>
      <c r="C23" s="353">
        <v>40.6</v>
      </c>
      <c r="D23" s="353">
        <v>1.1200000000000001</v>
      </c>
      <c r="E23" s="353">
        <v>16</v>
      </c>
      <c r="F23" s="354">
        <v>2.0099999999999998</v>
      </c>
      <c r="G23" s="10"/>
      <c r="H23" s="248" t="s">
        <v>549</v>
      </c>
      <c r="I23" s="249"/>
      <c r="J23" s="249"/>
      <c r="K23" s="250"/>
      <c r="M23" s="34">
        <v>1.25</v>
      </c>
    </row>
    <row r="24" spans="1:13" s="332" customFormat="1" hidden="1" x14ac:dyDescent="0.25">
      <c r="A24" s="389" t="s">
        <v>415</v>
      </c>
      <c r="B24" s="352">
        <v>97.5</v>
      </c>
      <c r="C24" s="353">
        <v>40.799999999999997</v>
      </c>
      <c r="D24" s="353">
        <v>1.22</v>
      </c>
      <c r="E24" s="353">
        <v>12.2</v>
      </c>
      <c r="F24" s="354">
        <v>2.13</v>
      </c>
      <c r="G24" s="10"/>
      <c r="H24" s="151" t="s">
        <v>552</v>
      </c>
      <c r="I24" s="152"/>
      <c r="J24" s="152"/>
      <c r="K24" s="153"/>
      <c r="M24" s="34">
        <v>1.375</v>
      </c>
    </row>
    <row r="25" spans="1:13" s="10" customFormat="1" hidden="1" x14ac:dyDescent="0.25">
      <c r="A25" s="389" t="s">
        <v>298</v>
      </c>
      <c r="B25" s="352">
        <v>96.4</v>
      </c>
      <c r="C25" s="353">
        <v>40</v>
      </c>
      <c r="D25" s="353">
        <v>0.91</v>
      </c>
      <c r="E25" s="353">
        <v>17.91</v>
      </c>
      <c r="F25" s="354">
        <v>1.73</v>
      </c>
      <c r="M25" s="34">
        <v>1.5</v>
      </c>
    </row>
    <row r="26" spans="1:13" s="10" customFormat="1" hidden="1" x14ac:dyDescent="0.25">
      <c r="A26" s="389" t="s">
        <v>5</v>
      </c>
      <c r="B26" s="352">
        <v>96</v>
      </c>
      <c r="C26" s="353">
        <v>40.799999999999997</v>
      </c>
      <c r="D26" s="353">
        <v>1.18</v>
      </c>
      <c r="E26" s="353">
        <v>12.1</v>
      </c>
      <c r="F26" s="354">
        <v>2.13</v>
      </c>
      <c r="M26" s="34">
        <v>1.75</v>
      </c>
    </row>
    <row r="27" spans="1:13" s="10" customFormat="1" hidden="1" x14ac:dyDescent="0.25">
      <c r="A27" s="389" t="s">
        <v>297</v>
      </c>
      <c r="B27" s="352">
        <v>95.3</v>
      </c>
      <c r="C27" s="353">
        <v>40.200000000000003</v>
      </c>
      <c r="D27" s="353">
        <v>1</v>
      </c>
      <c r="E27" s="353">
        <v>15.9</v>
      </c>
      <c r="F27" s="354">
        <v>1.81</v>
      </c>
      <c r="M27" s="34">
        <v>2</v>
      </c>
    </row>
    <row r="28" spans="1:13" s="10" customFormat="1" hidden="1" x14ac:dyDescent="0.25">
      <c r="A28" s="389" t="s">
        <v>122</v>
      </c>
      <c r="B28" s="352">
        <v>94.1</v>
      </c>
      <c r="C28" s="353">
        <v>40.08</v>
      </c>
      <c r="D28" s="353">
        <v>1</v>
      </c>
      <c r="E28" s="353">
        <v>15.91</v>
      </c>
      <c r="F28" s="354">
        <v>1.77</v>
      </c>
      <c r="G28" s="24"/>
      <c r="H28" s="24"/>
      <c r="I28" s="24"/>
      <c r="J28" s="24"/>
      <c r="K28" s="24"/>
      <c r="M28" s="34">
        <v>2.25</v>
      </c>
    </row>
    <row r="29" spans="1:13" s="10" customFormat="1" hidden="1" x14ac:dyDescent="0.25">
      <c r="A29" s="389" t="s">
        <v>296</v>
      </c>
      <c r="B29" s="352">
        <v>87.6</v>
      </c>
      <c r="C29" s="353">
        <v>39.69</v>
      </c>
      <c r="D29" s="353">
        <v>0.83</v>
      </c>
      <c r="E29" s="353">
        <v>17.829999999999998</v>
      </c>
      <c r="F29" s="354">
        <v>1.575</v>
      </c>
      <c r="G29" s="24"/>
      <c r="H29" s="24"/>
      <c r="I29" s="24"/>
      <c r="J29" s="24"/>
      <c r="K29" s="24"/>
      <c r="M29" s="34">
        <v>2.5</v>
      </c>
    </row>
    <row r="30" spans="1:13" hidden="1" x14ac:dyDescent="0.25">
      <c r="A30" s="389" t="s">
        <v>295</v>
      </c>
      <c r="B30" s="352">
        <v>87.4</v>
      </c>
      <c r="C30" s="353">
        <v>39.799999999999997</v>
      </c>
      <c r="D30" s="353">
        <v>0.93</v>
      </c>
      <c r="E30" s="353">
        <v>15.8</v>
      </c>
      <c r="F30" s="354">
        <v>1.65</v>
      </c>
      <c r="G30" s="24"/>
      <c r="H30" s="24"/>
      <c r="I30" s="24"/>
      <c r="J30" s="24"/>
      <c r="K30" s="24"/>
      <c r="M30" s="34">
        <v>2.75</v>
      </c>
    </row>
    <row r="31" spans="1:13" hidden="1" x14ac:dyDescent="0.25">
      <c r="A31" s="389" t="s">
        <v>416</v>
      </c>
      <c r="B31" s="352">
        <v>81.8</v>
      </c>
      <c r="C31" s="353">
        <v>40.200000000000003</v>
      </c>
      <c r="D31" s="353">
        <v>1.02</v>
      </c>
      <c r="E31" s="353">
        <v>12</v>
      </c>
      <c r="F31" s="354">
        <v>1.81</v>
      </c>
      <c r="G31" s="24"/>
      <c r="H31" s="24"/>
      <c r="I31" s="24"/>
      <c r="J31" s="24"/>
      <c r="K31" s="24"/>
      <c r="M31" s="34">
        <v>3</v>
      </c>
    </row>
    <row r="32" spans="1:13" hidden="1" x14ac:dyDescent="0.25">
      <c r="A32" s="389" t="s">
        <v>294</v>
      </c>
      <c r="B32" s="352">
        <v>81.400000000000006</v>
      </c>
      <c r="C32" s="353">
        <v>39.700000000000003</v>
      </c>
      <c r="D32" s="353">
        <v>0.83</v>
      </c>
      <c r="E32" s="353">
        <v>15.8</v>
      </c>
      <c r="F32" s="354">
        <v>1.58</v>
      </c>
      <c r="G32" s="24"/>
      <c r="H32" s="24"/>
      <c r="I32" s="24"/>
      <c r="J32" s="24"/>
      <c r="K32" s="24"/>
      <c r="M32" s="29" t="s">
        <v>46</v>
      </c>
    </row>
    <row r="33" spans="1:13" hidden="1" x14ac:dyDescent="0.25">
      <c r="A33" s="389" t="s">
        <v>397</v>
      </c>
      <c r="B33" s="352">
        <v>78.8</v>
      </c>
      <c r="C33" s="353">
        <v>39.369999999999997</v>
      </c>
      <c r="D33" s="353">
        <v>0.75</v>
      </c>
      <c r="E33" s="353">
        <v>17.75</v>
      </c>
      <c r="F33" s="354">
        <v>1.415</v>
      </c>
      <c r="G33" s="24"/>
      <c r="H33" s="24"/>
      <c r="I33" s="24"/>
      <c r="J33" s="24"/>
      <c r="K33" s="24"/>
      <c r="M33" s="29" t="s">
        <v>149</v>
      </c>
    </row>
    <row r="34" spans="1:13" hidden="1" x14ac:dyDescent="0.25">
      <c r="A34" s="389" t="s">
        <v>417</v>
      </c>
      <c r="B34" s="352">
        <v>77.599999999999994</v>
      </c>
      <c r="C34" s="353">
        <v>40</v>
      </c>
      <c r="D34" s="353">
        <v>0.96</v>
      </c>
      <c r="E34" s="353">
        <v>11.9</v>
      </c>
      <c r="F34" s="354">
        <v>1.73</v>
      </c>
      <c r="G34" s="24"/>
      <c r="H34" s="24"/>
      <c r="I34" s="24"/>
      <c r="J34" s="24"/>
      <c r="K34" s="24"/>
      <c r="M34" s="644" t="s">
        <v>832</v>
      </c>
    </row>
    <row r="35" spans="1:13" hidden="1" x14ac:dyDescent="0.25">
      <c r="A35" s="389" t="s">
        <v>59</v>
      </c>
      <c r="B35" s="352">
        <v>73.3</v>
      </c>
      <c r="C35" s="353">
        <v>39.4</v>
      </c>
      <c r="D35" s="353">
        <v>0.75</v>
      </c>
      <c r="E35" s="353">
        <v>15.8</v>
      </c>
      <c r="F35" s="354">
        <v>1.42</v>
      </c>
      <c r="G35" s="24"/>
      <c r="H35" s="24"/>
      <c r="I35" s="24"/>
      <c r="J35" s="24"/>
      <c r="K35" s="24"/>
      <c r="M35" s="644" t="s">
        <v>831</v>
      </c>
    </row>
    <row r="36" spans="1:13" hidden="1" x14ac:dyDescent="0.25">
      <c r="A36" s="389" t="s">
        <v>226</v>
      </c>
      <c r="B36" s="352">
        <v>71.7</v>
      </c>
      <c r="C36" s="353">
        <v>39.06</v>
      </c>
      <c r="D36" s="353">
        <v>0.71</v>
      </c>
      <c r="E36" s="353">
        <v>17.71</v>
      </c>
      <c r="F36" s="354">
        <v>1.26</v>
      </c>
      <c r="G36" s="24"/>
      <c r="H36" s="24"/>
      <c r="I36" s="24"/>
      <c r="J36" s="24"/>
      <c r="K36" s="24"/>
      <c r="M36" s="29" t="s">
        <v>845</v>
      </c>
    </row>
    <row r="37" spans="1:13" hidden="1" x14ac:dyDescent="0.25">
      <c r="A37" s="389" t="s">
        <v>418</v>
      </c>
      <c r="B37" s="352">
        <v>69</v>
      </c>
      <c r="C37" s="353">
        <v>39.700000000000003</v>
      </c>
      <c r="D37" s="353">
        <v>0.83</v>
      </c>
      <c r="E37" s="353">
        <v>11.9</v>
      </c>
      <c r="F37" s="354">
        <v>1.58</v>
      </c>
      <c r="G37" s="24"/>
      <c r="H37" s="24"/>
      <c r="I37" s="24"/>
      <c r="J37" s="24"/>
      <c r="K37" s="24"/>
      <c r="M37" s="29" t="s">
        <v>847</v>
      </c>
    </row>
    <row r="38" spans="1:13" hidden="1" x14ac:dyDescent="0.25">
      <c r="A38" s="389" t="s">
        <v>3</v>
      </c>
      <c r="B38" s="352">
        <v>64.8</v>
      </c>
      <c r="C38" s="353">
        <v>38.67</v>
      </c>
      <c r="D38" s="353">
        <v>0.71</v>
      </c>
      <c r="E38" s="353">
        <v>17.71</v>
      </c>
      <c r="F38" s="354">
        <v>1.0649999999999999</v>
      </c>
      <c r="G38" s="24"/>
      <c r="H38" s="24"/>
      <c r="I38" s="24"/>
      <c r="J38" s="24"/>
      <c r="K38" s="24"/>
      <c r="M38" s="29" t="s">
        <v>846</v>
      </c>
    </row>
    <row r="39" spans="1:13" hidden="1" x14ac:dyDescent="0.25">
      <c r="A39" s="389" t="s">
        <v>89</v>
      </c>
      <c r="B39" s="352">
        <v>63.4</v>
      </c>
      <c r="C39" s="353">
        <v>39</v>
      </c>
      <c r="D39" s="353">
        <v>0.65</v>
      </c>
      <c r="E39" s="353">
        <v>15.8</v>
      </c>
      <c r="F39" s="354">
        <v>1.22</v>
      </c>
      <c r="G39" s="24"/>
      <c r="H39" s="24"/>
      <c r="I39" s="24"/>
      <c r="J39" s="24"/>
      <c r="K39" s="24"/>
      <c r="M39" s="201">
        <v>1.85</v>
      </c>
    </row>
    <row r="40" spans="1:13" hidden="1" x14ac:dyDescent="0.25">
      <c r="A40" s="389" t="s">
        <v>419</v>
      </c>
      <c r="B40" s="352">
        <v>62</v>
      </c>
      <c r="C40" s="353">
        <v>39.4</v>
      </c>
      <c r="D40" s="353">
        <v>0.75</v>
      </c>
      <c r="E40" s="353">
        <v>11.8</v>
      </c>
      <c r="F40" s="354">
        <v>1.42</v>
      </c>
      <c r="G40" s="24"/>
      <c r="H40" s="24"/>
      <c r="I40" s="24"/>
      <c r="J40" s="24"/>
      <c r="K40" s="24"/>
      <c r="M40" s="201">
        <v>1.25</v>
      </c>
    </row>
    <row r="41" spans="1:13" hidden="1" x14ac:dyDescent="0.25">
      <c r="A41" s="389" t="s">
        <v>88</v>
      </c>
      <c r="B41" s="352">
        <v>58.5</v>
      </c>
      <c r="C41" s="353">
        <v>38.700000000000003</v>
      </c>
      <c r="D41" s="353">
        <v>0.65</v>
      </c>
      <c r="E41" s="353">
        <v>15.8</v>
      </c>
      <c r="F41" s="354">
        <v>1.07</v>
      </c>
      <c r="G41" s="24"/>
      <c r="H41" s="24"/>
      <c r="I41" s="24"/>
      <c r="J41" s="24"/>
      <c r="K41" s="24"/>
      <c r="M41" s="201">
        <v>1.1000000000000001</v>
      </c>
    </row>
    <row r="42" spans="1:13" hidden="1" x14ac:dyDescent="0.25">
      <c r="A42" s="389" t="s">
        <v>87</v>
      </c>
      <c r="B42" s="352">
        <v>56.5</v>
      </c>
      <c r="C42" s="353">
        <v>38.200000000000003</v>
      </c>
      <c r="D42" s="353">
        <v>0.71</v>
      </c>
      <c r="E42" s="353">
        <v>17.71</v>
      </c>
      <c r="F42" s="354">
        <v>0.83</v>
      </c>
      <c r="G42" s="24"/>
      <c r="H42" s="24"/>
      <c r="I42" s="24"/>
      <c r="J42" s="24"/>
      <c r="K42" s="24"/>
    </row>
    <row r="43" spans="1:13" hidden="1" x14ac:dyDescent="0.25">
      <c r="A43" s="389" t="s">
        <v>349</v>
      </c>
      <c r="B43" s="352">
        <v>53.8</v>
      </c>
      <c r="C43" s="353">
        <v>39</v>
      </c>
      <c r="D43" s="353">
        <v>0.65</v>
      </c>
      <c r="E43" s="353">
        <v>11.8</v>
      </c>
      <c r="F43" s="354">
        <v>1.22</v>
      </c>
      <c r="G43" s="24"/>
      <c r="H43" s="24"/>
      <c r="I43" s="24"/>
      <c r="J43" s="24"/>
      <c r="K43" s="24"/>
    </row>
    <row r="44" spans="1:13" hidden="1" x14ac:dyDescent="0.25">
      <c r="A44" s="389" t="s">
        <v>446</v>
      </c>
      <c r="B44" s="352">
        <v>51.1</v>
      </c>
      <c r="C44" s="353">
        <v>38.200000000000003</v>
      </c>
      <c r="D44" s="353">
        <v>0.65</v>
      </c>
      <c r="E44" s="353">
        <v>15.75</v>
      </c>
      <c r="F44" s="354">
        <v>0.83</v>
      </c>
      <c r="G44" s="24"/>
      <c r="H44" s="24"/>
      <c r="I44" s="24"/>
      <c r="J44" s="24"/>
      <c r="K44" s="24"/>
    </row>
    <row r="45" spans="1:13" hidden="1" x14ac:dyDescent="0.25">
      <c r="A45" s="389" t="s">
        <v>348</v>
      </c>
      <c r="B45" s="352">
        <v>49.2</v>
      </c>
      <c r="C45" s="353">
        <v>38.6</v>
      </c>
      <c r="D45" s="353">
        <v>0.65</v>
      </c>
      <c r="E45" s="353">
        <v>11.8</v>
      </c>
      <c r="F45" s="354">
        <v>1.02</v>
      </c>
      <c r="G45" s="24"/>
      <c r="H45" s="24"/>
      <c r="I45" s="24"/>
      <c r="J45" s="24"/>
      <c r="K45" s="24"/>
    </row>
    <row r="46" spans="1:13" hidden="1" x14ac:dyDescent="0.25">
      <c r="A46" s="389" t="s">
        <v>347</v>
      </c>
      <c r="B46" s="352">
        <v>43.8</v>
      </c>
      <c r="C46" s="353">
        <v>38.200000000000003</v>
      </c>
      <c r="D46" s="353">
        <v>0.63</v>
      </c>
      <c r="E46" s="353">
        <v>11.8</v>
      </c>
      <c r="F46" s="354">
        <v>0.83</v>
      </c>
      <c r="G46" s="24"/>
      <c r="H46" s="24"/>
      <c r="I46" s="24"/>
      <c r="J46" s="24"/>
      <c r="K46" s="24"/>
    </row>
    <row r="47" spans="1:13" hidden="1" x14ac:dyDescent="0.25">
      <c r="A47" s="389" t="s">
        <v>346</v>
      </c>
      <c r="B47" s="352">
        <v>249</v>
      </c>
      <c r="C47" s="353">
        <v>42.45</v>
      </c>
      <c r="D47" s="353">
        <v>2.52</v>
      </c>
      <c r="E47" s="353">
        <v>18.13</v>
      </c>
      <c r="F47" s="354">
        <v>4.53</v>
      </c>
      <c r="G47" s="24"/>
      <c r="H47" s="24"/>
      <c r="I47" s="24"/>
      <c r="J47" s="24"/>
      <c r="K47" s="24"/>
    </row>
    <row r="48" spans="1:13" hidden="1" x14ac:dyDescent="0.25">
      <c r="A48" s="389" t="s">
        <v>345</v>
      </c>
      <c r="B48" s="352">
        <v>235</v>
      </c>
      <c r="C48" s="353">
        <v>42</v>
      </c>
      <c r="D48" s="353">
        <v>2.38</v>
      </c>
      <c r="E48" s="353">
        <v>18</v>
      </c>
      <c r="F48" s="354">
        <v>4.29</v>
      </c>
      <c r="G48" s="24"/>
      <c r="H48" s="24"/>
      <c r="I48" s="24"/>
      <c r="J48" s="24"/>
      <c r="K48" s="24"/>
    </row>
    <row r="49" spans="1:11" hidden="1" x14ac:dyDescent="0.25">
      <c r="A49" s="389" t="s">
        <v>344</v>
      </c>
      <c r="B49" s="352">
        <v>211</v>
      </c>
      <c r="C49" s="353">
        <v>41.19</v>
      </c>
      <c r="D49" s="353">
        <v>2.165</v>
      </c>
      <c r="E49" s="353">
        <v>17.774999999999999</v>
      </c>
      <c r="F49" s="354">
        <v>3.9</v>
      </c>
      <c r="G49" s="24"/>
      <c r="H49" s="24"/>
      <c r="I49" s="24"/>
      <c r="J49" s="24"/>
      <c r="K49" s="24"/>
    </row>
    <row r="50" spans="1:11" hidden="1" x14ac:dyDescent="0.25">
      <c r="A50" s="389" t="s">
        <v>343</v>
      </c>
      <c r="B50" s="352">
        <v>191</v>
      </c>
      <c r="C50" s="353">
        <v>40.5</v>
      </c>
      <c r="D50" s="353">
        <v>1.97</v>
      </c>
      <c r="E50" s="353">
        <v>17.600000000000001</v>
      </c>
      <c r="F50" s="354">
        <v>3.54</v>
      </c>
      <c r="G50" s="24"/>
      <c r="H50" s="24"/>
      <c r="I50" s="24"/>
      <c r="J50" s="24"/>
      <c r="K50" s="24"/>
    </row>
    <row r="51" spans="1:11" hidden="1" x14ac:dyDescent="0.25">
      <c r="A51" s="389" t="s">
        <v>342</v>
      </c>
      <c r="B51" s="352">
        <v>172</v>
      </c>
      <c r="C51" s="353">
        <v>39.840000000000003</v>
      </c>
      <c r="D51" s="353">
        <v>1.79</v>
      </c>
      <c r="E51" s="353">
        <v>17.399999999999999</v>
      </c>
      <c r="F51" s="354">
        <v>3.23</v>
      </c>
      <c r="G51" s="24"/>
      <c r="H51" s="24"/>
      <c r="I51" s="24"/>
      <c r="J51" s="24"/>
      <c r="K51" s="24"/>
    </row>
    <row r="52" spans="1:11" hidden="1" x14ac:dyDescent="0.25">
      <c r="A52" s="389" t="s">
        <v>341</v>
      </c>
      <c r="B52" s="352">
        <v>155</v>
      </c>
      <c r="C52" s="353">
        <v>39.200000000000003</v>
      </c>
      <c r="D52" s="353">
        <v>1.61</v>
      </c>
      <c r="E52" s="353">
        <v>17.2</v>
      </c>
      <c r="F52" s="354">
        <v>2.91</v>
      </c>
      <c r="G52" s="24"/>
      <c r="H52" s="24"/>
      <c r="I52" s="24"/>
      <c r="J52" s="24"/>
      <c r="K52" s="24"/>
    </row>
    <row r="53" spans="1:11" hidden="1" x14ac:dyDescent="0.25">
      <c r="A53" s="389" t="s">
        <v>21</v>
      </c>
      <c r="B53" s="352">
        <v>142</v>
      </c>
      <c r="C53" s="353">
        <v>38.74</v>
      </c>
      <c r="D53" s="353">
        <v>1.5</v>
      </c>
      <c r="E53" s="353">
        <v>17.105</v>
      </c>
      <c r="F53" s="354">
        <v>2.68</v>
      </c>
      <c r="G53" s="24"/>
      <c r="H53" s="24"/>
      <c r="I53" s="24"/>
      <c r="J53" s="24"/>
      <c r="K53" s="24"/>
    </row>
    <row r="54" spans="1:11" hidden="1" x14ac:dyDescent="0.25">
      <c r="A54" s="389" t="s">
        <v>273</v>
      </c>
      <c r="B54" s="352">
        <v>129</v>
      </c>
      <c r="C54" s="353">
        <v>38.299999999999997</v>
      </c>
      <c r="D54" s="353">
        <v>1.36</v>
      </c>
      <c r="E54" s="353">
        <v>17</v>
      </c>
      <c r="F54" s="354">
        <v>2.44</v>
      </c>
      <c r="G54" s="24"/>
      <c r="H54" s="24"/>
      <c r="I54" s="24"/>
      <c r="J54" s="24"/>
      <c r="K54" s="24"/>
    </row>
    <row r="55" spans="1:11" hidden="1" x14ac:dyDescent="0.25">
      <c r="A55" s="389" t="s">
        <v>277</v>
      </c>
      <c r="B55" s="352">
        <v>116</v>
      </c>
      <c r="C55" s="353">
        <v>37.799999999999997</v>
      </c>
      <c r="D55" s="353">
        <v>1.22</v>
      </c>
      <c r="E55" s="353">
        <v>16.8</v>
      </c>
      <c r="F55" s="354">
        <v>2.2000000000000002</v>
      </c>
      <c r="G55" s="24"/>
      <c r="H55" s="24"/>
      <c r="I55" s="24"/>
      <c r="J55" s="24"/>
      <c r="K55" s="24"/>
    </row>
    <row r="56" spans="1:11" hidden="1" x14ac:dyDescent="0.25">
      <c r="A56" s="389" t="s">
        <v>235</v>
      </c>
      <c r="B56" s="352">
        <v>105</v>
      </c>
      <c r="C56" s="353">
        <v>37.4</v>
      </c>
      <c r="D56" s="353">
        <v>1.1200000000000001</v>
      </c>
      <c r="E56" s="353">
        <v>16.7</v>
      </c>
      <c r="F56" s="354">
        <v>2.0099999999999998</v>
      </c>
      <c r="G56" s="24"/>
      <c r="H56" s="24"/>
      <c r="I56" s="24"/>
      <c r="J56" s="24"/>
      <c r="K56" s="24"/>
    </row>
    <row r="57" spans="1:11" hidden="1" x14ac:dyDescent="0.25">
      <c r="A57" s="389" t="s">
        <v>234</v>
      </c>
      <c r="B57" s="352">
        <v>96.4</v>
      </c>
      <c r="C57" s="353">
        <v>37.1</v>
      </c>
      <c r="D57" s="353">
        <v>1.02</v>
      </c>
      <c r="E57" s="353">
        <v>16.600000000000001</v>
      </c>
      <c r="F57" s="354">
        <v>1.85</v>
      </c>
      <c r="G57" s="24"/>
      <c r="H57" s="24"/>
      <c r="I57" s="24"/>
      <c r="J57" s="24"/>
      <c r="K57" s="24"/>
    </row>
    <row r="58" spans="1:11" hidden="1" x14ac:dyDescent="0.25">
      <c r="A58" s="389" t="s">
        <v>0</v>
      </c>
      <c r="B58" s="352">
        <v>88.3</v>
      </c>
      <c r="C58" s="353">
        <v>36.700000000000003</v>
      </c>
      <c r="D58" s="353">
        <v>0.94499999999999995</v>
      </c>
      <c r="E58" s="353">
        <v>16.7</v>
      </c>
      <c r="F58" s="354">
        <v>1.68</v>
      </c>
      <c r="G58" s="24"/>
      <c r="H58" s="24"/>
      <c r="I58" s="24"/>
      <c r="J58" s="24"/>
      <c r="K58" s="24"/>
    </row>
    <row r="59" spans="1:11" hidden="1" x14ac:dyDescent="0.25">
      <c r="A59" s="389" t="s">
        <v>365</v>
      </c>
      <c r="B59" s="352">
        <v>82.4</v>
      </c>
      <c r="C59" s="353">
        <v>36.5</v>
      </c>
      <c r="D59" s="353">
        <v>0.88500000000000001</v>
      </c>
      <c r="E59" s="353">
        <v>16.600000000000001</v>
      </c>
      <c r="F59" s="354">
        <v>1.57</v>
      </c>
      <c r="G59" s="24"/>
      <c r="H59" s="24"/>
      <c r="I59" s="24"/>
      <c r="J59" s="24"/>
      <c r="K59" s="24"/>
    </row>
    <row r="60" spans="1:11" hidden="1" x14ac:dyDescent="0.25">
      <c r="A60" s="389" t="s">
        <v>172</v>
      </c>
      <c r="B60" s="352">
        <v>76.5</v>
      </c>
      <c r="C60" s="353">
        <v>36.299999999999997</v>
      </c>
      <c r="D60" s="353">
        <v>0.84</v>
      </c>
      <c r="E60" s="353">
        <v>16.600000000000001</v>
      </c>
      <c r="F60" s="354">
        <v>1.44</v>
      </c>
      <c r="G60" s="24"/>
      <c r="H60" s="24"/>
      <c r="I60" s="24"/>
      <c r="J60" s="24"/>
      <c r="K60" s="24"/>
    </row>
    <row r="61" spans="1:11" hidden="1" x14ac:dyDescent="0.25">
      <c r="A61" s="389" t="s">
        <v>171</v>
      </c>
      <c r="B61" s="352">
        <v>75.400000000000006</v>
      </c>
      <c r="C61" s="353">
        <v>37.4</v>
      </c>
      <c r="D61" s="353">
        <v>0.96</v>
      </c>
      <c r="E61" s="353">
        <v>12.2</v>
      </c>
      <c r="F61" s="354">
        <v>1.73</v>
      </c>
      <c r="G61" s="24"/>
      <c r="H61" s="24"/>
      <c r="I61" s="24"/>
      <c r="J61" s="24"/>
      <c r="K61" s="24"/>
    </row>
    <row r="62" spans="1:11" hidden="1" x14ac:dyDescent="0.25">
      <c r="A62" s="389" t="s">
        <v>170</v>
      </c>
      <c r="B62" s="352">
        <v>72.099999999999994</v>
      </c>
      <c r="C62" s="353">
        <v>36.1</v>
      </c>
      <c r="D62" s="353">
        <v>0.8</v>
      </c>
      <c r="E62" s="353">
        <v>16.5</v>
      </c>
      <c r="F62" s="354">
        <v>1.35</v>
      </c>
      <c r="G62" s="24"/>
      <c r="H62" s="24"/>
      <c r="I62" s="24"/>
      <c r="J62" s="24"/>
      <c r="K62" s="24"/>
    </row>
    <row r="63" spans="1:11" hidden="1" x14ac:dyDescent="0.25">
      <c r="A63" s="389" t="s">
        <v>154</v>
      </c>
      <c r="B63" s="352">
        <v>68.099999999999994</v>
      </c>
      <c r="C63" s="353">
        <v>37.1</v>
      </c>
      <c r="D63" s="353">
        <v>0.87</v>
      </c>
      <c r="E63" s="353">
        <v>12.1</v>
      </c>
      <c r="F63" s="354">
        <v>1.57</v>
      </c>
      <c r="G63" s="24"/>
      <c r="H63" s="24"/>
      <c r="I63" s="24"/>
      <c r="J63" s="24"/>
      <c r="K63" s="24"/>
    </row>
    <row r="64" spans="1:11" hidden="1" x14ac:dyDescent="0.25">
      <c r="A64" s="389" t="s">
        <v>81</v>
      </c>
      <c r="B64" s="352">
        <v>67.599999999999994</v>
      </c>
      <c r="C64" s="353">
        <v>35.9</v>
      </c>
      <c r="D64" s="353">
        <v>0.76</v>
      </c>
      <c r="E64" s="353">
        <v>16.5</v>
      </c>
      <c r="F64" s="354">
        <v>1.26</v>
      </c>
      <c r="G64" s="24"/>
      <c r="H64" s="24"/>
      <c r="I64" s="24"/>
      <c r="J64" s="24"/>
      <c r="K64" s="24"/>
    </row>
    <row r="65" spans="1:11" hidden="1" x14ac:dyDescent="0.25">
      <c r="A65" s="389" t="s">
        <v>271</v>
      </c>
      <c r="B65" s="352">
        <v>61.8</v>
      </c>
      <c r="C65" s="353">
        <v>36.700000000000003</v>
      </c>
      <c r="D65" s="353">
        <v>0.83</v>
      </c>
      <c r="E65" s="353">
        <v>12.2</v>
      </c>
      <c r="F65" s="354">
        <v>1.36</v>
      </c>
      <c r="G65" s="24"/>
      <c r="H65" s="24"/>
      <c r="I65" s="24"/>
      <c r="J65" s="24"/>
      <c r="K65" s="24"/>
    </row>
    <row r="66" spans="1:11" hidden="1" x14ac:dyDescent="0.25">
      <c r="A66" s="389" t="s">
        <v>270</v>
      </c>
      <c r="B66" s="352">
        <v>57</v>
      </c>
      <c r="C66" s="353">
        <v>36.5</v>
      </c>
      <c r="D66" s="353">
        <v>0.76500000000000001</v>
      </c>
      <c r="E66" s="353">
        <v>12.1</v>
      </c>
      <c r="F66" s="354">
        <v>1.26</v>
      </c>
      <c r="G66" s="24"/>
      <c r="H66" s="24"/>
      <c r="I66" s="24"/>
      <c r="J66" s="24"/>
      <c r="K66" s="24"/>
    </row>
    <row r="67" spans="1:11" hidden="1" x14ac:dyDescent="0.25">
      <c r="A67" s="389" t="s">
        <v>269</v>
      </c>
      <c r="B67" s="352">
        <v>53.6</v>
      </c>
      <c r="C67" s="353">
        <v>36.299999999999997</v>
      </c>
      <c r="D67" s="353">
        <v>0.72499999999999998</v>
      </c>
      <c r="E67" s="353">
        <v>12.1</v>
      </c>
      <c r="F67" s="354">
        <v>1.18</v>
      </c>
      <c r="G67" s="24"/>
      <c r="H67" s="24"/>
      <c r="I67" s="24"/>
      <c r="J67" s="24"/>
      <c r="K67" s="24"/>
    </row>
    <row r="68" spans="1:11" hidden="1" x14ac:dyDescent="0.25">
      <c r="A68" s="389" t="s">
        <v>268</v>
      </c>
      <c r="B68" s="352">
        <v>50.1</v>
      </c>
      <c r="C68" s="353">
        <v>36.200000000000003</v>
      </c>
      <c r="D68" s="353">
        <v>0.68</v>
      </c>
      <c r="E68" s="353">
        <v>12</v>
      </c>
      <c r="F68" s="354">
        <v>1.1000000000000001</v>
      </c>
      <c r="G68" s="24"/>
      <c r="H68" s="24"/>
      <c r="I68" s="24"/>
      <c r="J68" s="24"/>
      <c r="K68" s="24"/>
    </row>
    <row r="69" spans="1:11" hidden="1" x14ac:dyDescent="0.25">
      <c r="A69" s="389" t="s">
        <v>267</v>
      </c>
      <c r="B69" s="352">
        <v>47</v>
      </c>
      <c r="C69" s="353">
        <v>36</v>
      </c>
      <c r="D69" s="353">
        <v>0.65</v>
      </c>
      <c r="E69" s="353">
        <v>12</v>
      </c>
      <c r="F69" s="354">
        <v>1.02</v>
      </c>
      <c r="G69" s="24"/>
      <c r="H69" s="24"/>
      <c r="I69" s="24"/>
      <c r="J69" s="24"/>
      <c r="K69" s="24"/>
    </row>
    <row r="70" spans="1:11" hidden="1" x14ac:dyDescent="0.25">
      <c r="A70" s="389" t="s">
        <v>147</v>
      </c>
      <c r="B70" s="352">
        <v>44.2</v>
      </c>
      <c r="C70" s="353">
        <v>35.9</v>
      </c>
      <c r="D70" s="353">
        <v>0.625</v>
      </c>
      <c r="E70" s="353">
        <v>12</v>
      </c>
      <c r="F70" s="354">
        <v>0.94</v>
      </c>
      <c r="G70" s="24"/>
      <c r="H70" s="24"/>
      <c r="I70" s="24"/>
      <c r="J70" s="24"/>
      <c r="K70" s="24"/>
    </row>
    <row r="71" spans="1:11" hidden="1" x14ac:dyDescent="0.25">
      <c r="A71" s="389" t="s">
        <v>146</v>
      </c>
      <c r="B71" s="352">
        <v>39.700000000000003</v>
      </c>
      <c r="C71" s="353">
        <v>35.6</v>
      </c>
      <c r="D71" s="353">
        <v>0.6</v>
      </c>
      <c r="E71" s="353">
        <v>12</v>
      </c>
      <c r="F71" s="354">
        <v>0.79</v>
      </c>
      <c r="G71" s="24"/>
      <c r="H71" s="24"/>
      <c r="I71" s="24"/>
      <c r="J71" s="24"/>
      <c r="K71" s="24"/>
    </row>
    <row r="72" spans="1:11" hidden="1" x14ac:dyDescent="0.25">
      <c r="A72" s="389" t="s">
        <v>145</v>
      </c>
      <c r="B72" s="352">
        <v>181</v>
      </c>
      <c r="C72" s="353">
        <v>38.47</v>
      </c>
      <c r="D72" s="353">
        <v>1.97</v>
      </c>
      <c r="E72" s="353">
        <v>16.91</v>
      </c>
      <c r="F72" s="354">
        <v>3.54</v>
      </c>
      <c r="G72" s="24"/>
      <c r="H72" s="24"/>
      <c r="I72" s="24"/>
      <c r="J72" s="24"/>
      <c r="K72" s="24"/>
    </row>
    <row r="73" spans="1:11" hidden="1" x14ac:dyDescent="0.25">
      <c r="A73" s="389" t="s">
        <v>144</v>
      </c>
      <c r="B73" s="352">
        <v>166</v>
      </c>
      <c r="C73" s="353">
        <v>37.909999999999997</v>
      </c>
      <c r="D73" s="353">
        <v>1.81</v>
      </c>
      <c r="E73" s="353">
        <v>16.75</v>
      </c>
      <c r="F73" s="354">
        <v>3.27</v>
      </c>
      <c r="G73" s="24"/>
      <c r="H73" s="24"/>
      <c r="I73" s="24"/>
      <c r="J73" s="24"/>
      <c r="K73" s="24"/>
    </row>
    <row r="74" spans="1:11" hidden="1" x14ac:dyDescent="0.25">
      <c r="A74" s="389" t="s">
        <v>143</v>
      </c>
      <c r="B74" s="352">
        <v>151</v>
      </c>
      <c r="C74" s="353">
        <v>37.36</v>
      </c>
      <c r="D74" s="353">
        <v>1.65</v>
      </c>
      <c r="E74" s="353">
        <v>16.59</v>
      </c>
      <c r="F74" s="354">
        <v>2.99</v>
      </c>
      <c r="G74" s="24"/>
      <c r="H74" s="24"/>
      <c r="I74" s="24"/>
      <c r="J74" s="24"/>
      <c r="K74" s="24"/>
    </row>
    <row r="75" spans="1:11" hidden="1" x14ac:dyDescent="0.25">
      <c r="A75" s="389" t="s">
        <v>189</v>
      </c>
      <c r="B75" s="352">
        <v>137</v>
      </c>
      <c r="C75" s="353">
        <v>36.81</v>
      </c>
      <c r="D75" s="353">
        <v>1.52</v>
      </c>
      <c r="E75" s="355">
        <v>16.454999999999998</v>
      </c>
      <c r="F75" s="354">
        <v>2.72</v>
      </c>
      <c r="G75" s="24"/>
      <c r="H75" s="24"/>
      <c r="I75" s="24"/>
      <c r="J75" s="24"/>
      <c r="K75" s="24"/>
    </row>
    <row r="76" spans="1:11" hidden="1" x14ac:dyDescent="0.25">
      <c r="A76" s="389" t="s">
        <v>188</v>
      </c>
      <c r="B76" s="352">
        <v>124</v>
      </c>
      <c r="C76" s="353">
        <v>36.340000000000003</v>
      </c>
      <c r="D76" s="353">
        <v>1.38</v>
      </c>
      <c r="E76" s="355">
        <v>16.315000000000001</v>
      </c>
      <c r="F76" s="354">
        <v>2.48</v>
      </c>
      <c r="G76" s="24"/>
      <c r="H76" s="24"/>
      <c r="I76" s="24"/>
      <c r="J76" s="24"/>
      <c r="K76" s="24"/>
    </row>
    <row r="77" spans="1:11" hidden="1" x14ac:dyDescent="0.25">
      <c r="A77" s="389" t="s">
        <v>187</v>
      </c>
      <c r="B77" s="352">
        <v>114</v>
      </c>
      <c r="C77" s="353">
        <v>36</v>
      </c>
      <c r="D77" s="353">
        <v>1.26</v>
      </c>
      <c r="E77" s="353">
        <v>16.2</v>
      </c>
      <c r="F77" s="354">
        <v>2.2799999999999998</v>
      </c>
      <c r="G77" s="24"/>
      <c r="H77" s="24"/>
      <c r="I77" s="24"/>
      <c r="J77" s="24"/>
      <c r="K77" s="24"/>
    </row>
    <row r="78" spans="1:11" hidden="1" x14ac:dyDescent="0.25">
      <c r="A78" s="389" t="s">
        <v>186</v>
      </c>
      <c r="B78" s="352">
        <v>104</v>
      </c>
      <c r="C78" s="353">
        <v>35.6</v>
      </c>
      <c r="D78" s="353">
        <v>1.1599999999999999</v>
      </c>
      <c r="E78" s="353">
        <v>16.100000000000001</v>
      </c>
      <c r="F78" s="354">
        <v>2.09</v>
      </c>
      <c r="G78" s="24"/>
      <c r="H78" s="24"/>
      <c r="I78" s="24"/>
      <c r="J78" s="24"/>
      <c r="K78" s="24"/>
    </row>
    <row r="79" spans="1:11" hidden="1" x14ac:dyDescent="0.25">
      <c r="A79" s="389" t="s">
        <v>185</v>
      </c>
      <c r="B79" s="352">
        <v>93.6</v>
      </c>
      <c r="C79" s="353">
        <v>35.200000000000003</v>
      </c>
      <c r="D79" s="353">
        <v>1.04</v>
      </c>
      <c r="E79" s="353">
        <v>16</v>
      </c>
      <c r="F79" s="354">
        <v>1.89</v>
      </c>
      <c r="G79" s="24"/>
      <c r="H79" s="24"/>
      <c r="I79" s="24"/>
      <c r="J79" s="24"/>
      <c r="K79" s="24"/>
    </row>
    <row r="80" spans="1:11" hidden="1" x14ac:dyDescent="0.25">
      <c r="A80" s="389" t="s">
        <v>150</v>
      </c>
      <c r="B80" s="352">
        <v>85.7</v>
      </c>
      <c r="C80" s="353">
        <v>34.799999999999997</v>
      </c>
      <c r="D80" s="353">
        <v>0.96</v>
      </c>
      <c r="E80" s="353">
        <v>15.9</v>
      </c>
      <c r="F80" s="354">
        <v>1.73</v>
      </c>
      <c r="G80" s="24"/>
      <c r="H80" s="24"/>
      <c r="I80" s="24"/>
      <c r="J80" s="24"/>
      <c r="K80" s="24"/>
    </row>
    <row r="81" spans="1:11" hidden="1" x14ac:dyDescent="0.25">
      <c r="A81" s="389" t="s">
        <v>440</v>
      </c>
      <c r="B81" s="352">
        <v>77.5</v>
      </c>
      <c r="C81" s="353">
        <v>34.5</v>
      </c>
      <c r="D81" s="353">
        <v>0.87</v>
      </c>
      <c r="E81" s="353">
        <v>15.8</v>
      </c>
      <c r="F81" s="354">
        <v>1.57</v>
      </c>
      <c r="G81" s="24"/>
      <c r="H81" s="24"/>
      <c r="I81" s="24"/>
      <c r="J81" s="24"/>
      <c r="K81" s="24"/>
    </row>
    <row r="82" spans="1:11" hidden="1" x14ac:dyDescent="0.25">
      <c r="A82" s="389" t="s">
        <v>439</v>
      </c>
      <c r="B82" s="352">
        <v>71</v>
      </c>
      <c r="C82" s="353">
        <v>34.200000000000003</v>
      </c>
      <c r="D82" s="353">
        <v>0.83</v>
      </c>
      <c r="E82" s="353">
        <v>15.9</v>
      </c>
      <c r="F82" s="354">
        <v>1.4</v>
      </c>
      <c r="G82" s="24"/>
      <c r="H82" s="24"/>
      <c r="I82" s="24"/>
      <c r="J82" s="24"/>
      <c r="K82" s="24"/>
    </row>
    <row r="83" spans="1:11" hidden="1" x14ac:dyDescent="0.25">
      <c r="A83" s="389" t="s">
        <v>339</v>
      </c>
      <c r="B83" s="352">
        <v>65.2</v>
      </c>
      <c r="C83" s="353">
        <v>33.9</v>
      </c>
      <c r="D83" s="353">
        <v>0.77500000000000002</v>
      </c>
      <c r="E83" s="353">
        <v>15.8</v>
      </c>
      <c r="F83" s="354">
        <v>1.27</v>
      </c>
      <c r="G83" s="24"/>
      <c r="H83" s="24"/>
      <c r="I83" s="24"/>
      <c r="J83" s="24"/>
      <c r="K83" s="24"/>
    </row>
    <row r="84" spans="1:11" hidden="1" x14ac:dyDescent="0.25">
      <c r="A84" s="389" t="s">
        <v>338</v>
      </c>
      <c r="B84" s="352">
        <v>59.2</v>
      </c>
      <c r="C84" s="353">
        <v>33.700000000000003</v>
      </c>
      <c r="D84" s="353">
        <v>0.71499999999999997</v>
      </c>
      <c r="E84" s="353">
        <v>15.7</v>
      </c>
      <c r="F84" s="354">
        <v>1.1499999999999999</v>
      </c>
      <c r="G84" s="24"/>
      <c r="H84" s="24"/>
      <c r="I84" s="24"/>
      <c r="J84" s="24"/>
      <c r="K84" s="24"/>
    </row>
    <row r="85" spans="1:11" hidden="1" x14ac:dyDescent="0.25">
      <c r="A85" s="389" t="s">
        <v>4</v>
      </c>
      <c r="B85" s="352">
        <v>49.5</v>
      </c>
      <c r="C85" s="353">
        <v>33.799999999999997</v>
      </c>
      <c r="D85" s="353">
        <v>0.67</v>
      </c>
      <c r="E85" s="353">
        <v>11.5</v>
      </c>
      <c r="F85" s="354">
        <v>1.22</v>
      </c>
      <c r="G85" s="24"/>
      <c r="H85" s="24"/>
      <c r="I85" s="24"/>
      <c r="J85" s="24"/>
      <c r="K85" s="24"/>
    </row>
    <row r="86" spans="1:11" hidden="1" x14ac:dyDescent="0.25">
      <c r="A86" s="389" t="s">
        <v>229</v>
      </c>
      <c r="B86" s="352">
        <v>44.8</v>
      </c>
      <c r="C86" s="353">
        <v>33.5</v>
      </c>
      <c r="D86" s="353">
        <v>0.63500000000000001</v>
      </c>
      <c r="E86" s="353">
        <v>11.6</v>
      </c>
      <c r="F86" s="354">
        <v>1.06</v>
      </c>
      <c r="G86" s="24"/>
      <c r="H86" s="24"/>
      <c r="I86" s="24"/>
      <c r="J86" s="24"/>
      <c r="K86" s="24"/>
    </row>
    <row r="87" spans="1:11" hidden="1" x14ac:dyDescent="0.25">
      <c r="A87" s="389" t="s">
        <v>228</v>
      </c>
      <c r="B87" s="352">
        <v>41.6</v>
      </c>
      <c r="C87" s="353">
        <v>33.299999999999997</v>
      </c>
      <c r="D87" s="353">
        <v>0.60499999999999998</v>
      </c>
      <c r="E87" s="353">
        <v>11.5</v>
      </c>
      <c r="F87" s="354">
        <v>0.96</v>
      </c>
      <c r="G87" s="24"/>
      <c r="H87" s="24"/>
      <c r="I87" s="24"/>
      <c r="J87" s="24"/>
      <c r="K87" s="24"/>
    </row>
    <row r="88" spans="1:11" hidden="1" x14ac:dyDescent="0.25">
      <c r="A88" s="389" t="s">
        <v>227</v>
      </c>
      <c r="B88" s="352">
        <v>38.299999999999997</v>
      </c>
      <c r="C88" s="353">
        <v>33.1</v>
      </c>
      <c r="D88" s="353">
        <v>0.57999999999999996</v>
      </c>
      <c r="E88" s="353">
        <v>11.5</v>
      </c>
      <c r="F88" s="354">
        <v>0.85499999999999998</v>
      </c>
      <c r="G88" s="24"/>
      <c r="H88" s="24"/>
      <c r="I88" s="24"/>
      <c r="J88" s="24"/>
      <c r="K88" s="24"/>
    </row>
    <row r="89" spans="1:11" hidden="1" x14ac:dyDescent="0.25">
      <c r="A89" s="389" t="s">
        <v>241</v>
      </c>
      <c r="B89" s="352">
        <v>34.700000000000003</v>
      </c>
      <c r="C89" s="353">
        <v>32.9</v>
      </c>
      <c r="D89" s="353">
        <v>0.55000000000000004</v>
      </c>
      <c r="E89" s="353">
        <v>11.5</v>
      </c>
      <c r="F89" s="354">
        <v>0.74</v>
      </c>
      <c r="G89" s="24"/>
      <c r="H89" s="24"/>
      <c r="I89" s="24"/>
      <c r="J89" s="24"/>
      <c r="K89" s="24"/>
    </row>
    <row r="90" spans="1:11" hidden="1" x14ac:dyDescent="0.25">
      <c r="A90" s="389" t="s">
        <v>240</v>
      </c>
      <c r="B90" s="352">
        <v>170</v>
      </c>
      <c r="C90" s="353">
        <v>35.39</v>
      </c>
      <c r="D90" s="353">
        <v>1.97</v>
      </c>
      <c r="E90" s="353">
        <v>16.2</v>
      </c>
      <c r="F90" s="354">
        <v>3.54</v>
      </c>
      <c r="G90" s="24"/>
      <c r="H90" s="24"/>
      <c r="I90" s="24"/>
      <c r="J90" s="24"/>
      <c r="K90" s="24"/>
    </row>
    <row r="91" spans="1:11" hidden="1" x14ac:dyDescent="0.25">
      <c r="A91" s="389" t="s">
        <v>239</v>
      </c>
      <c r="B91" s="352">
        <v>154</v>
      </c>
      <c r="C91" s="353">
        <v>34.76</v>
      </c>
      <c r="D91" s="353">
        <v>1.79</v>
      </c>
      <c r="E91" s="353">
        <v>16.02</v>
      </c>
      <c r="F91" s="354">
        <v>3.23</v>
      </c>
      <c r="G91" s="24"/>
      <c r="H91" s="24"/>
      <c r="I91" s="24"/>
      <c r="J91" s="24"/>
      <c r="K91" s="24"/>
    </row>
    <row r="92" spans="1:11" hidden="1" x14ac:dyDescent="0.25">
      <c r="A92" s="389" t="s">
        <v>238</v>
      </c>
      <c r="B92" s="352">
        <v>140</v>
      </c>
      <c r="C92" s="353">
        <v>34.21</v>
      </c>
      <c r="D92" s="353">
        <v>1.63</v>
      </c>
      <c r="E92" s="355">
        <v>15.865</v>
      </c>
      <c r="F92" s="354">
        <v>2.95</v>
      </c>
      <c r="G92" s="24"/>
      <c r="H92" s="24"/>
      <c r="I92" s="24"/>
      <c r="J92" s="24"/>
      <c r="K92" s="24"/>
    </row>
    <row r="93" spans="1:11" hidden="1" x14ac:dyDescent="0.25">
      <c r="A93" s="389" t="s">
        <v>180</v>
      </c>
      <c r="B93" s="352">
        <v>127</v>
      </c>
      <c r="C93" s="353">
        <v>33.659999999999997</v>
      </c>
      <c r="D93" s="353">
        <v>1.5</v>
      </c>
      <c r="E93" s="355">
        <v>15.725</v>
      </c>
      <c r="F93" s="354">
        <v>2.68</v>
      </c>
      <c r="G93" s="24"/>
      <c r="H93" s="24"/>
      <c r="I93" s="24"/>
      <c r="J93" s="24"/>
      <c r="K93" s="24"/>
    </row>
    <row r="94" spans="1:11" hidden="1" x14ac:dyDescent="0.25">
      <c r="A94" s="389" t="s">
        <v>24</v>
      </c>
      <c r="B94" s="352">
        <v>115</v>
      </c>
      <c r="C94" s="353">
        <v>33.200000000000003</v>
      </c>
      <c r="D94" s="353">
        <v>1.36</v>
      </c>
      <c r="E94" s="353">
        <v>15.6</v>
      </c>
      <c r="F94" s="354">
        <v>2.44</v>
      </c>
      <c r="G94" s="24"/>
      <c r="H94" s="24"/>
      <c r="I94" s="24"/>
      <c r="J94" s="24"/>
      <c r="K94" s="24"/>
    </row>
    <row r="95" spans="1:11" hidden="1" x14ac:dyDescent="0.25">
      <c r="A95" s="389" t="s">
        <v>23</v>
      </c>
      <c r="B95" s="352">
        <v>105</v>
      </c>
      <c r="C95" s="353">
        <v>32.799999999999997</v>
      </c>
      <c r="D95" s="353">
        <v>1.24</v>
      </c>
      <c r="E95" s="353">
        <v>15.5</v>
      </c>
      <c r="F95" s="354">
        <v>2.2400000000000002</v>
      </c>
      <c r="G95" s="24"/>
      <c r="H95" s="24"/>
      <c r="I95" s="24"/>
      <c r="J95" s="24"/>
      <c r="K95" s="24"/>
    </row>
    <row r="96" spans="1:11" hidden="1" x14ac:dyDescent="0.25">
      <c r="A96" s="389" t="s">
        <v>22</v>
      </c>
      <c r="B96" s="352">
        <v>95.8</v>
      </c>
      <c r="C96" s="353">
        <v>32.4</v>
      </c>
      <c r="D96" s="353">
        <v>1.1399999999999999</v>
      </c>
      <c r="E96" s="353">
        <v>15.4</v>
      </c>
      <c r="F96" s="354">
        <v>2.0499999999999998</v>
      </c>
      <c r="G96" s="24"/>
      <c r="H96" s="24"/>
      <c r="I96" s="24"/>
      <c r="J96" s="24"/>
      <c r="K96" s="24"/>
    </row>
    <row r="97" spans="1:11" hidden="1" x14ac:dyDescent="0.25">
      <c r="A97" s="389" t="s">
        <v>242</v>
      </c>
      <c r="B97" s="352">
        <v>85.9</v>
      </c>
      <c r="C97" s="353">
        <v>32</v>
      </c>
      <c r="D97" s="353">
        <v>1.02</v>
      </c>
      <c r="E97" s="353">
        <v>15.3</v>
      </c>
      <c r="F97" s="354">
        <v>1.85</v>
      </c>
      <c r="G97" s="24"/>
      <c r="H97" s="24"/>
      <c r="I97" s="24"/>
      <c r="J97" s="24"/>
      <c r="K97" s="24"/>
    </row>
    <row r="98" spans="1:11" hidden="1" x14ac:dyDescent="0.25">
      <c r="A98" s="389" t="s">
        <v>19</v>
      </c>
      <c r="B98" s="352">
        <v>76.900000000000006</v>
      </c>
      <c r="C98" s="353">
        <v>31.6</v>
      </c>
      <c r="D98" s="353">
        <v>0.93</v>
      </c>
      <c r="E98" s="353">
        <v>15.2</v>
      </c>
      <c r="F98" s="354">
        <v>1.65</v>
      </c>
      <c r="G98" s="24"/>
      <c r="H98" s="24"/>
      <c r="I98" s="24"/>
      <c r="J98" s="24"/>
      <c r="K98" s="24"/>
    </row>
    <row r="99" spans="1:11" hidden="1" x14ac:dyDescent="0.25">
      <c r="A99" s="389" t="s">
        <v>18</v>
      </c>
      <c r="B99" s="352">
        <v>69.2</v>
      </c>
      <c r="C99" s="353">
        <v>31.3</v>
      </c>
      <c r="D99" s="353">
        <v>0.83</v>
      </c>
      <c r="E99" s="353">
        <v>15.1</v>
      </c>
      <c r="F99" s="354">
        <v>1.5</v>
      </c>
      <c r="G99" s="24"/>
      <c r="H99" s="24"/>
      <c r="I99" s="24"/>
      <c r="J99" s="24"/>
      <c r="K99" s="24"/>
    </row>
    <row r="100" spans="1:11" hidden="1" x14ac:dyDescent="0.25">
      <c r="A100" s="389" t="s">
        <v>249</v>
      </c>
      <c r="B100" s="352">
        <v>62.2</v>
      </c>
      <c r="C100" s="353">
        <v>30.9</v>
      </c>
      <c r="D100" s="353">
        <v>0.77500000000000002</v>
      </c>
      <c r="E100" s="353">
        <v>15.1</v>
      </c>
      <c r="F100" s="354">
        <v>1.32</v>
      </c>
      <c r="G100" s="24"/>
      <c r="H100" s="24"/>
      <c r="I100" s="24"/>
      <c r="J100" s="24"/>
      <c r="K100" s="24"/>
    </row>
    <row r="101" spans="1:11" hidden="1" x14ac:dyDescent="0.25">
      <c r="A101" s="389" t="s">
        <v>220</v>
      </c>
      <c r="B101" s="352">
        <v>56.3</v>
      </c>
      <c r="C101" s="353">
        <v>30.7</v>
      </c>
      <c r="D101" s="353">
        <v>0.71</v>
      </c>
      <c r="E101" s="353">
        <v>15</v>
      </c>
      <c r="F101" s="354">
        <v>1.19</v>
      </c>
      <c r="G101" s="24"/>
      <c r="H101" s="24"/>
      <c r="I101" s="24"/>
      <c r="J101" s="24"/>
      <c r="K101" s="24"/>
    </row>
    <row r="102" spans="1:11" hidden="1" x14ac:dyDescent="0.25">
      <c r="A102" s="389" t="s">
        <v>219</v>
      </c>
      <c r="B102" s="352">
        <v>51</v>
      </c>
      <c r="C102" s="353">
        <v>30.4</v>
      </c>
      <c r="D102" s="353">
        <v>0.65500000000000003</v>
      </c>
      <c r="E102" s="353">
        <v>15</v>
      </c>
      <c r="F102" s="354">
        <v>1.07</v>
      </c>
      <c r="G102" s="24"/>
      <c r="H102" s="24"/>
      <c r="I102" s="24"/>
      <c r="J102" s="24"/>
      <c r="K102" s="24"/>
    </row>
    <row r="103" spans="1:11" hidden="1" x14ac:dyDescent="0.25">
      <c r="A103" s="389" t="s">
        <v>218</v>
      </c>
      <c r="B103" s="352">
        <v>43.5</v>
      </c>
      <c r="C103" s="353">
        <v>30.7</v>
      </c>
      <c r="D103" s="353">
        <v>0.65</v>
      </c>
      <c r="E103" s="353">
        <v>10.5</v>
      </c>
      <c r="F103" s="354">
        <v>1.18</v>
      </c>
      <c r="G103" s="24"/>
      <c r="H103" s="24"/>
      <c r="I103" s="24"/>
      <c r="J103" s="24"/>
      <c r="K103" s="24"/>
    </row>
    <row r="104" spans="1:11" hidden="1" x14ac:dyDescent="0.25">
      <c r="A104" s="389" t="s">
        <v>217</v>
      </c>
      <c r="B104" s="352">
        <v>38.9</v>
      </c>
      <c r="C104" s="353">
        <v>30.3</v>
      </c>
      <c r="D104" s="353">
        <v>0.61499999999999999</v>
      </c>
      <c r="E104" s="353">
        <v>10.5</v>
      </c>
      <c r="F104" s="354">
        <v>1</v>
      </c>
      <c r="G104" s="24"/>
      <c r="H104" s="24"/>
      <c r="I104" s="24"/>
      <c r="J104" s="24"/>
      <c r="K104" s="24"/>
    </row>
    <row r="105" spans="1:11" hidden="1" x14ac:dyDescent="0.25">
      <c r="A105" s="389" t="s">
        <v>376</v>
      </c>
      <c r="B105" s="352">
        <v>36.5</v>
      </c>
      <c r="C105" s="353">
        <v>30.2</v>
      </c>
      <c r="D105" s="353">
        <v>0.58499999999999996</v>
      </c>
      <c r="E105" s="353">
        <v>10.5</v>
      </c>
      <c r="F105" s="354">
        <v>0.93</v>
      </c>
      <c r="G105" s="24"/>
      <c r="H105" s="24"/>
      <c r="I105" s="24"/>
      <c r="J105" s="24"/>
      <c r="K105" s="24"/>
    </row>
    <row r="106" spans="1:11" hidden="1" x14ac:dyDescent="0.25">
      <c r="A106" s="389" t="s">
        <v>157</v>
      </c>
      <c r="B106" s="352">
        <v>34.200000000000003</v>
      </c>
      <c r="C106" s="353">
        <v>30</v>
      </c>
      <c r="D106" s="353">
        <v>0.56499999999999995</v>
      </c>
      <c r="E106" s="353">
        <v>10.5</v>
      </c>
      <c r="F106" s="354">
        <v>0.85</v>
      </c>
      <c r="G106" s="24"/>
      <c r="H106" s="24"/>
      <c r="I106" s="24"/>
      <c r="J106" s="24"/>
      <c r="K106" s="24"/>
    </row>
    <row r="107" spans="1:11" hidden="1" x14ac:dyDescent="0.25">
      <c r="A107" s="389" t="s">
        <v>133</v>
      </c>
      <c r="B107" s="352">
        <v>31.7</v>
      </c>
      <c r="C107" s="353">
        <v>29.8</v>
      </c>
      <c r="D107" s="353">
        <v>0.54500000000000004</v>
      </c>
      <c r="E107" s="353">
        <v>10.5</v>
      </c>
      <c r="F107" s="354">
        <v>0.76</v>
      </c>
      <c r="G107" s="24"/>
      <c r="H107" s="24"/>
      <c r="I107" s="24"/>
      <c r="J107" s="24"/>
      <c r="K107" s="24"/>
    </row>
    <row r="108" spans="1:11" hidden="1" x14ac:dyDescent="0.25">
      <c r="A108" s="389" t="s">
        <v>132</v>
      </c>
      <c r="B108" s="352">
        <v>29.1</v>
      </c>
      <c r="C108" s="353">
        <v>29.7</v>
      </c>
      <c r="D108" s="353">
        <v>0.52</v>
      </c>
      <c r="E108" s="353">
        <v>10.5</v>
      </c>
      <c r="F108" s="354">
        <v>0.67</v>
      </c>
      <c r="G108" s="24"/>
      <c r="H108" s="24"/>
      <c r="I108" s="24"/>
      <c r="J108" s="24"/>
      <c r="K108" s="24"/>
    </row>
    <row r="109" spans="1:11" hidden="1" x14ac:dyDescent="0.25">
      <c r="A109" s="389" t="s">
        <v>131</v>
      </c>
      <c r="B109" s="352">
        <v>26.4</v>
      </c>
      <c r="C109" s="353">
        <v>29.5</v>
      </c>
      <c r="D109" s="353">
        <v>0.47</v>
      </c>
      <c r="E109" s="353">
        <v>10.4</v>
      </c>
      <c r="F109" s="354">
        <v>0.61</v>
      </c>
      <c r="G109" s="24"/>
      <c r="H109" s="24"/>
      <c r="I109" s="24"/>
      <c r="J109" s="24"/>
      <c r="K109" s="24"/>
    </row>
    <row r="110" spans="1:11" hidden="1" x14ac:dyDescent="0.25">
      <c r="A110" s="389" t="s">
        <v>130</v>
      </c>
      <c r="B110" s="352">
        <v>159</v>
      </c>
      <c r="C110" s="353">
        <v>32.5</v>
      </c>
      <c r="D110" s="353">
        <v>1.97</v>
      </c>
      <c r="E110" s="353">
        <v>15.3</v>
      </c>
      <c r="F110" s="354">
        <v>3.54</v>
      </c>
      <c r="G110" s="24"/>
      <c r="H110" s="24"/>
      <c r="I110" s="24"/>
      <c r="J110" s="24"/>
      <c r="K110" s="24"/>
    </row>
    <row r="111" spans="1:11" hidden="1" x14ac:dyDescent="0.25">
      <c r="A111" s="389" t="s">
        <v>129</v>
      </c>
      <c r="B111" s="352">
        <v>145</v>
      </c>
      <c r="C111" s="353">
        <v>31.97</v>
      </c>
      <c r="D111" s="353">
        <v>1.81</v>
      </c>
      <c r="E111" s="355">
        <v>15.095000000000001</v>
      </c>
      <c r="F111" s="354">
        <v>3.27</v>
      </c>
      <c r="G111" s="24"/>
      <c r="H111" s="24"/>
      <c r="I111" s="24"/>
      <c r="J111" s="24"/>
      <c r="K111" s="24"/>
    </row>
    <row r="112" spans="1:11" hidden="1" x14ac:dyDescent="0.25">
      <c r="A112" s="389" t="s">
        <v>396</v>
      </c>
      <c r="B112" s="352">
        <v>131</v>
      </c>
      <c r="C112" s="353">
        <v>31.42</v>
      </c>
      <c r="D112" s="353">
        <v>1.65</v>
      </c>
      <c r="E112" s="353">
        <v>14.94</v>
      </c>
      <c r="F112" s="354">
        <v>2.99</v>
      </c>
      <c r="G112" s="24"/>
      <c r="H112" s="24"/>
      <c r="I112" s="24"/>
      <c r="J112" s="24"/>
      <c r="K112" s="24"/>
    </row>
    <row r="113" spans="1:11" hidden="1" x14ac:dyDescent="0.25">
      <c r="A113" s="389" t="s">
        <v>42</v>
      </c>
      <c r="B113" s="352">
        <v>119</v>
      </c>
      <c r="C113" s="353">
        <v>30.87</v>
      </c>
      <c r="D113" s="353">
        <v>1.52</v>
      </c>
      <c r="E113" s="353">
        <v>14.8</v>
      </c>
      <c r="F113" s="354">
        <v>2.72</v>
      </c>
      <c r="G113" s="24"/>
      <c r="H113" s="24"/>
      <c r="I113" s="24"/>
      <c r="J113" s="24"/>
      <c r="K113" s="24"/>
    </row>
    <row r="114" spans="1:11" hidden="1" x14ac:dyDescent="0.25">
      <c r="A114" s="389" t="s">
        <v>395</v>
      </c>
      <c r="B114" s="352">
        <v>108</v>
      </c>
      <c r="C114" s="353">
        <v>30.4</v>
      </c>
      <c r="D114" s="353">
        <v>1.38</v>
      </c>
      <c r="E114" s="353">
        <v>14.7</v>
      </c>
      <c r="F114" s="354">
        <v>2.48</v>
      </c>
      <c r="G114" s="24"/>
      <c r="H114" s="24"/>
      <c r="I114" s="24"/>
      <c r="J114" s="24"/>
      <c r="K114" s="24"/>
    </row>
    <row r="115" spans="1:11" hidden="1" x14ac:dyDescent="0.25">
      <c r="A115" s="389" t="s">
        <v>394</v>
      </c>
      <c r="B115" s="352">
        <v>98.9</v>
      </c>
      <c r="C115" s="353">
        <v>30</v>
      </c>
      <c r="D115" s="353">
        <v>1.26</v>
      </c>
      <c r="E115" s="353">
        <v>14.6</v>
      </c>
      <c r="F115" s="354">
        <v>2.2799999999999998</v>
      </c>
      <c r="G115" s="24"/>
      <c r="H115" s="24"/>
      <c r="I115" s="24"/>
      <c r="J115" s="24"/>
      <c r="K115" s="24"/>
    </row>
    <row r="116" spans="1:11" hidden="1" x14ac:dyDescent="0.25">
      <c r="A116" s="389" t="s">
        <v>279</v>
      </c>
      <c r="B116" s="352">
        <v>90.4</v>
      </c>
      <c r="C116" s="353">
        <v>29.6</v>
      </c>
      <c r="D116" s="353">
        <v>1.1599999999999999</v>
      </c>
      <c r="E116" s="353">
        <v>14.4</v>
      </c>
      <c r="F116" s="354">
        <v>2.09</v>
      </c>
      <c r="G116" s="24"/>
      <c r="H116" s="24"/>
      <c r="I116" s="24"/>
      <c r="J116" s="24"/>
      <c r="K116" s="24"/>
    </row>
    <row r="117" spans="1:11" hidden="1" x14ac:dyDescent="0.25">
      <c r="A117" s="389" t="s">
        <v>196</v>
      </c>
      <c r="B117" s="352">
        <v>82.9</v>
      </c>
      <c r="C117" s="353">
        <v>29.3</v>
      </c>
      <c r="D117" s="353">
        <v>1.06</v>
      </c>
      <c r="E117" s="353">
        <v>14.4</v>
      </c>
      <c r="F117" s="354">
        <v>1.93</v>
      </c>
      <c r="G117" s="24"/>
      <c r="H117" s="24"/>
      <c r="I117" s="24"/>
      <c r="J117" s="24"/>
      <c r="K117" s="24"/>
    </row>
    <row r="118" spans="1:11" hidden="1" x14ac:dyDescent="0.25">
      <c r="A118" s="389" t="s">
        <v>317</v>
      </c>
      <c r="B118" s="352">
        <v>76</v>
      </c>
      <c r="C118" s="353">
        <v>29</v>
      </c>
      <c r="D118" s="353">
        <v>0.98</v>
      </c>
      <c r="E118" s="353">
        <v>14.3</v>
      </c>
      <c r="F118" s="354">
        <v>1.77</v>
      </c>
      <c r="G118" s="24"/>
      <c r="H118" s="24"/>
      <c r="I118" s="24"/>
      <c r="J118" s="24"/>
      <c r="K118" s="24"/>
    </row>
    <row r="119" spans="1:11" hidden="1" x14ac:dyDescent="0.25">
      <c r="A119" s="389" t="s">
        <v>316</v>
      </c>
      <c r="B119" s="352">
        <v>69.400000000000006</v>
      </c>
      <c r="C119" s="353">
        <v>28.7</v>
      </c>
      <c r="D119" s="353">
        <v>0.91</v>
      </c>
      <c r="E119" s="353">
        <v>14.2</v>
      </c>
      <c r="F119" s="354">
        <v>1.61</v>
      </c>
      <c r="G119" s="24"/>
      <c r="H119" s="24"/>
      <c r="I119" s="24"/>
      <c r="J119" s="24"/>
      <c r="K119" s="24"/>
    </row>
    <row r="120" spans="1:11" hidden="1" x14ac:dyDescent="0.25">
      <c r="A120" s="389" t="s">
        <v>315</v>
      </c>
      <c r="B120" s="352">
        <v>64</v>
      </c>
      <c r="C120" s="353">
        <v>28.4</v>
      </c>
      <c r="D120" s="353">
        <v>0.83</v>
      </c>
      <c r="E120" s="353">
        <v>14.1</v>
      </c>
      <c r="F120" s="354">
        <v>1.5</v>
      </c>
      <c r="G120" s="24"/>
      <c r="H120" s="24"/>
      <c r="I120" s="24"/>
      <c r="J120" s="24"/>
      <c r="K120" s="24"/>
    </row>
    <row r="121" spans="1:11" hidden="1" x14ac:dyDescent="0.25">
      <c r="A121" s="389" t="s">
        <v>314</v>
      </c>
      <c r="B121" s="352">
        <v>57.2</v>
      </c>
      <c r="C121" s="353">
        <v>28.1</v>
      </c>
      <c r="D121" s="353">
        <v>0.75</v>
      </c>
      <c r="E121" s="353">
        <v>14</v>
      </c>
      <c r="F121" s="354">
        <v>1.34</v>
      </c>
      <c r="G121" s="24"/>
      <c r="H121" s="24"/>
      <c r="I121" s="24"/>
      <c r="J121" s="24"/>
      <c r="K121" s="24"/>
    </row>
    <row r="122" spans="1:11" hidden="1" x14ac:dyDescent="0.25">
      <c r="A122" s="389" t="s">
        <v>213</v>
      </c>
      <c r="B122" s="352">
        <v>52.5</v>
      </c>
      <c r="C122" s="353">
        <v>27.8</v>
      </c>
      <c r="D122" s="353">
        <v>0.72499999999999998</v>
      </c>
      <c r="E122" s="353">
        <v>14.1</v>
      </c>
      <c r="F122" s="354">
        <v>1.19</v>
      </c>
      <c r="G122" s="24"/>
      <c r="H122" s="24"/>
      <c r="I122" s="24"/>
      <c r="J122" s="24"/>
      <c r="K122" s="24"/>
    </row>
    <row r="123" spans="1:11" hidden="1" x14ac:dyDescent="0.25">
      <c r="A123" s="389" t="s">
        <v>128</v>
      </c>
      <c r="B123" s="352">
        <v>47.6</v>
      </c>
      <c r="C123" s="353">
        <v>27.6</v>
      </c>
      <c r="D123" s="353">
        <v>0.66</v>
      </c>
      <c r="E123" s="353">
        <v>14</v>
      </c>
      <c r="F123" s="354">
        <v>1.08</v>
      </c>
      <c r="G123" s="24"/>
      <c r="H123" s="24"/>
      <c r="I123" s="24"/>
      <c r="J123" s="24"/>
      <c r="K123" s="24"/>
    </row>
    <row r="124" spans="1:11" hidden="1" x14ac:dyDescent="0.25">
      <c r="A124" s="389" t="s">
        <v>405</v>
      </c>
      <c r="B124" s="352">
        <v>43.1</v>
      </c>
      <c r="C124" s="353">
        <v>27.4</v>
      </c>
      <c r="D124" s="353">
        <v>0.60499999999999998</v>
      </c>
      <c r="E124" s="353">
        <v>14</v>
      </c>
      <c r="F124" s="354">
        <v>0.97499999999999998</v>
      </c>
      <c r="G124" s="24"/>
      <c r="H124" s="24"/>
      <c r="I124" s="24"/>
      <c r="J124" s="24"/>
      <c r="K124" s="24"/>
    </row>
    <row r="125" spans="1:11" hidden="1" x14ac:dyDescent="0.25">
      <c r="A125" s="389" t="s">
        <v>404</v>
      </c>
      <c r="B125" s="352">
        <v>37.799999999999997</v>
      </c>
      <c r="C125" s="353">
        <v>27.6</v>
      </c>
      <c r="D125" s="353">
        <v>0.61</v>
      </c>
      <c r="E125" s="353">
        <v>10</v>
      </c>
      <c r="F125" s="354">
        <v>1.1000000000000001</v>
      </c>
      <c r="G125" s="24"/>
      <c r="H125" s="24"/>
      <c r="I125" s="24"/>
      <c r="J125" s="24"/>
      <c r="K125" s="24"/>
    </row>
    <row r="126" spans="1:11" hidden="1" x14ac:dyDescent="0.25">
      <c r="A126" s="389" t="s">
        <v>403</v>
      </c>
      <c r="B126" s="352">
        <v>33.5</v>
      </c>
      <c r="C126" s="353">
        <v>27.3</v>
      </c>
      <c r="D126" s="353">
        <v>0.56999999999999995</v>
      </c>
      <c r="E126" s="353">
        <v>10.1</v>
      </c>
      <c r="F126" s="354">
        <v>0.93</v>
      </c>
      <c r="G126" s="24"/>
      <c r="H126" s="24"/>
      <c r="I126" s="24"/>
      <c r="J126" s="24"/>
      <c r="K126" s="24"/>
    </row>
    <row r="127" spans="1:11" hidden="1" x14ac:dyDescent="0.25">
      <c r="A127" s="389" t="s">
        <v>402</v>
      </c>
      <c r="B127" s="352">
        <v>30</v>
      </c>
      <c r="C127" s="353">
        <v>27.1</v>
      </c>
      <c r="D127" s="353">
        <v>0.51500000000000001</v>
      </c>
      <c r="E127" s="353">
        <v>10</v>
      </c>
      <c r="F127" s="354">
        <v>0.83</v>
      </c>
      <c r="G127" s="24"/>
      <c r="H127" s="24"/>
      <c r="I127" s="24"/>
      <c r="J127" s="24"/>
      <c r="K127" s="24"/>
    </row>
    <row r="128" spans="1:11" hidden="1" x14ac:dyDescent="0.25">
      <c r="A128" s="389" t="s">
        <v>401</v>
      </c>
      <c r="B128" s="352">
        <v>27.7</v>
      </c>
      <c r="C128" s="353">
        <v>26.9</v>
      </c>
      <c r="D128" s="353">
        <v>0.49</v>
      </c>
      <c r="E128" s="353">
        <v>9.99</v>
      </c>
      <c r="F128" s="354">
        <v>0.745</v>
      </c>
      <c r="G128" s="24"/>
      <c r="H128" s="24"/>
      <c r="I128" s="24"/>
      <c r="J128" s="24"/>
      <c r="K128" s="24"/>
    </row>
    <row r="129" spans="1:11" hidden="1" x14ac:dyDescent="0.25">
      <c r="A129" s="389" t="s">
        <v>400</v>
      </c>
      <c r="B129" s="352">
        <v>24.8</v>
      </c>
      <c r="C129" s="353">
        <v>26.7</v>
      </c>
      <c r="D129" s="353">
        <v>0.46</v>
      </c>
      <c r="E129" s="353">
        <v>9.9600000000000009</v>
      </c>
      <c r="F129" s="354">
        <v>0.64</v>
      </c>
      <c r="G129" s="24"/>
      <c r="H129" s="24"/>
      <c r="I129" s="24"/>
      <c r="J129" s="24"/>
      <c r="K129" s="24"/>
    </row>
    <row r="130" spans="1:11" hidden="1" x14ac:dyDescent="0.25">
      <c r="A130" s="389" t="s">
        <v>308</v>
      </c>
      <c r="B130" s="352">
        <v>144</v>
      </c>
      <c r="C130" s="353">
        <v>29.65</v>
      </c>
      <c r="D130" s="353">
        <v>1.97</v>
      </c>
      <c r="E130" s="355">
        <v>14.115</v>
      </c>
      <c r="F130" s="354">
        <v>3.54</v>
      </c>
      <c r="G130" s="24"/>
      <c r="H130" s="24"/>
      <c r="I130" s="24"/>
      <c r="J130" s="24"/>
      <c r="K130" s="24"/>
    </row>
    <row r="131" spans="1:11" hidden="1" x14ac:dyDescent="0.25">
      <c r="A131" s="389" t="s">
        <v>307</v>
      </c>
      <c r="B131" s="352">
        <v>132</v>
      </c>
      <c r="C131" s="353">
        <v>29.09</v>
      </c>
      <c r="D131" s="353">
        <v>1.81</v>
      </c>
      <c r="E131" s="355">
        <v>13.955</v>
      </c>
      <c r="F131" s="354">
        <v>3.27</v>
      </c>
      <c r="G131" s="24"/>
      <c r="H131" s="24"/>
      <c r="I131" s="24"/>
      <c r="J131" s="24"/>
      <c r="K131" s="24"/>
    </row>
    <row r="132" spans="1:11" hidden="1" x14ac:dyDescent="0.25">
      <c r="A132" s="389" t="s">
        <v>306</v>
      </c>
      <c r="B132" s="352">
        <v>119</v>
      </c>
      <c r="C132" s="353">
        <v>28.54</v>
      </c>
      <c r="D132" s="353">
        <v>1.65</v>
      </c>
      <c r="E132" s="353">
        <v>13.8</v>
      </c>
      <c r="F132" s="354">
        <v>2.99</v>
      </c>
      <c r="G132" s="24"/>
      <c r="H132" s="24"/>
      <c r="I132" s="24"/>
      <c r="J132" s="24"/>
      <c r="K132" s="24"/>
    </row>
    <row r="133" spans="1:11" hidden="1" x14ac:dyDescent="0.25">
      <c r="A133" s="389" t="s">
        <v>305</v>
      </c>
      <c r="B133" s="352">
        <v>109</v>
      </c>
      <c r="C133" s="353">
        <v>28</v>
      </c>
      <c r="D133" s="353">
        <v>1.52</v>
      </c>
      <c r="E133" s="353">
        <v>13.7</v>
      </c>
      <c r="F133" s="354">
        <v>2.72</v>
      </c>
      <c r="G133" s="24"/>
      <c r="H133" s="24"/>
      <c r="I133" s="24"/>
      <c r="J133" s="24"/>
      <c r="K133" s="24"/>
    </row>
    <row r="134" spans="1:11" hidden="1" x14ac:dyDescent="0.25">
      <c r="A134" s="389" t="s">
        <v>445</v>
      </c>
      <c r="B134" s="352">
        <v>98.4</v>
      </c>
      <c r="C134" s="353">
        <v>27.5</v>
      </c>
      <c r="D134" s="353">
        <v>1.38</v>
      </c>
      <c r="E134" s="353">
        <v>13.5</v>
      </c>
      <c r="F134" s="354">
        <v>2.48</v>
      </c>
      <c r="G134" s="24"/>
      <c r="H134" s="24"/>
      <c r="I134" s="24"/>
      <c r="J134" s="24"/>
      <c r="K134" s="24"/>
    </row>
    <row r="135" spans="1:11" hidden="1" x14ac:dyDescent="0.25">
      <c r="A135" s="389" t="s">
        <v>444</v>
      </c>
      <c r="B135" s="352">
        <v>89.8</v>
      </c>
      <c r="C135" s="353">
        <v>27.1</v>
      </c>
      <c r="D135" s="353">
        <v>1.26</v>
      </c>
      <c r="E135" s="353">
        <v>13.4</v>
      </c>
      <c r="F135" s="354">
        <v>2.2799999999999998</v>
      </c>
      <c r="G135" s="24"/>
      <c r="H135" s="24"/>
      <c r="I135" s="24"/>
      <c r="J135" s="24"/>
      <c r="K135" s="24"/>
    </row>
    <row r="136" spans="1:11" hidden="1" x14ac:dyDescent="0.25">
      <c r="A136" s="389" t="s">
        <v>443</v>
      </c>
      <c r="B136" s="352">
        <v>82</v>
      </c>
      <c r="C136" s="353">
        <v>26.7</v>
      </c>
      <c r="D136" s="353">
        <v>1.1599999999999999</v>
      </c>
      <c r="E136" s="353">
        <v>13.3</v>
      </c>
      <c r="F136" s="354">
        <v>2.09</v>
      </c>
      <c r="G136" s="24"/>
      <c r="H136" s="24"/>
      <c r="I136" s="24"/>
      <c r="J136" s="24"/>
      <c r="K136" s="24"/>
    </row>
    <row r="137" spans="1:11" hidden="1" x14ac:dyDescent="0.25">
      <c r="A137" s="389" t="s">
        <v>442</v>
      </c>
      <c r="B137" s="352">
        <v>73.5</v>
      </c>
      <c r="C137" s="353">
        <v>26.3</v>
      </c>
      <c r="D137" s="353">
        <v>1.04</v>
      </c>
      <c r="E137" s="353">
        <v>13.2</v>
      </c>
      <c r="F137" s="354">
        <v>1.89</v>
      </c>
      <c r="G137" s="24"/>
      <c r="H137" s="24"/>
      <c r="I137" s="24"/>
      <c r="J137" s="24"/>
      <c r="K137" s="24"/>
    </row>
    <row r="138" spans="1:11" hidden="1" x14ac:dyDescent="0.25">
      <c r="A138" s="389" t="s">
        <v>58</v>
      </c>
      <c r="B138" s="352">
        <v>67.2</v>
      </c>
      <c r="C138" s="353">
        <v>26</v>
      </c>
      <c r="D138" s="353">
        <v>0.96</v>
      </c>
      <c r="E138" s="353">
        <v>13.1</v>
      </c>
      <c r="F138" s="354">
        <v>1.73</v>
      </c>
      <c r="G138" s="24"/>
      <c r="H138" s="24"/>
      <c r="I138" s="24"/>
      <c r="J138" s="24"/>
      <c r="K138" s="24"/>
    </row>
    <row r="139" spans="1:11" hidden="1" x14ac:dyDescent="0.25">
      <c r="A139" s="389" t="s">
        <v>57</v>
      </c>
      <c r="B139" s="352">
        <v>60.7</v>
      </c>
      <c r="C139" s="353">
        <v>25.7</v>
      </c>
      <c r="D139" s="353">
        <v>0.87</v>
      </c>
      <c r="E139" s="353">
        <v>13</v>
      </c>
      <c r="F139" s="354">
        <v>1.57</v>
      </c>
      <c r="G139" s="24"/>
      <c r="H139" s="24"/>
      <c r="I139" s="24"/>
      <c r="J139" s="24"/>
      <c r="K139" s="24"/>
    </row>
    <row r="140" spans="1:11" hidden="1" x14ac:dyDescent="0.25">
      <c r="A140" s="389" t="s">
        <v>41</v>
      </c>
      <c r="B140" s="352">
        <v>56.3</v>
      </c>
      <c r="C140" s="353">
        <v>25.5</v>
      </c>
      <c r="D140" s="353">
        <v>0.81</v>
      </c>
      <c r="E140" s="353">
        <v>13</v>
      </c>
      <c r="F140" s="354">
        <v>1.46</v>
      </c>
      <c r="G140" s="24"/>
      <c r="H140" s="24"/>
      <c r="I140" s="24"/>
      <c r="J140" s="24"/>
      <c r="K140" s="24"/>
    </row>
    <row r="141" spans="1:11" hidden="1" x14ac:dyDescent="0.25">
      <c r="A141" s="389" t="s">
        <v>40</v>
      </c>
      <c r="B141" s="352">
        <v>51.7</v>
      </c>
      <c r="C141" s="353">
        <v>25.2</v>
      </c>
      <c r="D141" s="353">
        <v>0.75</v>
      </c>
      <c r="E141" s="353">
        <v>12.9</v>
      </c>
      <c r="F141" s="354">
        <v>1.34</v>
      </c>
      <c r="G141" s="24"/>
      <c r="H141" s="24"/>
      <c r="I141" s="24"/>
      <c r="J141" s="24"/>
      <c r="K141" s="24"/>
    </row>
    <row r="142" spans="1:11" hidden="1" x14ac:dyDescent="0.25">
      <c r="A142" s="389" t="s">
        <v>39</v>
      </c>
      <c r="B142" s="352">
        <v>47.7</v>
      </c>
      <c r="C142" s="353">
        <v>25</v>
      </c>
      <c r="D142" s="353">
        <v>0.70499999999999996</v>
      </c>
      <c r="E142" s="353">
        <v>13</v>
      </c>
      <c r="F142" s="354">
        <v>1.22</v>
      </c>
      <c r="G142" s="24"/>
      <c r="H142" s="24"/>
      <c r="I142" s="24"/>
      <c r="J142" s="24"/>
      <c r="K142" s="24"/>
    </row>
    <row r="143" spans="1:11" hidden="1" x14ac:dyDescent="0.25">
      <c r="A143" s="389" t="s">
        <v>38</v>
      </c>
      <c r="B143" s="352">
        <v>43</v>
      </c>
      <c r="C143" s="353">
        <v>24.7</v>
      </c>
      <c r="D143" s="353">
        <v>0.65</v>
      </c>
      <c r="E143" s="353">
        <v>12.9</v>
      </c>
      <c r="F143" s="354">
        <v>1.0900000000000001</v>
      </c>
      <c r="G143" s="24"/>
      <c r="H143" s="24"/>
      <c r="I143" s="24"/>
      <c r="J143" s="24"/>
      <c r="K143" s="24"/>
    </row>
    <row r="144" spans="1:11" hidden="1" x14ac:dyDescent="0.25">
      <c r="A144" s="389" t="s">
        <v>37</v>
      </c>
      <c r="B144" s="352">
        <v>38.5</v>
      </c>
      <c r="C144" s="353">
        <v>24.5</v>
      </c>
      <c r="D144" s="353">
        <v>0.60499999999999998</v>
      </c>
      <c r="E144" s="353">
        <v>12.9</v>
      </c>
      <c r="F144" s="354">
        <v>0.96</v>
      </c>
      <c r="G144" s="24"/>
      <c r="H144" s="24"/>
      <c r="I144" s="24"/>
      <c r="J144" s="24"/>
      <c r="K144" s="24"/>
    </row>
    <row r="145" spans="1:11" hidden="1" x14ac:dyDescent="0.25">
      <c r="A145" s="389" t="s">
        <v>36</v>
      </c>
      <c r="B145" s="352">
        <v>34.4</v>
      </c>
      <c r="C145" s="353">
        <v>24.3</v>
      </c>
      <c r="D145" s="353">
        <v>0.55000000000000004</v>
      </c>
      <c r="E145" s="353">
        <v>12.8</v>
      </c>
      <c r="F145" s="354">
        <v>0.85</v>
      </c>
      <c r="G145" s="24"/>
      <c r="H145" s="24"/>
      <c r="I145" s="24"/>
      <c r="J145" s="24"/>
      <c r="K145" s="24"/>
    </row>
    <row r="146" spans="1:11" hidden="1" x14ac:dyDescent="0.25">
      <c r="A146" s="389" t="s">
        <v>35</v>
      </c>
      <c r="B146" s="352">
        <v>30.6</v>
      </c>
      <c r="C146" s="353">
        <v>24.1</v>
      </c>
      <c r="D146" s="353">
        <v>0.5</v>
      </c>
      <c r="E146" s="353">
        <v>12.8</v>
      </c>
      <c r="F146" s="354">
        <v>0.75</v>
      </c>
      <c r="G146" s="24"/>
      <c r="H146" s="24"/>
      <c r="I146" s="24"/>
      <c r="J146" s="24"/>
      <c r="K146" s="24"/>
    </row>
    <row r="147" spans="1:11" hidden="1" x14ac:dyDescent="0.25">
      <c r="A147" s="389" t="s">
        <v>34</v>
      </c>
      <c r="B147" s="352">
        <v>30.3</v>
      </c>
      <c r="C147" s="353">
        <v>24.5</v>
      </c>
      <c r="D147" s="353">
        <v>0.55000000000000004</v>
      </c>
      <c r="E147" s="353">
        <v>9</v>
      </c>
      <c r="F147" s="354">
        <v>0.98</v>
      </c>
      <c r="G147" s="24"/>
      <c r="H147" s="24"/>
      <c r="I147" s="24"/>
      <c r="J147" s="24"/>
      <c r="K147" s="24"/>
    </row>
    <row r="148" spans="1:11" hidden="1" x14ac:dyDescent="0.25">
      <c r="A148" s="389" t="s">
        <v>33</v>
      </c>
      <c r="B148" s="352">
        <v>27.7</v>
      </c>
      <c r="C148" s="353">
        <v>24.3</v>
      </c>
      <c r="D148" s="353">
        <v>0.51500000000000001</v>
      </c>
      <c r="E148" s="353">
        <v>9.07</v>
      </c>
      <c r="F148" s="354">
        <v>0.875</v>
      </c>
      <c r="G148" s="24"/>
      <c r="H148" s="24"/>
      <c r="I148" s="24"/>
      <c r="J148" s="24"/>
      <c r="K148" s="24"/>
    </row>
    <row r="149" spans="1:11" hidden="1" x14ac:dyDescent="0.25">
      <c r="A149" s="389" t="s">
        <v>32</v>
      </c>
      <c r="B149" s="352">
        <v>24.7</v>
      </c>
      <c r="C149" s="353">
        <v>24.1</v>
      </c>
      <c r="D149" s="353">
        <v>0.47</v>
      </c>
      <c r="E149" s="353">
        <v>9.02</v>
      </c>
      <c r="F149" s="354">
        <v>0.77</v>
      </c>
      <c r="G149" s="24"/>
      <c r="H149" s="24"/>
      <c r="I149" s="24"/>
      <c r="J149" s="24"/>
      <c r="K149" s="24"/>
    </row>
    <row r="150" spans="1:11" hidden="1" x14ac:dyDescent="0.25">
      <c r="A150" s="389" t="s">
        <v>255</v>
      </c>
      <c r="B150" s="352">
        <v>22.4</v>
      </c>
      <c r="C150" s="353">
        <v>23.9</v>
      </c>
      <c r="D150" s="353">
        <v>0.44</v>
      </c>
      <c r="E150" s="353">
        <v>8.99</v>
      </c>
      <c r="F150" s="354">
        <v>0.68</v>
      </c>
      <c r="G150" s="24"/>
      <c r="H150" s="24"/>
      <c r="I150" s="24"/>
      <c r="J150" s="24"/>
      <c r="K150" s="24"/>
    </row>
    <row r="151" spans="1:11" hidden="1" x14ac:dyDescent="0.25">
      <c r="A151" s="389" t="s">
        <v>254</v>
      </c>
      <c r="B151" s="352">
        <v>20.100000000000001</v>
      </c>
      <c r="C151" s="353">
        <v>23.7</v>
      </c>
      <c r="D151" s="353">
        <v>0.41499999999999998</v>
      </c>
      <c r="E151" s="353">
        <v>8.9700000000000006</v>
      </c>
      <c r="F151" s="354">
        <v>0.58499999999999996</v>
      </c>
      <c r="G151" s="24"/>
      <c r="H151" s="24"/>
      <c r="I151" s="24"/>
      <c r="J151" s="24"/>
      <c r="K151" s="24"/>
    </row>
    <row r="152" spans="1:11" hidden="1" x14ac:dyDescent="0.25">
      <c r="A152" s="389" t="s">
        <v>253</v>
      </c>
      <c r="B152" s="352">
        <v>18.3</v>
      </c>
      <c r="C152" s="353">
        <v>23.7</v>
      </c>
      <c r="D152" s="353">
        <v>0.43</v>
      </c>
      <c r="E152" s="353">
        <v>7.04</v>
      </c>
      <c r="F152" s="354">
        <v>0.59</v>
      </c>
      <c r="G152" s="24"/>
      <c r="H152" s="24"/>
      <c r="I152" s="24"/>
      <c r="J152" s="24"/>
      <c r="K152" s="24"/>
    </row>
    <row r="153" spans="1:11" hidden="1" x14ac:dyDescent="0.25">
      <c r="A153" s="389" t="s">
        <v>261</v>
      </c>
      <c r="B153" s="352">
        <v>16.3</v>
      </c>
      <c r="C153" s="353">
        <v>23.6</v>
      </c>
      <c r="D153" s="353">
        <v>0.39500000000000002</v>
      </c>
      <c r="E153" s="353">
        <v>7.01</v>
      </c>
      <c r="F153" s="354">
        <v>0.505</v>
      </c>
      <c r="G153" s="24"/>
      <c r="H153" s="24"/>
      <c r="I153" s="24"/>
      <c r="J153" s="24"/>
      <c r="K153" s="24"/>
    </row>
    <row r="154" spans="1:11" hidden="1" x14ac:dyDescent="0.25">
      <c r="A154" s="389" t="s">
        <v>409</v>
      </c>
      <c r="B154" s="352">
        <v>118</v>
      </c>
      <c r="C154" s="353">
        <v>26.02</v>
      </c>
      <c r="D154" s="353">
        <v>1.73</v>
      </c>
      <c r="E154" s="355">
        <v>13.404999999999999</v>
      </c>
      <c r="F154" s="354">
        <v>3.13</v>
      </c>
      <c r="G154" s="24"/>
      <c r="H154" s="24"/>
      <c r="I154" s="24"/>
      <c r="J154" s="24"/>
      <c r="K154" s="24"/>
    </row>
    <row r="155" spans="1:11" hidden="1" x14ac:dyDescent="0.25">
      <c r="A155" s="389" t="s">
        <v>163</v>
      </c>
      <c r="B155" s="352">
        <v>107</v>
      </c>
      <c r="C155" s="353">
        <v>25.47</v>
      </c>
      <c r="D155" s="353">
        <v>1.59</v>
      </c>
      <c r="E155" s="355">
        <v>13.265000000000001</v>
      </c>
      <c r="F155" s="354">
        <v>2.85</v>
      </c>
      <c r="G155" s="24"/>
      <c r="H155" s="24"/>
      <c r="I155" s="24"/>
      <c r="J155" s="24"/>
      <c r="K155" s="24"/>
    </row>
    <row r="156" spans="1:11" hidden="1" x14ac:dyDescent="0.25">
      <c r="A156" s="389" t="s">
        <v>162</v>
      </c>
      <c r="B156" s="352">
        <v>97.9</v>
      </c>
      <c r="C156" s="353">
        <v>25</v>
      </c>
      <c r="D156" s="353">
        <v>1.46</v>
      </c>
      <c r="E156" s="356">
        <v>13.13</v>
      </c>
      <c r="F156" s="354">
        <v>2.62</v>
      </c>
      <c r="G156" s="24"/>
      <c r="H156" s="24"/>
      <c r="I156" s="24"/>
      <c r="J156" s="24"/>
      <c r="K156" s="24"/>
    </row>
    <row r="157" spans="1:11" hidden="1" x14ac:dyDescent="0.25">
      <c r="A157" s="389" t="s">
        <v>161</v>
      </c>
      <c r="B157" s="352">
        <v>88.2</v>
      </c>
      <c r="C157" s="353">
        <v>24.53</v>
      </c>
      <c r="D157" s="353">
        <v>1.32</v>
      </c>
      <c r="E157" s="356">
        <v>12.99</v>
      </c>
      <c r="F157" s="354">
        <v>2.38</v>
      </c>
      <c r="G157" s="24"/>
      <c r="H157" s="24"/>
      <c r="I157" s="24"/>
      <c r="J157" s="24"/>
      <c r="K157" s="24"/>
    </row>
    <row r="158" spans="1:11" hidden="1" x14ac:dyDescent="0.25">
      <c r="A158" s="389" t="s">
        <v>160</v>
      </c>
      <c r="B158" s="352">
        <v>80.8</v>
      </c>
      <c r="C158" s="353">
        <v>24.13</v>
      </c>
      <c r="D158" s="353">
        <v>1.22</v>
      </c>
      <c r="E158" s="356">
        <v>12.89</v>
      </c>
      <c r="F158" s="354">
        <v>2.19</v>
      </c>
      <c r="G158" s="24"/>
      <c r="H158" s="24"/>
      <c r="I158" s="24"/>
      <c r="J158" s="24"/>
      <c r="K158" s="24"/>
    </row>
    <row r="159" spans="1:11" hidden="1" x14ac:dyDescent="0.25">
      <c r="A159" s="389" t="s">
        <v>159</v>
      </c>
      <c r="B159" s="352">
        <v>72.8</v>
      </c>
      <c r="C159" s="353">
        <v>23.74</v>
      </c>
      <c r="D159" s="353">
        <v>1.1000000000000001</v>
      </c>
      <c r="E159" s="355">
        <v>12.775</v>
      </c>
      <c r="F159" s="354">
        <v>1.99</v>
      </c>
      <c r="G159" s="24"/>
      <c r="H159" s="24"/>
      <c r="I159" s="24"/>
      <c r="J159" s="24"/>
      <c r="K159" s="24"/>
    </row>
    <row r="160" spans="1:11" hidden="1" x14ac:dyDescent="0.25">
      <c r="A160" s="389" t="s">
        <v>158</v>
      </c>
      <c r="B160" s="352">
        <v>65.400000000000006</v>
      </c>
      <c r="C160" s="353">
        <v>23.35</v>
      </c>
      <c r="D160" s="353">
        <v>1</v>
      </c>
      <c r="E160" s="355">
        <v>12.675000000000001</v>
      </c>
      <c r="F160" s="354">
        <v>1.79</v>
      </c>
      <c r="G160" s="24"/>
      <c r="H160" s="24"/>
      <c r="I160" s="24"/>
      <c r="J160" s="24"/>
      <c r="K160" s="24"/>
    </row>
    <row r="161" spans="1:11" hidden="1" x14ac:dyDescent="0.25">
      <c r="A161" s="389" t="s">
        <v>368</v>
      </c>
      <c r="B161" s="352">
        <v>59.2</v>
      </c>
      <c r="C161" s="353">
        <v>23</v>
      </c>
      <c r="D161" s="353">
        <v>0.91</v>
      </c>
      <c r="E161" s="353">
        <v>12.6</v>
      </c>
      <c r="F161" s="354">
        <v>1.63</v>
      </c>
      <c r="G161" s="24"/>
      <c r="H161" s="24"/>
      <c r="I161" s="24"/>
      <c r="J161" s="24"/>
      <c r="K161" s="24"/>
    </row>
    <row r="162" spans="1:11" hidden="1" x14ac:dyDescent="0.25">
      <c r="A162" s="389" t="s">
        <v>367</v>
      </c>
      <c r="B162" s="352">
        <v>53.6</v>
      </c>
      <c r="C162" s="353">
        <v>22.7</v>
      </c>
      <c r="D162" s="353">
        <v>0.83</v>
      </c>
      <c r="E162" s="353">
        <v>12.5</v>
      </c>
      <c r="F162" s="354">
        <v>1.48</v>
      </c>
      <c r="G162" s="24"/>
      <c r="H162" s="24"/>
      <c r="I162" s="24"/>
      <c r="J162" s="24"/>
      <c r="K162" s="24"/>
    </row>
    <row r="163" spans="1:11" hidden="1" x14ac:dyDescent="0.25">
      <c r="A163" s="389" t="s">
        <v>366</v>
      </c>
      <c r="B163" s="352">
        <v>48.8</v>
      </c>
      <c r="C163" s="353">
        <v>22.5</v>
      </c>
      <c r="D163" s="353">
        <v>0.75</v>
      </c>
      <c r="E163" s="353">
        <v>12.4</v>
      </c>
      <c r="F163" s="354">
        <v>1.36</v>
      </c>
      <c r="G163" s="24"/>
      <c r="H163" s="24"/>
      <c r="I163" s="24"/>
      <c r="J163" s="24"/>
      <c r="K163" s="24"/>
    </row>
    <row r="164" spans="1:11" hidden="1" x14ac:dyDescent="0.25">
      <c r="A164" s="389" t="s">
        <v>427</v>
      </c>
      <c r="B164" s="352">
        <v>43.2</v>
      </c>
      <c r="C164" s="353">
        <v>22.1</v>
      </c>
      <c r="D164" s="353">
        <v>0.72</v>
      </c>
      <c r="E164" s="353">
        <v>12.5</v>
      </c>
      <c r="F164" s="354">
        <v>1.1499999999999999</v>
      </c>
      <c r="G164" s="24"/>
      <c r="H164" s="24"/>
      <c r="I164" s="24"/>
      <c r="J164" s="24"/>
      <c r="K164" s="24"/>
    </row>
    <row r="165" spans="1:11" hidden="1" x14ac:dyDescent="0.25">
      <c r="A165" s="389" t="s">
        <v>426</v>
      </c>
      <c r="B165" s="352">
        <v>38.799999999999997</v>
      </c>
      <c r="C165" s="353">
        <v>21.8</v>
      </c>
      <c r="D165" s="353">
        <v>0.65</v>
      </c>
      <c r="E165" s="353">
        <v>12.4</v>
      </c>
      <c r="F165" s="354">
        <v>1.03</v>
      </c>
      <c r="G165" s="24"/>
      <c r="H165" s="24"/>
      <c r="I165" s="24"/>
      <c r="J165" s="24"/>
      <c r="K165" s="24"/>
    </row>
    <row r="166" spans="1:11" hidden="1" x14ac:dyDescent="0.25">
      <c r="A166" s="389" t="s">
        <v>425</v>
      </c>
      <c r="B166" s="352">
        <v>35.9</v>
      </c>
      <c r="C166" s="353">
        <v>21.7</v>
      </c>
      <c r="D166" s="353">
        <v>0.6</v>
      </c>
      <c r="E166" s="353">
        <v>12.4</v>
      </c>
      <c r="F166" s="354">
        <v>0.96</v>
      </c>
      <c r="G166" s="24"/>
      <c r="H166" s="24"/>
      <c r="I166" s="24"/>
      <c r="J166" s="24"/>
      <c r="K166" s="24"/>
    </row>
    <row r="167" spans="1:11" hidden="1" x14ac:dyDescent="0.25">
      <c r="A167" s="389" t="s">
        <v>424</v>
      </c>
      <c r="B167" s="352">
        <v>32.700000000000003</v>
      </c>
      <c r="C167" s="353">
        <v>21.5</v>
      </c>
      <c r="D167" s="353">
        <v>0.55000000000000004</v>
      </c>
      <c r="E167" s="353">
        <v>12.3</v>
      </c>
      <c r="F167" s="354">
        <v>0.875</v>
      </c>
      <c r="G167" s="24"/>
      <c r="H167" s="24"/>
      <c r="I167" s="24"/>
      <c r="J167" s="24"/>
      <c r="K167" s="24"/>
    </row>
    <row r="168" spans="1:11" hidden="1" x14ac:dyDescent="0.25">
      <c r="A168" s="389" t="s">
        <v>423</v>
      </c>
      <c r="B168" s="352">
        <v>29.8</v>
      </c>
      <c r="C168" s="353">
        <v>21.4</v>
      </c>
      <c r="D168" s="353">
        <v>0.5</v>
      </c>
      <c r="E168" s="353">
        <v>12.3</v>
      </c>
      <c r="F168" s="354">
        <v>0.8</v>
      </c>
      <c r="G168" s="24"/>
      <c r="H168" s="24"/>
      <c r="I168" s="24"/>
      <c r="J168" s="24"/>
      <c r="K168" s="24"/>
    </row>
    <row r="169" spans="1:11" hidden="1" x14ac:dyDescent="0.25">
      <c r="A169" s="389" t="s">
        <v>422</v>
      </c>
      <c r="B169" s="352">
        <v>27.3</v>
      </c>
      <c r="C169" s="353">
        <v>21.6</v>
      </c>
      <c r="D169" s="353">
        <v>0.57999999999999996</v>
      </c>
      <c r="E169" s="353">
        <v>8.42</v>
      </c>
      <c r="F169" s="354">
        <v>0.93</v>
      </c>
      <c r="G169" s="24"/>
      <c r="H169" s="24"/>
      <c r="I169" s="24"/>
      <c r="J169" s="24"/>
      <c r="K169" s="24"/>
    </row>
    <row r="170" spans="1:11" hidden="1" x14ac:dyDescent="0.25">
      <c r="A170" s="389" t="s">
        <v>421</v>
      </c>
      <c r="B170" s="352">
        <v>24.3</v>
      </c>
      <c r="C170" s="353">
        <v>21.4</v>
      </c>
      <c r="D170" s="353">
        <v>0.51500000000000001</v>
      </c>
      <c r="E170" s="353">
        <v>8.36</v>
      </c>
      <c r="F170" s="354">
        <v>0.83499999999999996</v>
      </c>
      <c r="G170" s="24"/>
      <c r="H170" s="24"/>
      <c r="I170" s="24"/>
      <c r="J170" s="24"/>
      <c r="K170" s="24"/>
    </row>
    <row r="171" spans="1:11" hidden="1" x14ac:dyDescent="0.25">
      <c r="A171" s="389" t="s">
        <v>375</v>
      </c>
      <c r="B171" s="352">
        <v>21.5</v>
      </c>
      <c r="C171" s="353">
        <v>21.2</v>
      </c>
      <c r="D171" s="353">
        <v>0.45500000000000002</v>
      </c>
      <c r="E171" s="353">
        <v>8.3000000000000007</v>
      </c>
      <c r="F171" s="354">
        <v>0.74</v>
      </c>
      <c r="G171" s="24"/>
      <c r="H171" s="24"/>
      <c r="I171" s="24"/>
      <c r="J171" s="24"/>
      <c r="K171" s="24"/>
    </row>
    <row r="172" spans="1:11" hidden="1" x14ac:dyDescent="0.25">
      <c r="A172" s="389" t="s">
        <v>374</v>
      </c>
      <c r="B172" s="352">
        <v>20</v>
      </c>
      <c r="C172" s="353">
        <v>21.1</v>
      </c>
      <c r="D172" s="353">
        <v>0.43</v>
      </c>
      <c r="E172" s="353">
        <v>8.27</v>
      </c>
      <c r="F172" s="354">
        <v>0.68500000000000005</v>
      </c>
      <c r="G172" s="24"/>
      <c r="H172" s="24"/>
      <c r="I172" s="24"/>
      <c r="J172" s="24"/>
      <c r="K172" s="24"/>
    </row>
    <row r="173" spans="1:11" hidden="1" x14ac:dyDescent="0.25">
      <c r="A173" s="389" t="s">
        <v>373</v>
      </c>
      <c r="B173" s="352">
        <v>18.3</v>
      </c>
      <c r="C173" s="353">
        <v>21</v>
      </c>
      <c r="D173" s="353">
        <v>0.4</v>
      </c>
      <c r="E173" s="353">
        <v>8.24</v>
      </c>
      <c r="F173" s="354">
        <v>0.61499999999999999</v>
      </c>
      <c r="G173" s="24"/>
      <c r="H173" s="24"/>
      <c r="I173" s="24"/>
      <c r="J173" s="24"/>
      <c r="K173" s="24"/>
    </row>
    <row r="174" spans="1:11" hidden="1" x14ac:dyDescent="0.25">
      <c r="A174" s="389" t="s">
        <v>372</v>
      </c>
      <c r="B174" s="352">
        <v>16.7</v>
      </c>
      <c r="C174" s="353">
        <v>21.1</v>
      </c>
      <c r="D174" s="353">
        <v>0.40500000000000003</v>
      </c>
      <c r="E174" s="353">
        <v>6.56</v>
      </c>
      <c r="F174" s="354">
        <v>0.65</v>
      </c>
      <c r="G174" s="24"/>
      <c r="H174" s="24"/>
      <c r="I174" s="24"/>
      <c r="J174" s="24"/>
      <c r="K174" s="24"/>
    </row>
    <row r="175" spans="1:11" hidden="1" x14ac:dyDescent="0.25">
      <c r="A175" s="389" t="s">
        <v>6</v>
      </c>
      <c r="B175" s="352">
        <v>16.2</v>
      </c>
      <c r="C175" s="353">
        <v>20.8</v>
      </c>
      <c r="D175" s="353">
        <v>0.375</v>
      </c>
      <c r="E175" s="353">
        <v>8.2200000000000006</v>
      </c>
      <c r="F175" s="354">
        <v>0.52200000000000002</v>
      </c>
      <c r="G175" s="24"/>
      <c r="H175" s="24"/>
      <c r="I175" s="24"/>
      <c r="J175" s="24"/>
      <c r="K175" s="24"/>
    </row>
    <row r="176" spans="1:11" hidden="1" x14ac:dyDescent="0.25">
      <c r="A176" s="389" t="s">
        <v>371</v>
      </c>
      <c r="B176" s="352">
        <v>14.7</v>
      </c>
      <c r="C176" s="353">
        <v>20.8</v>
      </c>
      <c r="D176" s="353">
        <v>0.38</v>
      </c>
      <c r="E176" s="353">
        <v>6.53</v>
      </c>
      <c r="F176" s="354">
        <v>0.53500000000000003</v>
      </c>
      <c r="G176" s="24"/>
      <c r="H176" s="24"/>
      <c r="I176" s="24"/>
      <c r="J176" s="24"/>
      <c r="K176" s="24"/>
    </row>
    <row r="177" spans="1:11" hidden="1" x14ac:dyDescent="0.25">
      <c r="A177" s="389" t="s">
        <v>7</v>
      </c>
      <c r="B177" s="352">
        <v>14.1</v>
      </c>
      <c r="C177" s="353">
        <v>20.6</v>
      </c>
      <c r="D177" s="353">
        <v>0.35</v>
      </c>
      <c r="E177" s="353">
        <v>8.14</v>
      </c>
      <c r="F177" s="354">
        <v>0.43</v>
      </c>
      <c r="G177" s="24"/>
      <c r="H177" s="24"/>
      <c r="I177" s="24"/>
      <c r="J177" s="24"/>
      <c r="K177" s="24"/>
    </row>
    <row r="178" spans="1:11" hidden="1" x14ac:dyDescent="0.25">
      <c r="A178" s="389" t="s">
        <v>370</v>
      </c>
      <c r="B178" s="352">
        <v>13</v>
      </c>
      <c r="C178" s="353">
        <v>20.7</v>
      </c>
      <c r="D178" s="353">
        <v>0.35</v>
      </c>
      <c r="E178" s="353">
        <v>6.5</v>
      </c>
      <c r="F178" s="354">
        <v>0.45</v>
      </c>
      <c r="G178" s="24"/>
      <c r="H178" s="24"/>
      <c r="I178" s="24"/>
      <c r="J178" s="24"/>
      <c r="K178" s="24"/>
    </row>
    <row r="179" spans="1:11" hidden="1" x14ac:dyDescent="0.25">
      <c r="A179" s="389" t="s">
        <v>369</v>
      </c>
      <c r="B179" s="352">
        <v>91.5</v>
      </c>
      <c r="C179" s="353">
        <v>22.32</v>
      </c>
      <c r="D179" s="353">
        <v>1.52</v>
      </c>
      <c r="E179" s="353">
        <v>12.005000000000001</v>
      </c>
      <c r="F179" s="354">
        <v>2.74</v>
      </c>
      <c r="G179" s="24"/>
      <c r="H179" s="24"/>
      <c r="I179" s="24"/>
      <c r="J179" s="24"/>
      <c r="K179" s="24"/>
    </row>
    <row r="180" spans="1:11" hidden="1" x14ac:dyDescent="0.25">
      <c r="A180" s="389" t="s">
        <v>216</v>
      </c>
      <c r="B180" s="352">
        <v>83.2</v>
      </c>
      <c r="C180" s="353">
        <v>21.85</v>
      </c>
      <c r="D180" s="353">
        <v>1.4</v>
      </c>
      <c r="E180" s="353">
        <v>11.89</v>
      </c>
      <c r="F180" s="354">
        <v>2.5</v>
      </c>
      <c r="G180" s="24"/>
      <c r="H180" s="24"/>
      <c r="I180" s="24"/>
      <c r="J180" s="24"/>
      <c r="K180" s="24"/>
    </row>
    <row r="181" spans="1:11" hidden="1" x14ac:dyDescent="0.25">
      <c r="A181" s="389" t="s">
        <v>215</v>
      </c>
      <c r="B181" s="352">
        <v>75.900000000000006</v>
      </c>
      <c r="C181" s="353">
        <v>21.46</v>
      </c>
      <c r="D181" s="353">
        <v>1.28</v>
      </c>
      <c r="E181" s="353">
        <v>11.77</v>
      </c>
      <c r="F181" s="354">
        <v>2.2999999999999998</v>
      </c>
      <c r="G181" s="24"/>
      <c r="H181" s="24"/>
      <c r="I181" s="24"/>
      <c r="J181" s="24"/>
      <c r="K181" s="24"/>
    </row>
    <row r="182" spans="1:11" hidden="1" x14ac:dyDescent="0.25">
      <c r="A182" s="389" t="s">
        <v>430</v>
      </c>
      <c r="B182" s="352">
        <v>68.8</v>
      </c>
      <c r="C182" s="353">
        <v>21.06</v>
      </c>
      <c r="D182" s="353">
        <v>1.1599999999999999</v>
      </c>
      <c r="E182" s="353">
        <v>11.65</v>
      </c>
      <c r="F182" s="354">
        <v>2.11</v>
      </c>
      <c r="G182" s="24"/>
      <c r="H182" s="24"/>
      <c r="I182" s="24"/>
      <c r="J182" s="24"/>
      <c r="K182" s="24"/>
    </row>
    <row r="183" spans="1:11" hidden="1" x14ac:dyDescent="0.25">
      <c r="A183" s="389" t="s">
        <v>429</v>
      </c>
      <c r="B183" s="352">
        <v>62.1</v>
      </c>
      <c r="C183" s="353">
        <v>20.67</v>
      </c>
      <c r="D183" s="353">
        <v>1.06</v>
      </c>
      <c r="E183" s="353">
        <v>11.555</v>
      </c>
      <c r="F183" s="354">
        <v>1.91</v>
      </c>
      <c r="G183" s="24"/>
      <c r="H183" s="24"/>
      <c r="I183" s="24"/>
      <c r="J183" s="24"/>
      <c r="K183" s="24"/>
    </row>
    <row r="184" spans="1:11" hidden="1" x14ac:dyDescent="0.25">
      <c r="A184" s="389" t="s">
        <v>428</v>
      </c>
      <c r="B184" s="352">
        <v>56.4</v>
      </c>
      <c r="C184" s="353">
        <v>20.350000000000001</v>
      </c>
      <c r="D184" s="353">
        <v>0.96</v>
      </c>
      <c r="E184" s="353">
        <v>11.455</v>
      </c>
      <c r="F184" s="354">
        <v>1.75</v>
      </c>
      <c r="G184" s="24"/>
      <c r="H184" s="24"/>
      <c r="I184" s="24"/>
      <c r="J184" s="24"/>
      <c r="K184" s="24"/>
    </row>
    <row r="185" spans="1:11" hidden="1" x14ac:dyDescent="0.25">
      <c r="A185" s="389" t="s">
        <v>248</v>
      </c>
      <c r="B185" s="352">
        <v>51.3</v>
      </c>
      <c r="C185" s="353">
        <v>20</v>
      </c>
      <c r="D185" s="353">
        <v>0.89</v>
      </c>
      <c r="E185" s="353">
        <v>11.4</v>
      </c>
      <c r="F185" s="354">
        <v>1.59</v>
      </c>
      <c r="G185" s="24"/>
      <c r="H185" s="24"/>
      <c r="I185" s="24"/>
      <c r="J185" s="24"/>
      <c r="K185" s="24"/>
    </row>
    <row r="186" spans="1:11" hidden="1" x14ac:dyDescent="0.25">
      <c r="A186" s="389" t="s">
        <v>247</v>
      </c>
      <c r="B186" s="352">
        <v>46.3</v>
      </c>
      <c r="C186" s="353">
        <v>19.7</v>
      </c>
      <c r="D186" s="353">
        <v>0.81</v>
      </c>
      <c r="E186" s="353">
        <v>11.3</v>
      </c>
      <c r="F186" s="354">
        <v>1.44</v>
      </c>
      <c r="G186" s="24"/>
      <c r="H186" s="24"/>
      <c r="I186" s="24"/>
      <c r="J186" s="24"/>
      <c r="K186" s="24"/>
    </row>
    <row r="187" spans="1:11" hidden="1" x14ac:dyDescent="0.25">
      <c r="A187" s="389" t="s">
        <v>246</v>
      </c>
      <c r="B187" s="352">
        <v>42.1</v>
      </c>
      <c r="C187" s="353">
        <v>19.5</v>
      </c>
      <c r="D187" s="353">
        <v>0.73</v>
      </c>
      <c r="E187" s="353">
        <v>11.2</v>
      </c>
      <c r="F187" s="354">
        <v>1.32</v>
      </c>
      <c r="G187" s="24"/>
      <c r="H187" s="24"/>
      <c r="I187" s="24"/>
      <c r="J187" s="24"/>
      <c r="K187" s="24"/>
    </row>
    <row r="188" spans="1:11" hidden="1" x14ac:dyDescent="0.25">
      <c r="A188" s="389" t="s">
        <v>287</v>
      </c>
      <c r="B188" s="352">
        <v>38.200000000000003</v>
      </c>
      <c r="C188" s="353">
        <v>19.3</v>
      </c>
      <c r="D188" s="353">
        <v>0.67</v>
      </c>
      <c r="E188" s="353">
        <v>11.2</v>
      </c>
      <c r="F188" s="354">
        <v>1.2</v>
      </c>
      <c r="G188" s="24"/>
      <c r="H188" s="24"/>
      <c r="I188" s="24"/>
      <c r="J188" s="24"/>
      <c r="K188" s="24"/>
    </row>
    <row r="189" spans="1:11" hidden="1" x14ac:dyDescent="0.25">
      <c r="A189" s="389" t="s">
        <v>286</v>
      </c>
      <c r="B189" s="352">
        <v>35.1</v>
      </c>
      <c r="C189" s="353">
        <v>19</v>
      </c>
      <c r="D189" s="353">
        <v>0.65500000000000003</v>
      </c>
      <c r="E189" s="353">
        <v>11.3</v>
      </c>
      <c r="F189" s="354">
        <v>1.06</v>
      </c>
      <c r="G189" s="24"/>
      <c r="H189" s="24"/>
      <c r="I189" s="24"/>
      <c r="J189" s="24"/>
      <c r="K189" s="24"/>
    </row>
    <row r="190" spans="1:11" hidden="1" x14ac:dyDescent="0.25">
      <c r="A190" s="389" t="s">
        <v>285</v>
      </c>
      <c r="B190" s="352">
        <v>31.1</v>
      </c>
      <c r="C190" s="353">
        <v>18.7</v>
      </c>
      <c r="D190" s="353">
        <v>0.59</v>
      </c>
      <c r="E190" s="353">
        <v>11.2</v>
      </c>
      <c r="F190" s="354">
        <v>0.94</v>
      </c>
      <c r="G190" s="24"/>
      <c r="H190" s="24"/>
      <c r="I190" s="24"/>
      <c r="J190" s="24"/>
      <c r="K190" s="24"/>
    </row>
    <row r="191" spans="1:11" hidden="1" x14ac:dyDescent="0.25">
      <c r="A191" s="389" t="s">
        <v>206</v>
      </c>
      <c r="B191" s="352">
        <v>28.5</v>
      </c>
      <c r="C191" s="353">
        <v>18.600000000000001</v>
      </c>
      <c r="D191" s="353">
        <v>0.53500000000000003</v>
      </c>
      <c r="E191" s="353">
        <v>11.1</v>
      </c>
      <c r="F191" s="354">
        <v>0.87</v>
      </c>
      <c r="G191" s="24"/>
      <c r="H191" s="24"/>
      <c r="I191" s="24"/>
      <c r="J191" s="24"/>
      <c r="K191" s="24"/>
    </row>
    <row r="192" spans="1:11" hidden="1" x14ac:dyDescent="0.25">
      <c r="A192" s="389" t="s">
        <v>93</v>
      </c>
      <c r="B192" s="352">
        <v>25.3</v>
      </c>
      <c r="C192" s="353">
        <v>18.399999999999999</v>
      </c>
      <c r="D192" s="353">
        <v>0.48</v>
      </c>
      <c r="E192" s="353">
        <v>11.1</v>
      </c>
      <c r="F192" s="354">
        <v>0.77</v>
      </c>
      <c r="G192" s="24"/>
      <c r="H192" s="24"/>
      <c r="I192" s="24"/>
      <c r="J192" s="24"/>
      <c r="K192" s="24"/>
    </row>
    <row r="193" spans="1:11" hidden="1" x14ac:dyDescent="0.25">
      <c r="A193" s="389" t="s">
        <v>313</v>
      </c>
      <c r="B193" s="352">
        <v>22.3</v>
      </c>
      <c r="C193" s="353">
        <v>18.2</v>
      </c>
      <c r="D193" s="353">
        <v>0.42499999999999999</v>
      </c>
      <c r="E193" s="353">
        <v>11</v>
      </c>
      <c r="F193" s="354">
        <v>0.68</v>
      </c>
      <c r="G193" s="24"/>
      <c r="H193" s="24"/>
      <c r="I193" s="24"/>
      <c r="J193" s="24"/>
      <c r="K193" s="24"/>
    </row>
    <row r="194" spans="1:11" hidden="1" x14ac:dyDescent="0.25">
      <c r="A194" s="389" t="s">
        <v>312</v>
      </c>
      <c r="B194" s="352">
        <v>20.8</v>
      </c>
      <c r="C194" s="353">
        <v>18.5</v>
      </c>
      <c r="D194" s="353">
        <v>0.495</v>
      </c>
      <c r="E194" s="353">
        <v>7.64</v>
      </c>
      <c r="F194" s="354">
        <v>0.81</v>
      </c>
      <c r="G194" s="24"/>
      <c r="H194" s="24"/>
      <c r="I194" s="24"/>
      <c r="J194" s="24"/>
      <c r="K194" s="24"/>
    </row>
    <row r="195" spans="1:11" hidden="1" x14ac:dyDescent="0.25">
      <c r="A195" s="389" t="s">
        <v>311</v>
      </c>
      <c r="B195" s="352">
        <v>19.100000000000001</v>
      </c>
      <c r="C195" s="353">
        <v>18.399999999999999</v>
      </c>
      <c r="D195" s="353">
        <v>0.45</v>
      </c>
      <c r="E195" s="353">
        <v>7.59</v>
      </c>
      <c r="F195" s="354">
        <v>0.75</v>
      </c>
      <c r="G195" s="24"/>
      <c r="H195" s="24"/>
      <c r="I195" s="24"/>
      <c r="J195" s="24"/>
      <c r="K195" s="24"/>
    </row>
    <row r="196" spans="1:11" hidden="1" x14ac:dyDescent="0.25">
      <c r="A196" s="389" t="s">
        <v>310</v>
      </c>
      <c r="B196" s="352">
        <v>17.600000000000001</v>
      </c>
      <c r="C196" s="353">
        <v>18.2</v>
      </c>
      <c r="D196" s="353">
        <v>0.41499999999999998</v>
      </c>
      <c r="E196" s="353">
        <v>7.56</v>
      </c>
      <c r="F196" s="354">
        <v>0.69499999999999995</v>
      </c>
      <c r="G196" s="24"/>
      <c r="H196" s="24"/>
      <c r="I196" s="24"/>
      <c r="J196" s="24"/>
      <c r="K196" s="24"/>
    </row>
    <row r="197" spans="1:11" hidden="1" x14ac:dyDescent="0.25">
      <c r="A197" s="389" t="s">
        <v>309</v>
      </c>
      <c r="B197" s="352">
        <v>16.2</v>
      </c>
      <c r="C197" s="353">
        <v>18.100000000000001</v>
      </c>
      <c r="D197" s="353">
        <v>0.39</v>
      </c>
      <c r="E197" s="353">
        <v>7.53</v>
      </c>
      <c r="F197" s="354">
        <v>0.63</v>
      </c>
      <c r="G197" s="24"/>
      <c r="H197" s="24"/>
      <c r="I197" s="24"/>
      <c r="J197" s="24"/>
      <c r="K197" s="24"/>
    </row>
    <row r="198" spans="1:11" hidden="1" x14ac:dyDescent="0.25">
      <c r="A198" s="389" t="s">
        <v>354</v>
      </c>
      <c r="B198" s="352">
        <v>14.7</v>
      </c>
      <c r="C198" s="353">
        <v>18</v>
      </c>
      <c r="D198" s="353">
        <v>0.35499999999999998</v>
      </c>
      <c r="E198" s="353">
        <v>7.5</v>
      </c>
      <c r="F198" s="354">
        <v>0.56999999999999995</v>
      </c>
      <c r="G198" s="24"/>
      <c r="H198" s="24"/>
      <c r="I198" s="24"/>
      <c r="J198" s="24"/>
      <c r="K198" s="24"/>
    </row>
    <row r="199" spans="1:11" hidden="1" x14ac:dyDescent="0.25">
      <c r="A199" s="389" t="s">
        <v>353</v>
      </c>
      <c r="B199" s="352">
        <v>13.5</v>
      </c>
      <c r="C199" s="353">
        <v>18.100000000000001</v>
      </c>
      <c r="D199" s="353">
        <v>0.36</v>
      </c>
      <c r="E199" s="353">
        <v>6.06</v>
      </c>
      <c r="F199" s="354">
        <v>0.60499999999999998</v>
      </c>
      <c r="G199" s="24"/>
      <c r="H199" s="24"/>
      <c r="I199" s="24"/>
      <c r="J199" s="24"/>
      <c r="K199" s="24"/>
    </row>
    <row r="200" spans="1:11" hidden="1" x14ac:dyDescent="0.25">
      <c r="A200" s="389" t="s">
        <v>352</v>
      </c>
      <c r="B200" s="352">
        <v>11.8</v>
      </c>
      <c r="C200" s="353">
        <v>17.899999999999999</v>
      </c>
      <c r="D200" s="353">
        <v>0.315</v>
      </c>
      <c r="E200" s="353">
        <v>6.02</v>
      </c>
      <c r="F200" s="354">
        <v>0.52500000000000002</v>
      </c>
      <c r="G200" s="24"/>
      <c r="H200" s="24"/>
      <c r="I200" s="24"/>
      <c r="J200" s="24"/>
      <c r="K200" s="24"/>
    </row>
    <row r="201" spans="1:11" hidden="1" x14ac:dyDescent="0.25">
      <c r="A201" s="389" t="s">
        <v>351</v>
      </c>
      <c r="B201" s="352">
        <v>10.3</v>
      </c>
      <c r="C201" s="353">
        <v>17.7</v>
      </c>
      <c r="D201" s="353">
        <v>0.3</v>
      </c>
      <c r="E201" s="353">
        <v>6</v>
      </c>
      <c r="F201" s="354">
        <v>0.42499999999999999</v>
      </c>
      <c r="G201" s="24"/>
      <c r="H201" s="24"/>
      <c r="I201" s="24"/>
      <c r="J201" s="24"/>
      <c r="K201" s="24"/>
    </row>
    <row r="202" spans="1:11" hidden="1" x14ac:dyDescent="0.25">
      <c r="A202" s="389" t="s">
        <v>350</v>
      </c>
      <c r="B202" s="352">
        <v>29.7</v>
      </c>
      <c r="C202" s="353">
        <v>17</v>
      </c>
      <c r="D202" s="353">
        <v>0.58499999999999996</v>
      </c>
      <c r="E202" s="353">
        <v>10.4</v>
      </c>
      <c r="F202" s="354">
        <v>0.98499999999999999</v>
      </c>
      <c r="G202" s="24"/>
      <c r="H202" s="24"/>
      <c r="I202" s="24"/>
      <c r="J202" s="24"/>
      <c r="K202" s="24"/>
    </row>
    <row r="203" spans="1:11" hidden="1" x14ac:dyDescent="0.25">
      <c r="A203" s="389" t="s">
        <v>194</v>
      </c>
      <c r="B203" s="352">
        <v>26.4</v>
      </c>
      <c r="C203" s="353">
        <v>16.8</v>
      </c>
      <c r="D203" s="353">
        <v>0.52500000000000002</v>
      </c>
      <c r="E203" s="353">
        <v>10.4</v>
      </c>
      <c r="F203" s="354">
        <v>0.875</v>
      </c>
      <c r="G203" s="24"/>
      <c r="H203" s="24"/>
      <c r="I203" s="24"/>
      <c r="J203" s="24"/>
      <c r="K203" s="24"/>
    </row>
    <row r="204" spans="1:11" hidden="1" x14ac:dyDescent="0.25">
      <c r="A204" s="389" t="s">
        <v>193</v>
      </c>
      <c r="B204" s="352">
        <v>22.9</v>
      </c>
      <c r="C204" s="353">
        <v>16.5</v>
      </c>
      <c r="D204" s="353">
        <v>0.45500000000000002</v>
      </c>
      <c r="E204" s="353">
        <v>10.3</v>
      </c>
      <c r="F204" s="354">
        <v>0.76</v>
      </c>
      <c r="G204" s="24"/>
      <c r="H204" s="24"/>
      <c r="I204" s="24"/>
      <c r="J204" s="24"/>
      <c r="K204" s="24"/>
    </row>
    <row r="205" spans="1:11" hidden="1" x14ac:dyDescent="0.25">
      <c r="A205" s="389" t="s">
        <v>192</v>
      </c>
      <c r="B205" s="352">
        <v>20</v>
      </c>
      <c r="C205" s="353">
        <v>16.3</v>
      </c>
      <c r="D205" s="353">
        <v>0.39500000000000002</v>
      </c>
      <c r="E205" s="353">
        <v>10.199999999999999</v>
      </c>
      <c r="F205" s="354">
        <v>0.66500000000000004</v>
      </c>
      <c r="G205" s="24"/>
      <c r="H205" s="24"/>
      <c r="I205" s="24"/>
      <c r="J205" s="24"/>
      <c r="K205" s="24"/>
    </row>
    <row r="206" spans="1:11" hidden="1" x14ac:dyDescent="0.25">
      <c r="A206" s="389" t="s">
        <v>191</v>
      </c>
      <c r="B206" s="352">
        <v>16.8</v>
      </c>
      <c r="C206" s="353">
        <v>16.399999999999999</v>
      </c>
      <c r="D206" s="353">
        <v>0.43</v>
      </c>
      <c r="E206" s="353">
        <v>7.12</v>
      </c>
      <c r="F206" s="354">
        <v>0.71499999999999997</v>
      </c>
      <c r="G206" s="24"/>
      <c r="H206" s="24"/>
      <c r="I206" s="24"/>
      <c r="J206" s="24"/>
      <c r="K206" s="24"/>
    </row>
    <row r="207" spans="1:11" hidden="1" x14ac:dyDescent="0.25">
      <c r="A207" s="389" t="s">
        <v>190</v>
      </c>
      <c r="B207" s="352">
        <v>14.7</v>
      </c>
      <c r="C207" s="353">
        <v>16.3</v>
      </c>
      <c r="D207" s="353">
        <v>0.38</v>
      </c>
      <c r="E207" s="353">
        <v>7.07</v>
      </c>
      <c r="F207" s="354">
        <v>0.63</v>
      </c>
      <c r="G207" s="24"/>
      <c r="H207" s="24"/>
      <c r="I207" s="24"/>
      <c r="J207" s="24"/>
      <c r="K207" s="24"/>
    </row>
    <row r="208" spans="1:11" hidden="1" x14ac:dyDescent="0.25">
      <c r="A208" s="389" t="s">
        <v>408</v>
      </c>
      <c r="B208" s="352">
        <v>13.3</v>
      </c>
      <c r="C208" s="353">
        <v>16.100000000000001</v>
      </c>
      <c r="D208" s="353">
        <v>0.34499999999999997</v>
      </c>
      <c r="E208" s="353">
        <v>7.04</v>
      </c>
      <c r="F208" s="354">
        <v>0.56499999999999995</v>
      </c>
      <c r="G208" s="24"/>
      <c r="H208" s="24"/>
      <c r="I208" s="24"/>
      <c r="J208" s="24"/>
      <c r="K208" s="24"/>
    </row>
    <row r="209" spans="1:11" hidden="1" x14ac:dyDescent="0.25">
      <c r="A209" s="389" t="s">
        <v>407</v>
      </c>
      <c r="B209" s="352">
        <v>11.8</v>
      </c>
      <c r="C209" s="353">
        <v>16</v>
      </c>
      <c r="D209" s="353">
        <v>0.30499999999999999</v>
      </c>
      <c r="E209" s="353">
        <v>7</v>
      </c>
      <c r="F209" s="354">
        <v>0.505</v>
      </c>
      <c r="G209" s="24"/>
      <c r="H209" s="24"/>
      <c r="I209" s="24"/>
      <c r="J209" s="24"/>
      <c r="K209" s="24"/>
    </row>
    <row r="210" spans="1:11" hidden="1" x14ac:dyDescent="0.25">
      <c r="A210" s="389" t="s">
        <v>406</v>
      </c>
      <c r="B210" s="352">
        <v>10.6</v>
      </c>
      <c r="C210" s="353">
        <v>15.9</v>
      </c>
      <c r="D210" s="353">
        <v>0.29499999999999998</v>
      </c>
      <c r="E210" s="353">
        <v>6.99</v>
      </c>
      <c r="F210" s="354">
        <v>0.43</v>
      </c>
      <c r="G210" s="24"/>
      <c r="H210" s="24"/>
      <c r="I210" s="24"/>
      <c r="J210" s="24"/>
      <c r="K210" s="24"/>
    </row>
    <row r="211" spans="1:11" hidden="1" x14ac:dyDescent="0.25">
      <c r="A211" s="389" t="s">
        <v>284</v>
      </c>
      <c r="B211" s="352">
        <v>9.1300000000000008</v>
      </c>
      <c r="C211" s="353">
        <v>15.9</v>
      </c>
      <c r="D211" s="353">
        <v>0.27500000000000002</v>
      </c>
      <c r="E211" s="353">
        <v>5.53</v>
      </c>
      <c r="F211" s="354">
        <v>0.44</v>
      </c>
      <c r="G211" s="24"/>
      <c r="H211" s="24"/>
      <c r="I211" s="24"/>
      <c r="J211" s="24"/>
      <c r="K211" s="24"/>
    </row>
    <row r="212" spans="1:11" hidden="1" x14ac:dyDescent="0.25">
      <c r="A212" s="389" t="s">
        <v>283</v>
      </c>
      <c r="B212" s="352">
        <v>7.68</v>
      </c>
      <c r="C212" s="353">
        <v>15.7</v>
      </c>
      <c r="D212" s="353">
        <v>0.25</v>
      </c>
      <c r="E212" s="353">
        <v>5.5</v>
      </c>
      <c r="F212" s="354">
        <v>0.34499999999999997</v>
      </c>
      <c r="G212" s="24"/>
      <c r="H212" s="24"/>
      <c r="I212" s="24"/>
      <c r="J212" s="24"/>
      <c r="K212" s="24"/>
    </row>
    <row r="213" spans="1:11" hidden="1" x14ac:dyDescent="0.25">
      <c r="A213" s="389" t="s">
        <v>92</v>
      </c>
      <c r="B213" s="352">
        <v>237</v>
      </c>
      <c r="C213" s="353">
        <v>22.8</v>
      </c>
      <c r="D213" s="353">
        <v>3.74</v>
      </c>
      <c r="E213" s="353">
        <v>18.600000000000001</v>
      </c>
      <c r="F213" s="354">
        <v>5.12</v>
      </c>
      <c r="G213" s="24"/>
      <c r="H213" s="24"/>
      <c r="I213" s="24"/>
      <c r="J213" s="24"/>
      <c r="K213" s="24"/>
    </row>
    <row r="214" spans="1:11" hidden="1" x14ac:dyDescent="0.25">
      <c r="A214" s="389" t="s">
        <v>282</v>
      </c>
      <c r="B214" s="352">
        <v>215</v>
      </c>
      <c r="C214" s="353">
        <v>22.4</v>
      </c>
      <c r="D214" s="353">
        <v>3.07</v>
      </c>
      <c r="E214" s="353">
        <v>17.899999999999999</v>
      </c>
      <c r="F214" s="354">
        <v>4.91</v>
      </c>
      <c r="G214" s="24"/>
      <c r="H214" s="24"/>
      <c r="I214" s="24"/>
      <c r="J214" s="24"/>
      <c r="K214" s="24"/>
    </row>
    <row r="215" spans="1:11" hidden="1" x14ac:dyDescent="0.25">
      <c r="A215" s="389" t="s">
        <v>281</v>
      </c>
      <c r="B215" s="352">
        <v>196</v>
      </c>
      <c r="C215" s="353">
        <v>21.6</v>
      </c>
      <c r="D215" s="353">
        <v>2.83</v>
      </c>
      <c r="E215" s="353">
        <v>17.7</v>
      </c>
      <c r="F215" s="354">
        <v>4.5199999999999996</v>
      </c>
      <c r="G215" s="24"/>
      <c r="H215" s="24"/>
      <c r="I215" s="24"/>
      <c r="J215" s="24"/>
      <c r="K215" s="24"/>
    </row>
    <row r="216" spans="1:11" hidden="1" x14ac:dyDescent="0.25">
      <c r="A216" s="389" t="s">
        <v>335</v>
      </c>
      <c r="B216" s="352">
        <v>178</v>
      </c>
      <c r="C216" s="353">
        <v>20.9</v>
      </c>
      <c r="D216" s="353">
        <v>2.6</v>
      </c>
      <c r="E216" s="353">
        <v>17.399999999999999</v>
      </c>
      <c r="F216" s="354">
        <v>4.16</v>
      </c>
      <c r="G216" s="24"/>
      <c r="H216" s="24"/>
      <c r="I216" s="24"/>
      <c r="J216" s="24"/>
      <c r="K216" s="24"/>
    </row>
    <row r="217" spans="1:11" hidden="1" x14ac:dyDescent="0.25">
      <c r="A217" s="389" t="s">
        <v>334</v>
      </c>
      <c r="B217" s="352">
        <v>162</v>
      </c>
      <c r="C217" s="353">
        <v>20.2</v>
      </c>
      <c r="D217" s="353">
        <v>2.38</v>
      </c>
      <c r="E217" s="353">
        <v>17.2</v>
      </c>
      <c r="F217" s="354">
        <v>3.82</v>
      </c>
      <c r="G217" s="24"/>
      <c r="H217" s="24"/>
      <c r="I217" s="24"/>
      <c r="J217" s="24"/>
      <c r="K217" s="24"/>
    </row>
    <row r="218" spans="1:11" hidden="1" x14ac:dyDescent="0.25">
      <c r="A218" s="389" t="s">
        <v>333</v>
      </c>
      <c r="B218" s="352">
        <v>147</v>
      </c>
      <c r="C218" s="353">
        <v>19.600000000000001</v>
      </c>
      <c r="D218" s="353">
        <v>2.19</v>
      </c>
      <c r="E218" s="353">
        <v>17</v>
      </c>
      <c r="F218" s="354">
        <v>3.5</v>
      </c>
      <c r="G218" s="24"/>
      <c r="H218" s="24"/>
      <c r="I218" s="24"/>
      <c r="J218" s="24"/>
      <c r="K218" s="24"/>
    </row>
    <row r="219" spans="1:11" hidden="1" x14ac:dyDescent="0.25">
      <c r="A219" s="389" t="s">
        <v>332</v>
      </c>
      <c r="B219" s="352">
        <v>134</v>
      </c>
      <c r="C219" s="353">
        <v>19</v>
      </c>
      <c r="D219" s="353">
        <v>2.02</v>
      </c>
      <c r="E219" s="353">
        <v>16.8</v>
      </c>
      <c r="F219" s="354">
        <v>3.21</v>
      </c>
      <c r="G219" s="24"/>
      <c r="H219" s="24"/>
      <c r="I219" s="24"/>
      <c r="J219" s="24"/>
      <c r="K219" s="24"/>
    </row>
    <row r="220" spans="1:11" hidden="1" x14ac:dyDescent="0.25">
      <c r="A220" s="389" t="s">
        <v>331</v>
      </c>
      <c r="B220" s="352">
        <v>125</v>
      </c>
      <c r="C220" s="353">
        <v>18.7</v>
      </c>
      <c r="D220" s="353">
        <v>1.88</v>
      </c>
      <c r="E220" s="353">
        <v>16.7</v>
      </c>
      <c r="F220" s="354">
        <v>3.04</v>
      </c>
      <c r="G220" s="24"/>
      <c r="H220" s="24"/>
      <c r="I220" s="24"/>
      <c r="J220" s="24"/>
      <c r="K220" s="24"/>
    </row>
    <row r="221" spans="1:11" hidden="1" x14ac:dyDescent="0.25">
      <c r="A221" s="389" t="s">
        <v>399</v>
      </c>
      <c r="B221" s="352">
        <v>117</v>
      </c>
      <c r="C221" s="353">
        <v>18.3</v>
      </c>
      <c r="D221" s="353">
        <v>1.77</v>
      </c>
      <c r="E221" s="353">
        <v>16.600000000000001</v>
      </c>
      <c r="F221" s="354">
        <v>2.85</v>
      </c>
      <c r="G221" s="24"/>
      <c r="H221" s="24"/>
      <c r="I221" s="24"/>
      <c r="J221" s="24"/>
      <c r="K221" s="24"/>
    </row>
    <row r="222" spans="1:11" hidden="1" x14ac:dyDescent="0.25">
      <c r="A222" s="389" t="s">
        <v>20</v>
      </c>
      <c r="B222" s="352">
        <v>109</v>
      </c>
      <c r="C222" s="353">
        <v>17.899999999999999</v>
      </c>
      <c r="D222" s="353">
        <v>1.66</v>
      </c>
      <c r="E222" s="353">
        <v>16.5</v>
      </c>
      <c r="F222" s="354">
        <v>2.66</v>
      </c>
      <c r="G222" s="24"/>
      <c r="H222" s="24"/>
      <c r="I222" s="24"/>
      <c r="J222" s="24"/>
      <c r="K222" s="24"/>
    </row>
    <row r="223" spans="1:11" hidden="1" x14ac:dyDescent="0.25">
      <c r="A223" s="389" t="s">
        <v>360</v>
      </c>
      <c r="B223" s="352">
        <v>101</v>
      </c>
      <c r="C223" s="353">
        <v>17.5</v>
      </c>
      <c r="D223" s="353">
        <v>1.54</v>
      </c>
      <c r="E223" s="353">
        <v>16.399999999999999</v>
      </c>
      <c r="F223" s="354">
        <v>2.4700000000000002</v>
      </c>
      <c r="G223" s="24"/>
      <c r="H223" s="24"/>
      <c r="I223" s="24"/>
      <c r="J223" s="24"/>
      <c r="K223" s="24"/>
    </row>
    <row r="224" spans="1:11" hidden="1" x14ac:dyDescent="0.25">
      <c r="A224" s="389" t="s">
        <v>266</v>
      </c>
      <c r="B224" s="352">
        <v>91.4</v>
      </c>
      <c r="C224" s="353">
        <v>17.100000000000001</v>
      </c>
      <c r="D224" s="353">
        <v>1.41</v>
      </c>
      <c r="E224" s="353">
        <v>16.2</v>
      </c>
      <c r="F224" s="354">
        <v>2.2599999999999998</v>
      </c>
      <c r="G224" s="24"/>
      <c r="H224" s="24"/>
      <c r="I224" s="24"/>
      <c r="J224" s="24"/>
      <c r="K224" s="24"/>
    </row>
    <row r="225" spans="1:11" hidden="1" x14ac:dyDescent="0.25">
      <c r="A225" s="389" t="s">
        <v>265</v>
      </c>
      <c r="B225" s="352">
        <v>83.3</v>
      </c>
      <c r="C225" s="353">
        <v>16.7</v>
      </c>
      <c r="D225" s="353">
        <v>1.29</v>
      </c>
      <c r="E225" s="353">
        <v>16.100000000000001</v>
      </c>
      <c r="F225" s="354">
        <v>2.0699999999999998</v>
      </c>
      <c r="G225" s="24"/>
      <c r="H225" s="24"/>
      <c r="I225" s="24"/>
      <c r="J225" s="24"/>
      <c r="K225" s="24"/>
    </row>
    <row r="226" spans="1:11" hidden="1" x14ac:dyDescent="0.25">
      <c r="A226" s="389" t="s">
        <v>264</v>
      </c>
      <c r="B226" s="352">
        <v>75.599999999999994</v>
      </c>
      <c r="C226" s="353">
        <v>16.399999999999999</v>
      </c>
      <c r="D226" s="353">
        <v>1.18</v>
      </c>
      <c r="E226" s="353">
        <v>16</v>
      </c>
      <c r="F226" s="354">
        <v>1.89</v>
      </c>
      <c r="G226" s="24"/>
      <c r="H226" s="24"/>
      <c r="I226" s="24"/>
      <c r="J226" s="24"/>
      <c r="K226" s="24"/>
    </row>
    <row r="227" spans="1:11" hidden="1" x14ac:dyDescent="0.25">
      <c r="A227" s="389" t="s">
        <v>263</v>
      </c>
      <c r="B227" s="352">
        <v>68.5</v>
      </c>
      <c r="C227" s="353">
        <v>16</v>
      </c>
      <c r="D227" s="353">
        <v>1.07</v>
      </c>
      <c r="E227" s="353">
        <v>15.9</v>
      </c>
      <c r="F227" s="354">
        <v>1.72</v>
      </c>
      <c r="G227" s="24"/>
      <c r="H227" s="24"/>
      <c r="I227" s="24"/>
      <c r="J227" s="24"/>
      <c r="K227" s="24"/>
    </row>
    <row r="228" spans="1:11" hidden="1" x14ac:dyDescent="0.25">
      <c r="A228" s="389" t="s">
        <v>262</v>
      </c>
      <c r="B228" s="352">
        <v>62</v>
      </c>
      <c r="C228" s="353">
        <v>15.7</v>
      </c>
      <c r="D228" s="353">
        <v>0.98</v>
      </c>
      <c r="E228" s="353">
        <v>15.8</v>
      </c>
      <c r="F228" s="354">
        <v>1.56</v>
      </c>
      <c r="G228" s="24"/>
      <c r="H228" s="24"/>
      <c r="I228" s="24"/>
      <c r="J228" s="24"/>
      <c r="K228" s="24"/>
    </row>
    <row r="229" spans="1:11" hidden="1" x14ac:dyDescent="0.25">
      <c r="A229" s="389" t="s">
        <v>336</v>
      </c>
      <c r="B229" s="352">
        <v>56.8</v>
      </c>
      <c r="C229" s="353">
        <v>15.5</v>
      </c>
      <c r="D229" s="353">
        <v>0.89</v>
      </c>
      <c r="E229" s="353">
        <v>15.7</v>
      </c>
      <c r="F229" s="354">
        <v>1.44</v>
      </c>
      <c r="G229" s="24"/>
      <c r="H229" s="24"/>
      <c r="I229" s="24"/>
      <c r="J229" s="24"/>
      <c r="K229" s="24"/>
    </row>
    <row r="230" spans="1:11" hidden="1" x14ac:dyDescent="0.25">
      <c r="A230" s="389" t="s">
        <v>142</v>
      </c>
      <c r="B230" s="352">
        <v>51.8</v>
      </c>
      <c r="C230" s="353">
        <v>15.2</v>
      </c>
      <c r="D230" s="353">
        <v>0.83</v>
      </c>
      <c r="E230" s="353">
        <v>15.7</v>
      </c>
      <c r="F230" s="354">
        <v>1.31</v>
      </c>
      <c r="G230" s="24"/>
      <c r="H230" s="24"/>
      <c r="I230" s="24"/>
      <c r="J230" s="24"/>
      <c r="K230" s="24"/>
    </row>
    <row r="231" spans="1:11" hidden="1" x14ac:dyDescent="0.25">
      <c r="A231" s="389" t="s">
        <v>141</v>
      </c>
      <c r="B231" s="352">
        <v>46.7</v>
      </c>
      <c r="C231" s="353">
        <v>15</v>
      </c>
      <c r="D231" s="353">
        <v>0.745</v>
      </c>
      <c r="E231" s="353">
        <v>15.6</v>
      </c>
      <c r="F231" s="354">
        <v>1.19</v>
      </c>
      <c r="G231" s="24"/>
      <c r="H231" s="24"/>
      <c r="I231" s="24"/>
      <c r="J231" s="24"/>
      <c r="K231" s="24"/>
    </row>
    <row r="232" spans="1:11" hidden="1" x14ac:dyDescent="0.25">
      <c r="A232" s="389" t="s">
        <v>140</v>
      </c>
      <c r="B232" s="352">
        <v>42.7</v>
      </c>
      <c r="C232" s="353">
        <v>14.8</v>
      </c>
      <c r="D232" s="353">
        <v>0.68</v>
      </c>
      <c r="E232" s="353">
        <v>15.5</v>
      </c>
      <c r="F232" s="354">
        <v>1.0900000000000001</v>
      </c>
      <c r="G232" s="24"/>
      <c r="H232" s="24"/>
      <c r="I232" s="24"/>
      <c r="J232" s="24"/>
      <c r="K232" s="24"/>
    </row>
    <row r="233" spans="1:11" hidden="1" x14ac:dyDescent="0.25">
      <c r="A233" s="389" t="s">
        <v>139</v>
      </c>
      <c r="B233" s="352">
        <v>38.799999999999997</v>
      </c>
      <c r="C233" s="353">
        <v>14.7</v>
      </c>
      <c r="D233" s="353">
        <v>0.64500000000000002</v>
      </c>
      <c r="E233" s="353">
        <v>14.7</v>
      </c>
      <c r="F233" s="354">
        <v>1.03</v>
      </c>
      <c r="G233" s="24"/>
      <c r="H233" s="24"/>
      <c r="I233" s="24"/>
      <c r="J233" s="24"/>
      <c r="K233" s="24"/>
    </row>
    <row r="234" spans="1:11" hidden="1" x14ac:dyDescent="0.25">
      <c r="A234" s="389" t="s">
        <v>138</v>
      </c>
      <c r="B234" s="352">
        <v>35.299999999999997</v>
      </c>
      <c r="C234" s="353">
        <v>14.5</v>
      </c>
      <c r="D234" s="353">
        <v>0.59</v>
      </c>
      <c r="E234" s="353">
        <v>14.7</v>
      </c>
      <c r="F234" s="354">
        <v>0.94</v>
      </c>
      <c r="G234" s="24"/>
      <c r="H234" s="24"/>
      <c r="I234" s="24"/>
      <c r="J234" s="24"/>
      <c r="K234" s="24"/>
    </row>
    <row r="235" spans="1:11" hidden="1" x14ac:dyDescent="0.25">
      <c r="A235" s="389" t="s">
        <v>137</v>
      </c>
      <c r="B235" s="352">
        <v>32</v>
      </c>
      <c r="C235" s="353">
        <v>14.3</v>
      </c>
      <c r="D235" s="353">
        <v>0.52500000000000002</v>
      </c>
      <c r="E235" s="353">
        <v>14.6</v>
      </c>
      <c r="F235" s="354">
        <v>0.86</v>
      </c>
      <c r="G235" s="24"/>
      <c r="H235" s="24"/>
      <c r="I235" s="24"/>
      <c r="J235" s="24"/>
      <c r="K235" s="24"/>
    </row>
    <row r="236" spans="1:11" hidden="1" x14ac:dyDescent="0.25">
      <c r="A236" s="389" t="s">
        <v>136</v>
      </c>
      <c r="B236" s="352">
        <v>29.1</v>
      </c>
      <c r="C236" s="353">
        <v>14.2</v>
      </c>
      <c r="D236" s="353">
        <v>0.48499999999999999</v>
      </c>
      <c r="E236" s="353">
        <v>14.6</v>
      </c>
      <c r="F236" s="354">
        <v>0.78</v>
      </c>
      <c r="G236" s="24"/>
      <c r="H236" s="24"/>
      <c r="I236" s="24"/>
      <c r="J236" s="24"/>
      <c r="K236" s="24"/>
    </row>
    <row r="237" spans="1:11" hidden="1" x14ac:dyDescent="0.25">
      <c r="A237" s="389" t="s">
        <v>135</v>
      </c>
      <c r="B237" s="352">
        <v>26.5</v>
      </c>
      <c r="C237" s="353">
        <v>14</v>
      </c>
      <c r="D237" s="353">
        <v>0.44</v>
      </c>
      <c r="E237" s="353">
        <v>14.5</v>
      </c>
      <c r="F237" s="354">
        <v>0.71</v>
      </c>
      <c r="G237" s="24"/>
      <c r="H237" s="24"/>
      <c r="I237" s="24"/>
      <c r="J237" s="24"/>
      <c r="K237" s="24"/>
    </row>
    <row r="238" spans="1:11" hidden="1" x14ac:dyDescent="0.25">
      <c r="A238" s="389" t="s">
        <v>134</v>
      </c>
      <c r="B238" s="352">
        <v>24</v>
      </c>
      <c r="C238" s="353">
        <v>14.3</v>
      </c>
      <c r="D238" s="353">
        <v>0.51</v>
      </c>
      <c r="E238" s="353">
        <v>10.1</v>
      </c>
      <c r="F238" s="354">
        <v>0.85499999999999998</v>
      </c>
      <c r="G238" s="24"/>
      <c r="H238" s="24"/>
      <c r="I238" s="24"/>
      <c r="J238" s="24"/>
      <c r="K238" s="24"/>
    </row>
    <row r="239" spans="1:11" hidden="1" x14ac:dyDescent="0.25">
      <c r="A239" s="389" t="s">
        <v>205</v>
      </c>
      <c r="B239" s="352">
        <v>21.8</v>
      </c>
      <c r="C239" s="353">
        <v>14.2</v>
      </c>
      <c r="D239" s="353">
        <v>0.45</v>
      </c>
      <c r="E239" s="353">
        <v>10.1</v>
      </c>
      <c r="F239" s="354">
        <v>0.78500000000000003</v>
      </c>
      <c r="G239" s="24"/>
      <c r="H239" s="24"/>
      <c r="I239" s="24"/>
      <c r="J239" s="24"/>
      <c r="K239" s="24"/>
    </row>
    <row r="240" spans="1:11" hidden="1" x14ac:dyDescent="0.25">
      <c r="A240" s="389" t="s">
        <v>204</v>
      </c>
      <c r="B240" s="352">
        <v>20</v>
      </c>
      <c r="C240" s="353">
        <v>14</v>
      </c>
      <c r="D240" s="353">
        <v>0.41499999999999998</v>
      </c>
      <c r="E240" s="353">
        <v>10</v>
      </c>
      <c r="F240" s="354">
        <v>0.72</v>
      </c>
      <c r="G240" s="24"/>
      <c r="H240" s="24"/>
      <c r="I240" s="24"/>
      <c r="J240" s="24"/>
      <c r="K240" s="24"/>
    </row>
    <row r="241" spans="1:11" hidden="1" x14ac:dyDescent="0.25">
      <c r="A241" s="389" t="s">
        <v>203</v>
      </c>
      <c r="B241" s="352">
        <v>17.899999999999999</v>
      </c>
      <c r="C241" s="353">
        <v>13.9</v>
      </c>
      <c r="D241" s="353">
        <v>0.375</v>
      </c>
      <c r="E241" s="353">
        <v>9.99</v>
      </c>
      <c r="F241" s="354">
        <v>0.64500000000000002</v>
      </c>
      <c r="G241" s="24"/>
      <c r="H241" s="24"/>
      <c r="I241" s="24"/>
      <c r="J241" s="24"/>
      <c r="K241" s="24"/>
    </row>
    <row r="242" spans="1:11" hidden="1" x14ac:dyDescent="0.25">
      <c r="A242" s="389" t="s">
        <v>202</v>
      </c>
      <c r="B242" s="352">
        <v>15.6</v>
      </c>
      <c r="C242" s="353">
        <v>13.9</v>
      </c>
      <c r="D242" s="353">
        <v>0.37</v>
      </c>
      <c r="E242" s="353">
        <v>8.06</v>
      </c>
      <c r="F242" s="354">
        <v>0.66</v>
      </c>
      <c r="G242" s="24"/>
      <c r="H242" s="24"/>
      <c r="I242" s="24"/>
      <c r="J242" s="24"/>
      <c r="K242" s="24"/>
    </row>
    <row r="243" spans="1:11" hidden="1" x14ac:dyDescent="0.25">
      <c r="A243" s="389" t="s">
        <v>201</v>
      </c>
      <c r="B243" s="352">
        <v>14.1</v>
      </c>
      <c r="C243" s="353">
        <v>13.8</v>
      </c>
      <c r="D243" s="353">
        <v>0.34</v>
      </c>
      <c r="E243" s="353">
        <v>8.0299999999999994</v>
      </c>
      <c r="F243" s="354">
        <v>0.59499999999999997</v>
      </c>
      <c r="G243" s="24"/>
      <c r="H243" s="24"/>
      <c r="I243" s="24"/>
      <c r="J243" s="24"/>
      <c r="K243" s="24"/>
    </row>
    <row r="244" spans="1:11" hidden="1" x14ac:dyDescent="0.25">
      <c r="A244" s="389" t="s">
        <v>200</v>
      </c>
      <c r="B244" s="352">
        <v>12.6</v>
      </c>
      <c r="C244" s="353">
        <v>13.7</v>
      </c>
      <c r="D244" s="353">
        <v>0.30499999999999999</v>
      </c>
      <c r="E244" s="353">
        <v>8</v>
      </c>
      <c r="F244" s="354">
        <v>0.53</v>
      </c>
      <c r="G244" s="24"/>
      <c r="H244" s="24"/>
      <c r="I244" s="24"/>
      <c r="J244" s="24"/>
      <c r="K244" s="24"/>
    </row>
    <row r="245" spans="1:11" hidden="1" x14ac:dyDescent="0.25">
      <c r="A245" s="389" t="s">
        <v>199</v>
      </c>
      <c r="B245" s="352">
        <v>11.2</v>
      </c>
      <c r="C245" s="353">
        <v>14.1</v>
      </c>
      <c r="D245" s="353">
        <v>0.31</v>
      </c>
      <c r="E245" s="353">
        <v>6.77</v>
      </c>
      <c r="F245" s="354">
        <v>0.51500000000000001</v>
      </c>
      <c r="G245" s="24"/>
      <c r="H245" s="24"/>
      <c r="I245" s="24"/>
      <c r="J245" s="24"/>
      <c r="K245" s="24"/>
    </row>
    <row r="246" spans="1:11" hidden="1" x14ac:dyDescent="0.25">
      <c r="A246" s="389" t="s">
        <v>198</v>
      </c>
      <c r="B246" s="352">
        <v>10</v>
      </c>
      <c r="C246" s="353">
        <v>14</v>
      </c>
      <c r="D246" s="353">
        <v>0.28499999999999998</v>
      </c>
      <c r="E246" s="353">
        <v>6.75</v>
      </c>
      <c r="F246" s="354">
        <v>0.45500000000000002</v>
      </c>
      <c r="G246" s="24"/>
      <c r="H246" s="24"/>
      <c r="I246" s="24"/>
      <c r="J246" s="24"/>
      <c r="K246" s="24"/>
    </row>
    <row r="247" spans="1:11" hidden="1" x14ac:dyDescent="0.25">
      <c r="A247" s="389" t="s">
        <v>438</v>
      </c>
      <c r="B247" s="352">
        <v>8.85</v>
      </c>
      <c r="C247" s="353">
        <v>13.8</v>
      </c>
      <c r="D247" s="353">
        <v>0.27</v>
      </c>
      <c r="E247" s="353">
        <v>6.73</v>
      </c>
      <c r="F247" s="354">
        <v>0.38500000000000001</v>
      </c>
      <c r="G247" s="24"/>
      <c r="H247" s="24"/>
      <c r="I247" s="24"/>
      <c r="J247" s="24"/>
      <c r="K247" s="24"/>
    </row>
    <row r="248" spans="1:11" hidden="1" x14ac:dyDescent="0.25">
      <c r="A248" s="389" t="s">
        <v>437</v>
      </c>
      <c r="B248" s="352">
        <v>7.69</v>
      </c>
      <c r="C248" s="353">
        <v>13.9</v>
      </c>
      <c r="D248" s="353">
        <v>0.255</v>
      </c>
      <c r="E248" s="353">
        <v>5.03</v>
      </c>
      <c r="F248" s="354">
        <v>0.42</v>
      </c>
      <c r="G248" s="24"/>
      <c r="H248" s="24"/>
      <c r="I248" s="24"/>
      <c r="J248" s="24"/>
      <c r="K248" s="24"/>
    </row>
    <row r="249" spans="1:11" hidden="1" x14ac:dyDescent="0.25">
      <c r="A249" s="389" t="s">
        <v>436</v>
      </c>
      <c r="B249" s="352">
        <v>6.49</v>
      </c>
      <c r="C249" s="353">
        <v>13.7</v>
      </c>
      <c r="D249" s="353">
        <v>0.23</v>
      </c>
      <c r="E249" s="353">
        <v>5</v>
      </c>
      <c r="F249" s="354">
        <v>0.33500000000000002</v>
      </c>
      <c r="G249" s="24"/>
      <c r="H249" s="24"/>
      <c r="I249" s="24"/>
      <c r="J249" s="24"/>
      <c r="K249" s="24"/>
    </row>
    <row r="250" spans="1:11" hidden="1" x14ac:dyDescent="0.25">
      <c r="A250" s="389" t="s">
        <v>322</v>
      </c>
      <c r="B250" s="352">
        <v>98.8</v>
      </c>
      <c r="C250" s="353">
        <v>16.8</v>
      </c>
      <c r="D250" s="353">
        <v>1.78</v>
      </c>
      <c r="E250" s="353">
        <v>13.4</v>
      </c>
      <c r="F250" s="354">
        <v>2.96</v>
      </c>
      <c r="G250" s="24"/>
      <c r="H250" s="24"/>
      <c r="I250" s="24"/>
      <c r="J250" s="24"/>
      <c r="K250" s="24"/>
    </row>
    <row r="251" spans="1:11" hidden="1" x14ac:dyDescent="0.25">
      <c r="A251" s="389" t="s">
        <v>321</v>
      </c>
      <c r="B251" s="352">
        <v>89.6</v>
      </c>
      <c r="C251" s="353">
        <v>16.3</v>
      </c>
      <c r="D251" s="353">
        <v>1.63</v>
      </c>
      <c r="E251" s="353">
        <v>13.2</v>
      </c>
      <c r="F251" s="354">
        <v>2.71</v>
      </c>
      <c r="G251" s="24"/>
      <c r="H251" s="24"/>
      <c r="I251" s="24"/>
      <c r="J251" s="24"/>
      <c r="K251" s="24"/>
    </row>
    <row r="252" spans="1:11" hidden="1" x14ac:dyDescent="0.25">
      <c r="A252" s="389" t="s">
        <v>320</v>
      </c>
      <c r="B252" s="352">
        <v>81.900000000000006</v>
      </c>
      <c r="C252" s="353">
        <v>15.9</v>
      </c>
      <c r="D252" s="353">
        <v>1.53</v>
      </c>
      <c r="E252" s="353">
        <v>13.1</v>
      </c>
      <c r="F252" s="354">
        <v>2.4700000000000002</v>
      </c>
      <c r="G252" s="24"/>
      <c r="H252" s="24"/>
      <c r="I252" s="24"/>
      <c r="J252" s="24"/>
      <c r="K252" s="24"/>
    </row>
    <row r="253" spans="1:11" hidden="1" x14ac:dyDescent="0.25">
      <c r="A253" s="389" t="s">
        <v>78</v>
      </c>
      <c r="B253" s="352">
        <v>74</v>
      </c>
      <c r="C253" s="353">
        <v>15.4</v>
      </c>
      <c r="D253" s="353">
        <v>1.4</v>
      </c>
      <c r="E253" s="353">
        <v>13</v>
      </c>
      <c r="F253" s="354">
        <v>2.25</v>
      </c>
      <c r="G253" s="24"/>
      <c r="H253" s="24"/>
      <c r="I253" s="24"/>
      <c r="J253" s="24"/>
      <c r="K253" s="24"/>
    </row>
    <row r="254" spans="1:11" hidden="1" x14ac:dyDescent="0.25">
      <c r="A254" s="389" t="s">
        <v>77</v>
      </c>
      <c r="B254" s="352">
        <v>67.7</v>
      </c>
      <c r="C254" s="353">
        <v>15.1</v>
      </c>
      <c r="D254" s="353">
        <v>1.29</v>
      </c>
      <c r="E254" s="353">
        <v>12.9</v>
      </c>
      <c r="F254" s="354">
        <v>2.0699999999999998</v>
      </c>
      <c r="G254" s="24"/>
      <c r="H254" s="24"/>
      <c r="I254" s="24"/>
      <c r="J254" s="24"/>
      <c r="K254" s="24"/>
    </row>
    <row r="255" spans="1:11" hidden="1" x14ac:dyDescent="0.25">
      <c r="A255" s="389" t="s">
        <v>76</v>
      </c>
      <c r="B255" s="352">
        <v>61.8</v>
      </c>
      <c r="C255" s="353">
        <v>14.7</v>
      </c>
      <c r="D255" s="353">
        <v>1.18</v>
      </c>
      <c r="E255" s="353">
        <v>12.8</v>
      </c>
      <c r="F255" s="354">
        <v>1.9</v>
      </c>
      <c r="G255" s="24"/>
      <c r="H255" s="24"/>
      <c r="I255" s="24"/>
      <c r="J255" s="24"/>
      <c r="K255" s="24"/>
    </row>
    <row r="256" spans="1:11" hidden="1" x14ac:dyDescent="0.25">
      <c r="A256" s="389" t="s">
        <v>75</v>
      </c>
      <c r="B256" s="352">
        <v>55.8</v>
      </c>
      <c r="C256" s="353">
        <v>14.4</v>
      </c>
      <c r="D256" s="353">
        <v>1.06</v>
      </c>
      <c r="E256" s="353">
        <v>12.7</v>
      </c>
      <c r="F256" s="354">
        <v>1.74</v>
      </c>
      <c r="G256" s="24"/>
      <c r="H256" s="24"/>
      <c r="I256" s="24"/>
      <c r="J256" s="24"/>
      <c r="K256" s="24"/>
    </row>
    <row r="257" spans="1:11" hidden="1" x14ac:dyDescent="0.25">
      <c r="A257" s="389" t="s">
        <v>74</v>
      </c>
      <c r="B257" s="352">
        <v>50</v>
      </c>
      <c r="C257" s="353">
        <v>14</v>
      </c>
      <c r="D257" s="353">
        <v>0.96</v>
      </c>
      <c r="E257" s="353">
        <v>12.6</v>
      </c>
      <c r="F257" s="354">
        <v>1.56</v>
      </c>
      <c r="G257" s="24"/>
      <c r="H257" s="24"/>
      <c r="I257" s="24"/>
      <c r="J257" s="24"/>
      <c r="K257" s="24"/>
    </row>
    <row r="258" spans="1:11" hidden="1" x14ac:dyDescent="0.25">
      <c r="A258" s="389" t="s">
        <v>73</v>
      </c>
      <c r="B258" s="352">
        <v>44.7</v>
      </c>
      <c r="C258" s="353">
        <v>13.7</v>
      </c>
      <c r="D258" s="353">
        <v>0.87</v>
      </c>
      <c r="E258" s="353">
        <v>12.5</v>
      </c>
      <c r="F258" s="354">
        <v>1.4</v>
      </c>
      <c r="G258" s="24"/>
      <c r="H258" s="24"/>
      <c r="I258" s="24"/>
      <c r="J258" s="24"/>
      <c r="K258" s="24"/>
    </row>
    <row r="259" spans="1:11" hidden="1" x14ac:dyDescent="0.25">
      <c r="A259" s="389" t="s">
        <v>72</v>
      </c>
      <c r="B259" s="352">
        <v>39.9</v>
      </c>
      <c r="C259" s="353">
        <v>13.4</v>
      </c>
      <c r="D259" s="353">
        <v>0.79</v>
      </c>
      <c r="E259" s="353">
        <v>12.4</v>
      </c>
      <c r="F259" s="354">
        <v>1.25</v>
      </c>
      <c r="G259" s="24"/>
      <c r="H259" s="24"/>
      <c r="I259" s="24"/>
      <c r="J259" s="24"/>
      <c r="K259" s="24"/>
    </row>
    <row r="260" spans="1:11" hidden="1" x14ac:dyDescent="0.25">
      <c r="A260" s="389" t="s">
        <v>340</v>
      </c>
      <c r="B260" s="352">
        <v>35.299999999999997</v>
      </c>
      <c r="C260" s="353">
        <v>13.1</v>
      </c>
      <c r="D260" s="353">
        <v>0.71</v>
      </c>
      <c r="E260" s="353">
        <v>12.3</v>
      </c>
      <c r="F260" s="354">
        <v>1.1100000000000001</v>
      </c>
      <c r="G260" s="24"/>
      <c r="H260" s="24"/>
      <c r="I260" s="24"/>
      <c r="J260" s="24"/>
      <c r="K260" s="24"/>
    </row>
    <row r="261" spans="1:11" hidden="1" x14ac:dyDescent="0.25">
      <c r="A261" s="389" t="s">
        <v>232</v>
      </c>
      <c r="B261" s="352">
        <v>31.2</v>
      </c>
      <c r="C261" s="353">
        <v>12.9</v>
      </c>
      <c r="D261" s="353">
        <v>0.61</v>
      </c>
      <c r="E261" s="353">
        <v>12.2</v>
      </c>
      <c r="F261" s="354">
        <v>0.99</v>
      </c>
      <c r="G261" s="24"/>
      <c r="H261" s="24"/>
      <c r="I261" s="24"/>
      <c r="J261" s="24"/>
      <c r="K261" s="24"/>
    </row>
    <row r="262" spans="1:11" hidden="1" x14ac:dyDescent="0.25">
      <c r="A262" s="389" t="s">
        <v>231</v>
      </c>
      <c r="B262" s="352">
        <v>28.2</v>
      </c>
      <c r="C262" s="353">
        <v>12.7</v>
      </c>
      <c r="D262" s="353">
        <v>0.55000000000000004</v>
      </c>
      <c r="E262" s="353">
        <v>12.2</v>
      </c>
      <c r="F262" s="354">
        <v>0.9</v>
      </c>
      <c r="G262" s="24"/>
      <c r="H262" s="24"/>
      <c r="I262" s="24"/>
      <c r="J262" s="24"/>
      <c r="K262" s="24"/>
    </row>
    <row r="263" spans="1:11" hidden="1" x14ac:dyDescent="0.25">
      <c r="A263" s="389" t="s">
        <v>230</v>
      </c>
      <c r="B263" s="352">
        <v>25.6</v>
      </c>
      <c r="C263" s="353">
        <v>12.5</v>
      </c>
      <c r="D263" s="353">
        <v>0.51500000000000001</v>
      </c>
      <c r="E263" s="353">
        <v>12.1</v>
      </c>
      <c r="F263" s="354">
        <v>0.81</v>
      </c>
      <c r="G263" s="24"/>
      <c r="H263" s="24"/>
      <c r="I263" s="24"/>
      <c r="J263" s="24"/>
      <c r="K263" s="24"/>
    </row>
    <row r="264" spans="1:11" hidden="1" x14ac:dyDescent="0.25">
      <c r="A264" s="389" t="s">
        <v>175</v>
      </c>
      <c r="B264" s="352">
        <v>23.2</v>
      </c>
      <c r="C264" s="353">
        <v>12.4</v>
      </c>
      <c r="D264" s="353">
        <v>0.47</v>
      </c>
      <c r="E264" s="353">
        <v>12.1</v>
      </c>
      <c r="F264" s="354">
        <v>0.73499999999999999</v>
      </c>
      <c r="G264" s="24"/>
      <c r="H264" s="24"/>
      <c r="I264" s="24"/>
      <c r="J264" s="24"/>
      <c r="K264" s="24"/>
    </row>
    <row r="265" spans="1:11" hidden="1" x14ac:dyDescent="0.25">
      <c r="A265" s="389" t="s">
        <v>174</v>
      </c>
      <c r="B265" s="352">
        <v>21.1</v>
      </c>
      <c r="C265" s="353">
        <v>12.3</v>
      </c>
      <c r="D265" s="353">
        <v>0.43</v>
      </c>
      <c r="E265" s="353">
        <v>12</v>
      </c>
      <c r="F265" s="354">
        <v>0.67</v>
      </c>
      <c r="G265" s="24"/>
      <c r="H265" s="24"/>
      <c r="I265" s="24"/>
      <c r="J265" s="24"/>
      <c r="K265" s="24"/>
    </row>
    <row r="266" spans="1:11" hidden="1" x14ac:dyDescent="0.25">
      <c r="A266" s="389" t="s">
        <v>173</v>
      </c>
      <c r="B266" s="352">
        <v>19.100000000000001</v>
      </c>
      <c r="C266" s="353">
        <v>12.1</v>
      </c>
      <c r="D266" s="353">
        <v>0.39</v>
      </c>
      <c r="E266" s="353">
        <v>12</v>
      </c>
      <c r="F266" s="354">
        <v>0.60499999999999998</v>
      </c>
      <c r="G266" s="24"/>
      <c r="H266" s="24"/>
      <c r="I266" s="24"/>
      <c r="J266" s="24"/>
      <c r="K266" s="24"/>
    </row>
    <row r="267" spans="1:11" hidden="1" x14ac:dyDescent="0.25">
      <c r="A267" s="389" t="s">
        <v>169</v>
      </c>
      <c r="B267" s="352">
        <v>17</v>
      </c>
      <c r="C267" s="353">
        <v>12.2</v>
      </c>
      <c r="D267" s="353">
        <v>0.36</v>
      </c>
      <c r="E267" s="353">
        <v>10</v>
      </c>
      <c r="F267" s="354">
        <v>0.64</v>
      </c>
      <c r="G267" s="24"/>
      <c r="H267" s="24"/>
      <c r="I267" s="24"/>
      <c r="J267" s="24"/>
      <c r="K267" s="24"/>
    </row>
    <row r="268" spans="1:11" hidden="1" x14ac:dyDescent="0.25">
      <c r="A268" s="389" t="s">
        <v>225</v>
      </c>
      <c r="B268" s="352">
        <v>15.6</v>
      </c>
      <c r="C268" s="353">
        <v>12.1</v>
      </c>
      <c r="D268" s="353">
        <v>0.34499999999999997</v>
      </c>
      <c r="E268" s="353">
        <v>9.99</v>
      </c>
      <c r="F268" s="354">
        <v>0.57499999999999996</v>
      </c>
      <c r="G268" s="24"/>
      <c r="H268" s="24"/>
      <c r="I268" s="24"/>
      <c r="J268" s="24"/>
      <c r="K268" s="24"/>
    </row>
    <row r="269" spans="1:11" hidden="1" x14ac:dyDescent="0.25">
      <c r="A269" s="389" t="s">
        <v>168</v>
      </c>
      <c r="B269" s="352">
        <v>14.6</v>
      </c>
      <c r="C269" s="353">
        <v>12.2</v>
      </c>
      <c r="D269" s="353">
        <v>0.37</v>
      </c>
      <c r="E269" s="353">
        <v>8.08</v>
      </c>
      <c r="F269" s="354">
        <v>0.64</v>
      </c>
      <c r="G269" s="24"/>
      <c r="H269" s="24"/>
      <c r="I269" s="24"/>
      <c r="J269" s="24"/>
      <c r="K269" s="24"/>
    </row>
    <row r="270" spans="1:11" hidden="1" x14ac:dyDescent="0.25">
      <c r="A270" s="389" t="s">
        <v>167</v>
      </c>
      <c r="B270" s="352">
        <v>13.1</v>
      </c>
      <c r="C270" s="353">
        <v>12.1</v>
      </c>
      <c r="D270" s="353">
        <v>0.33500000000000002</v>
      </c>
      <c r="E270" s="353">
        <v>8.0500000000000007</v>
      </c>
      <c r="F270" s="354">
        <v>0.57499999999999996</v>
      </c>
      <c r="G270" s="24"/>
      <c r="H270" s="24"/>
      <c r="I270" s="24"/>
      <c r="J270" s="24"/>
      <c r="K270" s="24"/>
    </row>
    <row r="271" spans="1:11" hidden="1" x14ac:dyDescent="0.25">
      <c r="A271" s="389" t="s">
        <v>166</v>
      </c>
      <c r="B271" s="352">
        <v>11.7</v>
      </c>
      <c r="C271" s="353">
        <v>11.9</v>
      </c>
      <c r="D271" s="353">
        <v>0.29499999999999998</v>
      </c>
      <c r="E271" s="353">
        <v>8.01</v>
      </c>
      <c r="F271" s="354">
        <v>0.51500000000000001</v>
      </c>
      <c r="G271" s="24"/>
      <c r="H271" s="24"/>
      <c r="I271" s="24"/>
      <c r="J271" s="24"/>
      <c r="K271" s="24"/>
    </row>
    <row r="272" spans="1:11" hidden="1" x14ac:dyDescent="0.25">
      <c r="A272" s="389" t="s">
        <v>257</v>
      </c>
      <c r="B272" s="352">
        <v>10.3</v>
      </c>
      <c r="C272" s="353">
        <v>12.5</v>
      </c>
      <c r="D272" s="353">
        <v>0.3</v>
      </c>
      <c r="E272" s="353">
        <v>6.56</v>
      </c>
      <c r="F272" s="354">
        <v>0.52</v>
      </c>
      <c r="G272" s="24"/>
      <c r="H272" s="24"/>
      <c r="I272" s="24"/>
      <c r="J272" s="24"/>
      <c r="K272" s="24"/>
    </row>
    <row r="273" spans="1:11" hidden="1" x14ac:dyDescent="0.25">
      <c r="A273" s="389" t="s">
        <v>256</v>
      </c>
      <c r="B273" s="352">
        <v>8.7899999999999991</v>
      </c>
      <c r="C273" s="353">
        <v>12.3</v>
      </c>
      <c r="D273" s="353">
        <v>0.26</v>
      </c>
      <c r="E273" s="353">
        <v>6.52</v>
      </c>
      <c r="F273" s="354">
        <v>0.44</v>
      </c>
      <c r="G273" s="24"/>
      <c r="H273" s="24"/>
      <c r="I273" s="24"/>
      <c r="J273" s="24"/>
      <c r="K273" s="24"/>
    </row>
    <row r="274" spans="1:11" hidden="1" x14ac:dyDescent="0.25">
      <c r="A274" s="389" t="s">
        <v>111</v>
      </c>
      <c r="B274" s="352">
        <v>7.65</v>
      </c>
      <c r="C274" s="353">
        <v>12.2</v>
      </c>
      <c r="D274" s="353">
        <v>0.23</v>
      </c>
      <c r="E274" s="353">
        <v>6.49</v>
      </c>
      <c r="F274" s="354">
        <v>0.38</v>
      </c>
      <c r="G274" s="24"/>
      <c r="H274" s="24"/>
      <c r="I274" s="24"/>
      <c r="J274" s="24"/>
      <c r="K274" s="24"/>
    </row>
    <row r="275" spans="1:11" hidden="1" x14ac:dyDescent="0.25">
      <c r="A275" s="389" t="s">
        <v>110</v>
      </c>
      <c r="B275" s="352">
        <v>6.48</v>
      </c>
      <c r="C275" s="353">
        <v>12.3</v>
      </c>
      <c r="D275" s="353">
        <v>0.26</v>
      </c>
      <c r="E275" s="353">
        <v>4.03</v>
      </c>
      <c r="F275" s="354">
        <v>0.42499999999999999</v>
      </c>
      <c r="G275" s="24"/>
      <c r="H275" s="24"/>
      <c r="I275" s="24"/>
      <c r="J275" s="24"/>
      <c r="K275" s="24"/>
    </row>
    <row r="276" spans="1:11" hidden="1" x14ac:dyDescent="0.25">
      <c r="A276" s="389" t="s">
        <v>109</v>
      </c>
      <c r="B276" s="352">
        <v>5.57</v>
      </c>
      <c r="C276" s="353">
        <v>12.2</v>
      </c>
      <c r="D276" s="353">
        <v>0.23499999999999999</v>
      </c>
      <c r="E276" s="353">
        <v>4.01</v>
      </c>
      <c r="F276" s="354">
        <v>0.35</v>
      </c>
      <c r="G276" s="24"/>
      <c r="H276" s="24"/>
      <c r="I276" s="24"/>
      <c r="J276" s="24"/>
      <c r="K276" s="24"/>
    </row>
    <row r="277" spans="1:11" hidden="1" x14ac:dyDescent="0.25">
      <c r="A277" s="389" t="s">
        <v>108</v>
      </c>
      <c r="B277" s="352">
        <v>4.71</v>
      </c>
      <c r="C277" s="353">
        <v>12</v>
      </c>
      <c r="D277" s="353">
        <v>0.22</v>
      </c>
      <c r="E277" s="353">
        <v>3.99</v>
      </c>
      <c r="F277" s="354">
        <v>0.26500000000000001</v>
      </c>
      <c r="G277" s="24"/>
      <c r="H277" s="24"/>
      <c r="I277" s="24"/>
      <c r="J277" s="24"/>
      <c r="K277" s="24"/>
    </row>
    <row r="278" spans="1:11" hidden="1" x14ac:dyDescent="0.25">
      <c r="A278" s="389" t="s">
        <v>107</v>
      </c>
      <c r="B278" s="352">
        <v>4.16</v>
      </c>
      <c r="C278" s="353">
        <v>11.9</v>
      </c>
      <c r="D278" s="353">
        <v>0.2</v>
      </c>
      <c r="E278" s="353">
        <v>3.97</v>
      </c>
      <c r="F278" s="354">
        <v>0.22500000000000001</v>
      </c>
      <c r="G278" s="24"/>
      <c r="H278" s="24"/>
      <c r="I278" s="24"/>
      <c r="J278" s="24"/>
      <c r="K278" s="24"/>
    </row>
    <row r="279" spans="1:11" hidden="1" x14ac:dyDescent="0.25">
      <c r="A279" s="389" t="s">
        <v>106</v>
      </c>
      <c r="B279" s="352">
        <v>32.9</v>
      </c>
      <c r="C279" s="353">
        <v>11.4</v>
      </c>
      <c r="D279" s="353">
        <v>0.755</v>
      </c>
      <c r="E279" s="353">
        <v>10.4</v>
      </c>
      <c r="F279" s="354">
        <v>1.25</v>
      </c>
      <c r="G279" s="24"/>
      <c r="H279" s="24"/>
      <c r="I279" s="24"/>
      <c r="J279" s="24"/>
      <c r="K279" s="24"/>
    </row>
    <row r="280" spans="1:11" hidden="1" x14ac:dyDescent="0.25">
      <c r="A280" s="389" t="s">
        <v>105</v>
      </c>
      <c r="B280" s="352">
        <v>29.4</v>
      </c>
      <c r="C280" s="353">
        <v>11.1</v>
      </c>
      <c r="D280" s="353">
        <v>0.68</v>
      </c>
      <c r="E280" s="353">
        <v>10.3</v>
      </c>
      <c r="F280" s="354">
        <v>1.1200000000000001</v>
      </c>
      <c r="G280" s="24"/>
      <c r="H280" s="24"/>
      <c r="I280" s="24"/>
      <c r="J280" s="24"/>
      <c r="K280" s="24"/>
    </row>
    <row r="281" spans="1:11" hidden="1" x14ac:dyDescent="0.25">
      <c r="A281" s="389" t="s">
        <v>104</v>
      </c>
      <c r="B281" s="352">
        <v>25.9</v>
      </c>
      <c r="C281" s="353">
        <v>10.8</v>
      </c>
      <c r="D281" s="353">
        <v>0.60499999999999998</v>
      </c>
      <c r="E281" s="353">
        <v>10.3</v>
      </c>
      <c r="F281" s="354">
        <v>0.99</v>
      </c>
      <c r="G281" s="24"/>
      <c r="H281" s="24"/>
      <c r="I281" s="24"/>
      <c r="J281" s="24"/>
      <c r="K281" s="24"/>
    </row>
    <row r="282" spans="1:11" hidden="1" x14ac:dyDescent="0.25">
      <c r="A282" s="389" t="s">
        <v>103</v>
      </c>
      <c r="B282" s="352">
        <v>22.6</v>
      </c>
      <c r="C282" s="353">
        <v>10.6</v>
      </c>
      <c r="D282" s="353">
        <v>0.53</v>
      </c>
      <c r="E282" s="353">
        <v>10.199999999999999</v>
      </c>
      <c r="F282" s="354">
        <v>0.87</v>
      </c>
      <c r="G282" s="24"/>
      <c r="H282" s="24"/>
      <c r="I282" s="24"/>
      <c r="J282" s="24"/>
      <c r="K282" s="24"/>
    </row>
    <row r="283" spans="1:11" hidden="1" x14ac:dyDescent="0.25">
      <c r="A283" s="389" t="s">
        <v>102</v>
      </c>
      <c r="B283" s="352">
        <v>20</v>
      </c>
      <c r="C283" s="353">
        <v>10.4</v>
      </c>
      <c r="D283" s="353">
        <v>0.47</v>
      </c>
      <c r="E283" s="353">
        <v>10.1</v>
      </c>
      <c r="F283" s="354">
        <v>0.77</v>
      </c>
      <c r="G283" s="24"/>
      <c r="H283" s="24"/>
      <c r="I283" s="24"/>
      <c r="J283" s="24"/>
      <c r="K283" s="24"/>
    </row>
    <row r="284" spans="1:11" hidden="1" x14ac:dyDescent="0.25">
      <c r="A284" s="389" t="s">
        <v>101</v>
      </c>
      <c r="B284" s="352">
        <v>17.600000000000001</v>
      </c>
      <c r="C284" s="353">
        <v>10.199999999999999</v>
      </c>
      <c r="D284" s="353">
        <v>0.42</v>
      </c>
      <c r="E284" s="353">
        <v>10.1</v>
      </c>
      <c r="F284" s="354">
        <v>0.68</v>
      </c>
      <c r="G284" s="24"/>
      <c r="H284" s="24"/>
      <c r="I284" s="24"/>
      <c r="J284" s="24"/>
      <c r="K284" s="24"/>
    </row>
    <row r="285" spans="1:11" hidden="1" x14ac:dyDescent="0.25">
      <c r="A285" s="389" t="s">
        <v>358</v>
      </c>
      <c r="B285" s="352">
        <v>15.8</v>
      </c>
      <c r="C285" s="353">
        <v>10.1</v>
      </c>
      <c r="D285" s="353">
        <v>0.37</v>
      </c>
      <c r="E285" s="353">
        <v>10</v>
      </c>
      <c r="F285" s="354">
        <v>0.61499999999999999</v>
      </c>
      <c r="G285" s="24"/>
      <c r="H285" s="24"/>
      <c r="I285" s="24"/>
      <c r="J285" s="24"/>
      <c r="K285" s="24"/>
    </row>
    <row r="286" spans="1:11" hidden="1" x14ac:dyDescent="0.25">
      <c r="A286" s="389" t="s">
        <v>224</v>
      </c>
      <c r="B286" s="352">
        <v>14.4</v>
      </c>
      <c r="C286" s="353">
        <v>9.98</v>
      </c>
      <c r="D286" s="353">
        <v>0.34</v>
      </c>
      <c r="E286" s="353">
        <v>10</v>
      </c>
      <c r="F286" s="354">
        <v>0.56000000000000005</v>
      </c>
      <c r="G286" s="24"/>
      <c r="H286" s="24"/>
      <c r="I286" s="24"/>
      <c r="J286" s="24"/>
      <c r="K286" s="24"/>
    </row>
    <row r="287" spans="1:11" hidden="1" x14ac:dyDescent="0.25">
      <c r="A287" s="389" t="s">
        <v>223</v>
      </c>
      <c r="B287" s="352">
        <v>13.3</v>
      </c>
      <c r="C287" s="353">
        <v>10.1</v>
      </c>
      <c r="D287" s="353">
        <v>0.35</v>
      </c>
      <c r="E287" s="353">
        <v>8.02</v>
      </c>
      <c r="F287" s="354">
        <v>0.62</v>
      </c>
      <c r="G287" s="24"/>
      <c r="H287" s="24"/>
      <c r="I287" s="24"/>
      <c r="J287" s="24"/>
      <c r="K287" s="24"/>
    </row>
    <row r="288" spans="1:11" hidden="1" x14ac:dyDescent="0.25">
      <c r="A288" s="389" t="s">
        <v>222</v>
      </c>
      <c r="B288" s="352">
        <v>11.5</v>
      </c>
      <c r="C288" s="353">
        <v>9.92</v>
      </c>
      <c r="D288" s="353">
        <v>0.315</v>
      </c>
      <c r="E288" s="353">
        <v>7.99</v>
      </c>
      <c r="F288" s="354">
        <v>0.53</v>
      </c>
      <c r="G288" s="24"/>
      <c r="H288" s="24"/>
      <c r="I288" s="24"/>
      <c r="J288" s="24"/>
      <c r="K288" s="24"/>
    </row>
    <row r="289" spans="1:11" hidden="1" x14ac:dyDescent="0.25">
      <c r="A289" s="389" t="s">
        <v>221</v>
      </c>
      <c r="B289" s="352">
        <v>9.7100000000000009</v>
      </c>
      <c r="C289" s="353">
        <v>9.73</v>
      </c>
      <c r="D289" s="353">
        <v>0.28999999999999998</v>
      </c>
      <c r="E289" s="353">
        <v>7.96</v>
      </c>
      <c r="F289" s="354">
        <v>0.435</v>
      </c>
      <c r="G289" s="24"/>
      <c r="H289" s="24"/>
      <c r="I289" s="24"/>
      <c r="J289" s="24"/>
      <c r="K289" s="24"/>
    </row>
    <row r="290" spans="1:11" hidden="1" x14ac:dyDescent="0.25">
      <c r="A290" s="389" t="s">
        <v>435</v>
      </c>
      <c r="B290" s="352">
        <v>8.84</v>
      </c>
      <c r="C290" s="353">
        <v>10.5</v>
      </c>
      <c r="D290" s="353">
        <v>0.3</v>
      </c>
      <c r="E290" s="353">
        <v>5.81</v>
      </c>
      <c r="F290" s="354">
        <v>0.51</v>
      </c>
      <c r="G290" s="24"/>
      <c r="H290" s="24"/>
      <c r="I290" s="24"/>
      <c r="J290" s="24"/>
      <c r="K290" s="24"/>
    </row>
    <row r="291" spans="1:11" hidden="1" x14ac:dyDescent="0.25">
      <c r="A291" s="389" t="s">
        <v>434</v>
      </c>
      <c r="B291" s="352">
        <v>7.61</v>
      </c>
      <c r="C291" s="353">
        <v>10.3</v>
      </c>
      <c r="D291" s="353">
        <v>0.26</v>
      </c>
      <c r="E291" s="353">
        <v>5.77</v>
      </c>
      <c r="F291" s="354">
        <v>0.44</v>
      </c>
      <c r="G291" s="24"/>
      <c r="H291" s="24"/>
      <c r="I291" s="24"/>
      <c r="J291" s="24"/>
      <c r="K291" s="24"/>
    </row>
    <row r="292" spans="1:11" hidden="1" x14ac:dyDescent="0.25">
      <c r="A292" s="389" t="s">
        <v>319</v>
      </c>
      <c r="B292" s="352">
        <v>6.49</v>
      </c>
      <c r="C292" s="353">
        <v>10.199999999999999</v>
      </c>
      <c r="D292" s="353">
        <v>0.24</v>
      </c>
      <c r="E292" s="353">
        <v>5.75</v>
      </c>
      <c r="F292" s="354">
        <v>0.36</v>
      </c>
      <c r="G292" s="24"/>
      <c r="H292" s="24"/>
      <c r="I292" s="24"/>
      <c r="J292" s="24"/>
      <c r="K292" s="24"/>
    </row>
    <row r="293" spans="1:11" hidden="1" x14ac:dyDescent="0.25">
      <c r="A293" s="389" t="s">
        <v>318</v>
      </c>
      <c r="B293" s="352">
        <v>5.62</v>
      </c>
      <c r="C293" s="353">
        <v>10.199999999999999</v>
      </c>
      <c r="D293" s="353">
        <v>0.25</v>
      </c>
      <c r="E293" s="353">
        <v>4.0199999999999996</v>
      </c>
      <c r="F293" s="354">
        <v>0.39500000000000002</v>
      </c>
      <c r="G293" s="24"/>
      <c r="H293" s="24"/>
      <c r="I293" s="24"/>
      <c r="J293" s="24"/>
      <c r="K293" s="24"/>
    </row>
    <row r="294" spans="1:11" hidden="1" x14ac:dyDescent="0.25">
      <c r="A294" s="389" t="s">
        <v>80</v>
      </c>
      <c r="B294" s="352">
        <v>4.99</v>
      </c>
      <c r="C294" s="353">
        <v>10.1</v>
      </c>
      <c r="D294" s="353">
        <v>0.24</v>
      </c>
      <c r="E294" s="353">
        <v>4.01</v>
      </c>
      <c r="F294" s="354">
        <v>0.33</v>
      </c>
      <c r="G294" s="24"/>
      <c r="H294" s="24"/>
      <c r="I294" s="24"/>
      <c r="J294" s="24"/>
      <c r="K294" s="24"/>
    </row>
    <row r="295" spans="1:11" hidden="1" x14ac:dyDescent="0.25">
      <c r="A295" s="389" t="s">
        <v>79</v>
      </c>
      <c r="B295" s="352">
        <v>4.41</v>
      </c>
      <c r="C295" s="353">
        <v>9.99</v>
      </c>
      <c r="D295" s="353">
        <v>0.23</v>
      </c>
      <c r="E295" s="353">
        <v>4</v>
      </c>
      <c r="F295" s="354">
        <v>0.27</v>
      </c>
      <c r="G295" s="24"/>
      <c r="H295" s="24"/>
      <c r="I295" s="24"/>
      <c r="J295" s="24"/>
      <c r="K295" s="24"/>
    </row>
    <row r="296" spans="1:11" hidden="1" x14ac:dyDescent="0.25">
      <c r="A296" s="389" t="s">
        <v>184</v>
      </c>
      <c r="B296" s="352">
        <v>3.54</v>
      </c>
      <c r="C296" s="353">
        <v>9.8699999999999992</v>
      </c>
      <c r="D296" s="353">
        <v>0.19</v>
      </c>
      <c r="E296" s="353">
        <v>3.96</v>
      </c>
      <c r="F296" s="354">
        <v>0.21</v>
      </c>
      <c r="G296" s="24"/>
      <c r="H296" s="24"/>
      <c r="I296" s="24"/>
      <c r="J296" s="24"/>
      <c r="K296" s="24"/>
    </row>
    <row r="297" spans="1:11" hidden="1" x14ac:dyDescent="0.25">
      <c r="A297" s="389" t="s">
        <v>183</v>
      </c>
      <c r="B297" s="352">
        <v>19.7</v>
      </c>
      <c r="C297" s="353">
        <v>9</v>
      </c>
      <c r="D297" s="353">
        <v>0.56999999999999995</v>
      </c>
      <c r="E297" s="353">
        <v>8.2799999999999994</v>
      </c>
      <c r="F297" s="354">
        <v>0.93500000000000005</v>
      </c>
      <c r="G297" s="24"/>
      <c r="H297" s="24"/>
      <c r="I297" s="24"/>
      <c r="J297" s="24"/>
      <c r="K297" s="24"/>
    </row>
    <row r="298" spans="1:11" hidden="1" x14ac:dyDescent="0.25">
      <c r="A298" s="389" t="s">
        <v>182</v>
      </c>
      <c r="B298" s="352">
        <v>17.100000000000001</v>
      </c>
      <c r="C298" s="353">
        <v>8.75</v>
      </c>
      <c r="D298" s="353">
        <v>0.51</v>
      </c>
      <c r="E298" s="353">
        <v>8.2200000000000006</v>
      </c>
      <c r="F298" s="354">
        <v>0.81</v>
      </c>
      <c r="G298" s="24"/>
      <c r="H298" s="24"/>
      <c r="I298" s="24"/>
      <c r="J298" s="24"/>
      <c r="K298" s="24"/>
    </row>
    <row r="299" spans="1:11" hidden="1" x14ac:dyDescent="0.25">
      <c r="A299" s="389" t="s">
        <v>181</v>
      </c>
      <c r="B299" s="352">
        <v>14.1</v>
      </c>
      <c r="C299" s="353">
        <v>8.5</v>
      </c>
      <c r="D299" s="353">
        <v>0.4</v>
      </c>
      <c r="E299" s="353">
        <v>8.11</v>
      </c>
      <c r="F299" s="354">
        <v>0.68500000000000005</v>
      </c>
      <c r="G299" s="24"/>
      <c r="H299" s="24"/>
      <c r="I299" s="24"/>
      <c r="J299" s="24"/>
      <c r="K299" s="24"/>
    </row>
    <row r="300" spans="1:11" hidden="1" x14ac:dyDescent="0.25">
      <c r="A300" s="389" t="s">
        <v>211</v>
      </c>
      <c r="B300" s="352">
        <v>11.7</v>
      </c>
      <c r="C300" s="353">
        <v>8.25</v>
      </c>
      <c r="D300" s="353">
        <v>0.36</v>
      </c>
      <c r="E300" s="353">
        <v>8.07</v>
      </c>
      <c r="F300" s="354">
        <v>0.56000000000000005</v>
      </c>
      <c r="G300" s="24"/>
      <c r="H300" s="24"/>
      <c r="I300" s="24"/>
      <c r="J300" s="24"/>
      <c r="K300" s="24"/>
    </row>
    <row r="301" spans="1:11" hidden="1" x14ac:dyDescent="0.25">
      <c r="A301" s="389" t="s">
        <v>120</v>
      </c>
      <c r="B301" s="352">
        <v>10.3</v>
      </c>
      <c r="C301" s="353">
        <v>8.1199999999999992</v>
      </c>
      <c r="D301" s="353">
        <v>0.31</v>
      </c>
      <c r="E301" s="353">
        <v>8.02</v>
      </c>
      <c r="F301" s="354">
        <v>0.495</v>
      </c>
      <c r="G301" s="24"/>
      <c r="H301" s="24"/>
      <c r="I301" s="24"/>
      <c r="J301" s="24"/>
      <c r="K301" s="24"/>
    </row>
    <row r="302" spans="1:11" hidden="1" x14ac:dyDescent="0.25">
      <c r="A302" s="389" t="s">
        <v>119</v>
      </c>
      <c r="B302" s="352">
        <v>9.1199999999999992</v>
      </c>
      <c r="C302" s="353">
        <v>8</v>
      </c>
      <c r="D302" s="353">
        <v>0.28499999999999998</v>
      </c>
      <c r="E302" s="353">
        <v>8</v>
      </c>
      <c r="F302" s="354">
        <v>0.435</v>
      </c>
      <c r="G302" s="24"/>
      <c r="H302" s="24"/>
      <c r="I302" s="24"/>
      <c r="J302" s="24"/>
      <c r="K302" s="24"/>
    </row>
    <row r="303" spans="1:11" hidden="1" x14ac:dyDescent="0.25">
      <c r="A303" s="389" t="s">
        <v>410</v>
      </c>
      <c r="B303" s="352">
        <v>8.24</v>
      </c>
      <c r="C303" s="353">
        <v>8.06</v>
      </c>
      <c r="D303" s="353">
        <v>0.28499999999999998</v>
      </c>
      <c r="E303" s="353">
        <v>6.54</v>
      </c>
      <c r="F303" s="354">
        <v>0.46500000000000002</v>
      </c>
      <c r="G303" s="24"/>
      <c r="H303" s="24"/>
      <c r="I303" s="24"/>
      <c r="J303" s="24"/>
      <c r="K303" s="24"/>
    </row>
    <row r="304" spans="1:11" hidden="1" x14ac:dyDescent="0.25">
      <c r="A304" s="389" t="s">
        <v>329</v>
      </c>
      <c r="B304" s="352">
        <v>7.08</v>
      </c>
      <c r="C304" s="353">
        <v>7.93</v>
      </c>
      <c r="D304" s="353">
        <v>0.245</v>
      </c>
      <c r="E304" s="353">
        <v>6.5</v>
      </c>
      <c r="F304" s="354">
        <v>0.4</v>
      </c>
      <c r="G304" s="24"/>
      <c r="H304" s="24"/>
      <c r="I304" s="24"/>
      <c r="J304" s="24"/>
      <c r="K304" s="24"/>
    </row>
    <row r="305" spans="1:11" hidden="1" x14ac:dyDescent="0.25">
      <c r="A305" s="389" t="s">
        <v>328</v>
      </c>
      <c r="B305" s="352">
        <v>6.16</v>
      </c>
      <c r="C305" s="353">
        <v>8.2799999999999994</v>
      </c>
      <c r="D305" s="353">
        <v>0.25</v>
      </c>
      <c r="E305" s="353">
        <v>5.27</v>
      </c>
      <c r="F305" s="354">
        <v>0.4</v>
      </c>
      <c r="G305" s="24"/>
      <c r="H305" s="24"/>
      <c r="I305" s="24"/>
      <c r="J305" s="24"/>
      <c r="K305" s="24"/>
    </row>
    <row r="306" spans="1:11" hidden="1" x14ac:dyDescent="0.25">
      <c r="A306" s="389" t="s">
        <v>327</v>
      </c>
      <c r="B306" s="352">
        <v>5.26</v>
      </c>
      <c r="C306" s="353">
        <v>8.14</v>
      </c>
      <c r="D306" s="353">
        <v>0.23</v>
      </c>
      <c r="E306" s="353">
        <v>5.25</v>
      </c>
      <c r="F306" s="354">
        <v>0.33</v>
      </c>
      <c r="G306" s="24"/>
      <c r="H306" s="24"/>
      <c r="I306" s="24"/>
      <c r="J306" s="24"/>
      <c r="K306" s="24"/>
    </row>
    <row r="307" spans="1:11" hidden="1" x14ac:dyDescent="0.25">
      <c r="A307" s="389" t="s">
        <v>326</v>
      </c>
      <c r="B307" s="352">
        <v>4.4400000000000004</v>
      </c>
      <c r="C307" s="353">
        <v>8.11</v>
      </c>
      <c r="D307" s="353">
        <v>0.245</v>
      </c>
      <c r="E307" s="353">
        <v>4.01</v>
      </c>
      <c r="F307" s="354">
        <v>0.315</v>
      </c>
      <c r="G307" s="24"/>
      <c r="H307" s="24"/>
      <c r="I307" s="24"/>
      <c r="J307" s="24"/>
      <c r="K307" s="24"/>
    </row>
    <row r="308" spans="1:11" hidden="1" x14ac:dyDescent="0.25">
      <c r="A308" s="389" t="s">
        <v>325</v>
      </c>
      <c r="B308" s="352">
        <v>3.84</v>
      </c>
      <c r="C308" s="353">
        <v>7.99</v>
      </c>
      <c r="D308" s="353">
        <v>0.23</v>
      </c>
      <c r="E308" s="353">
        <v>4</v>
      </c>
      <c r="F308" s="354">
        <v>0.255</v>
      </c>
      <c r="G308" s="24"/>
      <c r="H308" s="24"/>
      <c r="I308" s="24"/>
      <c r="J308" s="24"/>
      <c r="K308" s="24"/>
    </row>
    <row r="309" spans="1:11" hidden="1" x14ac:dyDescent="0.25">
      <c r="A309" s="389" t="s">
        <v>324</v>
      </c>
      <c r="B309" s="352">
        <v>2.96</v>
      </c>
      <c r="C309" s="353">
        <v>7.89</v>
      </c>
      <c r="D309" s="353">
        <v>0.17</v>
      </c>
      <c r="E309" s="353">
        <v>3.94</v>
      </c>
      <c r="F309" s="354">
        <v>0.20499999999999999</v>
      </c>
      <c r="G309" s="24"/>
      <c r="H309" s="24"/>
      <c r="I309" s="24"/>
      <c r="J309" s="24"/>
      <c r="K309" s="24"/>
    </row>
    <row r="310" spans="1:11" hidden="1" x14ac:dyDescent="0.25">
      <c r="A310" s="389" t="s">
        <v>323</v>
      </c>
      <c r="B310" s="352">
        <v>7.36</v>
      </c>
      <c r="C310" s="353">
        <v>6.38</v>
      </c>
      <c r="D310" s="353">
        <v>0.32</v>
      </c>
      <c r="E310" s="353">
        <v>6.08</v>
      </c>
      <c r="F310" s="354">
        <v>0.45500000000000002</v>
      </c>
      <c r="G310" s="24"/>
      <c r="H310" s="24"/>
      <c r="I310" s="24"/>
      <c r="J310" s="24"/>
      <c r="K310" s="24"/>
    </row>
    <row r="311" spans="1:11" hidden="1" x14ac:dyDescent="0.25">
      <c r="A311" s="389" t="s">
        <v>61</v>
      </c>
      <c r="B311" s="352">
        <v>5.89</v>
      </c>
      <c r="C311" s="353">
        <v>6.2</v>
      </c>
      <c r="D311" s="353">
        <v>0.26</v>
      </c>
      <c r="E311" s="353">
        <v>6.02</v>
      </c>
      <c r="F311" s="354">
        <v>0.36499999999999999</v>
      </c>
      <c r="G311" s="24"/>
      <c r="H311" s="24"/>
      <c r="I311" s="24"/>
      <c r="J311" s="24"/>
      <c r="K311" s="24"/>
    </row>
    <row r="312" spans="1:11" hidden="1" x14ac:dyDescent="0.25">
      <c r="A312" s="389" t="s">
        <v>100</v>
      </c>
      <c r="B312" s="352">
        <v>4.74</v>
      </c>
      <c r="C312" s="353">
        <v>6.28</v>
      </c>
      <c r="D312" s="353">
        <v>0.26</v>
      </c>
      <c r="E312" s="353">
        <v>4.03</v>
      </c>
      <c r="F312" s="354">
        <v>0.40500000000000003</v>
      </c>
      <c r="G312" s="24"/>
      <c r="H312" s="24"/>
      <c r="I312" s="24"/>
      <c r="J312" s="24"/>
      <c r="K312" s="24"/>
    </row>
    <row r="313" spans="1:11" hidden="1" x14ac:dyDescent="0.25">
      <c r="A313" s="389" t="s">
        <v>17</v>
      </c>
      <c r="B313" s="352">
        <v>4.45</v>
      </c>
      <c r="C313" s="353">
        <v>5.99</v>
      </c>
      <c r="D313" s="353">
        <v>0.23</v>
      </c>
      <c r="E313" s="353">
        <v>5.99</v>
      </c>
      <c r="F313" s="354">
        <v>0.26</v>
      </c>
      <c r="G313" s="24"/>
      <c r="H313" s="24"/>
      <c r="I313" s="24"/>
      <c r="J313" s="24"/>
      <c r="K313" s="24"/>
    </row>
    <row r="314" spans="1:11" hidden="1" x14ac:dyDescent="0.25">
      <c r="A314" s="389" t="s">
        <v>16</v>
      </c>
      <c r="B314" s="352">
        <v>3.55</v>
      </c>
      <c r="C314" s="353">
        <v>6.03</v>
      </c>
      <c r="D314" s="353">
        <v>0.23</v>
      </c>
      <c r="E314" s="353">
        <v>4</v>
      </c>
      <c r="F314" s="354">
        <v>0.28000000000000003</v>
      </c>
      <c r="G314" s="24"/>
      <c r="H314" s="24"/>
      <c r="I314" s="24"/>
      <c r="J314" s="24"/>
      <c r="K314" s="24"/>
    </row>
    <row r="315" spans="1:11" hidden="1" x14ac:dyDescent="0.25">
      <c r="A315" s="389" t="s">
        <v>15</v>
      </c>
      <c r="B315" s="352">
        <v>2.68</v>
      </c>
      <c r="C315" s="353">
        <v>5.9</v>
      </c>
      <c r="D315" s="353">
        <v>0.17</v>
      </c>
      <c r="E315" s="353">
        <v>3.94</v>
      </c>
      <c r="F315" s="354">
        <v>0.215</v>
      </c>
      <c r="G315" s="24"/>
      <c r="H315" s="24"/>
      <c r="I315" s="24"/>
      <c r="J315" s="24"/>
      <c r="K315" s="24"/>
    </row>
    <row r="316" spans="1:11" hidden="1" x14ac:dyDescent="0.25">
      <c r="A316" s="389" t="s">
        <v>8</v>
      </c>
      <c r="B316" s="352">
        <v>2.5099999999999998</v>
      </c>
      <c r="C316" s="353">
        <v>5.83</v>
      </c>
      <c r="D316" s="353">
        <v>0.17</v>
      </c>
      <c r="E316" s="353">
        <v>3.94</v>
      </c>
      <c r="F316" s="354">
        <v>0.19400000000000001</v>
      </c>
      <c r="G316" s="24"/>
      <c r="H316" s="24"/>
      <c r="I316" s="24"/>
      <c r="J316" s="24"/>
      <c r="K316" s="24"/>
    </row>
    <row r="317" spans="1:11" hidden="1" x14ac:dyDescent="0.25">
      <c r="A317" s="389" t="s">
        <v>14</v>
      </c>
      <c r="B317" s="352">
        <v>5.56</v>
      </c>
      <c r="C317" s="353">
        <v>5.15</v>
      </c>
      <c r="D317" s="353">
        <v>0.27</v>
      </c>
      <c r="E317" s="353">
        <v>5.03</v>
      </c>
      <c r="F317" s="354">
        <v>0.43</v>
      </c>
      <c r="G317" s="24"/>
      <c r="H317" s="24"/>
      <c r="I317" s="24"/>
      <c r="J317" s="24"/>
      <c r="K317" s="24"/>
    </row>
    <row r="318" spans="1:11" hidden="1" x14ac:dyDescent="0.25">
      <c r="A318" s="389" t="s">
        <v>13</v>
      </c>
      <c r="B318" s="352">
        <v>4.71</v>
      </c>
      <c r="C318" s="353">
        <v>5.01</v>
      </c>
      <c r="D318" s="353">
        <v>0.24</v>
      </c>
      <c r="E318" s="353">
        <v>5</v>
      </c>
      <c r="F318" s="354">
        <v>0.36</v>
      </c>
      <c r="G318" s="24"/>
      <c r="H318" s="24"/>
      <c r="I318" s="24"/>
      <c r="J318" s="24"/>
      <c r="K318" s="24"/>
    </row>
    <row r="319" spans="1:11" hidden="1" x14ac:dyDescent="0.25">
      <c r="A319" s="390" t="s">
        <v>330</v>
      </c>
      <c r="B319" s="357">
        <v>3.83</v>
      </c>
      <c r="C319" s="358">
        <v>4.16</v>
      </c>
      <c r="D319" s="358">
        <v>0.28000000000000003</v>
      </c>
      <c r="E319" s="358">
        <v>4.0599999999999996</v>
      </c>
      <c r="F319" s="359">
        <v>0.34499999999999997</v>
      </c>
      <c r="G319" s="24"/>
      <c r="H319" s="24"/>
      <c r="I319" s="24"/>
      <c r="J319" s="24"/>
      <c r="K319" s="24"/>
    </row>
    <row r="320" spans="1:11" hidden="1" x14ac:dyDescent="0.25">
      <c r="A320" s="388" t="s">
        <v>258</v>
      </c>
      <c r="B320" s="360">
        <v>35.5</v>
      </c>
      <c r="C320" s="361">
        <v>24.5</v>
      </c>
      <c r="D320" s="361">
        <v>0.8</v>
      </c>
      <c r="E320" s="361">
        <v>8.0500000000000007</v>
      </c>
      <c r="F320" s="362">
        <v>1.0900000000000001</v>
      </c>
      <c r="G320" s="24"/>
      <c r="H320" s="24"/>
      <c r="I320" s="24"/>
      <c r="J320" s="24"/>
      <c r="K320" s="24"/>
    </row>
    <row r="321" spans="1:11" hidden="1" x14ac:dyDescent="0.25">
      <c r="A321" s="389" t="s">
        <v>118</v>
      </c>
      <c r="B321" s="363">
        <v>31.1</v>
      </c>
      <c r="C321" s="364">
        <v>24.5</v>
      </c>
      <c r="D321" s="364">
        <v>0.62</v>
      </c>
      <c r="E321" s="364">
        <v>7.87</v>
      </c>
      <c r="F321" s="365">
        <v>1.0900000000000001</v>
      </c>
      <c r="G321" s="24"/>
      <c r="H321" s="24"/>
      <c r="I321" s="24"/>
      <c r="J321" s="24"/>
      <c r="K321" s="24"/>
    </row>
    <row r="322" spans="1:11" hidden="1" x14ac:dyDescent="0.25">
      <c r="A322" s="389" t="s">
        <v>117</v>
      </c>
      <c r="B322" s="363">
        <v>29.3</v>
      </c>
      <c r="C322" s="364">
        <v>24</v>
      </c>
      <c r="D322" s="364">
        <v>0.745</v>
      </c>
      <c r="E322" s="364">
        <v>7.25</v>
      </c>
      <c r="F322" s="365">
        <v>0.87</v>
      </c>
      <c r="G322" s="24"/>
      <c r="H322" s="24"/>
      <c r="I322" s="24"/>
      <c r="J322" s="24"/>
      <c r="K322" s="24"/>
    </row>
    <row r="323" spans="1:11" hidden="1" x14ac:dyDescent="0.25">
      <c r="A323" s="389" t="s">
        <v>116</v>
      </c>
      <c r="B323" s="363">
        <v>26.5</v>
      </c>
      <c r="C323" s="364">
        <v>24</v>
      </c>
      <c r="D323" s="364">
        <v>0.625</v>
      </c>
      <c r="E323" s="364">
        <v>7.13</v>
      </c>
      <c r="F323" s="365">
        <v>0.87</v>
      </c>
      <c r="G323" s="24"/>
      <c r="H323" s="24"/>
      <c r="I323" s="24"/>
      <c r="J323" s="24"/>
      <c r="K323" s="24"/>
    </row>
    <row r="324" spans="1:11" hidden="1" x14ac:dyDescent="0.25">
      <c r="A324" s="389" t="s">
        <v>393</v>
      </c>
      <c r="B324" s="363">
        <v>23.5</v>
      </c>
      <c r="C324" s="364">
        <v>24</v>
      </c>
      <c r="D324" s="364">
        <v>0.5</v>
      </c>
      <c r="E324" s="364">
        <v>7</v>
      </c>
      <c r="F324" s="365">
        <v>0.87</v>
      </c>
      <c r="G324" s="24"/>
      <c r="H324" s="24"/>
      <c r="I324" s="24"/>
      <c r="J324" s="24"/>
      <c r="K324" s="24"/>
    </row>
    <row r="325" spans="1:11" hidden="1" x14ac:dyDescent="0.25">
      <c r="A325" s="389" t="s">
        <v>392</v>
      </c>
      <c r="B325" s="363">
        <v>28.2</v>
      </c>
      <c r="C325" s="364">
        <v>20.3</v>
      </c>
      <c r="D325" s="364">
        <v>0.8</v>
      </c>
      <c r="E325" s="364">
        <v>7.2</v>
      </c>
      <c r="F325" s="365">
        <v>0.92</v>
      </c>
      <c r="G325" s="24"/>
      <c r="H325" s="24"/>
      <c r="I325" s="24"/>
      <c r="J325" s="24"/>
      <c r="K325" s="24"/>
    </row>
    <row r="326" spans="1:11" hidden="1" x14ac:dyDescent="0.25">
      <c r="A326" s="389" t="s">
        <v>391</v>
      </c>
      <c r="B326" s="363">
        <v>25.3</v>
      </c>
      <c r="C326" s="364">
        <v>20.3</v>
      </c>
      <c r="D326" s="364">
        <v>0.66</v>
      </c>
      <c r="E326" s="364">
        <v>7.06</v>
      </c>
      <c r="F326" s="365">
        <v>0.92</v>
      </c>
      <c r="G326" s="24"/>
      <c r="H326" s="24"/>
      <c r="I326" s="24"/>
      <c r="J326" s="24"/>
      <c r="K326" s="24"/>
    </row>
    <row r="327" spans="1:11" hidden="1" x14ac:dyDescent="0.25">
      <c r="A327" s="389" t="s">
        <v>390</v>
      </c>
      <c r="B327" s="363">
        <v>22</v>
      </c>
      <c r="C327" s="364">
        <v>20</v>
      </c>
      <c r="D327" s="364">
        <v>0.63500000000000001</v>
      </c>
      <c r="E327" s="364">
        <v>6.39</v>
      </c>
      <c r="F327" s="365">
        <v>0.79500000000000004</v>
      </c>
      <c r="G327" s="24"/>
      <c r="H327" s="24"/>
      <c r="I327" s="24"/>
      <c r="J327" s="24"/>
      <c r="K327" s="24"/>
    </row>
    <row r="328" spans="1:11" hidden="1" x14ac:dyDescent="0.25">
      <c r="A328" s="389" t="s">
        <v>389</v>
      </c>
      <c r="B328" s="363">
        <v>19.399999999999999</v>
      </c>
      <c r="C328" s="364">
        <v>20</v>
      </c>
      <c r="D328" s="364">
        <v>0.505</v>
      </c>
      <c r="E328" s="364">
        <v>6.26</v>
      </c>
      <c r="F328" s="365">
        <v>0.79500000000000004</v>
      </c>
      <c r="G328" s="24"/>
      <c r="H328" s="24"/>
      <c r="I328" s="24"/>
      <c r="J328" s="24"/>
      <c r="K328" s="24"/>
    </row>
    <row r="329" spans="1:11" hidden="1" x14ac:dyDescent="0.25">
      <c r="A329" s="389" t="s">
        <v>293</v>
      </c>
      <c r="B329" s="363">
        <v>20.5</v>
      </c>
      <c r="C329" s="364">
        <v>18</v>
      </c>
      <c r="D329" s="364">
        <v>0.71099999999999997</v>
      </c>
      <c r="E329" s="364">
        <v>6.25</v>
      </c>
      <c r="F329" s="365">
        <v>0.69099999999999995</v>
      </c>
      <c r="G329" s="24"/>
      <c r="H329" s="24"/>
      <c r="I329" s="24"/>
      <c r="J329" s="24"/>
      <c r="K329" s="24"/>
    </row>
    <row r="330" spans="1:11" hidden="1" x14ac:dyDescent="0.25">
      <c r="A330" s="389" t="s">
        <v>292</v>
      </c>
      <c r="B330" s="363">
        <v>16</v>
      </c>
      <c r="C330" s="364">
        <v>18</v>
      </c>
      <c r="D330" s="364">
        <v>0.46100000000000002</v>
      </c>
      <c r="E330" s="364">
        <v>6</v>
      </c>
      <c r="F330" s="365">
        <v>0.69099999999999995</v>
      </c>
      <c r="G330" s="24"/>
      <c r="H330" s="24"/>
      <c r="I330" s="24"/>
      <c r="J330" s="24"/>
      <c r="K330" s="24"/>
    </row>
    <row r="331" spans="1:11" hidden="1" x14ac:dyDescent="0.25">
      <c r="A331" s="389" t="s">
        <v>291</v>
      </c>
      <c r="B331" s="363">
        <v>14.7</v>
      </c>
      <c r="C331" s="364">
        <v>15</v>
      </c>
      <c r="D331" s="364">
        <v>0.55000000000000004</v>
      </c>
      <c r="E331" s="364">
        <v>5.64</v>
      </c>
      <c r="F331" s="365">
        <v>0.622</v>
      </c>
      <c r="G331" s="24"/>
      <c r="H331" s="24"/>
      <c r="I331" s="24"/>
      <c r="J331" s="24"/>
      <c r="K331" s="24"/>
    </row>
    <row r="332" spans="1:11" hidden="1" x14ac:dyDescent="0.25">
      <c r="A332" s="389" t="s">
        <v>272</v>
      </c>
      <c r="B332" s="363">
        <v>12.6</v>
      </c>
      <c r="C332" s="364">
        <v>15</v>
      </c>
      <c r="D332" s="364">
        <v>0.41099999999999998</v>
      </c>
      <c r="E332" s="364">
        <v>5.5</v>
      </c>
      <c r="F332" s="365">
        <v>0.622</v>
      </c>
      <c r="G332" s="24"/>
      <c r="H332" s="24"/>
      <c r="I332" s="24"/>
      <c r="J332" s="24"/>
      <c r="K332" s="24"/>
    </row>
    <row r="333" spans="1:11" hidden="1" x14ac:dyDescent="0.25">
      <c r="A333" s="389" t="s">
        <v>86</v>
      </c>
      <c r="B333" s="363">
        <v>14.6</v>
      </c>
      <c r="C333" s="364">
        <v>12</v>
      </c>
      <c r="D333" s="364">
        <v>0.68700000000000006</v>
      </c>
      <c r="E333" s="364">
        <v>5.48</v>
      </c>
      <c r="F333" s="365">
        <v>0.65900000000000003</v>
      </c>
      <c r="G333" s="24"/>
      <c r="H333" s="24"/>
      <c r="I333" s="24"/>
      <c r="J333" s="24"/>
      <c r="K333" s="24"/>
    </row>
    <row r="334" spans="1:11" hidden="1" x14ac:dyDescent="0.25">
      <c r="A334" s="389" t="s">
        <v>85</v>
      </c>
      <c r="B334" s="363">
        <v>11.9</v>
      </c>
      <c r="C334" s="364">
        <v>12</v>
      </c>
      <c r="D334" s="364">
        <v>0.46200000000000002</v>
      </c>
      <c r="E334" s="364">
        <v>5.25</v>
      </c>
      <c r="F334" s="365">
        <v>0.65900000000000003</v>
      </c>
      <c r="G334" s="24"/>
      <c r="H334" s="24"/>
      <c r="I334" s="24"/>
      <c r="J334" s="24"/>
      <c r="K334" s="24"/>
    </row>
    <row r="335" spans="1:11" hidden="1" x14ac:dyDescent="0.25">
      <c r="A335" s="389" t="s">
        <v>84</v>
      </c>
      <c r="B335" s="363">
        <v>10.199999999999999</v>
      </c>
      <c r="C335" s="364">
        <v>12</v>
      </c>
      <c r="D335" s="364">
        <v>0.42799999999999999</v>
      </c>
      <c r="E335" s="364">
        <v>5.08</v>
      </c>
      <c r="F335" s="365">
        <v>0.54400000000000004</v>
      </c>
      <c r="G335" s="24"/>
      <c r="H335" s="24"/>
      <c r="I335" s="24"/>
      <c r="J335" s="24"/>
      <c r="K335" s="24"/>
    </row>
    <row r="336" spans="1:11" hidden="1" x14ac:dyDescent="0.25">
      <c r="A336" s="389" t="s">
        <v>83</v>
      </c>
      <c r="B336" s="363">
        <v>9.31</v>
      </c>
      <c r="C336" s="364">
        <v>12</v>
      </c>
      <c r="D336" s="364">
        <v>0.35</v>
      </c>
      <c r="E336" s="364">
        <v>5</v>
      </c>
      <c r="F336" s="365">
        <v>0.54400000000000004</v>
      </c>
      <c r="G336" s="24"/>
      <c r="H336" s="24"/>
      <c r="I336" s="24"/>
      <c r="J336" s="24"/>
      <c r="K336" s="24"/>
    </row>
    <row r="337" spans="1:11" hidden="1" x14ac:dyDescent="0.25">
      <c r="A337" s="389" t="s">
        <v>82</v>
      </c>
      <c r="B337" s="363">
        <v>10.3</v>
      </c>
      <c r="C337" s="364">
        <v>10</v>
      </c>
      <c r="D337" s="364">
        <v>0.59399999999999997</v>
      </c>
      <c r="E337" s="364">
        <v>4.9400000000000004</v>
      </c>
      <c r="F337" s="365">
        <v>0.49099999999999999</v>
      </c>
      <c r="G337" s="24"/>
      <c r="H337" s="24"/>
      <c r="I337" s="24"/>
      <c r="J337" s="24"/>
      <c r="K337" s="24"/>
    </row>
    <row r="338" spans="1:11" hidden="1" x14ac:dyDescent="0.25">
      <c r="A338" s="389" t="s">
        <v>98</v>
      </c>
      <c r="B338" s="363">
        <v>7.45</v>
      </c>
      <c r="C338" s="364">
        <v>10</v>
      </c>
      <c r="D338" s="364">
        <v>0.311</v>
      </c>
      <c r="E338" s="364">
        <v>4.66</v>
      </c>
      <c r="F338" s="365">
        <v>0.49099999999999999</v>
      </c>
      <c r="G338" s="24"/>
      <c r="H338" s="24"/>
      <c r="I338" s="24"/>
      <c r="J338" s="24"/>
      <c r="K338" s="24"/>
    </row>
    <row r="339" spans="1:11" hidden="1" x14ac:dyDescent="0.25">
      <c r="A339" s="389" t="s">
        <v>97</v>
      </c>
      <c r="B339" s="363">
        <v>6.76</v>
      </c>
      <c r="C339" s="364">
        <v>8</v>
      </c>
      <c r="D339" s="364">
        <v>0.441</v>
      </c>
      <c r="E339" s="364">
        <v>4.17</v>
      </c>
      <c r="F339" s="365">
        <v>0.42499999999999999</v>
      </c>
      <c r="G339" s="24"/>
      <c r="H339" s="24"/>
      <c r="I339" s="24"/>
      <c r="J339" s="24"/>
      <c r="K339" s="24"/>
    </row>
    <row r="340" spans="1:11" hidden="1" x14ac:dyDescent="0.25">
      <c r="A340" s="389" t="s">
        <v>96</v>
      </c>
      <c r="B340" s="363">
        <v>5.4</v>
      </c>
      <c r="C340" s="364">
        <v>8</v>
      </c>
      <c r="D340" s="364">
        <v>0.27100000000000002</v>
      </c>
      <c r="E340" s="364">
        <v>4</v>
      </c>
      <c r="F340" s="365">
        <v>0.42499999999999999</v>
      </c>
      <c r="G340" s="24"/>
      <c r="H340" s="24"/>
      <c r="I340" s="24"/>
      <c r="J340" s="24"/>
      <c r="K340" s="24"/>
    </row>
    <row r="341" spans="1:11" hidden="1" x14ac:dyDescent="0.25">
      <c r="A341" s="389" t="s">
        <v>95</v>
      </c>
      <c r="B341" s="352">
        <v>5.88</v>
      </c>
      <c r="C341" s="353">
        <v>7</v>
      </c>
      <c r="D341" s="353">
        <v>0.45</v>
      </c>
      <c r="E341" s="353">
        <v>3.86</v>
      </c>
      <c r="F341" s="354">
        <v>0.39200000000000002</v>
      </c>
      <c r="G341" s="24"/>
      <c r="H341" s="24"/>
      <c r="I341" s="24"/>
      <c r="J341" s="24"/>
      <c r="K341" s="24"/>
    </row>
    <row r="342" spans="1:11" hidden="1" x14ac:dyDescent="0.25">
      <c r="A342" s="389" t="s">
        <v>94</v>
      </c>
      <c r="B342" s="352">
        <v>4.5</v>
      </c>
      <c r="C342" s="353">
        <v>7</v>
      </c>
      <c r="D342" s="353">
        <v>0.252</v>
      </c>
      <c r="E342" s="353">
        <v>3.6619999999999999</v>
      </c>
      <c r="F342" s="354">
        <v>0.39200000000000002</v>
      </c>
      <c r="G342" s="24"/>
      <c r="H342" s="24"/>
      <c r="I342" s="24"/>
      <c r="J342" s="24"/>
      <c r="K342" s="24"/>
    </row>
    <row r="343" spans="1:11" hidden="1" x14ac:dyDescent="0.25">
      <c r="A343" s="389" t="s">
        <v>304</v>
      </c>
      <c r="B343" s="363">
        <v>5.0599999999999996</v>
      </c>
      <c r="C343" s="364">
        <v>6</v>
      </c>
      <c r="D343" s="364">
        <v>0.46500000000000002</v>
      </c>
      <c r="E343" s="364">
        <v>3.57</v>
      </c>
      <c r="F343" s="365">
        <v>0.35899999999999999</v>
      </c>
      <c r="G343" s="24"/>
      <c r="H343" s="24"/>
      <c r="I343" s="24"/>
      <c r="J343" s="24"/>
      <c r="K343" s="24"/>
    </row>
    <row r="344" spans="1:11" hidden="1" x14ac:dyDescent="0.25">
      <c r="A344" s="389" t="s">
        <v>65</v>
      </c>
      <c r="B344" s="363">
        <v>3.66</v>
      </c>
      <c r="C344" s="364">
        <v>6</v>
      </c>
      <c r="D344" s="364">
        <v>0.23200000000000001</v>
      </c>
      <c r="E344" s="364">
        <v>3.33</v>
      </c>
      <c r="F344" s="365">
        <v>0.35899999999999999</v>
      </c>
      <c r="G344" s="24"/>
      <c r="H344" s="24"/>
      <c r="I344" s="24"/>
      <c r="J344" s="24"/>
      <c r="K344" s="24"/>
    </row>
    <row r="345" spans="1:11" hidden="1" x14ac:dyDescent="0.25">
      <c r="A345" s="389" t="s">
        <v>64</v>
      </c>
      <c r="B345" s="352">
        <v>4.34</v>
      </c>
      <c r="C345" s="353">
        <v>5</v>
      </c>
      <c r="D345" s="353">
        <v>0.49399999999999999</v>
      </c>
      <c r="E345" s="353">
        <v>3.2839999999999998</v>
      </c>
      <c r="F345" s="354">
        <v>0.32600000000000001</v>
      </c>
      <c r="G345" s="24"/>
      <c r="H345" s="24"/>
      <c r="I345" s="24"/>
      <c r="J345" s="24"/>
      <c r="K345" s="24"/>
    </row>
    <row r="346" spans="1:11" hidden="1" x14ac:dyDescent="0.25">
      <c r="A346" s="389" t="s">
        <v>113</v>
      </c>
      <c r="B346" s="363">
        <v>2.93</v>
      </c>
      <c r="C346" s="364">
        <v>5</v>
      </c>
      <c r="D346" s="364">
        <v>0.214</v>
      </c>
      <c r="E346" s="364">
        <v>3</v>
      </c>
      <c r="F346" s="365">
        <v>0.32600000000000001</v>
      </c>
      <c r="G346" s="24"/>
      <c r="H346" s="24"/>
      <c r="I346" s="24"/>
      <c r="J346" s="24"/>
      <c r="K346" s="24"/>
    </row>
    <row r="347" spans="1:11" hidden="1" x14ac:dyDescent="0.25">
      <c r="A347" s="389" t="s">
        <v>112</v>
      </c>
      <c r="B347" s="363">
        <v>2.79</v>
      </c>
      <c r="C347" s="364">
        <v>4</v>
      </c>
      <c r="D347" s="364">
        <v>0.32600000000000001</v>
      </c>
      <c r="E347" s="364">
        <v>2.8</v>
      </c>
      <c r="F347" s="365">
        <v>0.29299999999999998</v>
      </c>
      <c r="G347" s="24"/>
      <c r="H347" s="24"/>
      <c r="I347" s="24"/>
      <c r="J347" s="24"/>
      <c r="K347" s="24"/>
    </row>
    <row r="348" spans="1:11" hidden="1" x14ac:dyDescent="0.25">
      <c r="A348" s="389" t="s">
        <v>178</v>
      </c>
      <c r="B348" s="363">
        <v>2.2599999999999998</v>
      </c>
      <c r="C348" s="364">
        <v>4</v>
      </c>
      <c r="D348" s="364">
        <v>0.193</v>
      </c>
      <c r="E348" s="364">
        <v>2.66</v>
      </c>
      <c r="F348" s="365">
        <v>0.29299999999999998</v>
      </c>
      <c r="G348" s="24"/>
      <c r="H348" s="24"/>
      <c r="I348" s="24"/>
      <c r="J348" s="24"/>
      <c r="K348" s="24"/>
    </row>
    <row r="349" spans="1:11" hidden="1" x14ac:dyDescent="0.25">
      <c r="A349" s="389" t="s">
        <v>177</v>
      </c>
      <c r="B349" s="363">
        <v>2.2000000000000002</v>
      </c>
      <c r="C349" s="364">
        <v>3</v>
      </c>
      <c r="D349" s="364">
        <v>0.34899999999999998</v>
      </c>
      <c r="E349" s="364">
        <v>2.5099999999999998</v>
      </c>
      <c r="F349" s="365">
        <v>0.26</v>
      </c>
      <c r="G349" s="24"/>
      <c r="H349" s="24"/>
      <c r="I349" s="24"/>
      <c r="J349" s="24"/>
      <c r="K349" s="24"/>
    </row>
    <row r="350" spans="1:11" hidden="1" x14ac:dyDescent="0.25">
      <c r="A350" s="390" t="s">
        <v>176</v>
      </c>
      <c r="B350" s="366">
        <v>1.66</v>
      </c>
      <c r="C350" s="367">
        <v>3</v>
      </c>
      <c r="D350" s="367">
        <v>0.17</v>
      </c>
      <c r="E350" s="367">
        <v>2.33</v>
      </c>
      <c r="F350" s="368">
        <v>0.26</v>
      </c>
      <c r="G350" s="24"/>
      <c r="H350" s="24"/>
      <c r="I350" s="24"/>
      <c r="J350" s="24"/>
      <c r="K350" s="24"/>
    </row>
    <row r="351" spans="1:11" hidden="1" x14ac:dyDescent="0.25">
      <c r="A351" s="388" t="s">
        <v>114</v>
      </c>
      <c r="B351" s="349">
        <v>5.0999999999999996</v>
      </c>
      <c r="C351" s="350">
        <v>14</v>
      </c>
      <c r="D351" s="350">
        <v>0.215</v>
      </c>
      <c r="E351" s="350">
        <v>4</v>
      </c>
      <c r="F351" s="351">
        <v>0.27</v>
      </c>
      <c r="G351" s="24"/>
      <c r="H351" s="24"/>
      <c r="I351" s="24"/>
      <c r="J351" s="24"/>
      <c r="K351" s="24"/>
    </row>
    <row r="352" spans="1:11" hidden="1" x14ac:dyDescent="0.25">
      <c r="A352" s="389" t="s">
        <v>398</v>
      </c>
      <c r="B352" s="363">
        <v>3.47</v>
      </c>
      <c r="C352" s="364">
        <v>12</v>
      </c>
      <c r="D352" s="364">
        <v>0.17699999999999999</v>
      </c>
      <c r="E352" s="364">
        <v>3.07</v>
      </c>
      <c r="F352" s="365">
        <v>0.22500000000000001</v>
      </c>
      <c r="G352" s="24"/>
      <c r="H352" s="24"/>
      <c r="I352" s="24"/>
      <c r="J352" s="24"/>
      <c r="K352" s="24"/>
    </row>
    <row r="353" spans="1:11" hidden="1" x14ac:dyDescent="0.25">
      <c r="A353" s="389" t="s">
        <v>124</v>
      </c>
      <c r="B353" s="363">
        <v>3.18</v>
      </c>
      <c r="C353" s="364">
        <v>12</v>
      </c>
      <c r="D353" s="364">
        <v>0.16</v>
      </c>
      <c r="E353" s="364">
        <v>3.07</v>
      </c>
      <c r="F353" s="365">
        <v>0.21</v>
      </c>
      <c r="G353" s="24"/>
      <c r="H353" s="24"/>
      <c r="I353" s="24"/>
      <c r="J353" s="24"/>
      <c r="K353" s="24"/>
    </row>
    <row r="354" spans="1:11" hidden="1" x14ac:dyDescent="0.25">
      <c r="A354" s="389" t="s">
        <v>123</v>
      </c>
      <c r="B354" s="363">
        <v>2.95</v>
      </c>
      <c r="C354" s="364">
        <v>12</v>
      </c>
      <c r="D354" s="364">
        <v>0.14899999999999999</v>
      </c>
      <c r="E354" s="364">
        <v>3.25</v>
      </c>
      <c r="F354" s="365">
        <v>0.18</v>
      </c>
      <c r="G354" s="24"/>
      <c r="H354" s="24"/>
      <c r="I354" s="24"/>
      <c r="J354" s="24"/>
      <c r="K354" s="24"/>
    </row>
    <row r="355" spans="1:11" hidden="1" x14ac:dyDescent="0.25">
      <c r="A355" s="389" t="s">
        <v>433</v>
      </c>
      <c r="B355" s="363">
        <v>2.65</v>
      </c>
      <c r="C355" s="364">
        <v>10</v>
      </c>
      <c r="D355" s="364">
        <v>0.157</v>
      </c>
      <c r="E355" s="364">
        <v>2.69</v>
      </c>
      <c r="F355" s="365">
        <v>0.20599999999999999</v>
      </c>
      <c r="G355" s="24"/>
      <c r="H355" s="24"/>
      <c r="I355" s="24"/>
      <c r="J355" s="24"/>
      <c r="K355" s="24"/>
    </row>
    <row r="356" spans="1:11" hidden="1" x14ac:dyDescent="0.25">
      <c r="A356" s="389" t="s">
        <v>432</v>
      </c>
      <c r="B356" s="363">
        <v>2.37</v>
      </c>
      <c r="C356" s="364">
        <v>9.9499999999999993</v>
      </c>
      <c r="D356" s="364">
        <v>0.14099999999999999</v>
      </c>
      <c r="E356" s="364">
        <v>2.69</v>
      </c>
      <c r="F356" s="365">
        <v>0.182</v>
      </c>
      <c r="G356" s="24"/>
      <c r="H356" s="24"/>
      <c r="I356" s="24"/>
      <c r="J356" s="24"/>
      <c r="K356" s="24"/>
    </row>
    <row r="357" spans="1:11" hidden="1" x14ac:dyDescent="0.25">
      <c r="A357" s="389" t="s">
        <v>431</v>
      </c>
      <c r="B357" s="363">
        <v>2.2200000000000002</v>
      </c>
      <c r="C357" s="364">
        <v>9.99</v>
      </c>
      <c r="D357" s="364">
        <v>0.13</v>
      </c>
      <c r="E357" s="364">
        <v>2.69</v>
      </c>
      <c r="F357" s="365">
        <v>0.17299999999999999</v>
      </c>
      <c r="G357" s="24"/>
      <c r="H357" s="24"/>
      <c r="I357" s="24"/>
      <c r="J357" s="24"/>
      <c r="K357" s="24"/>
    </row>
    <row r="358" spans="1:11" hidden="1" x14ac:dyDescent="0.25">
      <c r="A358" s="389" t="s">
        <v>45</v>
      </c>
      <c r="B358" s="363">
        <v>1.92</v>
      </c>
      <c r="C358" s="364">
        <v>8</v>
      </c>
      <c r="D358" s="364">
        <v>0.13500000000000001</v>
      </c>
      <c r="E358" s="364">
        <v>2.2799999999999998</v>
      </c>
      <c r="F358" s="365">
        <v>0.189</v>
      </c>
      <c r="G358" s="24"/>
      <c r="H358" s="24"/>
      <c r="I358" s="24"/>
      <c r="J358" s="24"/>
      <c r="K358" s="24"/>
    </row>
    <row r="359" spans="1:11" hidden="1" x14ac:dyDescent="0.25">
      <c r="A359" s="389" t="s">
        <v>9</v>
      </c>
      <c r="B359" s="363">
        <v>1.82</v>
      </c>
      <c r="C359" s="364">
        <v>8</v>
      </c>
      <c r="D359" s="364">
        <v>0.129</v>
      </c>
      <c r="E359" s="364">
        <v>2.2799999999999998</v>
      </c>
      <c r="F359" s="365">
        <v>0.17699999999999999</v>
      </c>
      <c r="G359" s="24"/>
      <c r="H359" s="24"/>
      <c r="I359" s="24"/>
      <c r="J359" s="24"/>
      <c r="K359" s="24"/>
    </row>
    <row r="360" spans="1:11" hidden="1" x14ac:dyDescent="0.25">
      <c r="A360" s="389" t="s">
        <v>44</v>
      </c>
      <c r="B360" s="363">
        <v>1.29</v>
      </c>
      <c r="C360" s="364">
        <v>6</v>
      </c>
      <c r="D360" s="364">
        <v>0.114</v>
      </c>
      <c r="E360" s="364">
        <v>1.84</v>
      </c>
      <c r="F360" s="365">
        <v>0.17100000000000001</v>
      </c>
      <c r="G360" s="24"/>
      <c r="H360" s="24"/>
      <c r="I360" s="24"/>
      <c r="J360" s="24"/>
      <c r="K360" s="24"/>
    </row>
    <row r="361" spans="1:11" hidden="1" x14ac:dyDescent="0.25">
      <c r="A361" s="389" t="s">
        <v>10</v>
      </c>
      <c r="B361" s="363">
        <v>1.0900000000000001</v>
      </c>
      <c r="C361" s="364">
        <v>5.92</v>
      </c>
      <c r="D361" s="364">
        <v>9.8000000000000004E-2</v>
      </c>
      <c r="E361" s="364">
        <v>2</v>
      </c>
      <c r="F361" s="365">
        <v>0.129</v>
      </c>
      <c r="G361" s="24"/>
      <c r="H361" s="24"/>
      <c r="I361" s="24"/>
      <c r="J361" s="24"/>
      <c r="K361" s="24"/>
    </row>
    <row r="362" spans="1:11" hidden="1" x14ac:dyDescent="0.25">
      <c r="A362" s="389" t="s">
        <v>43</v>
      </c>
      <c r="B362" s="363">
        <v>5.55</v>
      </c>
      <c r="C362" s="364">
        <v>5</v>
      </c>
      <c r="D362" s="364">
        <v>0.316</v>
      </c>
      <c r="E362" s="364">
        <v>5</v>
      </c>
      <c r="F362" s="365">
        <v>0.41599999999999998</v>
      </c>
      <c r="G362" s="24"/>
      <c r="H362" s="24"/>
      <c r="I362" s="24"/>
      <c r="J362" s="24"/>
      <c r="K362" s="24"/>
    </row>
    <row r="363" spans="1:11" hidden="1" x14ac:dyDescent="0.25">
      <c r="A363" s="390" t="s">
        <v>11</v>
      </c>
      <c r="B363" s="366">
        <v>1.75</v>
      </c>
      <c r="C363" s="367">
        <v>3.8</v>
      </c>
      <c r="D363" s="367">
        <v>0.13</v>
      </c>
      <c r="E363" s="367">
        <v>3.8</v>
      </c>
      <c r="F363" s="368">
        <v>0.16</v>
      </c>
      <c r="G363" s="24"/>
      <c r="H363" s="24"/>
      <c r="I363" s="24"/>
      <c r="J363" s="24"/>
      <c r="K363" s="24"/>
    </row>
    <row r="364" spans="1:11" hidden="1" x14ac:dyDescent="0.25">
      <c r="A364" s="388" t="s">
        <v>278</v>
      </c>
      <c r="B364" s="360">
        <v>34.4</v>
      </c>
      <c r="C364" s="361">
        <v>14.2</v>
      </c>
      <c r="D364" s="361">
        <v>0.80500000000000005</v>
      </c>
      <c r="E364" s="361">
        <v>14.9</v>
      </c>
      <c r="F364" s="362">
        <v>0.80500000000000005</v>
      </c>
      <c r="G364" s="24"/>
      <c r="H364" s="24"/>
      <c r="I364" s="24"/>
      <c r="J364" s="24"/>
      <c r="K364" s="24"/>
    </row>
    <row r="365" spans="1:11" hidden="1" x14ac:dyDescent="0.25">
      <c r="A365" s="389" t="s">
        <v>2</v>
      </c>
      <c r="B365" s="363">
        <v>30</v>
      </c>
      <c r="C365" s="364">
        <v>14</v>
      </c>
      <c r="D365" s="364">
        <v>0.70499999999999996</v>
      </c>
      <c r="E365" s="364">
        <v>14.8</v>
      </c>
      <c r="F365" s="365">
        <v>0.70499999999999996</v>
      </c>
      <c r="G365" s="24"/>
      <c r="H365" s="24"/>
      <c r="I365" s="24"/>
      <c r="J365" s="24"/>
      <c r="K365" s="24"/>
    </row>
    <row r="366" spans="1:11" hidden="1" x14ac:dyDescent="0.25">
      <c r="A366" s="389" t="s">
        <v>1</v>
      </c>
      <c r="B366" s="363">
        <v>26.1</v>
      </c>
      <c r="C366" s="364">
        <v>13.8</v>
      </c>
      <c r="D366" s="364">
        <v>0.61499999999999999</v>
      </c>
      <c r="E366" s="364">
        <v>14.7</v>
      </c>
      <c r="F366" s="365">
        <v>0.61499999999999999</v>
      </c>
      <c r="G366" s="24"/>
      <c r="H366" s="24"/>
      <c r="I366" s="24"/>
      <c r="J366" s="24"/>
      <c r="K366" s="24"/>
    </row>
    <row r="367" spans="1:11" hidden="1" x14ac:dyDescent="0.25">
      <c r="A367" s="389" t="s">
        <v>379</v>
      </c>
      <c r="B367" s="363">
        <v>21.4</v>
      </c>
      <c r="C367" s="364">
        <v>13.6</v>
      </c>
      <c r="D367" s="364">
        <v>0.505</v>
      </c>
      <c r="E367" s="364">
        <v>14.6</v>
      </c>
      <c r="F367" s="365">
        <v>0.505</v>
      </c>
      <c r="G367" s="24"/>
      <c r="H367" s="24"/>
      <c r="I367" s="24"/>
      <c r="J367" s="24"/>
      <c r="K367" s="24"/>
    </row>
    <row r="368" spans="1:11" hidden="1" x14ac:dyDescent="0.25">
      <c r="A368" s="389" t="s">
        <v>378</v>
      </c>
      <c r="B368" s="352">
        <v>29.4</v>
      </c>
      <c r="C368" s="353">
        <v>13.15</v>
      </c>
      <c r="D368" s="353">
        <v>0.76500000000000001</v>
      </c>
      <c r="E368" s="355">
        <v>13.205</v>
      </c>
      <c r="F368" s="354">
        <v>0.76500000000000001</v>
      </c>
      <c r="G368" s="24"/>
      <c r="H368" s="24"/>
      <c r="I368" s="24"/>
      <c r="J368" s="24"/>
      <c r="K368" s="24"/>
    </row>
    <row r="369" spans="1:63" hidden="1" x14ac:dyDescent="0.25">
      <c r="A369" s="389" t="s">
        <v>377</v>
      </c>
      <c r="B369" s="352">
        <v>25.5</v>
      </c>
      <c r="C369" s="353">
        <v>12.95</v>
      </c>
      <c r="D369" s="353">
        <v>0.66500000000000004</v>
      </c>
      <c r="E369" s="355">
        <v>13.105</v>
      </c>
      <c r="F369" s="354">
        <v>0.66500000000000004</v>
      </c>
      <c r="G369" s="24"/>
      <c r="H369" s="24"/>
      <c r="I369" s="24"/>
      <c r="J369" s="24"/>
      <c r="K369" s="24"/>
    </row>
    <row r="370" spans="1:63" hidden="1" x14ac:dyDescent="0.25">
      <c r="A370" s="389" t="s">
        <v>441</v>
      </c>
      <c r="B370" s="352">
        <v>21.6</v>
      </c>
      <c r="C370" s="353">
        <v>12.75</v>
      </c>
      <c r="D370" s="353">
        <v>0.56499999999999995</v>
      </c>
      <c r="E370" s="355">
        <v>13.005000000000001</v>
      </c>
      <c r="F370" s="354">
        <v>0.56499999999999995</v>
      </c>
      <c r="G370" s="24"/>
      <c r="H370" s="24"/>
      <c r="I370" s="24"/>
      <c r="J370" s="24"/>
      <c r="K370" s="24"/>
    </row>
    <row r="371" spans="1:63" hidden="1" x14ac:dyDescent="0.25">
      <c r="A371" s="389" t="s">
        <v>71</v>
      </c>
      <c r="B371" s="352">
        <v>17.5</v>
      </c>
      <c r="C371" s="353">
        <v>12.54</v>
      </c>
      <c r="D371" s="353">
        <v>0.46</v>
      </c>
      <c r="E371" s="353">
        <v>12.9</v>
      </c>
      <c r="F371" s="354">
        <v>0.46</v>
      </c>
      <c r="G371" s="24"/>
      <c r="H371" s="24"/>
      <c r="I371" s="24"/>
      <c r="J371" s="24"/>
      <c r="K371" s="24"/>
    </row>
    <row r="372" spans="1:63" hidden="1" x14ac:dyDescent="0.25">
      <c r="A372" s="389" t="s">
        <v>70</v>
      </c>
      <c r="B372" s="363">
        <v>24.6</v>
      </c>
      <c r="C372" s="364">
        <v>12.3</v>
      </c>
      <c r="D372" s="364">
        <v>0.68500000000000005</v>
      </c>
      <c r="E372" s="364">
        <v>12.3</v>
      </c>
      <c r="F372" s="365">
        <v>0.68500000000000005</v>
      </c>
      <c r="G372" s="24"/>
      <c r="H372" s="24"/>
      <c r="I372" s="24"/>
      <c r="J372" s="24"/>
      <c r="K372" s="24"/>
    </row>
    <row r="373" spans="1:63" hidden="1" x14ac:dyDescent="0.25">
      <c r="A373" s="389" t="s">
        <v>69</v>
      </c>
      <c r="B373" s="363">
        <v>21.8</v>
      </c>
      <c r="C373" s="364">
        <v>12.1</v>
      </c>
      <c r="D373" s="364">
        <v>0.60499999999999998</v>
      </c>
      <c r="E373" s="364">
        <v>12.2</v>
      </c>
      <c r="F373" s="365">
        <v>0.61</v>
      </c>
      <c r="G373" s="24"/>
      <c r="H373" s="24"/>
      <c r="I373" s="24"/>
      <c r="J373" s="24"/>
      <c r="K373" s="24"/>
    </row>
    <row r="374" spans="1:63" hidden="1" x14ac:dyDescent="0.25">
      <c r="A374" s="389" t="s">
        <v>68</v>
      </c>
      <c r="B374" s="363">
        <v>18.399999999999999</v>
      </c>
      <c r="C374" s="364">
        <v>11.9</v>
      </c>
      <c r="D374" s="364">
        <v>0.51500000000000001</v>
      </c>
      <c r="E374" s="364">
        <v>12.1</v>
      </c>
      <c r="F374" s="365">
        <v>0.51500000000000001</v>
      </c>
      <c r="G374" s="24"/>
      <c r="H374" s="24"/>
      <c r="I374" s="24"/>
      <c r="J374" s="24"/>
      <c r="K374" s="24"/>
    </row>
    <row r="375" spans="1:63" hidden="1" x14ac:dyDescent="0.25">
      <c r="A375" s="389" t="s">
        <v>67</v>
      </c>
      <c r="B375" s="363">
        <v>15.5</v>
      </c>
      <c r="C375" s="364">
        <v>11.8</v>
      </c>
      <c r="D375" s="364">
        <v>0.435</v>
      </c>
      <c r="E375" s="364">
        <v>12</v>
      </c>
      <c r="F375" s="365">
        <v>0.435</v>
      </c>
      <c r="G375" s="24"/>
      <c r="H375" s="24"/>
      <c r="I375" s="24"/>
      <c r="J375" s="24"/>
      <c r="K375" s="24"/>
    </row>
    <row r="376" spans="1:63" hidden="1" x14ac:dyDescent="0.25">
      <c r="A376" s="389" t="s">
        <v>66</v>
      </c>
      <c r="B376" s="363">
        <v>16.8</v>
      </c>
      <c r="C376" s="364">
        <v>9.99</v>
      </c>
      <c r="D376" s="364">
        <v>0.56499999999999995</v>
      </c>
      <c r="E376" s="364">
        <v>10.199999999999999</v>
      </c>
      <c r="F376" s="365">
        <v>0.56499999999999995</v>
      </c>
      <c r="G376" s="24"/>
      <c r="H376" s="24"/>
      <c r="I376" s="24"/>
      <c r="J376" s="24"/>
      <c r="K376" s="24"/>
    </row>
    <row r="377" spans="1:63" hidden="1" x14ac:dyDescent="0.25">
      <c r="A377" s="389" t="s">
        <v>197</v>
      </c>
      <c r="B377" s="363">
        <v>12.4</v>
      </c>
      <c r="C377" s="364">
        <v>9.6999999999999993</v>
      </c>
      <c r="D377" s="364">
        <v>0.41499999999999998</v>
      </c>
      <c r="E377" s="364">
        <v>10.1</v>
      </c>
      <c r="F377" s="365">
        <v>0.42</v>
      </c>
      <c r="G377" s="24"/>
      <c r="H377" s="24"/>
      <c r="I377" s="24"/>
      <c r="J377" s="24"/>
      <c r="K377" s="24"/>
    </row>
    <row r="378" spans="1:63" hidden="1" x14ac:dyDescent="0.25">
      <c r="A378" s="390" t="s">
        <v>115</v>
      </c>
      <c r="B378" s="366">
        <v>10.6</v>
      </c>
      <c r="C378" s="367">
        <v>8.02</v>
      </c>
      <c r="D378" s="367">
        <v>0.44500000000000001</v>
      </c>
      <c r="E378" s="367">
        <v>8.15</v>
      </c>
      <c r="F378" s="368">
        <v>0.44500000000000001</v>
      </c>
      <c r="G378" s="24"/>
      <c r="H378" s="24"/>
      <c r="I378" s="24"/>
      <c r="J378" s="24"/>
      <c r="K378" s="24"/>
    </row>
    <row r="379" spans="1:63" hidden="1" x14ac:dyDescent="0.25"/>
    <row r="380" spans="1:63" ht="15.6" x14ac:dyDescent="0.3">
      <c r="A380" s="273" t="s">
        <v>459</v>
      </c>
      <c r="B380" s="274"/>
      <c r="C380" s="274"/>
      <c r="D380" s="275"/>
      <c r="E380" s="275"/>
      <c r="F380" s="275"/>
      <c r="G380" s="15"/>
      <c r="H380" s="15"/>
      <c r="I380" s="15"/>
      <c r="J380" s="15"/>
      <c r="K380" s="276"/>
      <c r="L380" s="607"/>
      <c r="M380" s="607"/>
      <c r="N380" s="607"/>
      <c r="O380" s="607"/>
      <c r="P380" s="607"/>
      <c r="Q380" s="404"/>
      <c r="R380" s="404"/>
      <c r="S380" s="404"/>
      <c r="T380" s="404"/>
      <c r="U380" s="404"/>
      <c r="V380" s="404"/>
      <c r="W380" s="404"/>
      <c r="X380" s="404"/>
      <c r="Y380" s="404"/>
      <c r="Z380" s="404"/>
      <c r="AA380" s="404"/>
      <c r="AB380" s="404"/>
      <c r="AC380" s="404"/>
      <c r="AD380" s="404"/>
      <c r="AE380" s="404"/>
      <c r="AF380" s="404"/>
      <c r="AG380" s="405"/>
      <c r="AH380" s="403" t="s">
        <v>858</v>
      </c>
      <c r="AJ380" s="43"/>
      <c r="AK380" s="580"/>
      <c r="AL380" s="580"/>
      <c r="AM380" s="43"/>
      <c r="AN380" s="43"/>
      <c r="AO380" s="43"/>
      <c r="AP380" s="43"/>
      <c r="AQ380" s="43"/>
      <c r="AR380" s="43"/>
      <c r="AS380" s="43"/>
      <c r="AT380" s="43"/>
      <c r="AU380" s="43"/>
      <c r="AV380" s="43"/>
      <c r="AW380" s="581"/>
      <c r="AX380" s="581"/>
      <c r="AY380" s="43"/>
      <c r="AZ380" s="43"/>
      <c r="BA380" s="43"/>
      <c r="BB380" s="43"/>
      <c r="BC380" s="43"/>
      <c r="BD380" s="43"/>
      <c r="BE380" s="43"/>
      <c r="BF380" s="43"/>
      <c r="BG380" s="43"/>
      <c r="BH380" s="43"/>
      <c r="BI380" s="43"/>
      <c r="BJ380" s="43"/>
      <c r="BK380" s="43"/>
    </row>
    <row r="381" spans="1:63" x14ac:dyDescent="0.25">
      <c r="A381" s="17" t="s">
        <v>576</v>
      </c>
      <c r="B381" s="18"/>
      <c r="C381" s="279"/>
      <c r="D381" s="280"/>
      <c r="E381" s="280"/>
      <c r="F381" s="280"/>
      <c r="G381" s="20"/>
      <c r="H381" s="20"/>
      <c r="I381" s="20"/>
      <c r="J381" s="20"/>
      <c r="K381" s="281"/>
      <c r="L381" s="71"/>
      <c r="M381" s="71"/>
      <c r="N381" s="71"/>
      <c r="O381" s="71"/>
      <c r="P381" s="71"/>
      <c r="Q381" s="447"/>
      <c r="R381" s="562" t="s">
        <v>763</v>
      </c>
      <c r="S381" s="574" t="s">
        <v>778</v>
      </c>
      <c r="T381" s="209"/>
      <c r="U381" s="209"/>
      <c r="V381" s="209"/>
      <c r="W381" s="209"/>
      <c r="X381" s="209"/>
      <c r="Y381" s="209"/>
      <c r="Z381" s="209"/>
      <c r="AA381" s="209"/>
      <c r="AB381" s="209"/>
      <c r="AC381" s="209"/>
      <c r="AD381" s="209"/>
      <c r="AE381" s="209"/>
      <c r="AF381" s="209"/>
      <c r="AG381" s="210"/>
      <c r="AH381" s="209"/>
      <c r="AI381" s="43"/>
      <c r="AJ381" s="71"/>
      <c r="AK381" s="582"/>
      <c r="AL381" s="583"/>
      <c r="AM381" s="43"/>
      <c r="AN381" s="43"/>
      <c r="AO381" s="43"/>
      <c r="AP381" s="43"/>
      <c r="AQ381" s="43"/>
      <c r="AR381" s="43"/>
      <c r="AS381" s="43"/>
      <c r="AT381" s="43"/>
      <c r="AU381" s="43"/>
      <c r="AV381" s="43"/>
      <c r="AW381" s="580"/>
      <c r="AX381" s="583"/>
      <c r="AY381" s="43"/>
      <c r="AZ381" s="43"/>
      <c r="BA381" s="43"/>
      <c r="BB381" s="43"/>
      <c r="BC381" s="43"/>
      <c r="BD381" s="43"/>
      <c r="BE381" s="43"/>
      <c r="BF381" s="43"/>
      <c r="BG381" s="43"/>
      <c r="BH381" s="43"/>
      <c r="BI381" s="43"/>
      <c r="BJ381" s="43"/>
      <c r="BK381" s="43"/>
    </row>
    <row r="382" spans="1:63" x14ac:dyDescent="0.25">
      <c r="A382" s="11" t="s">
        <v>212</v>
      </c>
      <c r="B382" s="400"/>
      <c r="C382" s="378"/>
      <c r="D382" s="401"/>
      <c r="E382" s="401"/>
      <c r="F382" s="401"/>
      <c r="G382" s="102"/>
      <c r="H382" s="102"/>
      <c r="I382" s="102"/>
      <c r="J382" s="102"/>
      <c r="K382" s="402"/>
      <c r="L382" s="71"/>
      <c r="M382" s="71"/>
      <c r="N382" s="71"/>
      <c r="O382" s="71"/>
      <c r="P382" s="71"/>
      <c r="Q382" s="567"/>
      <c r="R382" s="570"/>
      <c r="S382" s="574" t="s">
        <v>779</v>
      </c>
      <c r="T382" s="209"/>
      <c r="U382" s="209"/>
      <c r="V382" s="209"/>
      <c r="W382" s="209"/>
      <c r="X382" s="209"/>
      <c r="Y382" s="209"/>
      <c r="Z382" s="209"/>
      <c r="AA382" s="209"/>
      <c r="AB382" s="209"/>
      <c r="AC382" s="209"/>
      <c r="AD382" s="209"/>
      <c r="AE382" s="209"/>
      <c r="AF382" s="209"/>
      <c r="AG382" s="210"/>
      <c r="AH382" s="209"/>
      <c r="AI382" s="43"/>
      <c r="AJ382" s="71"/>
      <c r="AK382" s="584"/>
      <c r="AL382" s="583"/>
      <c r="AM382" s="22"/>
      <c r="AN382" s="43"/>
      <c r="AO382" s="43"/>
      <c r="AP382" s="43"/>
      <c r="AQ382" s="43"/>
      <c r="AR382" s="43"/>
      <c r="AS382" s="43"/>
      <c r="AT382" s="43"/>
      <c r="AU382" s="43"/>
      <c r="AV382" s="43"/>
      <c r="AW382" s="581"/>
      <c r="AX382" s="581"/>
      <c r="AY382" s="43"/>
      <c r="AZ382" s="43"/>
      <c r="BA382" s="43"/>
      <c r="BB382" s="43"/>
      <c r="BC382" s="43"/>
      <c r="BD382" s="43"/>
      <c r="BE382" s="43"/>
      <c r="BF382" s="43"/>
      <c r="BG382" s="43"/>
      <c r="BH382" s="43"/>
      <c r="BI382" s="43"/>
      <c r="BJ382" s="43"/>
      <c r="BK382" s="43"/>
    </row>
    <row r="383" spans="1:63" x14ac:dyDescent="0.25">
      <c r="A383" s="314" t="s">
        <v>99</v>
      </c>
      <c r="B383" s="283"/>
      <c r="C383" s="319"/>
      <c r="D383" s="319"/>
      <c r="E383" s="320"/>
      <c r="F383" s="318" t="s">
        <v>448</v>
      </c>
      <c r="G383" s="283"/>
      <c r="H383" s="371"/>
      <c r="I383" s="371"/>
      <c r="J383" s="371"/>
      <c r="K383" s="372"/>
      <c r="L383" s="71"/>
      <c r="M383" s="71"/>
      <c r="N383" s="71"/>
      <c r="O383" s="71"/>
      <c r="P383" s="71"/>
      <c r="Q383" s="567"/>
      <c r="R383" s="573" t="s">
        <v>764</v>
      </c>
      <c r="S383" s="574" t="s">
        <v>780</v>
      </c>
      <c r="T383" s="209"/>
      <c r="U383" s="209"/>
      <c r="V383" s="209"/>
      <c r="W383" s="209"/>
      <c r="X383" s="209"/>
      <c r="Y383" s="209"/>
      <c r="Z383" s="209"/>
      <c r="AA383" s="209"/>
      <c r="AB383" s="209"/>
      <c r="AC383" s="209"/>
      <c r="AD383" s="209"/>
      <c r="AE383" s="209"/>
      <c r="AF383" s="209"/>
      <c r="AG383" s="210"/>
      <c r="AH383" s="209"/>
      <c r="AI383" s="43"/>
      <c r="AJ383" s="71"/>
      <c r="AK383" s="582"/>
      <c r="AL383" s="583"/>
      <c r="AM383" s="22"/>
      <c r="AN383" s="43"/>
      <c r="AO383" s="43"/>
      <c r="AP383" s="43"/>
      <c r="AQ383" s="43"/>
      <c r="AR383" s="43"/>
      <c r="AS383" s="43"/>
      <c r="AT383" s="43"/>
      <c r="AU383" s="43"/>
      <c r="AV383" s="43"/>
      <c r="AW383" s="581"/>
      <c r="AX383" s="581"/>
      <c r="AY383" s="43"/>
      <c r="AZ383" s="43"/>
      <c r="BA383" s="43"/>
      <c r="BB383" s="43"/>
      <c r="BC383" s="43"/>
      <c r="BD383" s="43"/>
      <c r="BE383" s="43"/>
      <c r="BF383" s="43"/>
      <c r="BG383" s="43"/>
      <c r="BH383" s="43"/>
      <c r="BI383" s="43"/>
      <c r="BJ383" s="43"/>
      <c r="BK383" s="43"/>
    </row>
    <row r="384" spans="1:63" x14ac:dyDescent="0.25">
      <c r="A384" s="314" t="s">
        <v>47</v>
      </c>
      <c r="B384" s="283"/>
      <c r="C384" s="371"/>
      <c r="D384" s="371"/>
      <c r="E384" s="372"/>
      <c r="F384" s="318" t="s">
        <v>449</v>
      </c>
      <c r="G384" s="283"/>
      <c r="H384" s="372"/>
      <c r="I384" s="282" t="s">
        <v>447</v>
      </c>
      <c r="J384" s="283"/>
      <c r="K384" s="372"/>
      <c r="L384" s="208"/>
      <c r="M384" s="218" t="s">
        <v>685</v>
      </c>
      <c r="N384" s="208"/>
      <c r="O384" s="308"/>
      <c r="P384" s="447"/>
      <c r="Q384" s="567"/>
      <c r="R384" s="43"/>
      <c r="S384" s="575" t="s">
        <v>786</v>
      </c>
      <c r="T384" s="209"/>
      <c r="U384" s="209"/>
      <c r="V384" s="209"/>
      <c r="W384" s="209"/>
      <c r="X384" s="209"/>
      <c r="Y384" s="209"/>
      <c r="Z384" s="209"/>
      <c r="AA384" s="209"/>
      <c r="AB384" s="209"/>
      <c r="AC384" s="209"/>
      <c r="AD384" s="209"/>
      <c r="AE384" s="209"/>
      <c r="AF384" s="209"/>
      <c r="AG384" s="210"/>
      <c r="AH384" s="209"/>
      <c r="AI384" s="43"/>
      <c r="AJ384" s="71"/>
      <c r="AK384" s="585"/>
      <c r="AL384" s="583"/>
      <c r="AM384" s="22"/>
      <c r="AN384" s="43"/>
      <c r="AO384" s="43"/>
      <c r="AP384" s="43"/>
      <c r="AQ384" s="43"/>
      <c r="AR384" s="43"/>
      <c r="AS384" s="43"/>
      <c r="AT384" s="43"/>
      <c r="AU384" s="43"/>
      <c r="AV384" s="43"/>
      <c r="AW384" s="581"/>
      <c r="AX384" s="583"/>
      <c r="AY384" s="43"/>
      <c r="AZ384" s="43"/>
      <c r="BA384" s="43"/>
      <c r="BB384" s="43"/>
      <c r="BC384" s="43"/>
      <c r="BD384" s="43"/>
      <c r="BE384" s="43"/>
      <c r="BF384" s="43"/>
      <c r="BG384" s="43"/>
      <c r="BH384" s="43"/>
      <c r="BI384" s="43"/>
      <c r="BJ384" s="43"/>
      <c r="BK384" s="43"/>
    </row>
    <row r="385" spans="1:169" x14ac:dyDescent="0.25">
      <c r="A385" s="76"/>
      <c r="B385" s="71"/>
      <c r="C385" s="71"/>
      <c r="D385" s="71"/>
      <c r="E385" s="71"/>
      <c r="F385" s="71"/>
      <c r="G385" s="71"/>
      <c r="H385" s="71"/>
      <c r="I385" s="71"/>
      <c r="J385" s="71"/>
      <c r="K385" s="71"/>
      <c r="L385" s="208"/>
      <c r="M385" s="208"/>
      <c r="N385" s="208"/>
      <c r="O385" s="308"/>
      <c r="P385" s="447"/>
      <c r="Q385" s="567"/>
      <c r="R385" s="573" t="s">
        <v>765</v>
      </c>
      <c r="S385" s="576" t="s">
        <v>777</v>
      </c>
      <c r="T385" s="209"/>
      <c r="U385" s="209"/>
      <c r="V385" s="209"/>
      <c r="W385" s="209"/>
      <c r="X385" s="209"/>
      <c r="Y385" s="209"/>
      <c r="Z385" s="209"/>
      <c r="AA385" s="209"/>
      <c r="AB385" s="209"/>
      <c r="AC385" s="209"/>
      <c r="AD385" s="209"/>
      <c r="AE385" s="209"/>
      <c r="AF385" s="209"/>
      <c r="AG385" s="210"/>
      <c r="AH385" s="209"/>
      <c r="AI385" s="43"/>
      <c r="AJ385" s="71"/>
      <c r="AK385" s="584"/>
      <c r="AL385" s="583"/>
      <c r="AM385" s="22"/>
      <c r="AN385" s="43"/>
      <c r="AO385" s="43"/>
      <c r="AP385" s="43"/>
      <c r="AQ385" s="43"/>
      <c r="AR385" s="43"/>
      <c r="AS385" s="43"/>
      <c r="AT385" s="43"/>
      <c r="AU385" s="43"/>
      <c r="AV385" s="43"/>
      <c r="AW385" s="581"/>
      <c r="AX385" s="583"/>
      <c r="AY385" s="43"/>
      <c r="AZ385" s="43"/>
      <c r="BA385" s="43"/>
      <c r="BB385" s="43"/>
      <c r="BC385" s="43"/>
      <c r="BD385" s="43"/>
      <c r="BE385" s="43"/>
      <c r="BF385" s="43"/>
      <c r="BG385" s="43"/>
      <c r="BH385" s="43"/>
      <c r="BI385" s="43"/>
      <c r="BJ385" s="43"/>
      <c r="BK385" s="43"/>
    </row>
    <row r="386" spans="1:169" x14ac:dyDescent="0.25">
      <c r="A386" s="13" t="s">
        <v>48</v>
      </c>
      <c r="B386" s="448"/>
      <c r="C386" s="71"/>
      <c r="D386" s="71"/>
      <c r="E386" s="126"/>
      <c r="F386" s="12"/>
      <c r="G386" s="311" t="s">
        <v>736</v>
      </c>
      <c r="H386" s="12"/>
      <c r="I386" s="12"/>
      <c r="J386" s="12"/>
      <c r="K386" s="22"/>
      <c r="L386" s="44"/>
      <c r="M386" s="37"/>
      <c r="N386" s="44"/>
      <c r="O386" s="308"/>
      <c r="P386" s="447"/>
      <c r="Q386" s="567"/>
      <c r="R386" s="573" t="s">
        <v>766</v>
      </c>
      <c r="S386" s="572" t="s">
        <v>859</v>
      </c>
      <c r="T386" s="209"/>
      <c r="U386" s="209"/>
      <c r="V386" s="209"/>
      <c r="W386" s="209"/>
      <c r="X386" s="209"/>
      <c r="Y386" s="209"/>
      <c r="Z386" s="209"/>
      <c r="AA386" s="209"/>
      <c r="AB386" s="209"/>
      <c r="AC386" s="209"/>
      <c r="AD386" s="209"/>
      <c r="AE386" s="209"/>
      <c r="AF386" s="209"/>
      <c r="AG386" s="210"/>
      <c r="AH386" s="209"/>
      <c r="AI386" s="43"/>
      <c r="AJ386" s="71"/>
      <c r="AK386" s="585"/>
      <c r="AL386" s="583"/>
      <c r="AM386" s="22"/>
      <c r="AN386" s="43"/>
      <c r="AO386" s="43"/>
      <c r="AP386" s="43"/>
      <c r="AQ386" s="43"/>
      <c r="AR386" s="43"/>
      <c r="AS386" s="43"/>
      <c r="AT386" s="43"/>
      <c r="AU386" s="43"/>
      <c r="AV386" s="43"/>
      <c r="AW386" s="586"/>
      <c r="AX386" s="583"/>
      <c r="AY386" s="43"/>
      <c r="AZ386" s="43"/>
      <c r="BA386" s="43"/>
      <c r="BB386" s="43"/>
      <c r="BC386" s="43"/>
      <c r="BD386" s="43"/>
      <c r="BE386" s="43"/>
      <c r="BF386" s="43"/>
      <c r="BG386" s="43"/>
      <c r="BH386" s="43"/>
      <c r="BI386" s="43"/>
      <c r="BJ386" s="43"/>
      <c r="BK386" s="43"/>
    </row>
    <row r="387" spans="1:169" x14ac:dyDescent="0.25">
      <c r="A387" s="76"/>
      <c r="B387" s="71"/>
      <c r="C387" s="71"/>
      <c r="D387" s="71"/>
      <c r="E387" s="71"/>
      <c r="F387" s="12"/>
      <c r="G387" s="12"/>
      <c r="H387" s="12"/>
      <c r="I387" s="12"/>
      <c r="J387" s="12"/>
      <c r="K387" s="209"/>
      <c r="L387" s="44"/>
      <c r="M387" s="37"/>
      <c r="N387" s="44"/>
      <c r="O387" s="309" t="s">
        <v>619</v>
      </c>
      <c r="P387" s="33"/>
      <c r="Q387" s="567"/>
      <c r="R387" s="573" t="s">
        <v>767</v>
      </c>
      <c r="S387" s="40" t="s">
        <v>785</v>
      </c>
      <c r="T387" s="209"/>
      <c r="U387" s="209"/>
      <c r="V387" s="209"/>
      <c r="W387" s="209"/>
      <c r="X387" s="209"/>
      <c r="Y387" s="209"/>
      <c r="Z387" s="209"/>
      <c r="AA387" s="209"/>
      <c r="AB387" s="209"/>
      <c r="AC387" s="209"/>
      <c r="AD387" s="209"/>
      <c r="AE387" s="209"/>
      <c r="AF387" s="209"/>
      <c r="AG387" s="210"/>
      <c r="AH387" s="209"/>
      <c r="AI387" s="43"/>
      <c r="AJ387" s="584"/>
      <c r="AK387" s="584"/>
      <c r="AL387" s="583"/>
      <c r="AM387" s="22"/>
      <c r="AN387" s="43"/>
      <c r="AO387" s="43"/>
      <c r="AP387" s="43"/>
      <c r="AQ387" s="43"/>
      <c r="AR387" s="43"/>
      <c r="AS387" s="43"/>
      <c r="AT387" s="43"/>
      <c r="AU387" s="43"/>
      <c r="AV387" s="43"/>
      <c r="AW387" s="584"/>
      <c r="AX387" s="583"/>
      <c r="AY387" s="43"/>
      <c r="AZ387" s="43"/>
      <c r="BA387" s="43"/>
      <c r="BB387" s="43"/>
      <c r="BC387" s="43"/>
      <c r="BD387" s="43"/>
      <c r="BE387" s="43"/>
      <c r="BF387" s="43"/>
      <c r="BG387" s="43"/>
      <c r="BH387" s="43"/>
      <c r="BI387" s="43"/>
      <c r="BJ387" s="43"/>
      <c r="BK387" s="43"/>
    </row>
    <row r="388" spans="1:169" x14ac:dyDescent="0.25">
      <c r="A388" s="58"/>
      <c r="B388" s="42"/>
      <c r="C388" s="61" t="s">
        <v>632</v>
      </c>
      <c r="D388" s="112">
        <v>50</v>
      </c>
      <c r="E388" s="406" t="s">
        <v>153</v>
      </c>
      <c r="F388" s="12"/>
      <c r="G388" s="12"/>
      <c r="H388" s="12"/>
      <c r="I388" s="12"/>
      <c r="J388" s="205" t="s">
        <v>548</v>
      </c>
      <c r="K388" s="208"/>
      <c r="L388" s="44"/>
      <c r="M388" s="37"/>
      <c r="N388" s="209"/>
      <c r="O388" s="310" t="s">
        <v>719</v>
      </c>
      <c r="P388" s="33"/>
      <c r="Q388" s="566"/>
      <c r="R388" s="570"/>
      <c r="S388" s="40" t="s">
        <v>794</v>
      </c>
      <c r="T388" s="209"/>
      <c r="U388" s="209"/>
      <c r="V388" s="209"/>
      <c r="W388" s="209"/>
      <c r="X388" s="209"/>
      <c r="Y388" s="209"/>
      <c r="Z388" s="209"/>
      <c r="AA388" s="209"/>
      <c r="AB388" s="209"/>
      <c r="AC388" s="209"/>
      <c r="AD388" s="209"/>
      <c r="AE388" s="209"/>
      <c r="AF388" s="209"/>
      <c r="AG388" s="210"/>
      <c r="AH388" s="209"/>
      <c r="AI388" s="580"/>
      <c r="AJ388" s="584"/>
      <c r="AK388" s="584"/>
      <c r="AL388" s="587"/>
      <c r="AM388" s="22"/>
      <c r="AN388" s="43"/>
      <c r="AO388" s="43"/>
      <c r="AP388" s="43"/>
      <c r="AQ388" s="43"/>
      <c r="AR388" s="43"/>
      <c r="AS388" s="43"/>
      <c r="AT388" s="43"/>
      <c r="AU388" s="43"/>
      <c r="AV388" s="580"/>
      <c r="AW388" s="584"/>
      <c r="AX388" s="587"/>
      <c r="AY388" s="43"/>
      <c r="AZ388" s="43"/>
      <c r="BA388" s="43"/>
      <c r="BB388" s="43"/>
      <c r="BC388" s="43"/>
      <c r="BD388" s="43"/>
      <c r="BE388" s="43"/>
      <c r="BF388" s="43"/>
      <c r="BG388" s="43"/>
      <c r="BH388" s="43"/>
      <c r="BI388" s="43"/>
      <c r="BJ388" s="43"/>
      <c r="BK388" s="43"/>
    </row>
    <row r="389" spans="1:169" x14ac:dyDescent="0.25">
      <c r="A389" s="58"/>
      <c r="B389" s="42"/>
      <c r="C389" s="61" t="s">
        <v>633</v>
      </c>
      <c r="D389" s="115">
        <v>3</v>
      </c>
      <c r="E389" s="406" t="s">
        <v>153</v>
      </c>
      <c r="F389" s="12"/>
      <c r="G389" s="12"/>
      <c r="H389" s="12"/>
      <c r="I389" s="12"/>
      <c r="J389" s="12"/>
      <c r="K389" s="208"/>
      <c r="L389" s="44"/>
      <c r="M389" s="37"/>
      <c r="N389" s="209"/>
      <c r="O389" s="308"/>
      <c r="P389" s="33"/>
      <c r="Q389" s="566"/>
      <c r="R389" s="569"/>
      <c r="S389" s="572" t="s">
        <v>768</v>
      </c>
      <c r="T389" s="209"/>
      <c r="U389" s="209"/>
      <c r="V389" s="209"/>
      <c r="W389" s="209"/>
      <c r="X389" s="209"/>
      <c r="Y389" s="209"/>
      <c r="Z389" s="209"/>
      <c r="AA389" s="209"/>
      <c r="AB389" s="209"/>
      <c r="AC389" s="209"/>
      <c r="AD389" s="209"/>
      <c r="AE389" s="209"/>
      <c r="AF389" s="209"/>
      <c r="AG389" s="210"/>
      <c r="AH389" s="209"/>
      <c r="AI389" s="43"/>
      <c r="AJ389" s="22"/>
      <c r="AK389" s="582"/>
      <c r="AL389" s="583"/>
      <c r="AM389" s="22"/>
      <c r="AN389" s="43"/>
      <c r="AO389" s="43"/>
      <c r="AP389" s="43"/>
      <c r="AQ389" s="43"/>
      <c r="AR389" s="43"/>
      <c r="AS389" s="43"/>
      <c r="AT389" s="43"/>
      <c r="AU389" s="43"/>
      <c r="AV389" s="43"/>
      <c r="AW389" s="582"/>
      <c r="AX389" s="583"/>
      <c r="AY389" s="43"/>
      <c r="AZ389" s="43"/>
      <c r="BA389" s="43"/>
      <c r="BB389" s="43"/>
      <c r="BC389" s="43"/>
      <c r="BD389" s="43"/>
      <c r="BE389" s="43"/>
      <c r="BF389" s="43"/>
      <c r="BG389" s="43"/>
      <c r="BH389" s="43"/>
      <c r="BI389" s="43"/>
      <c r="BJ389" s="43"/>
      <c r="BK389" s="43"/>
    </row>
    <row r="390" spans="1:169" x14ac:dyDescent="0.25">
      <c r="A390" s="58"/>
      <c r="B390" s="42"/>
      <c r="C390" s="44" t="s">
        <v>850</v>
      </c>
      <c r="D390" s="116" t="s">
        <v>845</v>
      </c>
      <c r="E390" s="406"/>
      <c r="F390" s="12"/>
      <c r="G390" s="12"/>
      <c r="H390" s="12"/>
      <c r="I390" s="12"/>
      <c r="J390" s="12"/>
      <c r="K390" s="218"/>
      <c r="L390" s="44"/>
      <c r="M390" s="37"/>
      <c r="N390" s="221" t="str">
        <f>"       "&amp;$B$406&amp;" Col."</f>
        <v xml:space="preserve">        Col.</v>
      </c>
      <c r="O390" s="308"/>
      <c r="P390" s="33"/>
      <c r="Q390" s="209"/>
      <c r="R390" s="570"/>
      <c r="S390" s="572" t="s">
        <v>769</v>
      </c>
      <c r="T390" s="209"/>
      <c r="U390" s="209"/>
      <c r="V390" s="209"/>
      <c r="W390" s="209"/>
      <c r="X390" s="209"/>
      <c r="Y390" s="209"/>
      <c r="Z390" s="209"/>
      <c r="AA390" s="209"/>
      <c r="AB390" s="209"/>
      <c r="AC390" s="209"/>
      <c r="AD390" s="209"/>
      <c r="AE390" s="209"/>
      <c r="AF390" s="209"/>
      <c r="AG390" s="210"/>
      <c r="AH390" s="209"/>
      <c r="AI390" s="43"/>
      <c r="AJ390" s="43"/>
      <c r="AK390" s="580"/>
      <c r="AL390" s="580"/>
      <c r="AM390" s="43"/>
      <c r="AN390" s="43"/>
      <c r="AO390" s="43"/>
      <c r="AP390" s="43"/>
      <c r="AQ390" s="43"/>
      <c r="AR390" s="43"/>
      <c r="AS390" s="43"/>
      <c r="AT390" s="43"/>
      <c r="AU390" s="43"/>
      <c r="AV390" s="43"/>
      <c r="AW390" s="43"/>
      <c r="AX390" s="581"/>
      <c r="AY390" s="43"/>
      <c r="AZ390" s="43"/>
      <c r="BA390" s="43"/>
      <c r="BB390" s="43"/>
      <c r="BC390" s="43"/>
      <c r="BD390" s="43"/>
      <c r="BE390" s="43"/>
      <c r="BF390" s="43"/>
      <c r="BG390" s="43"/>
      <c r="BH390" s="43"/>
      <c r="BI390" s="43"/>
      <c r="BJ390" s="43"/>
      <c r="BK390" s="43"/>
    </row>
    <row r="391" spans="1:169" x14ac:dyDescent="0.25">
      <c r="A391" s="58"/>
      <c r="B391" s="42"/>
      <c r="C391" s="36" t="s">
        <v>639</v>
      </c>
      <c r="D391" s="338">
        <v>1.85</v>
      </c>
      <c r="E391" s="406"/>
      <c r="F391" s="373" t="s">
        <v>631</v>
      </c>
      <c r="G391" s="12"/>
      <c r="H391" s="12"/>
      <c r="I391" s="12"/>
      <c r="J391" s="205" t="s">
        <v>527</v>
      </c>
      <c r="K391" s="218"/>
      <c r="L391" s="44"/>
      <c r="M391" s="37"/>
      <c r="N391" s="209"/>
      <c r="O391" s="308"/>
      <c r="P391" s="33"/>
      <c r="Q391" s="568"/>
      <c r="R391" s="573" t="s">
        <v>773</v>
      </c>
      <c r="S391" s="40" t="s">
        <v>795</v>
      </c>
      <c r="T391" s="209"/>
      <c r="U391" s="209"/>
      <c r="V391" s="209"/>
      <c r="W391" s="209"/>
      <c r="X391" s="209"/>
      <c r="Y391" s="209"/>
      <c r="Z391" s="209"/>
      <c r="AA391" s="209"/>
      <c r="AB391" s="209"/>
      <c r="AC391" s="209"/>
      <c r="AD391" s="209"/>
      <c r="AE391" s="209"/>
      <c r="AF391" s="209"/>
      <c r="AG391" s="210"/>
      <c r="AH391" s="209"/>
      <c r="AI391" s="43"/>
      <c r="AJ391" s="39"/>
      <c r="AK391" s="66"/>
      <c r="AL391" s="588"/>
      <c r="AM391" s="22"/>
      <c r="AN391" s="43"/>
      <c r="AO391" s="43"/>
      <c r="AP391" s="581"/>
      <c r="AQ391" s="43"/>
      <c r="AR391" s="43"/>
      <c r="AS391" s="43"/>
      <c r="AT391" s="43"/>
      <c r="AU391" s="43"/>
      <c r="AV391" s="43"/>
      <c r="AW391" s="43"/>
      <c r="AX391" s="581"/>
      <c r="AY391" s="43"/>
      <c r="AZ391" s="43"/>
      <c r="BA391" s="43"/>
      <c r="BB391" s="43"/>
      <c r="BC391" s="43"/>
      <c r="BD391" s="43"/>
      <c r="BE391" s="43"/>
      <c r="BF391" s="43"/>
      <c r="BG391" s="43"/>
      <c r="BH391" s="43"/>
      <c r="BI391" s="43"/>
      <c r="BJ391" s="43"/>
      <c r="BK391" s="43"/>
    </row>
    <row r="392" spans="1:169" x14ac:dyDescent="0.25">
      <c r="A392" s="602"/>
      <c r="B392" s="72"/>
      <c r="C392" s="72"/>
      <c r="D392" s="604"/>
      <c r="E392" s="539"/>
      <c r="F392" s="12"/>
      <c r="G392" s="12"/>
      <c r="H392" s="12"/>
      <c r="I392" s="12"/>
      <c r="J392" s="12"/>
      <c r="K392" s="209"/>
      <c r="L392" s="209"/>
      <c r="M392" s="37"/>
      <c r="N392" s="209"/>
      <c r="O392" s="308"/>
      <c r="P392" s="33"/>
      <c r="Q392" s="568"/>
      <c r="R392" s="570"/>
      <c r="S392" s="40" t="s">
        <v>794</v>
      </c>
      <c r="T392" s="209"/>
      <c r="U392" s="209"/>
      <c r="V392" s="209"/>
      <c r="W392" s="209"/>
      <c r="X392" s="209"/>
      <c r="Y392" s="209"/>
      <c r="Z392" s="209"/>
      <c r="AA392" s="209"/>
      <c r="AB392" s="209"/>
      <c r="AC392" s="209"/>
      <c r="AD392" s="209"/>
      <c r="AE392" s="209"/>
      <c r="AF392" s="209"/>
      <c r="AG392" s="210"/>
      <c r="AH392" s="209"/>
      <c r="AI392" s="43"/>
      <c r="AJ392" s="43"/>
      <c r="AK392" s="580"/>
      <c r="AL392" s="580"/>
      <c r="AM392" s="43"/>
      <c r="AN392" s="43"/>
      <c r="AO392" s="43"/>
      <c r="AP392" s="43"/>
      <c r="AQ392" s="43"/>
      <c r="AR392" s="43"/>
      <c r="AS392" s="43"/>
      <c r="AT392" s="43"/>
      <c r="AU392" s="43"/>
      <c r="AV392" s="43"/>
      <c r="AW392" s="43"/>
      <c r="AX392" s="581"/>
      <c r="AY392" s="43"/>
      <c r="AZ392" s="43"/>
      <c r="BA392" s="43"/>
      <c r="BB392" s="43"/>
      <c r="BC392" s="43"/>
      <c r="BD392" s="43"/>
      <c r="BE392" s="43"/>
      <c r="BF392" s="43"/>
      <c r="BG392" s="43"/>
      <c r="BH392" s="43"/>
      <c r="BI392" s="43"/>
      <c r="BJ392" s="43"/>
      <c r="BK392" s="43"/>
    </row>
    <row r="393" spans="1:169" x14ac:dyDescent="0.25">
      <c r="A393" s="602"/>
      <c r="B393" s="72"/>
      <c r="C393" s="72"/>
      <c r="D393" s="603"/>
      <c r="E393" s="539"/>
      <c r="F393" s="12"/>
      <c r="G393" s="12"/>
      <c r="H393" s="12"/>
      <c r="I393" s="12"/>
      <c r="J393" s="12"/>
      <c r="K393" s="209"/>
      <c r="L393" s="6"/>
      <c r="M393" s="37"/>
      <c r="N393" s="209"/>
      <c r="O393" s="311" t="s">
        <v>641</v>
      </c>
      <c r="P393" s="33"/>
      <c r="Q393" s="209"/>
      <c r="R393" s="573"/>
      <c r="S393" s="40" t="s">
        <v>784</v>
      </c>
      <c r="T393" s="209"/>
      <c r="U393" s="209"/>
      <c r="V393" s="209"/>
      <c r="W393" s="209"/>
      <c r="X393" s="209"/>
      <c r="Y393" s="209"/>
      <c r="Z393" s="209"/>
      <c r="AA393" s="209"/>
      <c r="AB393" s="209"/>
      <c r="AC393" s="209"/>
      <c r="AD393" s="209"/>
      <c r="AE393" s="209"/>
      <c r="AF393" s="209"/>
      <c r="AG393" s="210"/>
      <c r="AH393" s="209"/>
      <c r="AI393" s="614" t="s">
        <v>826</v>
      </c>
      <c r="AJ393" s="616"/>
      <c r="AK393" s="617"/>
      <c r="AL393" s="618"/>
      <c r="AM393" s="615"/>
      <c r="AN393" s="619"/>
      <c r="AO393" s="619"/>
      <c r="AP393" s="43"/>
      <c r="AQ393" s="43"/>
      <c r="AR393" s="43"/>
      <c r="AS393" s="43"/>
      <c r="AT393" s="43"/>
      <c r="AU393" s="43"/>
      <c r="AV393" s="43"/>
      <c r="AW393" s="43"/>
      <c r="AX393" s="581"/>
      <c r="AY393" s="43"/>
      <c r="AZ393" s="43"/>
      <c r="BA393" s="43"/>
      <c r="BB393" s="43"/>
      <c r="BC393" s="43"/>
      <c r="BD393" s="43"/>
      <c r="BE393" s="43"/>
      <c r="BF393" s="43"/>
      <c r="BG393" s="43"/>
      <c r="BH393" s="43"/>
      <c r="BI393" s="43"/>
      <c r="BJ393" s="43"/>
      <c r="BK393" s="43"/>
    </row>
    <row r="394" spans="1:169" x14ac:dyDescent="0.25">
      <c r="A394" s="602"/>
      <c r="B394" s="72"/>
      <c r="C394" s="72"/>
      <c r="D394" s="603"/>
      <c r="E394" s="539"/>
      <c r="F394" s="12"/>
      <c r="G394" s="12"/>
      <c r="H394" s="12"/>
      <c r="I394" s="12"/>
      <c r="J394" s="205" t="s">
        <v>548</v>
      </c>
      <c r="K394" s="208"/>
      <c r="L394" s="40"/>
      <c r="M394" s="209"/>
      <c r="N394" s="209"/>
      <c r="O394" s="209"/>
      <c r="P394" s="33"/>
      <c r="Q394" s="209"/>
      <c r="R394" s="570"/>
      <c r="S394" s="40" t="s">
        <v>783</v>
      </c>
      <c r="T394" s="209"/>
      <c r="U394" s="209"/>
      <c r="V394" s="209"/>
      <c r="W394" s="209"/>
      <c r="X394" s="209"/>
      <c r="Y394" s="209"/>
      <c r="Z394" s="209"/>
      <c r="AA394" s="209"/>
      <c r="AB394" s="209"/>
      <c r="AC394" s="209"/>
      <c r="AD394" s="209"/>
      <c r="AE394" s="209"/>
      <c r="AF394" s="209"/>
      <c r="AG394" s="210"/>
      <c r="AH394" s="209"/>
      <c r="AI394" s="614" t="s">
        <v>827</v>
      </c>
      <c r="AJ394" s="619"/>
      <c r="AK394" s="617"/>
      <c r="AL394" s="619"/>
      <c r="AM394" s="615"/>
      <c r="AN394" s="619"/>
      <c r="AO394" s="619"/>
      <c r="AP394" s="43"/>
      <c r="AQ394" s="43"/>
      <c r="AR394" s="43"/>
      <c r="AS394" s="43"/>
      <c r="AT394" s="43"/>
      <c r="AU394" s="43"/>
      <c r="AV394" s="43"/>
      <c r="AW394" s="43"/>
      <c r="AX394" s="581"/>
      <c r="AY394" s="43"/>
      <c r="AZ394" s="43"/>
      <c r="BA394" s="43"/>
      <c r="BB394" s="43"/>
      <c r="BC394" s="43"/>
      <c r="BD394" s="43"/>
      <c r="BE394" s="43"/>
      <c r="BF394" s="43"/>
      <c r="BG394" s="43"/>
      <c r="BH394" s="43"/>
      <c r="BI394" s="43"/>
      <c r="BJ394" s="43"/>
      <c r="BK394" s="43"/>
    </row>
    <row r="395" spans="1:169" x14ac:dyDescent="0.25">
      <c r="A395" s="602"/>
      <c r="B395" s="72"/>
      <c r="C395" s="72"/>
      <c r="D395" s="603"/>
      <c r="E395" s="539"/>
      <c r="F395" s="12"/>
      <c r="G395" s="12"/>
      <c r="H395" s="12"/>
      <c r="I395" s="12"/>
      <c r="J395" s="12"/>
      <c r="K395" s="209"/>
      <c r="L395" s="122"/>
      <c r="M395" s="209"/>
      <c r="N395" s="123"/>
      <c r="O395" s="218" t="s">
        <v>646</v>
      </c>
      <c r="P395" s="33"/>
      <c r="Q395" s="566"/>
      <c r="R395" s="573"/>
      <c r="S395" s="40" t="s">
        <v>771</v>
      </c>
      <c r="T395" s="209"/>
      <c r="U395" s="209"/>
      <c r="V395" s="209"/>
      <c r="W395" s="209"/>
      <c r="X395" s="209"/>
      <c r="Y395" s="209"/>
      <c r="Z395" s="209"/>
      <c r="AA395" s="209"/>
      <c r="AB395" s="209"/>
      <c r="AC395" s="209"/>
      <c r="AD395" s="209"/>
      <c r="AE395" s="209"/>
      <c r="AF395" s="209"/>
      <c r="AG395" s="210"/>
      <c r="AH395" s="209"/>
      <c r="AI395" s="43"/>
      <c r="AJ395" s="39"/>
      <c r="AK395" s="581"/>
      <c r="AL395" s="580"/>
      <c r="AM395" s="22"/>
      <c r="AN395" s="43"/>
      <c r="AO395" s="43"/>
      <c r="AP395" s="43"/>
      <c r="AQ395" s="43"/>
      <c r="AR395" s="43"/>
      <c r="AS395" s="43"/>
      <c r="AT395" s="43"/>
      <c r="AU395" s="43"/>
      <c r="AV395" s="43"/>
      <c r="AW395" s="43"/>
      <c r="AX395" s="581"/>
      <c r="AY395" s="43"/>
      <c r="AZ395" s="43"/>
      <c r="BA395" s="43"/>
      <c r="BB395" s="43"/>
      <c r="BC395" s="43"/>
      <c r="BD395" s="43"/>
      <c r="BE395" s="43"/>
      <c r="BF395" s="43"/>
      <c r="BG395" s="43"/>
      <c r="BH395" s="43"/>
      <c r="BI395" s="43"/>
      <c r="BJ395" s="43"/>
      <c r="BK395" s="43"/>
    </row>
    <row r="396" spans="1:169" x14ac:dyDescent="0.25">
      <c r="A396" s="602"/>
      <c r="B396" s="72"/>
      <c r="C396" s="72"/>
      <c r="D396" s="72"/>
      <c r="E396" s="539"/>
      <c r="F396" s="206"/>
      <c r="G396" s="205" t="s">
        <v>683</v>
      </c>
      <c r="H396" s="204" t="s">
        <v>523</v>
      </c>
      <c r="I396" s="205" t="s">
        <v>684</v>
      </c>
      <c r="J396" s="12"/>
      <c r="K396" s="208"/>
      <c r="L396" s="218" t="s">
        <v>687</v>
      </c>
      <c r="M396" s="218" t="s">
        <v>688</v>
      </c>
      <c r="N396" s="208"/>
      <c r="O396" s="208"/>
      <c r="P396" s="33"/>
      <c r="Q396" s="566"/>
      <c r="R396" s="570"/>
      <c r="S396" s="40" t="s">
        <v>782</v>
      </c>
      <c r="T396" s="209"/>
      <c r="U396" s="209"/>
      <c r="V396" s="209"/>
      <c r="W396" s="209"/>
      <c r="X396" s="209"/>
      <c r="Y396" s="209"/>
      <c r="Z396" s="209"/>
      <c r="AA396" s="209"/>
      <c r="AB396" s="209"/>
      <c r="AC396" s="209"/>
      <c r="AD396" s="209"/>
      <c r="AE396" s="209"/>
      <c r="AF396" s="209"/>
      <c r="AG396" s="210"/>
      <c r="AH396" s="209"/>
      <c r="AI396" s="304"/>
      <c r="AJ396" s="39"/>
      <c r="AK396" s="581"/>
      <c r="AL396" s="580"/>
      <c r="AM396" s="22"/>
      <c r="AN396" s="43"/>
      <c r="AO396" s="43"/>
      <c r="AP396" s="43"/>
      <c r="AQ396" s="581"/>
      <c r="AR396" s="581"/>
      <c r="AS396" s="304"/>
      <c r="AT396" s="304"/>
      <c r="AU396" s="304"/>
      <c r="AV396" s="304"/>
      <c r="AW396" s="589"/>
      <c r="AX396" s="589"/>
      <c r="AY396" s="304"/>
      <c r="AZ396" s="304"/>
      <c r="BA396" s="304"/>
      <c r="BB396" s="304"/>
      <c r="BC396" s="304"/>
      <c r="BD396" s="304"/>
      <c r="BE396" s="304"/>
      <c r="BF396" s="304"/>
      <c r="BG396" s="304"/>
      <c r="BH396" s="304"/>
      <c r="BI396" s="304"/>
      <c r="BJ396" s="304"/>
      <c r="BK396" s="304"/>
      <c r="BL396" s="55"/>
      <c r="BM396" s="55"/>
      <c r="BN396" s="55"/>
      <c r="BO396" s="55"/>
      <c r="BP396" s="55"/>
      <c r="BQ396" s="55"/>
      <c r="BR396" s="55"/>
      <c r="BS396" s="55"/>
      <c r="BT396" s="55"/>
      <c r="BU396" s="55"/>
      <c r="BV396" s="55"/>
      <c r="BW396" s="55"/>
      <c r="BX396" s="55"/>
      <c r="BY396" s="55"/>
      <c r="BZ396" s="55"/>
      <c r="CA396" s="55"/>
      <c r="CB396" s="55"/>
      <c r="CC396" s="55"/>
      <c r="CD396" s="55"/>
      <c r="CE396" s="55"/>
      <c r="CF396" s="55"/>
      <c r="CG396" s="55"/>
      <c r="CH396" s="55"/>
      <c r="CI396" s="55"/>
      <c r="CJ396" s="55"/>
      <c r="CK396" s="55"/>
      <c r="CL396" s="55"/>
      <c r="CM396" s="55"/>
      <c r="CN396" s="55"/>
      <c r="CO396" s="55"/>
      <c r="CP396" s="55"/>
      <c r="CQ396" s="55"/>
      <c r="CR396" s="55"/>
      <c r="CS396" s="55"/>
      <c r="CT396" s="55"/>
      <c r="CU396" s="55"/>
      <c r="CV396" s="55"/>
      <c r="CW396" s="55"/>
      <c r="CX396" s="55"/>
      <c r="CY396" s="55"/>
      <c r="CZ396" s="55"/>
      <c r="DA396" s="55"/>
      <c r="DB396" s="150"/>
      <c r="DC396" s="150"/>
      <c r="DD396" s="150"/>
      <c r="DE396" s="150"/>
      <c r="DF396" s="150"/>
      <c r="DG396" s="150"/>
      <c r="DH396" s="150"/>
      <c r="DI396" s="150"/>
      <c r="DJ396" s="150"/>
      <c r="DK396" s="150"/>
      <c r="DL396" s="150"/>
      <c r="DM396" s="150"/>
      <c r="DN396" s="55"/>
      <c r="DO396" s="55"/>
      <c r="DP396" s="55"/>
      <c r="DQ396" s="55"/>
      <c r="DR396" s="55"/>
      <c r="DS396" s="55"/>
      <c r="DT396" s="55"/>
      <c r="DU396" s="55"/>
      <c r="DV396" s="55"/>
      <c r="DW396" s="55"/>
      <c r="DX396" s="55"/>
      <c r="DY396" s="55"/>
      <c r="DZ396" s="55"/>
      <c r="EA396" s="55"/>
      <c r="EB396" s="55"/>
      <c r="EC396" s="55"/>
      <c r="ED396" s="55"/>
      <c r="EE396" s="55"/>
      <c r="EF396" s="55"/>
      <c r="EG396" s="55"/>
      <c r="EH396" s="55"/>
      <c r="EI396" s="55"/>
      <c r="EJ396" s="55"/>
      <c r="EK396" s="55"/>
      <c r="EL396" s="55"/>
      <c r="EM396" s="55"/>
      <c r="EN396" s="55"/>
      <c r="EO396" s="55"/>
      <c r="EP396" s="55"/>
      <c r="EQ396" s="55"/>
      <c r="ER396" s="55"/>
      <c r="ES396" s="55"/>
      <c r="ET396" s="55"/>
      <c r="EU396" s="55"/>
      <c r="EV396" s="55"/>
      <c r="EW396" s="55"/>
      <c r="EX396" s="55"/>
      <c r="EY396" s="55"/>
      <c r="EZ396" s="55"/>
      <c r="FA396" s="55"/>
      <c r="FB396" s="55"/>
      <c r="FC396" s="55"/>
      <c r="FD396" s="55"/>
      <c r="FE396" s="55"/>
      <c r="FF396" s="55"/>
      <c r="FG396" s="55"/>
      <c r="FH396" s="55"/>
      <c r="FI396" s="55"/>
      <c r="FJ396" s="55"/>
      <c r="FK396" s="55"/>
      <c r="FL396" s="55"/>
      <c r="FM396" s="55"/>
    </row>
    <row r="397" spans="1:169" x14ac:dyDescent="0.25">
      <c r="A397" s="602"/>
      <c r="B397" s="72"/>
      <c r="C397" s="72"/>
      <c r="D397" s="72"/>
      <c r="E397" s="539"/>
      <c r="F397" s="12"/>
      <c r="G397" s="12"/>
      <c r="H397" s="12"/>
      <c r="I397" s="12"/>
      <c r="J397" s="12"/>
      <c r="K397" s="219"/>
      <c r="L397" s="214" t="s">
        <v>693</v>
      </c>
      <c r="M397" s="214"/>
      <c r="N397" s="207"/>
      <c r="O397" s="207"/>
      <c r="P397" s="33"/>
      <c r="Q397" s="209"/>
      <c r="R397" s="573" t="s">
        <v>775</v>
      </c>
      <c r="S397" s="40" t="s">
        <v>796</v>
      </c>
      <c r="T397" s="209"/>
      <c r="U397" s="209"/>
      <c r="V397" s="209"/>
      <c r="W397" s="209"/>
      <c r="X397" s="209"/>
      <c r="Y397" s="209"/>
      <c r="Z397" s="209"/>
      <c r="AA397" s="209"/>
      <c r="AB397" s="209"/>
      <c r="AC397" s="209"/>
      <c r="AD397" s="209"/>
      <c r="AE397" s="209"/>
      <c r="AF397" s="209"/>
      <c r="AG397" s="210"/>
      <c r="AH397" s="209"/>
      <c r="AI397" s="304"/>
      <c r="AJ397" s="43"/>
      <c r="AK397" s="580"/>
      <c r="AL397" s="580"/>
      <c r="AM397" s="22"/>
      <c r="AN397" s="43"/>
      <c r="AO397" s="43"/>
      <c r="AP397" s="43"/>
      <c r="AQ397" s="43"/>
      <c r="AR397" s="43"/>
      <c r="AS397" s="304"/>
      <c r="AT397" s="304"/>
      <c r="AU397" s="304"/>
      <c r="AV397" s="304"/>
      <c r="AW397" s="589"/>
      <c r="AX397" s="589"/>
      <c r="AY397" s="304"/>
      <c r="AZ397" s="304"/>
      <c r="BA397" s="304"/>
      <c r="BB397" s="304"/>
      <c r="BC397" s="304"/>
      <c r="BD397" s="304"/>
      <c r="BE397" s="304"/>
      <c r="BF397" s="304"/>
      <c r="BG397" s="304"/>
      <c r="BH397" s="304"/>
      <c r="BI397" s="304"/>
      <c r="BJ397" s="304"/>
      <c r="BK397" s="304"/>
      <c r="BL397" s="55"/>
      <c r="BM397" s="55"/>
      <c r="BN397" s="55"/>
      <c r="BO397" s="55"/>
      <c r="BP397" s="55"/>
      <c r="BQ397" s="55"/>
      <c r="BR397" s="55"/>
      <c r="BS397" s="55"/>
      <c r="BT397" s="55"/>
      <c r="BU397" s="55"/>
      <c r="BV397" s="55"/>
      <c r="BW397" s="55"/>
      <c r="BX397" s="55"/>
      <c r="BY397" s="55"/>
      <c r="BZ397" s="55"/>
      <c r="CA397" s="55"/>
      <c r="CB397" s="55"/>
      <c r="CC397" s="55"/>
      <c r="CD397" s="55"/>
      <c r="CE397" s="55"/>
      <c r="CF397" s="55"/>
      <c r="CG397" s="55"/>
      <c r="CH397" s="55"/>
      <c r="CI397" s="55"/>
      <c r="CJ397" s="55"/>
      <c r="CK397" s="55"/>
      <c r="CL397" s="55"/>
      <c r="CM397" s="55"/>
      <c r="CN397" s="55"/>
      <c r="CO397" s="55"/>
      <c r="CP397" s="55"/>
      <c r="CQ397" s="55"/>
      <c r="CR397" s="55"/>
      <c r="CS397" s="55"/>
      <c r="CT397" s="55"/>
      <c r="CU397" s="55"/>
      <c r="CV397" s="55"/>
      <c r="CW397" s="55"/>
      <c r="CX397" s="55"/>
      <c r="CY397" s="55"/>
      <c r="CZ397" s="55"/>
      <c r="DA397" s="55"/>
      <c r="DB397" s="150"/>
      <c r="DC397" s="150"/>
      <c r="DD397" s="150"/>
      <c r="DE397" s="150"/>
      <c r="DF397" s="150"/>
      <c r="DG397" s="150"/>
      <c r="DH397" s="150"/>
      <c r="DI397" s="150"/>
      <c r="DJ397" s="150"/>
      <c r="DK397" s="150"/>
      <c r="DL397" s="150"/>
      <c r="DM397" s="150"/>
      <c r="DN397" s="55"/>
      <c r="DO397" s="55"/>
      <c r="DP397" s="55"/>
      <c r="DQ397" s="55"/>
      <c r="DR397" s="55"/>
      <c r="DS397" s="55"/>
      <c r="DT397" s="55"/>
      <c r="DU397" s="55"/>
      <c r="DV397" s="55"/>
      <c r="DW397" s="55"/>
      <c r="DX397" s="55"/>
      <c r="DY397" s="55"/>
      <c r="DZ397" s="55"/>
      <c r="EA397" s="55"/>
      <c r="EB397" s="55"/>
      <c r="EC397" s="55"/>
      <c r="ED397" s="55"/>
      <c r="EE397" s="55"/>
      <c r="EF397" s="55"/>
      <c r="EG397" s="55"/>
      <c r="EH397" s="55"/>
      <c r="EI397" s="55"/>
      <c r="EJ397" s="55"/>
      <c r="EK397" s="55"/>
      <c r="EL397" s="55"/>
      <c r="EM397" s="55"/>
      <c r="EN397" s="55"/>
      <c r="EO397" s="55"/>
      <c r="EP397" s="55"/>
      <c r="EQ397" s="55"/>
      <c r="ER397" s="55"/>
      <c r="ES397" s="55"/>
      <c r="ET397" s="55"/>
      <c r="EU397" s="55"/>
      <c r="EV397" s="55"/>
      <c r="EW397" s="55"/>
      <c r="EX397" s="55"/>
      <c r="EY397" s="55"/>
      <c r="EZ397" s="55"/>
      <c r="FA397" s="55"/>
      <c r="FB397" s="55"/>
      <c r="FC397" s="55"/>
      <c r="FD397" s="55"/>
      <c r="FE397" s="55"/>
      <c r="FF397" s="55"/>
      <c r="FG397" s="55"/>
      <c r="FH397" s="55"/>
      <c r="FI397" s="55"/>
      <c r="FJ397" s="55"/>
      <c r="FK397" s="55"/>
      <c r="FL397" s="55"/>
      <c r="FM397" s="55"/>
    </row>
    <row r="398" spans="1:169" x14ac:dyDescent="0.25">
      <c r="A398" s="602"/>
      <c r="B398" s="72"/>
      <c r="C398" s="72"/>
      <c r="D398" s="72"/>
      <c r="E398" s="539"/>
      <c r="F398" s="12"/>
      <c r="G398" s="12"/>
      <c r="H398" s="205" t="s">
        <v>682</v>
      </c>
      <c r="I398" s="12"/>
      <c r="J398" s="12"/>
      <c r="K398" s="12"/>
      <c r="L398" s="12"/>
      <c r="M398" s="205" t="s">
        <v>686</v>
      </c>
      <c r="N398" s="12"/>
      <c r="O398" s="207"/>
      <c r="P398" s="33"/>
      <c r="Q398" s="209"/>
      <c r="R398" s="573"/>
      <c r="S398" s="40" t="s">
        <v>860</v>
      </c>
      <c r="T398" s="209"/>
      <c r="U398" s="209"/>
      <c r="V398" s="209"/>
      <c r="W398" s="209"/>
      <c r="X398" s="209"/>
      <c r="Y398" s="209"/>
      <c r="Z398" s="209"/>
      <c r="AA398" s="209"/>
      <c r="AB398" s="209"/>
      <c r="AC398" s="209"/>
      <c r="AD398" s="209"/>
      <c r="AE398" s="209"/>
      <c r="AF398" s="209"/>
      <c r="AG398" s="210"/>
      <c r="AH398" s="209"/>
      <c r="AI398" s="304"/>
      <c r="AJ398" s="39"/>
      <c r="AK398" s="581"/>
      <c r="AL398" s="43"/>
      <c r="AM398" s="22"/>
      <c r="AN398" s="304"/>
      <c r="AO398" s="304"/>
      <c r="AP398" s="304"/>
      <c r="AQ398" s="304"/>
      <c r="AR398" s="304"/>
      <c r="AS398" s="304"/>
      <c r="AT398" s="304"/>
      <c r="AU398" s="304"/>
      <c r="AV398" s="304"/>
      <c r="AW398" s="589"/>
      <c r="AX398" s="589"/>
      <c r="AY398" s="304"/>
      <c r="AZ398" s="304"/>
      <c r="BA398" s="304"/>
      <c r="BB398" s="304"/>
      <c r="BC398" s="304"/>
      <c r="BD398" s="304"/>
      <c r="BE398" s="304"/>
      <c r="BF398" s="304"/>
      <c r="BG398" s="304"/>
      <c r="BH398" s="304"/>
      <c r="BI398" s="304"/>
      <c r="BJ398" s="304"/>
      <c r="BK398" s="304"/>
      <c r="BL398" s="55"/>
      <c r="BM398" s="55"/>
      <c r="BN398" s="55"/>
      <c r="BO398" s="55"/>
      <c r="BP398" s="55"/>
      <c r="BQ398" s="55"/>
      <c r="BR398" s="55"/>
      <c r="BS398" s="55"/>
      <c r="BT398" s="55"/>
      <c r="BU398" s="55"/>
      <c r="BV398" s="55"/>
      <c r="BW398" s="55"/>
      <c r="BX398" s="55"/>
      <c r="BY398" s="55"/>
      <c r="BZ398" s="55"/>
      <c r="CA398" s="55"/>
      <c r="CB398" s="55"/>
      <c r="CC398" s="55"/>
      <c r="CD398" s="55"/>
      <c r="CE398" s="55"/>
      <c r="CF398" s="55"/>
      <c r="CG398" s="55"/>
      <c r="CH398" s="55"/>
      <c r="CI398" s="55"/>
      <c r="CJ398" s="55"/>
      <c r="CK398" s="55"/>
      <c r="CL398" s="55"/>
      <c r="CM398" s="55"/>
      <c r="CN398" s="55"/>
      <c r="CO398" s="55"/>
      <c r="CP398" s="55"/>
      <c r="CQ398" s="55"/>
      <c r="CR398" s="55"/>
      <c r="CS398" s="55"/>
      <c r="CT398" s="55"/>
      <c r="CU398" s="55"/>
      <c r="CV398" s="55"/>
      <c r="CW398" s="55"/>
      <c r="CX398" s="55"/>
      <c r="CY398" s="55"/>
      <c r="CZ398" s="55"/>
    </row>
    <row r="399" spans="1:169" x14ac:dyDescent="0.25">
      <c r="A399" s="602"/>
      <c r="B399" s="72"/>
      <c r="C399" s="72"/>
      <c r="D399" s="72"/>
      <c r="E399" s="539"/>
      <c r="F399" s="12"/>
      <c r="G399" s="12"/>
      <c r="H399" s="12"/>
      <c r="I399" s="12"/>
      <c r="J399" s="12"/>
      <c r="K399" s="12"/>
      <c r="L399" s="12"/>
      <c r="M399" s="12"/>
      <c r="N399" s="12"/>
      <c r="O399" s="303"/>
      <c r="P399" s="33"/>
      <c r="Q399" s="209"/>
      <c r="R399" s="573" t="s">
        <v>776</v>
      </c>
      <c r="S399" s="40" t="s">
        <v>770</v>
      </c>
      <c r="T399" s="209"/>
      <c r="U399" s="209"/>
      <c r="V399" s="209"/>
      <c r="W399" s="209"/>
      <c r="X399" s="209"/>
      <c r="Y399" s="209"/>
      <c r="Z399" s="209"/>
      <c r="AA399" s="209"/>
      <c r="AB399" s="209"/>
      <c r="AC399" s="209"/>
      <c r="AD399" s="209"/>
      <c r="AE399" s="209"/>
      <c r="AF399" s="209"/>
      <c r="AG399" s="210"/>
      <c r="AH399" s="209"/>
      <c r="AI399" s="304"/>
      <c r="AJ399" s="39"/>
      <c r="AK399" s="581"/>
      <c r="AL399" s="43"/>
      <c r="AM399" s="22"/>
      <c r="AN399" s="304"/>
      <c r="AO399" s="304"/>
      <c r="AP399" s="304"/>
      <c r="AQ399" s="304"/>
      <c r="AR399" s="304"/>
      <c r="AS399" s="304"/>
      <c r="AT399" s="304"/>
      <c r="AU399" s="304"/>
      <c r="AV399" s="304"/>
      <c r="AW399" s="589"/>
      <c r="AX399" s="589"/>
      <c r="AY399" s="304"/>
      <c r="AZ399" s="304"/>
      <c r="BA399" s="304"/>
      <c r="BB399" s="304"/>
      <c r="BC399" s="304"/>
      <c r="BD399" s="304"/>
      <c r="BE399" s="304"/>
      <c r="BF399" s="304"/>
      <c r="BG399" s="304"/>
      <c r="BH399" s="304"/>
      <c r="BI399" s="304"/>
      <c r="BJ399" s="304"/>
      <c r="BK399" s="304"/>
      <c r="BL399" s="55"/>
      <c r="BM399" s="55"/>
      <c r="BN399" s="55"/>
      <c r="BO399" s="55"/>
      <c r="BP399" s="55"/>
      <c r="BQ399" s="55"/>
      <c r="BR399" s="55"/>
      <c r="BS399" s="55"/>
      <c r="BT399" s="55"/>
      <c r="BU399" s="55"/>
      <c r="BV399" s="55"/>
      <c r="BW399" s="55"/>
      <c r="BX399" s="55"/>
      <c r="BY399" s="55"/>
      <c r="BZ399" s="55"/>
      <c r="CA399" s="55"/>
      <c r="CB399" s="55"/>
      <c r="CC399" s="55"/>
      <c r="CD399" s="55"/>
      <c r="CE399" s="55"/>
      <c r="CF399" s="55"/>
      <c r="CG399" s="55"/>
      <c r="CH399" s="55"/>
      <c r="CI399" s="55"/>
      <c r="CJ399" s="55"/>
      <c r="CK399" s="55"/>
      <c r="CL399" s="55"/>
      <c r="CM399" s="55"/>
      <c r="CN399" s="55"/>
      <c r="CO399" s="55"/>
      <c r="CP399" s="55"/>
      <c r="CQ399" s="55"/>
      <c r="CR399" s="55"/>
      <c r="CS399" s="55"/>
      <c r="CT399" s="55"/>
      <c r="CU399" s="55"/>
      <c r="CV399" s="55"/>
      <c r="CW399" s="55"/>
      <c r="CX399" s="55"/>
      <c r="CY399" s="55"/>
      <c r="CZ399" s="55"/>
    </row>
    <row r="400" spans="1:169" x14ac:dyDescent="0.25">
      <c r="A400" s="602"/>
      <c r="B400" s="72"/>
      <c r="C400" s="72"/>
      <c r="D400" s="72"/>
      <c r="E400" s="539"/>
      <c r="F400" s="208"/>
      <c r="G400" s="261" t="s">
        <v>577</v>
      </c>
      <c r="H400" s="260"/>
      <c r="I400" s="259"/>
      <c r="J400" s="209"/>
      <c r="K400" s="12"/>
      <c r="L400" s="262" t="s">
        <v>578</v>
      </c>
      <c r="M400" s="233"/>
      <c r="N400" s="233"/>
      <c r="O400" s="303"/>
      <c r="P400" s="33"/>
      <c r="Q400" s="209"/>
      <c r="R400" s="570"/>
      <c r="S400" s="40" t="s">
        <v>829</v>
      </c>
      <c r="T400" s="209"/>
      <c r="U400" s="209"/>
      <c r="V400" s="209"/>
      <c r="W400" s="209"/>
      <c r="X400" s="209"/>
      <c r="Y400" s="209"/>
      <c r="Z400" s="209"/>
      <c r="AA400" s="209"/>
      <c r="AB400" s="209"/>
      <c r="AC400" s="209"/>
      <c r="AD400" s="209"/>
      <c r="AE400" s="209"/>
      <c r="AF400" s="209"/>
      <c r="AG400" s="210"/>
      <c r="AH400" s="209"/>
      <c r="AI400" s="304"/>
      <c r="AJ400" s="43"/>
      <c r="AK400" s="580"/>
      <c r="AL400" s="580"/>
      <c r="AM400" s="304"/>
      <c r="AN400" s="304"/>
      <c r="AO400" s="304"/>
      <c r="AP400" s="304"/>
      <c r="AQ400" s="304"/>
      <c r="AR400" s="304"/>
      <c r="AS400" s="304"/>
      <c r="AT400" s="304"/>
      <c r="AU400" s="304"/>
      <c r="AV400" s="304"/>
      <c r="AW400" s="589"/>
      <c r="AX400" s="589"/>
      <c r="AY400" s="304"/>
      <c r="AZ400" s="304"/>
      <c r="BA400" s="304"/>
      <c r="BB400" s="304"/>
      <c r="BC400" s="304"/>
      <c r="BD400" s="304"/>
      <c r="BE400" s="304"/>
      <c r="BF400" s="304"/>
      <c r="BG400" s="304"/>
      <c r="BH400" s="304"/>
      <c r="BI400" s="304"/>
      <c r="BJ400" s="304"/>
      <c r="BK400" s="304"/>
      <c r="BL400" s="55"/>
      <c r="BM400" s="55"/>
      <c r="BN400" s="55"/>
      <c r="BO400" s="55"/>
      <c r="BP400" s="55"/>
      <c r="BQ400" s="55"/>
      <c r="BR400" s="55"/>
      <c r="BS400" s="55"/>
      <c r="BT400" s="55"/>
      <c r="BU400" s="55"/>
      <c r="BV400" s="55"/>
      <c r="BW400" s="55"/>
      <c r="BX400" s="55"/>
      <c r="BY400" s="55"/>
      <c r="BZ400" s="55"/>
      <c r="CA400" s="55"/>
      <c r="CB400" s="55"/>
      <c r="CC400" s="55"/>
      <c r="CD400" s="55"/>
      <c r="CE400" s="55"/>
      <c r="CF400" s="55"/>
      <c r="CG400" s="55"/>
      <c r="CH400" s="55"/>
      <c r="CI400" s="55"/>
      <c r="CJ400" s="55"/>
      <c r="CK400" s="55"/>
      <c r="CL400" s="55"/>
      <c r="CM400" s="55"/>
      <c r="CN400" s="55"/>
      <c r="CO400" s="55"/>
      <c r="CP400" s="55"/>
      <c r="CQ400" s="55"/>
      <c r="CR400" s="55"/>
      <c r="CS400" s="55"/>
      <c r="CT400" s="55"/>
      <c r="CU400" s="55"/>
      <c r="CV400" s="55"/>
      <c r="CW400" s="55"/>
      <c r="CX400" s="55"/>
      <c r="CY400" s="55"/>
      <c r="CZ400" s="55"/>
    </row>
    <row r="401" spans="1:169" x14ac:dyDescent="0.25">
      <c r="A401" s="605"/>
      <c r="B401" s="606"/>
      <c r="C401" s="606"/>
      <c r="D401" s="606"/>
      <c r="E401" s="606"/>
      <c r="F401" s="197"/>
      <c r="G401" s="197"/>
      <c r="H401" s="197"/>
      <c r="I401" s="197"/>
      <c r="J401" s="197"/>
      <c r="K401" s="197"/>
      <c r="L401" s="197"/>
      <c r="M401" s="197"/>
      <c r="N401" s="197"/>
      <c r="O401" s="197"/>
      <c r="P401" s="197"/>
      <c r="Q401" s="197"/>
      <c r="R401" s="571"/>
      <c r="S401" s="565"/>
      <c r="T401" s="563"/>
      <c r="U401" s="563"/>
      <c r="V401" s="563"/>
      <c r="W401" s="563"/>
      <c r="X401" s="563"/>
      <c r="Y401" s="563"/>
      <c r="Z401" s="563"/>
      <c r="AA401" s="563"/>
      <c r="AB401" s="563"/>
      <c r="AC401" s="563"/>
      <c r="AD401" s="563"/>
      <c r="AE401" s="563"/>
      <c r="AF401" s="563"/>
      <c r="AG401" s="564"/>
      <c r="AH401" s="209"/>
      <c r="AI401" s="304"/>
      <c r="AJ401" s="39"/>
      <c r="AK401" s="581"/>
      <c r="AL401" s="590"/>
      <c r="AM401" s="304"/>
      <c r="AN401" s="303"/>
      <c r="AO401" s="303"/>
      <c r="AP401" s="303"/>
      <c r="AQ401" s="304"/>
      <c r="AR401" s="304"/>
      <c r="AS401" s="304"/>
      <c r="AT401" s="304"/>
      <c r="AU401" s="304"/>
      <c r="AV401" s="304"/>
      <c r="AW401" s="589"/>
      <c r="AX401" s="589"/>
      <c r="AY401" s="304"/>
      <c r="AZ401" s="304"/>
      <c r="BA401" s="304"/>
      <c r="BB401" s="304"/>
      <c r="BC401" s="304"/>
      <c r="BD401" s="304"/>
      <c r="BE401" s="304"/>
      <c r="BF401" s="304"/>
      <c r="BG401" s="304"/>
      <c r="BH401" s="304"/>
      <c r="BI401" s="304"/>
      <c r="BJ401" s="304"/>
      <c r="BK401" s="304"/>
      <c r="BL401" s="332"/>
      <c r="BM401" s="332"/>
      <c r="BN401" s="332"/>
      <c r="BO401" s="332"/>
      <c r="BP401" s="332"/>
      <c r="BQ401" s="332"/>
      <c r="BR401" s="332"/>
      <c r="BS401" s="332"/>
      <c r="BT401" s="332"/>
      <c r="BU401" s="332"/>
      <c r="BV401" s="332"/>
      <c r="BW401" s="332"/>
      <c r="BX401" s="332"/>
      <c r="BY401" s="332"/>
      <c r="BZ401" s="332"/>
      <c r="CA401" s="332"/>
      <c r="CB401" s="332"/>
      <c r="CC401" s="332"/>
      <c r="CD401" s="332"/>
      <c r="CE401" s="332"/>
      <c r="CF401" s="332"/>
      <c r="CG401" s="332"/>
      <c r="CH401" s="332"/>
      <c r="CI401" s="332"/>
      <c r="CJ401" s="332"/>
      <c r="CK401" s="332"/>
      <c r="CL401" s="332"/>
      <c r="CM401" s="332"/>
      <c r="CN401" s="332"/>
      <c r="CO401" s="332"/>
      <c r="CP401" s="332"/>
      <c r="CQ401" s="332"/>
      <c r="CR401" s="332"/>
      <c r="CS401" s="332"/>
      <c r="CT401" s="332"/>
      <c r="CU401" s="332"/>
      <c r="CV401" s="332"/>
      <c r="CW401" s="332"/>
      <c r="CX401" s="332"/>
      <c r="CY401" s="332"/>
      <c r="CZ401" s="332"/>
    </row>
    <row r="402" spans="1:169" x14ac:dyDescent="0.25">
      <c r="A402" s="285"/>
      <c r="B402" s="315"/>
      <c r="C402" s="312" t="s">
        <v>828</v>
      </c>
      <c r="D402" s="313"/>
      <c r="E402" s="313"/>
      <c r="F402" s="313"/>
      <c r="G402" s="313"/>
      <c r="H402" s="313"/>
      <c r="I402" s="312" t="s">
        <v>695</v>
      </c>
      <c r="J402" s="313"/>
      <c r="K402" s="313"/>
      <c r="L402" s="313"/>
      <c r="M402" s="322"/>
      <c r="N402" s="579"/>
      <c r="O402" s="579"/>
      <c r="P402" s="579"/>
      <c r="Q402" s="553"/>
      <c r="R402" s="312" t="s">
        <v>689</v>
      </c>
      <c r="S402" s="313"/>
      <c r="T402" s="313"/>
      <c r="U402" s="313"/>
      <c r="V402" s="322"/>
      <c r="W402" s="322"/>
      <c r="X402" s="322"/>
      <c r="Y402" s="322"/>
      <c r="Z402" s="322"/>
      <c r="AA402" s="322"/>
      <c r="AB402" s="322"/>
      <c r="AC402" s="322"/>
      <c r="AD402" s="322"/>
      <c r="AE402" s="322"/>
      <c r="AF402" s="322"/>
      <c r="AG402" s="553"/>
      <c r="AH402" s="596"/>
      <c r="AI402" s="304"/>
      <c r="AJ402" s="304"/>
      <c r="AK402" s="591"/>
      <c r="AL402" s="591"/>
      <c r="AM402" s="304"/>
      <c r="AN402" s="304"/>
      <c r="AO402" s="304"/>
      <c r="AP402" s="304"/>
      <c r="AQ402" s="304"/>
      <c r="AR402" s="304"/>
      <c r="AS402" s="304"/>
      <c r="AT402" s="304"/>
      <c r="AU402" s="304"/>
      <c r="AV402" s="304"/>
      <c r="AW402" s="589"/>
      <c r="AX402" s="589"/>
      <c r="AY402" s="304"/>
      <c r="AZ402" s="304"/>
      <c r="BA402" s="304"/>
      <c r="BB402" s="304"/>
      <c r="BC402" s="304"/>
      <c r="BD402" s="304"/>
      <c r="BE402" s="304"/>
      <c r="BF402" s="304"/>
      <c r="BG402" s="304"/>
      <c r="BH402" s="304"/>
      <c r="BI402" s="304"/>
      <c r="BJ402" s="304"/>
      <c r="BK402" s="304"/>
      <c r="BL402" s="332"/>
      <c r="BM402" s="332"/>
      <c r="BN402" s="332"/>
      <c r="BO402" s="332"/>
      <c r="BP402" s="332"/>
      <c r="BQ402" s="332"/>
      <c r="BR402" s="332"/>
      <c r="BS402" s="332"/>
      <c r="BT402" s="332"/>
      <c r="BU402" s="332"/>
      <c r="BV402" s="332"/>
      <c r="BW402" s="332"/>
      <c r="BX402" s="332"/>
      <c r="BY402" s="332"/>
      <c r="BZ402" s="332"/>
      <c r="CA402" s="332"/>
      <c r="CB402" s="332"/>
      <c r="CC402" s="332"/>
      <c r="CD402" s="332"/>
      <c r="CE402" s="332"/>
      <c r="CF402" s="332"/>
      <c r="CG402" s="332"/>
      <c r="CH402" s="332"/>
      <c r="CI402" s="332"/>
      <c r="CJ402" s="332"/>
      <c r="CK402" s="332"/>
      <c r="CL402" s="332"/>
      <c r="CM402" s="332"/>
      <c r="CN402" s="332"/>
      <c r="CO402" s="332"/>
      <c r="CP402" s="332"/>
      <c r="CQ402" s="332"/>
      <c r="CR402" s="332"/>
      <c r="CS402" s="332"/>
      <c r="CT402" s="332"/>
      <c r="CU402" s="332"/>
      <c r="CV402" s="332"/>
      <c r="CW402" s="332"/>
      <c r="CX402" s="332"/>
      <c r="CY402" s="332"/>
      <c r="CZ402" s="332"/>
      <c r="DA402" s="332"/>
      <c r="DB402" s="332"/>
      <c r="DC402" s="332"/>
      <c r="DD402" s="332"/>
      <c r="DE402" s="332"/>
      <c r="DF402" s="332"/>
      <c r="DG402" s="332"/>
      <c r="DH402" s="332"/>
      <c r="DI402" s="332"/>
      <c r="DJ402" s="333"/>
      <c r="DK402" s="333"/>
      <c r="DL402" s="332"/>
      <c r="DM402" s="304"/>
      <c r="DN402" s="332"/>
      <c r="DO402" s="332"/>
      <c r="DP402" s="332"/>
      <c r="DQ402" s="332"/>
      <c r="DR402" s="332"/>
      <c r="DS402" s="332"/>
      <c r="DT402" s="332"/>
      <c r="DU402" s="332"/>
      <c r="DV402" s="332"/>
      <c r="DW402" s="332"/>
      <c r="DX402" s="332"/>
      <c r="DY402" s="332"/>
      <c r="DZ402" s="332"/>
      <c r="EA402" s="332"/>
      <c r="EB402" s="332"/>
      <c r="EC402" s="332"/>
      <c r="ED402" s="332"/>
      <c r="EE402" s="332"/>
      <c r="EF402" s="332"/>
      <c r="EG402" s="332"/>
      <c r="EH402" s="332"/>
      <c r="EI402" s="332"/>
      <c r="EJ402" s="332"/>
      <c r="EK402" s="332"/>
      <c r="EL402" s="332"/>
      <c r="EM402" s="332"/>
      <c r="EN402" s="332"/>
      <c r="EO402" s="332"/>
      <c r="EP402" s="332"/>
      <c r="EQ402" s="332"/>
      <c r="ER402" s="332"/>
      <c r="ES402" s="332"/>
      <c r="ET402" s="332"/>
      <c r="EU402" s="332"/>
      <c r="EV402" s="332"/>
      <c r="EW402" s="332"/>
      <c r="EX402" s="332"/>
      <c r="EY402" s="332"/>
      <c r="EZ402" s="332"/>
      <c r="FA402" s="332"/>
      <c r="FB402" s="332"/>
      <c r="FC402" s="332"/>
      <c r="FD402" s="332"/>
      <c r="FE402" s="332"/>
      <c r="FF402" s="332"/>
      <c r="FG402" s="332"/>
      <c r="FH402" s="332"/>
      <c r="FI402" s="332"/>
      <c r="FJ402" s="332"/>
      <c r="FK402" s="332"/>
      <c r="FL402" s="332"/>
      <c r="FM402" s="332"/>
    </row>
    <row r="403" spans="1:169" x14ac:dyDescent="0.25">
      <c r="A403" s="286" t="s">
        <v>607</v>
      </c>
      <c r="B403" s="286" t="s">
        <v>607</v>
      </c>
      <c r="C403" s="321" t="s">
        <v>605</v>
      </c>
      <c r="D403" s="322"/>
      <c r="E403" s="323"/>
      <c r="F403" s="288" t="s">
        <v>606</v>
      </c>
      <c r="G403" s="287"/>
      <c r="H403" s="287"/>
      <c r="I403" s="540" t="s">
        <v>629</v>
      </c>
      <c r="J403" s="287"/>
      <c r="K403" s="541"/>
      <c r="L403" s="287" t="s">
        <v>694</v>
      </c>
      <c r="M403" s="287"/>
      <c r="N403" s="321" t="s">
        <v>634</v>
      </c>
      <c r="O403" s="322"/>
      <c r="P403" s="322"/>
      <c r="Q403" s="323"/>
      <c r="R403" s="275" t="s">
        <v>745</v>
      </c>
      <c r="S403" s="411"/>
      <c r="T403" s="411"/>
      <c r="U403" s="276"/>
      <c r="V403" s="334" t="s">
        <v>757</v>
      </c>
      <c r="W403" s="348"/>
      <c r="X403" s="335"/>
      <c r="Y403" s="334" t="s">
        <v>758</v>
      </c>
      <c r="Z403" s="335"/>
      <c r="AA403" s="334" t="s">
        <v>759</v>
      </c>
      <c r="AB403" s="348"/>
      <c r="AC403" s="335"/>
      <c r="AD403" s="334" t="s">
        <v>760</v>
      </c>
      <c r="AE403" s="348"/>
      <c r="AF403" s="348"/>
      <c r="AG403" s="558" t="s">
        <v>746</v>
      </c>
      <c r="AH403" s="597" t="s">
        <v>791</v>
      </c>
      <c r="AI403" s="464" t="s">
        <v>625</v>
      </c>
      <c r="AJ403" s="192"/>
      <c r="AK403" s="192"/>
      <c r="AL403" s="192"/>
      <c r="AM403" s="193"/>
      <c r="AN403" s="528" t="s">
        <v>605</v>
      </c>
      <c r="AO403" s="449"/>
      <c r="AP403" s="449"/>
      <c r="AQ403" s="450"/>
      <c r="AR403" s="461"/>
      <c r="AS403" s="450"/>
      <c r="AT403" s="461"/>
      <c r="AU403" s="461"/>
      <c r="AV403" s="461"/>
      <c r="AW403" s="462"/>
      <c r="AX403" s="462"/>
      <c r="AY403" s="461"/>
      <c r="AZ403" s="463"/>
      <c r="BA403" s="463"/>
      <c r="BB403" s="461"/>
      <c r="BC403" s="461"/>
      <c r="BD403" s="461"/>
      <c r="BE403" s="461"/>
      <c r="BF403" s="461"/>
      <c r="BG403" s="461"/>
      <c r="BH403" s="461"/>
      <c r="BI403" s="461"/>
      <c r="BJ403" s="461"/>
      <c r="BK403" s="461"/>
      <c r="BL403" s="461"/>
      <c r="BM403" s="461"/>
      <c r="BN403" s="461"/>
      <c r="BO403" s="461"/>
      <c r="BP403" s="461"/>
      <c r="BQ403" s="461"/>
      <c r="BR403" s="461"/>
      <c r="BS403" s="461"/>
      <c r="BT403" s="450"/>
      <c r="BU403" s="450"/>
      <c r="BV403" s="450"/>
      <c r="BW403" s="450"/>
      <c r="BX403" s="450"/>
      <c r="BY403" s="450"/>
      <c r="BZ403" s="450"/>
      <c r="CA403" s="450"/>
      <c r="CB403" s="450"/>
      <c r="CC403" s="450"/>
      <c r="CD403" s="450"/>
      <c r="CE403" s="450"/>
      <c r="CF403" s="450"/>
      <c r="CG403" s="450"/>
      <c r="CH403" s="450"/>
      <c r="CI403" s="450"/>
      <c r="CJ403" s="450"/>
      <c r="CK403" s="450"/>
      <c r="CL403" s="450"/>
      <c r="CM403" s="450"/>
      <c r="CN403" s="450"/>
      <c r="CO403" s="450"/>
      <c r="CP403" s="450"/>
      <c r="CQ403" s="450"/>
      <c r="CR403" s="450"/>
      <c r="CS403" s="450"/>
      <c r="CT403" s="450"/>
      <c r="CU403" s="450"/>
      <c r="CV403" s="450"/>
      <c r="CW403" s="450"/>
      <c r="CX403" s="450"/>
      <c r="CY403" s="450"/>
      <c r="CZ403" s="451"/>
      <c r="DA403" s="528" t="s">
        <v>606</v>
      </c>
      <c r="DB403" s="449"/>
      <c r="DC403" s="449"/>
      <c r="DD403" s="450"/>
      <c r="DE403" s="461"/>
      <c r="DF403" s="461"/>
      <c r="DG403" s="461"/>
      <c r="DH403" s="461"/>
      <c r="DI403" s="461"/>
      <c r="DJ403" s="462"/>
      <c r="DK403" s="462"/>
      <c r="DL403" s="461"/>
      <c r="DM403" s="463"/>
      <c r="DN403" s="463"/>
      <c r="DO403" s="461"/>
      <c r="DP403" s="450"/>
      <c r="DQ403" s="461"/>
      <c r="DR403" s="461"/>
      <c r="DS403" s="461"/>
      <c r="DT403" s="461"/>
      <c r="DU403" s="461"/>
      <c r="DV403" s="461"/>
      <c r="DW403" s="461"/>
      <c r="DX403" s="461"/>
      <c r="DY403" s="461"/>
      <c r="DZ403" s="461"/>
      <c r="EA403" s="461"/>
      <c r="EB403" s="461"/>
      <c r="EC403" s="461"/>
      <c r="ED403" s="461"/>
      <c r="EE403" s="461"/>
      <c r="EF403" s="461"/>
      <c r="EG403" s="450"/>
      <c r="EH403" s="450"/>
      <c r="EI403" s="450"/>
      <c r="EJ403" s="450"/>
      <c r="EK403" s="450"/>
      <c r="EL403" s="450"/>
      <c r="EM403" s="450"/>
      <c r="EN403" s="450"/>
      <c r="EO403" s="450"/>
      <c r="EP403" s="450"/>
      <c r="EQ403" s="450"/>
      <c r="ER403" s="450"/>
      <c r="ES403" s="450"/>
      <c r="ET403" s="450"/>
      <c r="EU403" s="450"/>
      <c r="EV403" s="450"/>
      <c r="EW403" s="450"/>
      <c r="EX403" s="450"/>
      <c r="EY403" s="450"/>
      <c r="EZ403" s="450"/>
      <c r="FA403" s="450"/>
      <c r="FB403" s="450"/>
      <c r="FC403" s="450"/>
      <c r="FD403" s="450"/>
      <c r="FE403" s="450"/>
      <c r="FF403" s="450"/>
      <c r="FG403" s="450"/>
      <c r="FH403" s="450"/>
      <c r="FI403" s="450"/>
      <c r="FJ403" s="450"/>
      <c r="FK403" s="450"/>
      <c r="FL403" s="450"/>
      <c r="FM403" s="451"/>
    </row>
    <row r="404" spans="1:169" x14ac:dyDescent="0.25">
      <c r="A404" s="286" t="s">
        <v>608</v>
      </c>
      <c r="B404" s="286" t="s">
        <v>628</v>
      </c>
      <c r="C404" s="289" t="s">
        <v>610</v>
      </c>
      <c r="D404" s="289" t="s">
        <v>609</v>
      </c>
      <c r="E404" s="289" t="s">
        <v>611</v>
      </c>
      <c r="F404" s="289" t="s">
        <v>610</v>
      </c>
      <c r="G404" s="289" t="s">
        <v>609</v>
      </c>
      <c r="H404" s="305" t="s">
        <v>611</v>
      </c>
      <c r="I404" s="324" t="s">
        <v>612</v>
      </c>
      <c r="J404" s="290" t="s">
        <v>613</v>
      </c>
      <c r="K404" s="336" t="s">
        <v>640</v>
      </c>
      <c r="L404" s="289" t="s">
        <v>612</v>
      </c>
      <c r="M404" s="289" t="s">
        <v>613</v>
      </c>
      <c r="N404" s="290" t="s">
        <v>637</v>
      </c>
      <c r="O404" s="290" t="s">
        <v>543</v>
      </c>
      <c r="P404" s="542" t="s">
        <v>638</v>
      </c>
      <c r="Q404" s="542" t="s">
        <v>638</v>
      </c>
      <c r="R404" s="391" t="s">
        <v>696</v>
      </c>
      <c r="S404" s="408" t="s">
        <v>697</v>
      </c>
      <c r="T404" s="391" t="s">
        <v>696</v>
      </c>
      <c r="U404" s="408" t="s">
        <v>697</v>
      </c>
      <c r="V404" s="324" t="s">
        <v>646</v>
      </c>
      <c r="W404" s="342" t="s">
        <v>644</v>
      </c>
      <c r="X404" s="345" t="s">
        <v>464</v>
      </c>
      <c r="Y404" s="342" t="s">
        <v>641</v>
      </c>
      <c r="Z404" s="336" t="s">
        <v>464</v>
      </c>
      <c r="AA404" s="324" t="s">
        <v>654</v>
      </c>
      <c r="AB404" s="336" t="s">
        <v>661</v>
      </c>
      <c r="AC404" s="345" t="s">
        <v>464</v>
      </c>
      <c r="AD404" s="324" t="s">
        <v>664</v>
      </c>
      <c r="AE404" s="342" t="s">
        <v>663</v>
      </c>
      <c r="AF404" s="555" t="s">
        <v>464</v>
      </c>
      <c r="AG404" s="324" t="s">
        <v>464</v>
      </c>
      <c r="AH404" s="242" t="s">
        <v>792</v>
      </c>
      <c r="AI404" s="241" t="s">
        <v>556</v>
      </c>
      <c r="AJ404" s="243" t="s">
        <v>621</v>
      </c>
      <c r="AK404" s="243" t="s">
        <v>622</v>
      </c>
      <c r="AL404" s="243" t="s">
        <v>624</v>
      </c>
      <c r="AM404" s="243" t="s">
        <v>623</v>
      </c>
      <c r="AN404" s="464" t="s">
        <v>705</v>
      </c>
      <c r="AO404" s="192"/>
      <c r="AP404" s="193"/>
      <c r="AQ404" s="460" t="s">
        <v>696</v>
      </c>
      <c r="AR404" s="464" t="s">
        <v>787</v>
      </c>
      <c r="AS404" s="192"/>
      <c r="AT404" s="192"/>
      <c r="AU404" s="192"/>
      <c r="AV404" s="193"/>
      <c r="AW404" s="192" t="s">
        <v>762</v>
      </c>
      <c r="AX404" s="192"/>
      <c r="AY404" s="533"/>
      <c r="AZ404" s="468"/>
      <c r="BA404" s="534"/>
      <c r="BB404" s="534"/>
      <c r="BC404" s="534"/>
      <c r="BD404" s="468"/>
      <c r="BE404" s="468"/>
      <c r="BF404" s="468"/>
      <c r="BG404" s="468"/>
      <c r="BH404" s="468"/>
      <c r="BI404" s="535" t="s">
        <v>709</v>
      </c>
      <c r="BJ404" s="468"/>
      <c r="BK404" s="468"/>
      <c r="BL404" s="468"/>
      <c r="BM404" s="468"/>
      <c r="BN404" s="468"/>
      <c r="BO404" s="535" t="s">
        <v>711</v>
      </c>
      <c r="BP404" s="468"/>
      <c r="BQ404" s="468"/>
      <c r="BR404" s="469"/>
      <c r="BS404" s="546" t="s">
        <v>749</v>
      </c>
      <c r="BT404" s="545" t="s">
        <v>712</v>
      </c>
      <c r="BU404" s="452"/>
      <c r="BV404" s="452"/>
      <c r="BW404" s="452"/>
      <c r="BX404" s="452"/>
      <c r="BY404" s="452"/>
      <c r="BZ404" s="452"/>
      <c r="CA404" s="452"/>
      <c r="CB404" s="452"/>
      <c r="CC404" s="452"/>
      <c r="CD404" s="452"/>
      <c r="CE404" s="452"/>
      <c r="CF404" s="452"/>
      <c r="CG404" s="452"/>
      <c r="CH404" s="452"/>
      <c r="CI404" s="452"/>
      <c r="CJ404" s="452"/>
      <c r="CK404" s="452"/>
      <c r="CL404" s="453"/>
      <c r="CM404" s="452"/>
      <c r="CN404" s="452"/>
      <c r="CO404" s="452"/>
      <c r="CP404" s="452"/>
      <c r="CQ404" s="452"/>
      <c r="CR404" s="452"/>
      <c r="CS404" s="452"/>
      <c r="CT404" s="452"/>
      <c r="CU404" s="452"/>
      <c r="CV404" s="452"/>
      <c r="CW404" s="452"/>
      <c r="CX404" s="452"/>
      <c r="CY404" s="452"/>
      <c r="CZ404" s="454"/>
      <c r="DA404" s="464" t="s">
        <v>705</v>
      </c>
      <c r="DB404" s="192"/>
      <c r="DC404" s="193"/>
      <c r="DD404" s="460" t="s">
        <v>696</v>
      </c>
      <c r="DE404" s="464" t="s">
        <v>787</v>
      </c>
      <c r="DF404" s="192"/>
      <c r="DG404" s="192"/>
      <c r="DH404" s="192"/>
      <c r="DI404" s="193"/>
      <c r="DJ404" s="192" t="s">
        <v>762</v>
      </c>
      <c r="DK404" s="192"/>
      <c r="DL404" s="533"/>
      <c r="DM404" s="468"/>
      <c r="DN404" s="534"/>
      <c r="DO404" s="534"/>
      <c r="DP404" s="534"/>
      <c r="DQ404" s="468"/>
      <c r="DR404" s="468"/>
      <c r="DS404" s="468"/>
      <c r="DT404" s="468"/>
      <c r="DU404" s="468"/>
      <c r="DV404" s="535" t="s">
        <v>709</v>
      </c>
      <c r="DW404" s="468"/>
      <c r="DX404" s="468"/>
      <c r="DY404" s="468"/>
      <c r="DZ404" s="468"/>
      <c r="EA404" s="468"/>
      <c r="EB404" s="535" t="s">
        <v>711</v>
      </c>
      <c r="EC404" s="468"/>
      <c r="ED404" s="468"/>
      <c r="EE404" s="469"/>
      <c r="EF404" s="546" t="s">
        <v>749</v>
      </c>
      <c r="EG404" s="545" t="s">
        <v>712</v>
      </c>
      <c r="EH404" s="452"/>
      <c r="EI404" s="452"/>
      <c r="EJ404" s="452"/>
      <c r="EK404" s="452"/>
      <c r="EL404" s="452"/>
      <c r="EM404" s="452"/>
      <c r="EN404" s="452"/>
      <c r="EO404" s="452"/>
      <c r="EP404" s="452"/>
      <c r="EQ404" s="452"/>
      <c r="ER404" s="452"/>
      <c r="ES404" s="452"/>
      <c r="ET404" s="452"/>
      <c r="EU404" s="452"/>
      <c r="EV404" s="452"/>
      <c r="EW404" s="452"/>
      <c r="EX404" s="452"/>
      <c r="EY404" s="453"/>
      <c r="EZ404" s="452"/>
      <c r="FA404" s="452"/>
      <c r="FB404" s="452"/>
      <c r="FC404" s="452"/>
      <c r="FD404" s="452"/>
      <c r="FE404" s="452"/>
      <c r="FF404" s="452"/>
      <c r="FG404" s="452"/>
      <c r="FH404" s="452"/>
      <c r="FI404" s="452"/>
      <c r="FJ404" s="452"/>
      <c r="FK404" s="452"/>
      <c r="FL404" s="452"/>
      <c r="FM404" s="454"/>
    </row>
    <row r="405" spans="1:169" x14ac:dyDescent="0.25">
      <c r="A405" s="286"/>
      <c r="B405" s="286"/>
      <c r="C405" s="290" t="s">
        <v>619</v>
      </c>
      <c r="D405" s="290" t="s">
        <v>618</v>
      </c>
      <c r="E405" s="290" t="s">
        <v>620</v>
      </c>
      <c r="F405" s="290" t="s">
        <v>619</v>
      </c>
      <c r="G405" s="290" t="s">
        <v>618</v>
      </c>
      <c r="H405" s="306" t="s">
        <v>620</v>
      </c>
      <c r="I405" s="324" t="s">
        <v>630</v>
      </c>
      <c r="J405" s="324" t="s">
        <v>631</v>
      </c>
      <c r="K405" s="324" t="s">
        <v>641</v>
      </c>
      <c r="L405" s="290" t="s">
        <v>614</v>
      </c>
      <c r="M405" s="290" t="s">
        <v>615</v>
      </c>
      <c r="N405" s="290" t="s">
        <v>635</v>
      </c>
      <c r="O405" s="290" t="s">
        <v>636</v>
      </c>
      <c r="P405" s="306" t="s">
        <v>737</v>
      </c>
      <c r="Q405" s="306" t="s">
        <v>738</v>
      </c>
      <c r="R405" s="407" t="s">
        <v>698</v>
      </c>
      <c r="S405" s="344" t="s">
        <v>700</v>
      </c>
      <c r="T405" s="407" t="s">
        <v>699</v>
      </c>
      <c r="U405" s="344" t="s">
        <v>701</v>
      </c>
      <c r="V405" s="346" t="s">
        <v>691</v>
      </c>
      <c r="W405" s="347" t="s">
        <v>692</v>
      </c>
      <c r="X405" s="347" t="s">
        <v>715</v>
      </c>
      <c r="Y405" s="552" t="s">
        <v>761</v>
      </c>
      <c r="Z405" s="478" t="s">
        <v>718</v>
      </c>
      <c r="AA405" s="346" t="s">
        <v>691</v>
      </c>
      <c r="AB405" s="346" t="s">
        <v>692</v>
      </c>
      <c r="AC405" s="342" t="s">
        <v>716</v>
      </c>
      <c r="AD405" s="346" t="s">
        <v>691</v>
      </c>
      <c r="AE405" s="347" t="s">
        <v>692</v>
      </c>
      <c r="AF405" s="556" t="s">
        <v>717</v>
      </c>
      <c r="AG405" s="324" t="s">
        <v>747</v>
      </c>
      <c r="AH405" s="242" t="s">
        <v>790</v>
      </c>
      <c r="AI405" s="242" t="s">
        <v>52</v>
      </c>
      <c r="AJ405" s="244" t="s">
        <v>28</v>
      </c>
      <c r="AK405" s="244" t="s">
        <v>29</v>
      </c>
      <c r="AL405" s="244" t="s">
        <v>30</v>
      </c>
      <c r="AM405" s="244" t="s">
        <v>31</v>
      </c>
      <c r="AN405" s="243" t="s">
        <v>619</v>
      </c>
      <c r="AO405" s="243" t="s">
        <v>618</v>
      </c>
      <c r="AP405" s="243" t="s">
        <v>620</v>
      </c>
      <c r="AQ405" s="456" t="s">
        <v>643</v>
      </c>
      <c r="AR405" s="465" t="s">
        <v>645</v>
      </c>
      <c r="AS405" s="243" t="s">
        <v>644</v>
      </c>
      <c r="AT405" s="243" t="s">
        <v>646</v>
      </c>
      <c r="AU405" s="243" t="s">
        <v>647</v>
      </c>
      <c r="AV405" s="243" t="s">
        <v>464</v>
      </c>
      <c r="AW405" s="243" t="s">
        <v>648</v>
      </c>
      <c r="AX405" s="243" t="s">
        <v>548</v>
      </c>
      <c r="AY405" s="243" t="s">
        <v>649</v>
      </c>
      <c r="AZ405" s="243" t="s">
        <v>650</v>
      </c>
      <c r="BA405" s="466" t="s">
        <v>651</v>
      </c>
      <c r="BB405" s="466" t="s">
        <v>652</v>
      </c>
      <c r="BC405" s="243" t="s">
        <v>710</v>
      </c>
      <c r="BD405" s="243" t="s">
        <v>655</v>
      </c>
      <c r="BE405" s="243" t="s">
        <v>656</v>
      </c>
      <c r="BF405" s="243" t="s">
        <v>657</v>
      </c>
      <c r="BG405" s="243" t="s">
        <v>666</v>
      </c>
      <c r="BH405" s="460" t="s">
        <v>464</v>
      </c>
      <c r="BI405" s="243" t="s">
        <v>654</v>
      </c>
      <c r="BJ405" s="243" t="s">
        <v>658</v>
      </c>
      <c r="BK405" s="243" t="s">
        <v>659</v>
      </c>
      <c r="BL405" s="243" t="s">
        <v>660</v>
      </c>
      <c r="BM405" s="243" t="s">
        <v>661</v>
      </c>
      <c r="BN405" s="460" t="s">
        <v>464</v>
      </c>
      <c r="BO405" s="243" t="s">
        <v>662</v>
      </c>
      <c r="BP405" s="243" t="s">
        <v>663</v>
      </c>
      <c r="BQ405" s="243" t="s">
        <v>664</v>
      </c>
      <c r="BR405" s="243" t="s">
        <v>464</v>
      </c>
      <c r="BS405" s="243" t="s">
        <v>464</v>
      </c>
      <c r="BT405" s="464" t="s">
        <v>713</v>
      </c>
      <c r="BU405" s="468"/>
      <c r="BV405" s="468"/>
      <c r="BW405" s="469"/>
      <c r="BX405" s="471" t="s">
        <v>714</v>
      </c>
      <c r="BY405" s="472"/>
      <c r="BZ405" s="472"/>
      <c r="CA405" s="472"/>
      <c r="CB405" s="472"/>
      <c r="CC405" s="472"/>
      <c r="CD405" s="472"/>
      <c r="CE405" s="472"/>
      <c r="CF405" s="472"/>
      <c r="CG405" s="472"/>
      <c r="CH405" s="472"/>
      <c r="CI405" s="472"/>
      <c r="CJ405" s="472"/>
      <c r="CK405" s="472"/>
      <c r="CL405" s="464" t="s">
        <v>706</v>
      </c>
      <c r="CM405" s="468"/>
      <c r="CN405" s="468"/>
      <c r="CO405" s="468"/>
      <c r="CP405" s="468"/>
      <c r="CQ405" s="469"/>
      <c r="CR405" s="248" t="s">
        <v>707</v>
      </c>
      <c r="CS405" s="473"/>
      <c r="CT405" s="473"/>
      <c r="CU405" s="474"/>
      <c r="CV405" s="475" t="s">
        <v>708</v>
      </c>
      <c r="CW405" s="473"/>
      <c r="CX405" s="473"/>
      <c r="CY405" s="474"/>
      <c r="CZ405" s="476" t="s">
        <v>645</v>
      </c>
      <c r="DA405" s="243" t="s">
        <v>619</v>
      </c>
      <c r="DB405" s="243" t="s">
        <v>618</v>
      </c>
      <c r="DC405" s="243" t="s">
        <v>620</v>
      </c>
      <c r="DD405" s="456" t="s">
        <v>643</v>
      </c>
      <c r="DE405" s="465" t="s">
        <v>645</v>
      </c>
      <c r="DF405" s="243" t="s">
        <v>644</v>
      </c>
      <c r="DG405" s="243" t="s">
        <v>646</v>
      </c>
      <c r="DH405" s="243" t="s">
        <v>647</v>
      </c>
      <c r="DI405" s="243" t="s">
        <v>464</v>
      </c>
      <c r="DJ405" s="243" t="s">
        <v>648</v>
      </c>
      <c r="DK405" s="243" t="s">
        <v>548</v>
      </c>
      <c r="DL405" s="243" t="s">
        <v>649</v>
      </c>
      <c r="DM405" s="243" t="s">
        <v>650</v>
      </c>
      <c r="DN405" s="466" t="s">
        <v>651</v>
      </c>
      <c r="DO405" s="466" t="s">
        <v>652</v>
      </c>
      <c r="DP405" s="243" t="s">
        <v>710</v>
      </c>
      <c r="DQ405" s="243" t="s">
        <v>655</v>
      </c>
      <c r="DR405" s="243" t="s">
        <v>656</v>
      </c>
      <c r="DS405" s="243" t="s">
        <v>657</v>
      </c>
      <c r="DT405" s="243" t="s">
        <v>666</v>
      </c>
      <c r="DU405" s="460" t="s">
        <v>464</v>
      </c>
      <c r="DV405" s="243" t="s">
        <v>654</v>
      </c>
      <c r="DW405" s="243" t="s">
        <v>658</v>
      </c>
      <c r="DX405" s="243" t="s">
        <v>659</v>
      </c>
      <c r="DY405" s="243" t="s">
        <v>660</v>
      </c>
      <c r="DZ405" s="243" t="s">
        <v>661</v>
      </c>
      <c r="EA405" s="460" t="s">
        <v>464</v>
      </c>
      <c r="EB405" s="243" t="s">
        <v>662</v>
      </c>
      <c r="EC405" s="243" t="s">
        <v>663</v>
      </c>
      <c r="ED405" s="243" t="s">
        <v>664</v>
      </c>
      <c r="EE405" s="243" t="s">
        <v>464</v>
      </c>
      <c r="EF405" s="243" t="s">
        <v>464</v>
      </c>
      <c r="EG405" s="464" t="s">
        <v>713</v>
      </c>
      <c r="EH405" s="468"/>
      <c r="EI405" s="468"/>
      <c r="EJ405" s="469"/>
      <c r="EK405" s="471" t="s">
        <v>714</v>
      </c>
      <c r="EL405" s="472"/>
      <c r="EM405" s="472"/>
      <c r="EN405" s="472"/>
      <c r="EO405" s="472"/>
      <c r="EP405" s="472"/>
      <c r="EQ405" s="472"/>
      <c r="ER405" s="472"/>
      <c r="ES405" s="472"/>
      <c r="ET405" s="472"/>
      <c r="EU405" s="472"/>
      <c r="EV405" s="472"/>
      <c r="EW405" s="472"/>
      <c r="EX405" s="472"/>
      <c r="EY405" s="464" t="s">
        <v>706</v>
      </c>
      <c r="EZ405" s="468"/>
      <c r="FA405" s="468"/>
      <c r="FB405" s="468"/>
      <c r="FC405" s="468"/>
      <c r="FD405" s="469"/>
      <c r="FE405" s="248" t="s">
        <v>707</v>
      </c>
      <c r="FF405" s="473"/>
      <c r="FG405" s="473"/>
      <c r="FH405" s="474"/>
      <c r="FI405" s="475" t="s">
        <v>708</v>
      </c>
      <c r="FJ405" s="473"/>
      <c r="FK405" s="473"/>
      <c r="FL405" s="474"/>
      <c r="FM405" s="476" t="s">
        <v>645</v>
      </c>
    </row>
    <row r="406" spans="1:169" x14ac:dyDescent="0.25">
      <c r="A406" s="291"/>
      <c r="B406" s="291"/>
      <c r="C406" s="292" t="s">
        <v>616</v>
      </c>
      <c r="D406" s="292" t="s">
        <v>616</v>
      </c>
      <c r="E406" s="292" t="s">
        <v>617</v>
      </c>
      <c r="F406" s="292" t="s">
        <v>616</v>
      </c>
      <c r="G406" s="292" t="s">
        <v>616</v>
      </c>
      <c r="H406" s="307" t="s">
        <v>617</v>
      </c>
      <c r="I406" s="325" t="s">
        <v>627</v>
      </c>
      <c r="J406" s="325" t="s">
        <v>627</v>
      </c>
      <c r="K406" s="325" t="s">
        <v>627</v>
      </c>
      <c r="L406" s="292" t="s">
        <v>627</v>
      </c>
      <c r="M406" s="292" t="s">
        <v>627</v>
      </c>
      <c r="N406" s="292"/>
      <c r="O406" s="325" t="s">
        <v>627</v>
      </c>
      <c r="P406" s="409" t="s">
        <v>627</v>
      </c>
      <c r="Q406" s="409" t="s">
        <v>627</v>
      </c>
      <c r="R406" s="325" t="s">
        <v>627</v>
      </c>
      <c r="S406" s="325" t="s">
        <v>627</v>
      </c>
      <c r="T406" s="325" t="s">
        <v>627</v>
      </c>
      <c r="U406" s="325" t="s">
        <v>627</v>
      </c>
      <c r="V406" s="292" t="s">
        <v>690</v>
      </c>
      <c r="W406" s="343" t="s">
        <v>690</v>
      </c>
      <c r="X406" s="343"/>
      <c r="Y406" s="410" t="s">
        <v>627</v>
      </c>
      <c r="Z406" s="292"/>
      <c r="AA406" s="292" t="s">
        <v>616</v>
      </c>
      <c r="AB406" s="292" t="s">
        <v>616</v>
      </c>
      <c r="AC406" s="343"/>
      <c r="AD406" s="292" t="s">
        <v>616</v>
      </c>
      <c r="AE406" s="343" t="s">
        <v>616</v>
      </c>
      <c r="AF406" s="307"/>
      <c r="AG406" s="554" t="s">
        <v>748</v>
      </c>
      <c r="AH406" s="329" t="s">
        <v>627</v>
      </c>
      <c r="AI406" s="341" t="s">
        <v>626</v>
      </c>
      <c r="AJ406" s="329" t="s">
        <v>627</v>
      </c>
      <c r="AK406" s="329" t="s">
        <v>627</v>
      </c>
      <c r="AL406" s="329" t="s">
        <v>627</v>
      </c>
      <c r="AM406" s="329" t="s">
        <v>627</v>
      </c>
      <c r="AN406" s="459" t="s">
        <v>616</v>
      </c>
      <c r="AO406" s="459" t="s">
        <v>616</v>
      </c>
      <c r="AP406" s="459" t="s">
        <v>617</v>
      </c>
      <c r="AQ406" s="457" t="s">
        <v>627</v>
      </c>
      <c r="AR406" s="459" t="s">
        <v>627</v>
      </c>
      <c r="AS406" s="459" t="s">
        <v>690</v>
      </c>
      <c r="AT406" s="329" t="s">
        <v>690</v>
      </c>
      <c r="AU406" s="329" t="s">
        <v>690</v>
      </c>
      <c r="AV406" s="578" t="s">
        <v>715</v>
      </c>
      <c r="AW406" s="459" t="s">
        <v>627</v>
      </c>
      <c r="AX406" s="459" t="s">
        <v>627</v>
      </c>
      <c r="AY406" s="459" t="s">
        <v>627</v>
      </c>
      <c r="AZ406" s="329"/>
      <c r="BA406" s="467"/>
      <c r="BB406" s="459" t="s">
        <v>627</v>
      </c>
      <c r="BC406" s="459" t="s">
        <v>627</v>
      </c>
      <c r="BD406" s="459" t="s">
        <v>627</v>
      </c>
      <c r="BE406" s="459" t="s">
        <v>627</v>
      </c>
      <c r="BF406" s="459" t="s">
        <v>627</v>
      </c>
      <c r="BG406" s="459" t="s">
        <v>627</v>
      </c>
      <c r="BH406" s="578" t="s">
        <v>718</v>
      </c>
      <c r="BI406" s="459" t="s">
        <v>616</v>
      </c>
      <c r="BJ406" s="459" t="s">
        <v>626</v>
      </c>
      <c r="BK406" s="459" t="s">
        <v>626</v>
      </c>
      <c r="BL406" s="459" t="s">
        <v>690</v>
      </c>
      <c r="BM406" s="459" t="s">
        <v>690</v>
      </c>
      <c r="BN406" s="577" t="s">
        <v>716</v>
      </c>
      <c r="BO406" s="459" t="s">
        <v>690</v>
      </c>
      <c r="BP406" s="459" t="s">
        <v>690</v>
      </c>
      <c r="BQ406" s="459" t="s">
        <v>690</v>
      </c>
      <c r="BR406" s="455" t="s">
        <v>717</v>
      </c>
      <c r="BS406" s="455" t="s">
        <v>750</v>
      </c>
      <c r="BT406" s="470" t="s">
        <v>667</v>
      </c>
      <c r="BU406" s="470" t="s">
        <v>668</v>
      </c>
      <c r="BV406" s="470" t="s">
        <v>653</v>
      </c>
      <c r="BW406" s="470" t="s">
        <v>28</v>
      </c>
      <c r="BX406" s="470" t="s">
        <v>665</v>
      </c>
      <c r="BY406" s="470" t="s">
        <v>669</v>
      </c>
      <c r="BZ406" s="470" t="s">
        <v>670</v>
      </c>
      <c r="CA406" s="470" t="s">
        <v>671</v>
      </c>
      <c r="CB406" s="470" t="s">
        <v>672</v>
      </c>
      <c r="CC406" s="470" t="s">
        <v>673</v>
      </c>
      <c r="CD406" s="470" t="s">
        <v>674</v>
      </c>
      <c r="CE406" s="470" t="s">
        <v>620</v>
      </c>
      <c r="CF406" s="470" t="s">
        <v>630</v>
      </c>
      <c r="CG406" s="470" t="s">
        <v>619</v>
      </c>
      <c r="CH406" s="470" t="s">
        <v>675</v>
      </c>
      <c r="CI406" s="470" t="s">
        <v>676</v>
      </c>
      <c r="CJ406" s="470" t="s">
        <v>677</v>
      </c>
      <c r="CK406" s="470" t="s">
        <v>678</v>
      </c>
      <c r="CL406" s="470" t="s">
        <v>679</v>
      </c>
      <c r="CM406" s="470" t="s">
        <v>680</v>
      </c>
      <c r="CN406" s="470" t="s">
        <v>681</v>
      </c>
      <c r="CO406" s="470" t="s">
        <v>680</v>
      </c>
      <c r="CP406" s="470" t="s">
        <v>681</v>
      </c>
      <c r="CQ406" s="470" t="s">
        <v>645</v>
      </c>
      <c r="CR406" s="470" t="s">
        <v>679</v>
      </c>
      <c r="CS406" s="470" t="s">
        <v>680</v>
      </c>
      <c r="CT406" s="470" t="s">
        <v>681</v>
      </c>
      <c r="CU406" s="470" t="s">
        <v>645</v>
      </c>
      <c r="CV406" s="470" t="s">
        <v>679</v>
      </c>
      <c r="CW406" s="470" t="s">
        <v>680</v>
      </c>
      <c r="CX406" s="470" t="s">
        <v>681</v>
      </c>
      <c r="CY406" s="470" t="s">
        <v>645</v>
      </c>
      <c r="CZ406" s="458" t="s">
        <v>627</v>
      </c>
      <c r="DA406" s="459" t="s">
        <v>616</v>
      </c>
      <c r="DB406" s="459" t="s">
        <v>616</v>
      </c>
      <c r="DC406" s="459" t="s">
        <v>617</v>
      </c>
      <c r="DD406" s="457" t="s">
        <v>627</v>
      </c>
      <c r="DE406" s="459" t="s">
        <v>627</v>
      </c>
      <c r="DF406" s="459" t="s">
        <v>690</v>
      </c>
      <c r="DG406" s="329" t="s">
        <v>690</v>
      </c>
      <c r="DH406" s="329" t="s">
        <v>690</v>
      </c>
      <c r="DI406" s="578" t="s">
        <v>715</v>
      </c>
      <c r="DJ406" s="459" t="s">
        <v>627</v>
      </c>
      <c r="DK406" s="459" t="s">
        <v>627</v>
      </c>
      <c r="DL406" s="459" t="s">
        <v>627</v>
      </c>
      <c r="DM406" s="329"/>
      <c r="DN406" s="467"/>
      <c r="DO406" s="459" t="s">
        <v>627</v>
      </c>
      <c r="DP406" s="459" t="s">
        <v>627</v>
      </c>
      <c r="DQ406" s="459" t="s">
        <v>627</v>
      </c>
      <c r="DR406" s="459" t="s">
        <v>627</v>
      </c>
      <c r="DS406" s="459" t="s">
        <v>627</v>
      </c>
      <c r="DT406" s="459" t="s">
        <v>627</v>
      </c>
      <c r="DU406" s="578" t="s">
        <v>718</v>
      </c>
      <c r="DV406" s="459" t="s">
        <v>616</v>
      </c>
      <c r="DW406" s="459" t="s">
        <v>626</v>
      </c>
      <c r="DX406" s="459" t="s">
        <v>626</v>
      </c>
      <c r="DY406" s="459" t="s">
        <v>690</v>
      </c>
      <c r="DZ406" s="459" t="s">
        <v>690</v>
      </c>
      <c r="EA406" s="577" t="s">
        <v>716</v>
      </c>
      <c r="EB406" s="459" t="s">
        <v>690</v>
      </c>
      <c r="EC406" s="459" t="s">
        <v>690</v>
      </c>
      <c r="ED406" s="459" t="s">
        <v>690</v>
      </c>
      <c r="EE406" s="455" t="s">
        <v>717</v>
      </c>
      <c r="EF406" s="455" t="s">
        <v>750</v>
      </c>
      <c r="EG406" s="470" t="s">
        <v>667</v>
      </c>
      <c r="EH406" s="470" t="s">
        <v>668</v>
      </c>
      <c r="EI406" s="470" t="s">
        <v>653</v>
      </c>
      <c r="EJ406" s="470" t="s">
        <v>28</v>
      </c>
      <c r="EK406" s="470" t="s">
        <v>665</v>
      </c>
      <c r="EL406" s="470" t="s">
        <v>669</v>
      </c>
      <c r="EM406" s="470" t="s">
        <v>670</v>
      </c>
      <c r="EN406" s="470" t="s">
        <v>671</v>
      </c>
      <c r="EO406" s="470" t="s">
        <v>672</v>
      </c>
      <c r="EP406" s="470" t="s">
        <v>673</v>
      </c>
      <c r="EQ406" s="470" t="s">
        <v>674</v>
      </c>
      <c r="ER406" s="470" t="s">
        <v>620</v>
      </c>
      <c r="ES406" s="470" t="s">
        <v>630</v>
      </c>
      <c r="ET406" s="470" t="s">
        <v>619</v>
      </c>
      <c r="EU406" s="470" t="s">
        <v>675</v>
      </c>
      <c r="EV406" s="470" t="s">
        <v>676</v>
      </c>
      <c r="EW406" s="470" t="s">
        <v>677</v>
      </c>
      <c r="EX406" s="470" t="s">
        <v>678</v>
      </c>
      <c r="EY406" s="470" t="s">
        <v>679</v>
      </c>
      <c r="EZ406" s="470" t="s">
        <v>680</v>
      </c>
      <c r="FA406" s="470" t="s">
        <v>681</v>
      </c>
      <c r="FB406" s="470" t="s">
        <v>680</v>
      </c>
      <c r="FC406" s="470" t="s">
        <v>681</v>
      </c>
      <c r="FD406" s="470" t="s">
        <v>645</v>
      </c>
      <c r="FE406" s="470" t="s">
        <v>679</v>
      </c>
      <c r="FF406" s="470" t="s">
        <v>680</v>
      </c>
      <c r="FG406" s="470" t="s">
        <v>681</v>
      </c>
      <c r="FH406" s="470" t="s">
        <v>645</v>
      </c>
      <c r="FI406" s="470" t="s">
        <v>679</v>
      </c>
      <c r="FJ406" s="470" t="s">
        <v>680</v>
      </c>
      <c r="FK406" s="470" t="s">
        <v>681</v>
      </c>
      <c r="FL406" s="470" t="s">
        <v>645</v>
      </c>
      <c r="FM406" s="458" t="s">
        <v>627</v>
      </c>
    </row>
    <row r="407" spans="1:169" x14ac:dyDescent="0.25">
      <c r="A407" s="293" t="s">
        <v>727</v>
      </c>
      <c r="B407" s="316" t="s">
        <v>105</v>
      </c>
      <c r="C407" s="337">
        <v>-525</v>
      </c>
      <c r="D407" s="294">
        <v>0</v>
      </c>
      <c r="E407" s="326">
        <v>0</v>
      </c>
      <c r="F407" s="339">
        <v>-525</v>
      </c>
      <c r="G407" s="294">
        <v>0</v>
      </c>
      <c r="H407" s="326">
        <v>0</v>
      </c>
      <c r="I407" s="295">
        <v>19</v>
      </c>
      <c r="J407" s="369">
        <v>17</v>
      </c>
      <c r="K407" s="327">
        <v>2</v>
      </c>
      <c r="L407" s="295">
        <v>28</v>
      </c>
      <c r="M407" s="327">
        <v>28</v>
      </c>
      <c r="N407" s="330">
        <v>4</v>
      </c>
      <c r="O407" s="296">
        <v>1</v>
      </c>
      <c r="P407" s="296">
        <v>1.5</v>
      </c>
      <c r="Q407" s="327">
        <v>1.5</v>
      </c>
      <c r="R407" s="494">
        <f t="shared" ref="R407:R415" si="2">IF(OR(AND($C407="",$D407="",$E407=""),AND($C407=0,$D407=0,$E407=0)),"---",IF($C407=0,"(Infinite)",$AQ407))</f>
        <v>0</v>
      </c>
      <c r="S407" s="494">
        <f t="shared" ref="S407:S415" si="3">IF(OR(AND($C407="",$D407="",$E407=""),AND($C407=0,$D407=0,$E407=0)),"---",$AR407)</f>
        <v>19</v>
      </c>
      <c r="T407" s="494">
        <f t="shared" ref="T407:T415" si="4">IF(OR(AND($F407="",$G407="",$H407=""),AND($F407=0,$G407=0,$H407=0)),"---",IF($F407=0,"(Infinite)",$DD407))</f>
        <v>0</v>
      </c>
      <c r="U407" s="495">
        <f t="shared" ref="U407:U415" si="5">IF(OR(AND($F407="",$G407="",$H407=""),AND($F407=0,$G407=0,$H407=0)),"---",$DE407)</f>
        <v>19</v>
      </c>
      <c r="V407" s="496">
        <f t="shared" ref="V407:V415" si="6">MAX($AT407,$DG407)</f>
        <v>1.6253869969040247</v>
      </c>
      <c r="W407" s="498">
        <f t="shared" ref="W407:W415" si="7">MIN($AS407,$DF407)</f>
        <v>1.6358597591794921</v>
      </c>
      <c r="X407" s="497">
        <f t="shared" ref="X407:X415" si="8">MAX($AV407,$DI407)</f>
        <v>0.99359800727617364</v>
      </c>
      <c r="Y407" s="496">
        <f t="shared" ref="Y407:Y415" si="9">MAX($BG407,$DT407)</f>
        <v>1.5794194959770649</v>
      </c>
      <c r="Z407" s="497">
        <f t="shared" ref="Z407:Z415" si="10">MAX($BH407,$DU407)</f>
        <v>0.78970974798853244</v>
      </c>
      <c r="AA407" s="499">
        <f t="shared" ref="AA407:AA415" si="11">MAX($BI407,$DV407)</f>
        <v>0</v>
      </c>
      <c r="AB407" s="500">
        <f t="shared" ref="AB407:AB415" si="12">MIN($BM407,$DZ407)</f>
        <v>15.001104920891263</v>
      </c>
      <c r="AC407" s="497">
        <f t="shared" ref="AC407:AC415" si="13">MAX($BN407,$EA407)</f>
        <v>0</v>
      </c>
      <c r="AD407" s="543">
        <f t="shared" ref="AD407:AD415" si="14">MAX($BQ407,$ED407)</f>
        <v>0</v>
      </c>
      <c r="AE407" s="500">
        <f t="shared" ref="AE407:AE415" si="15">MIN($BP407,$EC407)</f>
        <v>7.7754418176347384</v>
      </c>
      <c r="AF407" s="497">
        <f t="shared" ref="AF407:AF415" si="16">MAX($BR407,$EE407)</f>
        <v>0</v>
      </c>
      <c r="AG407" s="557" t="str">
        <f t="shared" ref="AG407:AG415" si="17">IF(AND($BS407="N.A.",$EF407="N.A."),"---",MAX($BS407,$EF407))</f>
        <v>---</v>
      </c>
      <c r="AH407" s="594">
        <f t="shared" ref="AH407:AH415" si="18">MAX($AW407/4,$AX407/4)</f>
        <v>1.095</v>
      </c>
      <c r="AI407" s="501">
        <f t="shared" ref="AI407:AI415" si="19">VLOOKUP($B407,$A$4:$F$378,2,FALSE)</f>
        <v>29.4</v>
      </c>
      <c r="AJ407" s="502">
        <f t="shared" ref="AJ407:AJ415" si="20">VLOOKUP($B407,$A$4:$F$378,3,FALSE)</f>
        <v>11.1</v>
      </c>
      <c r="AK407" s="502">
        <f t="shared" ref="AK407:AK415" si="21">VLOOKUP($B407,$A$4:$F$378,4,FALSE)</f>
        <v>0.68</v>
      </c>
      <c r="AL407" s="502">
        <f t="shared" ref="AL407:AL415" si="22">VLOOKUP($B407,$A$4:$F$378,5,FALSE)</f>
        <v>10.3</v>
      </c>
      <c r="AM407" s="503">
        <f t="shared" ref="AM407:AM415" si="23">VLOOKUP($B407,$A$4:$F$378,6,FALSE)</f>
        <v>1.1200000000000001</v>
      </c>
      <c r="AN407" s="501">
        <f t="shared" ref="AN407:AN415" si="24">-IF($C407=0,0.0001,$C407)</f>
        <v>525</v>
      </c>
      <c r="AO407" s="504">
        <f t="shared" ref="AO407:AO415" si="25">ABS($D407)</f>
        <v>0</v>
      </c>
      <c r="AP407" s="529">
        <f t="shared" ref="AP407:AP415" si="26">ABS($E407)</f>
        <v>0</v>
      </c>
      <c r="AQ407" s="530">
        <f t="shared" ref="AQ407:AQ415" si="27">ABS($AP407*12/$AN407)</f>
        <v>0</v>
      </c>
      <c r="AR407" s="592">
        <f t="shared" ref="AR407:AR415" si="28">IF($AN407&gt;0,IF($AQ407&lt;=$I407/6,$I407,IF($AQ407&gt;$I407/2-$CZ407/3,$CZ407,3*($I407/2-$AQ407))),IF($AN407&lt;0,IF($AQ407&gt;$I407/2-$P407,$CZ407,0)))</f>
        <v>19</v>
      </c>
      <c r="AS407" s="502">
        <f t="shared" ref="AS407:AS415" si="29">MIN(0.35*SQRT($L407*$M407/($I407*$J407))*$D$389,0.7*$D$389)</f>
        <v>1.6358597591794921</v>
      </c>
      <c r="AT407" s="506">
        <f t="shared" ref="AT407:AT415" si="30">IF($AR407&gt;0,IF($AQ407&lt;=$I407/6,ABS($AN407)/($I407*$J407)*(1+6*$AQ407/$I407),2*($AN407+-$AN407*($I407/2-$AR407/3-$AP407*12/$AN407)/($I407/2-$AR407/3+($I407/2-$P407)))/($AR407*$J407)),0)</f>
        <v>1.6253869969040247</v>
      </c>
      <c r="AU407" s="506">
        <f t="shared" ref="AU407:AU415" si="31">IF($AR407&gt;0,IF($AQ407&lt;=$I407/6,ABS($AN407)/($I407*$J407)*(1-6*$AQ407/$I407),0),0)</f>
        <v>1.6253869969040247</v>
      </c>
      <c r="AV407" s="503">
        <f t="shared" ref="AV407:AV415" si="32">$AT407/$AS407</f>
        <v>0.99359800727617364</v>
      </c>
      <c r="AW407" s="559">
        <f t="shared" ref="AW407:AW415" si="33">($I407-0.95*$AJ407)/2</f>
        <v>4.2275</v>
      </c>
      <c r="AX407" s="507">
        <f t="shared" ref="AX407:AX415" si="34">($J407-0.8*$AL407)/2</f>
        <v>4.38</v>
      </c>
      <c r="AY407" s="507">
        <f t="shared" ref="AY407:AY415" si="35">IF($AR407&gt;0,SQRT($AJ407*$AL407)/4,"N.A.")</f>
        <v>2.6731301876264837</v>
      </c>
      <c r="AZ407" s="507">
        <f t="shared" ref="AZ407:AZ415" si="36">IF($AR407&gt;0,4*($AT407+$AU407)/2*$AJ407*$AL407/(($AJ407+$AL407)^2*$AS407),"N.A.")</f>
        <v>0.99220945210834965</v>
      </c>
      <c r="BA407" s="507">
        <f t="shared" ref="BA407:BA415" si="37">IF($AR407&gt;0,IF($AZ407&gt;0,IF($AZ407&gt;=0.64,1,2*(1-SQRT(1-$AZ407))/SQRT($AZ407))),"N.A.")</f>
        <v>1</v>
      </c>
      <c r="BB407" s="511">
        <f t="shared" ref="BB407:BB415" si="38">IF($AR407&gt;0,$BA407*SQRT($AJ407*$AL407)/4,"N.A.")</f>
        <v>2.6731301876264837</v>
      </c>
      <c r="BC407" s="506">
        <f t="shared" ref="BC407:BC415" si="39">IF(OR($N407=4,$N407=6,$N407=8),MIN(ABS($AW407-$P407),($J407-2*$Q407)/(2*($N407/2-1)))+MIN(ABS($AW407-$P407),($J407-2*$Q407)/(2*($N407/2-1)),$Q407),IF($N407=2,ABS($AW407-$P407)+MIN(ABS($AW407-$P407),$Q407)))</f>
        <v>4.2275</v>
      </c>
      <c r="BD407" s="502">
        <f t="shared" ref="BD407:BD415" si="40">IF(AND($AR407&gt;0,$AN407&gt;0,$AP407=0),2*MAX($AW407,$AX407,$BB407)*SQRT($AT407/$D$388),"N.A.")</f>
        <v>1.5794194959770649</v>
      </c>
      <c r="BE407" s="506" t="str">
        <f t="shared" ref="BE407:BE415" si="41">IF(AND($AR407&gt;$AW407,$AP407&gt;0),MAX(SQRT(6*(($AT407-(($AT407-$AU407)/$AR407)*$AW407)*$AW407^2/2+(($AT407-$AU407)/$AR407)*$AW407^3/3)/(0.75*$D$388)),2*$AX407*SQRT(($AT407+$AU407)/2/$D$388),2*$BB407*SQRT(($AT407+$AU407)/2/$D$388),SQRT(6*$BI407*ABS($AW407-$P407)/$BC407/(0.75*$D$388))),"N.A.")</f>
        <v>N.A.</v>
      </c>
      <c r="BF407" s="506" t="str">
        <f t="shared" ref="BF407:BF415" si="42">IF(AND($AR407&lt;=$AW407,$AP407&gt;=0),MAX(SQRT(6*$AT407*$AR407/2*($AW407-$AR407/3)/(0.75*$D$388)),SQRT(6*$BI407*ABS($AW407-$P407)/$BC407/(0.75*$D$388))),"N.A.")</f>
        <v>N.A.</v>
      </c>
      <c r="BG407" s="506">
        <f t="shared" ref="BG407:BG415" si="43">MAX($BD407:$BF407)</f>
        <v>1.5794194959770649</v>
      </c>
      <c r="BH407" s="503">
        <f t="shared" ref="BH407:BH415" si="44">$BG407/$K407</f>
        <v>0.78970974798853244</v>
      </c>
      <c r="BI407" s="532">
        <f t="shared" ref="BI407:BI415" si="45">IF($AR407&gt;0,IF($AQ407&gt;$I407/6,MAX(-$AN407*($I407/2-$AR407/3-$AP407*12/$AN407)/($I407/2-$AR407/3+($I407/2-$P407))/($N407/2),0),0),-$AN407*($I407/2-$P407-$AP407*12/$AN407)/(2*($I407/2-$P407))/($N407/2))</f>
        <v>0</v>
      </c>
      <c r="BJ407" s="506">
        <f t="shared" ref="BJ407:BJ415" si="46">PI()*$O407^2/4</f>
        <v>0.78539816339744828</v>
      </c>
      <c r="BK407" s="506">
        <f>VLOOKUP($O407,$H$5:$K$20,3)</f>
        <v>0.60574540107571861</v>
      </c>
      <c r="BL407" s="508">
        <f t="shared" ref="BL407:BL415" si="47">IF($D$390="A307",20,IF($D$390="A36",19.1,IF($D$390="A572",21.5,IF($D$390="A588",23.1,IF($D$390="F1554 (36)",19.1,IF($D$390="F1554 (55)",24.8,IF($D$390="F1554 (105)",41.3)))))))</f>
        <v>19.100000000000001</v>
      </c>
      <c r="BM407" s="508">
        <f t="shared" ref="BM407:BM415" si="48">$BJ407*$BL407</f>
        <v>15.001104920891263</v>
      </c>
      <c r="BN407" s="503">
        <f t="shared" ref="BN407:BN415" si="49">$BI407/$BM407</f>
        <v>0</v>
      </c>
      <c r="BO407" s="501">
        <f t="shared" ref="BO407:BO415" si="50">IF($D$390="A307",10,IF($D$390="A36",9.9,IF($D$390="A572",11.1,IF($D$390="A588",11.9,IF($D$390="F1554 (36)",9.9,IF($D$390="F1554 (55)",12.8,IF($D$390="F1554 (105)",21.3)))))))</f>
        <v>9.9</v>
      </c>
      <c r="BP407" s="504">
        <f t="shared" ref="BP407:BP415" si="51">$BJ407*$BO407</f>
        <v>7.7754418176347384</v>
      </c>
      <c r="BQ407" s="504">
        <f t="shared" ref="BQ407:BQ415" si="52">$AO407/$N407</f>
        <v>0</v>
      </c>
      <c r="BR407" s="503">
        <f t="shared" ref="BR407:BR415" si="53">$BQ407/$BP407</f>
        <v>0</v>
      </c>
      <c r="BS407" s="547" t="str">
        <f t="shared" ref="BS407:BS415" si="54">IF(AND($BI407&gt;0,$BQ407&gt;0),($D$391*$BQ407)/$BP407+$BI407/$BM407,"N.A.")</f>
        <v>N.A.</v>
      </c>
      <c r="BT407" s="536">
        <v>1</v>
      </c>
      <c r="BU407" s="505">
        <f t="shared" ref="BU407:BU415" si="55">3*($AP407*12/$AN407-$I407/2)</f>
        <v>-28.5</v>
      </c>
      <c r="BV407" s="505">
        <f t="shared" ref="BV407:BV415" si="56">6*29000/(57*($D$389*1000)^(1/2))*$N407/2*PI()*$O407^2/4/$J407*($I407/2-$P407+$AP407*12/$AN407)</f>
        <v>41.197864786828191</v>
      </c>
      <c r="BW407" s="505">
        <f t="shared" ref="BW407:BW415" si="57">-6*29000/(57*($D$389*1000)^(1/2))*$N407/2*PI()*$O407^2/4/$J407*($I407/2+$I407/2-$P407)*($I407/2-$P407+$AP407*12/$AN407)</f>
        <v>-720.96263376949332</v>
      </c>
      <c r="BX407" s="505">
        <f t="shared" ref="BX407:BX415" si="58">((3*$BV407/$BT407)-($BU407^2/$BT407^2))/3</f>
        <v>-229.55213521317182</v>
      </c>
      <c r="BY407" s="505">
        <f t="shared" ref="BY407:BY415" si="59">((2*$BU407^3/$BT407^3)-(9*$BU407*$BV407/$BT407^2)+(27*$BW407/$BT407))/27</f>
        <v>-2044.3329182946254</v>
      </c>
      <c r="BZ407" s="505">
        <f t="shared" ref="BZ407:BZ415" si="60">($BY407^2/4)+($BX407^3/27)</f>
        <v>596821.96758817008</v>
      </c>
      <c r="CA407" s="505" t="str">
        <f t="shared" ref="CA407:CA415" si="61">IF(AND($BX407=0,$BY407=0,$BZ407=0),"N.A.",IF($BZ407&lt;=0,SQRT(($BY407^2/4)-$BZ407),"N.A."))</f>
        <v>N.A.</v>
      </c>
      <c r="CB407" s="505" t="str">
        <f t="shared" ref="CB407:CB415" si="62">IF(AND($BX407=0,$BY407=0,$BZ407=0),"N.A.",IF($BZ407&lt;=0,$CA407^(1/3),"N.A."))</f>
        <v>N.A.</v>
      </c>
      <c r="CC407" s="505" t="str">
        <f t="shared" ref="CC407:CC415" si="63">IF(AND($BX407=0,$BY407=0,$BZ407=0),"N.A.",IF($BZ407&lt;=0,ACOS(-($BY407/(2*$CA407))),"N.A."))</f>
        <v>N.A.</v>
      </c>
      <c r="CD407" s="505" t="str">
        <f t="shared" ref="CD407:CD415" si="64">IF(AND($BX407=0,$BY407=0,$BZ407=0),"N.A.",IF($BZ407&lt;=0,$CB407*(-1),"N.A."))</f>
        <v>N.A.</v>
      </c>
      <c r="CE407" s="505" t="str">
        <f t="shared" ref="CE407:CE415" si="65">IF(AND($BX407=0,$BY407=0,$BZ407=0),"N.A.",IF($BZ407&lt;=0,COS($CC407/3),"N.A."))</f>
        <v>N.A.</v>
      </c>
      <c r="CF407" s="505" t="str">
        <f t="shared" ref="CF407:CF415" si="66">IF(AND($BX407=0,$BY407=0,$BZ407=0),"N.A.",IF($BZ407&lt;=0,SQRT(3)*SIN($CC407/3),"N.A."))</f>
        <v>N.A.</v>
      </c>
      <c r="CG407" s="505" t="str">
        <f t="shared" ref="CG407:CG415" si="67">IF(AND($BX407=0,$BY407=0,$BZ407=0),"N.A.",IF($BZ407&lt;=0,($BU407/(3*$BT407))*(-1),"N.A."))</f>
        <v>N.A.</v>
      </c>
      <c r="CH407" s="505">
        <f t="shared" ref="CH407:CH415" si="68">IF(AND($BX407=0,$BY407=0,$BZ407=0),"N.A.",IF($BZ407&gt;0,-($BY407/2)+SQRT($BZ407),"N.A."))</f>
        <v>1794.7089936320945</v>
      </c>
      <c r="CI407" s="505">
        <f t="shared" ref="CI407:CI415" si="69">IF(AND($BX407=0,$BY407=0,$BZ407=0),"N.A.",IF($BZ407&gt;0,$CH407^(1/3),"N.A."))</f>
        <v>12.152473416142778</v>
      </c>
      <c r="CJ407" s="505">
        <f t="shared" ref="CJ407:CJ415" si="70">IF(AND($BX407=0,$BY407=0,$BZ407=0),"N.A.",IF($BZ407&gt;0,-($BY407/2)-SQRT($BZ407),"N.A."))</f>
        <v>249.62392466253107</v>
      </c>
      <c r="CK407" s="505">
        <f t="shared" ref="CK407:CK415" si="71">IF(AND($BX407=0,$BY407=0,$BZ407=0),"N.A.",IF($BZ407&gt;0,$CJ407^(1/3),"N.A."))</f>
        <v>6.2964448293092747</v>
      </c>
      <c r="CL407" s="502" t="str">
        <f t="shared" ref="CL407:CL415" si="72">IF($AP407&gt;0,IF(AND($BX407=0,$BY407=0,$BZ407=0),"N.A.",IF($BZ407&gt;0,($CI407+$CK407)-($BU407/(3*$BT407)),"N.A.")),"N.A.")</f>
        <v>N.A.</v>
      </c>
      <c r="CM407" s="509" t="str">
        <f t="shared" ref="CM407:CN415" si="73">IF($AP407&gt;0,IF(AND($BX407=0,$BY407=0,$BZ407=0),"N.A.",IF($BZ407&gt;0,-($CI407+$CK407)/2-($BU407/(3*$BT407)),"N.A.")),"N.A.")</f>
        <v>N.A.</v>
      </c>
      <c r="CN407" s="509" t="str">
        <f t="shared" si="73"/>
        <v>N.A.</v>
      </c>
      <c r="CO407" s="510" t="str">
        <f t="shared" ref="CO407:CO415" si="74">IF($AP407&gt;0,IF(AND($BX407=0,$BY407=0,$BZ407=0),"",IF($BZ407&gt;0,ROUND(($CI407-$CK407)*SQRT(3)/2,6),"")),"")</f>
        <v/>
      </c>
      <c r="CP407" s="510" t="str">
        <f t="shared" ref="CP407:CP415" si="75">IF($AP407&gt;0,IF(AND($BX407=0,$BY407=0,$BZ407=0),"",IF($BZ407&gt;0,ROUND(-($CI407-$CK407)*SQRT(3)/2,6),"")),"")</f>
        <v/>
      </c>
      <c r="CQ407" s="502" t="str">
        <f t="shared" ref="CQ407:CQ415" si="76">IF(AND($CL407&lt;$I407,$CL407&gt;0),$CL407,IF(AND($CM407&lt;$I407,$CM407&gt;0,$CO407=0),$CM407,IF(AND($CP407&lt;$I407,$CN407&gt;0,$CO407=0),$CN407,"N.A.")))</f>
        <v>N.A.</v>
      </c>
      <c r="CR407" s="502" t="str">
        <f t="shared" ref="CR407:CR415" si="77">IF($AP407&gt;0,IF(AND($BX407=0,$BY407=0,$BZ407=0),"N.A.",IF($BZ407&lt;=0,2*$CB407*COS($CC407/3)-($BU407/(3*$BT407)),"N.A.")),"N.A.")</f>
        <v>N.A.</v>
      </c>
      <c r="CS407" s="502" t="str">
        <f t="shared" ref="CS407:CS415" si="78">IF($AP407&gt;0,IF(AND($BX407=0,$BY407=0,$BZ407=0),"N.A.",IF($BZ407&lt;=0,$CD407*($CE407+$CF407)+$CG407,"N.A.")),"N.A.")</f>
        <v>N.A.</v>
      </c>
      <c r="CT407" s="502" t="str">
        <f t="shared" ref="CT407:CT415" si="79">IF($AP407&gt;0,IF(AND($BX407=0,$BY407=0,$BZ407=0),"N.A.",IF($BZ407&lt;=0,$CD407*($CE407-$CF407)+$CG407,"N.A.")),"N.A.")</f>
        <v>N.A.</v>
      </c>
      <c r="CU407" s="502" t="str">
        <f t="shared" ref="CU407:CU415" si="80">IF(AND($CR407&lt;$I407,$CR407&gt;0),$CR407,IF(AND($CS407&lt;$I407,$CS407&gt;0),$CS407,IF(AND($CT407&lt;$I407,$CT407&gt;0),$CT407,"N.A.")))</f>
        <v>N.A.</v>
      </c>
      <c r="CV407" s="502" t="str">
        <f t="shared" ref="CV407:CX415" si="81">IF($AP$407&gt;0,IF(AND($BX$407=0,$BY$407=0,$BZ$407=0),($BW$407/$BT$407)^(1/3)*(-1),"N.A."),"N.A.")</f>
        <v>N.A.</v>
      </c>
      <c r="CW407" s="502" t="str">
        <f t="shared" si="81"/>
        <v>N.A.</v>
      </c>
      <c r="CX407" s="502" t="str">
        <f t="shared" si="81"/>
        <v>N.A.</v>
      </c>
      <c r="CY407" s="502" t="str">
        <f t="shared" ref="CY407:CY415" si="82">IF(AND($CV407&lt;$I407,$CV407&gt;0),$CV407,IF(AND($CW407&lt;$I407,$CW407&gt;0),$CW407,IF(AND($CX407&lt;$I407,$CX407&gt;0),$CX407,"N.A.")))</f>
        <v>N.A.</v>
      </c>
      <c r="CZ407" s="503">
        <f t="shared" ref="CZ407:CZ415" si="83">IF(MAX($CQ407,$CU407,$CY407)=0,$I407,MAX($CQ407,$CU407,$CY407))</f>
        <v>19</v>
      </c>
      <c r="DA407" s="526">
        <f t="shared" ref="DA407:DA415" si="84">-IF($F407=0,0.0001,$F407)</f>
        <v>525</v>
      </c>
      <c r="DB407" s="504">
        <f t="shared" ref="DB407:DB415" si="85">ABS($G407)</f>
        <v>0</v>
      </c>
      <c r="DC407" s="529">
        <f t="shared" ref="DC407:DC415" si="86">ABS($H407)</f>
        <v>0</v>
      </c>
      <c r="DD407" s="530">
        <f t="shared" ref="DD407:DD415" si="87">ABS($DC407*12/$DA407)</f>
        <v>0</v>
      </c>
      <c r="DE407" s="592">
        <f t="shared" ref="DE407:DE415" si="88">IF($DA407&gt;0,IF($DD407&lt;=$I407/6,$I407,IF($DD407&gt;$I407/2-$FM407/3,$FM407,3*($I407/2-$DD407))),IF($DA407&lt;0,IF($DD407&gt;$I407/2-$P407,$FM407,0)))</f>
        <v>19</v>
      </c>
      <c r="DF407" s="502">
        <f t="shared" ref="DF407:DF415" si="89">MIN(0.35*SQRT($L407*$M407/($I407*$J407))*$D$389,0.7*$D$389)</f>
        <v>1.6358597591794921</v>
      </c>
      <c r="DG407" s="502">
        <f t="shared" ref="DG407:DG415" si="90">IF($DE407&gt;0,IF($DD407&lt;=$I407/6,ABS($DA407)/($I407*$J407)*(1+6*$DD407/$I407),2*($DA407+-$DA407*($I407/2-$DE407/3-$DC407*12/$DA407)/($I407/2-$DE407/3+($I407/2-$P407)))/($DE407*$J407)),0)</f>
        <v>1.6253869969040247</v>
      </c>
      <c r="DH407" s="502">
        <f t="shared" ref="DH407:DH415" si="91">IF($DE407&gt;0,IF($DD407&lt;=$I407/6,ABS($DA407)/($I407*$J407)*(1-6*$DD407/$I407),0),0)</f>
        <v>1.6253869969040247</v>
      </c>
      <c r="DI407" s="503">
        <f t="shared" ref="DI407:DI415" si="92">$DG407/$DF407</f>
        <v>0.99359800727617364</v>
      </c>
      <c r="DJ407" s="561">
        <f t="shared" ref="DJ407:DJ415" si="93">($I407-0.95*$AJ407)/2</f>
        <v>4.2275</v>
      </c>
      <c r="DK407" s="511">
        <f t="shared" ref="DK407:DK415" si="94">($J407-0.8*$AL407)/2</f>
        <v>4.38</v>
      </c>
      <c r="DL407" s="511">
        <f t="shared" ref="DL407:DL415" si="95">IF($DE407&gt;0,SQRT($AJ407*$AL407)/4,"N.A.")</f>
        <v>2.6731301876264837</v>
      </c>
      <c r="DM407" s="511">
        <f t="shared" ref="DM407:DM415" si="96">IF($DE407&gt;0,4*($DG407+$DH407)/2*$AJ407*$AL407/(($AJ407+$AL407)^2*$DF407),"N.A.")</f>
        <v>0.99220945210834965</v>
      </c>
      <c r="DN407" s="511">
        <f t="shared" ref="DN407:DN415" si="97">IF($DE407&gt;0,IF($DM407&gt;0,IF($DM407&gt;=0.64,1,2*(1-SQRT(1-$DM407))/SQRT($DM407))),"N.A.")</f>
        <v>1</v>
      </c>
      <c r="DO407" s="511">
        <f t="shared" ref="DO407:DO415" si="98">IF($DE407&gt;0,$DN407*SQRT($AJ407*$AL407)/4,"N.A.")</f>
        <v>2.6731301876264837</v>
      </c>
      <c r="DP407" s="506">
        <f t="shared" ref="DP407:DP415" si="99">IF(OR($N407=4,$N407=6,$N407=8),MIN(ABS($DJ407-$P407),($J407-2*$Q407)/(2*($N407/2-1)))+MIN(ABS($DJ407-$P407),($J407-2*$Q407)/(2*($N407/2-1)),$Q407),IF($N407=2,ABS($DJ407-$P407)+MIN(ABS($DJ407-$P407),$Q407)))</f>
        <v>4.2275</v>
      </c>
      <c r="DQ407" s="502">
        <f t="shared" ref="DQ407:DQ415" si="100">IF(AND($DE407&gt;0,$DA407&gt;0,$DC407=0),2*MAX($DJ407,$DK407,$DO407)*SQRT($DG407/$D$388),"N.A.")</f>
        <v>1.5794194959770649</v>
      </c>
      <c r="DR407" s="502" t="str">
        <f t="shared" ref="DR407:DR415" si="101">IF(AND($DE407&gt;$DJ407,$DC407&gt;0),MAX(SQRT(6*(($DG407-(($DG407-$DH407)/$DE407)*$DJ407)*$DJ407^2/2+(($DG407-$DH407)/$DE407)*$DJ407^3/3)/(0.75*$D$388)),2*$DK407*SQRT(($DG407+$DH407)/2/$D$388),2*$DO407*SQRT(($DG407+$DH407)/2/$D$388),SQRT(6*$DV407*ABS($DJ407-$P407)/$DP407/(0.75*$D$388))),"N.A.")</f>
        <v>N.A.</v>
      </c>
      <c r="DS407" s="506" t="str">
        <f t="shared" ref="DS407:DS415" si="102">IF(AND($DE407&lt;=$DJ407,$DC407&gt;=0),MAX(SQRT(6*$DG407*$DE407/2*($DJ407-$DE407/3)/(0.75*$D$388)),SQRT(6*$DV407*ABS($DJ407-$P407)/$DP407/(0.75*$D$388))),"N.A.")</f>
        <v>N.A.</v>
      </c>
      <c r="DT407" s="502">
        <f t="shared" ref="DT407:DT415" si="103">MAX($DQ407:$DS407)</f>
        <v>1.5794194959770649</v>
      </c>
      <c r="DU407" s="503">
        <f t="shared" ref="DU407:DU415" si="104">$DT407/$K407</f>
        <v>0.78970974798853244</v>
      </c>
      <c r="DV407" s="526">
        <f t="shared" ref="DV407:DV415" si="105">IF($DE407&gt;0,IF($DD407&gt;$I407/6,MAX(-$DA407*($I407/2-$DE407/3-$DC407*12/$DA407)/($I407/2-$DE407/3+($I407/2-$P407))/($N407/2),0),0),-$DA407*($I407/2-$P407-$DC407*12/$DA407)/(2*($I407/2-$P407))/($N407/2))</f>
        <v>0</v>
      </c>
      <c r="DW407" s="502">
        <f t="shared" ref="DW407:DW415" si="106">PI()*$O407^2/4</f>
        <v>0.78539816339744828</v>
      </c>
      <c r="DX407" s="502">
        <f>VLOOKUP($O407,$H$5:$K$20,3)</f>
        <v>0.60574540107571861</v>
      </c>
      <c r="DY407" s="508">
        <f t="shared" ref="DY407:DY415" si="107">IF($D$390="A307",20,IF($D$390="A36",19.1,IF($D$390="A572",21.5,IF($D$390="A588",23.1,IF($D$390="F1554 (36)",19.1,IF($D$390="F1554 (55)",24.8,IF($D$390="F1554 (105)",41.3)))))))</f>
        <v>19.100000000000001</v>
      </c>
      <c r="DZ407" s="504">
        <f t="shared" ref="DZ407:DZ415" si="108">$DW407*$DY407</f>
        <v>15.001104920891263</v>
      </c>
      <c r="EA407" s="503">
        <f t="shared" ref="EA407:EA415" si="109">$DV407/$DZ407</f>
        <v>0</v>
      </c>
      <c r="EB407" s="501">
        <f t="shared" ref="EB407:EB415" si="110">IF($D$390="A307",10,IF($D$390="A36",9.9,IF($D$390="A572",11.1,IF($D$390="A588",11.9,IF($D$390="F1554 (36)",9.9,IF($D$390="F1554 (55)",12.8,IF($D$390="F1554 (105)",21.3)))))))</f>
        <v>9.9</v>
      </c>
      <c r="EC407" s="504">
        <f t="shared" ref="EC407:EC415" si="111">$DW407*$EB407</f>
        <v>7.7754418176347384</v>
      </c>
      <c r="ED407" s="504">
        <f t="shared" ref="ED407:ED415" si="112">$DB407/$N407</f>
        <v>0</v>
      </c>
      <c r="EE407" s="503">
        <f t="shared" ref="EE407:EE415" si="113">$ED407/$EC407</f>
        <v>0</v>
      </c>
      <c r="EF407" s="547" t="str">
        <f t="shared" ref="EF407:EF415" si="114">IF(AND($DV407&gt;0,$ED407&gt;0),($D$391*$ED407)/$EC407+$DV407/$DZ407,"N.A.")</f>
        <v>N.A.</v>
      </c>
      <c r="EG407" s="536">
        <v>1</v>
      </c>
      <c r="EH407" s="505">
        <f t="shared" ref="EH407:EH415" si="115">3*($DC407*12/$DA407-$I407/2)</f>
        <v>-28.5</v>
      </c>
      <c r="EI407" s="505">
        <f t="shared" ref="EI407:EI415" si="116">6*29000/(57*($D$389*1000)^(1/2))*$N407/2*PI()*$O407^2/4/$J407*($I407/2-$P407+$DC407*12/$DA407)</f>
        <v>41.197864786828191</v>
      </c>
      <c r="EJ407" s="505">
        <f t="shared" ref="EJ407:EJ415" si="117">-6*29000/(57*($D$389*1000)^(1/2))*$N407/2*PI()*$O407^2/4/$J407*($I407/2+$I407/2-$P407)*($I407/2-$P407+$DC407*12/$DA407)</f>
        <v>-720.96263376949332</v>
      </c>
      <c r="EK407" s="505">
        <f t="shared" ref="EK407:EK415" si="118">((3*$EI407/$EG407)-($EH407^2/$EG407^2))/3</f>
        <v>-229.55213521317182</v>
      </c>
      <c r="EL407" s="505">
        <f t="shared" ref="EL407:EL415" si="119">((2*$EH407^3/$EG407^3)-(9*$EH407*$EI407/$EG407^2)+(27*$EJ407/$EG407))/27</f>
        <v>-2044.3329182946254</v>
      </c>
      <c r="EM407" s="505">
        <f t="shared" ref="EM407:EM415" si="120">($EL407^2/4)+($EK407^3/27)</f>
        <v>596821.96758817008</v>
      </c>
      <c r="EN407" s="505" t="str">
        <f t="shared" ref="EN407:EN415" si="121">IF(AND($EK407=0,$EL407=0,$EM407=0),"N.A.",IF($EM407&lt;=0,SQRT(($EL407^2/4)-$EM407),"N.A."))</f>
        <v>N.A.</v>
      </c>
      <c r="EO407" s="505" t="str">
        <f t="shared" ref="EO407:EO415" si="122">IF(AND($EK407=0,$EL407=0,$EM407=0),"N.A.",IF($EM407&lt;=0,$EN407^(1/3),"N.A."))</f>
        <v>N.A.</v>
      </c>
      <c r="EP407" s="505" t="str">
        <f t="shared" ref="EP407:EP415" si="123">IF(AND($EK407=0,$EL407=0,$EM407=0),"N.A.",IF($EM407&lt;=0,ACOS(-($EL407/(2*$EN407))),"N.A."))</f>
        <v>N.A.</v>
      </c>
      <c r="EQ407" s="505" t="str">
        <f t="shared" ref="EQ407:EQ415" si="124">IF(AND($EK407=0,$EL407=0,$EM407=0),"N.A.",IF($EM407&lt;=0,$EO407*(-1),"N.A."))</f>
        <v>N.A.</v>
      </c>
      <c r="ER407" s="505" t="str">
        <f t="shared" ref="ER407:ER415" si="125">IF(AND($EK407=0,$EL407=0,$EM407=0),"N.A.",IF($EM407&lt;=0,COS($EP407/3),"N.A."))</f>
        <v>N.A.</v>
      </c>
      <c r="ES407" s="505" t="str">
        <f t="shared" ref="ES407:ES415" si="126">IF(AND($EK407=0,$EL407=0,$EM407=0),"N.A.",IF($EM407&lt;=0,SQRT(3)*SIN($EP407/3),"N.A."))</f>
        <v>N.A.</v>
      </c>
      <c r="ET407" s="505" t="str">
        <f t="shared" ref="ET407:ET415" si="127">IF(AND($EK407=0,$EL407=0,$EM407=0),"N.A.",IF($EM407&lt;=0,($EH407/(3*$EG407))*(-1),"N.A."))</f>
        <v>N.A.</v>
      </c>
      <c r="EU407" s="505">
        <f t="shared" ref="EU407:EU415" si="128">IF(AND($EK407=0,$EL407=0,$EM407=0),"N.A.",IF($EM407&gt;0,-($EL407/2)+SQRT($EM407),"N.A."))</f>
        <v>1794.7089936320945</v>
      </c>
      <c r="EV407" s="505">
        <f t="shared" ref="EV407:EV415" si="129">IF(AND($EK407=0,$EL407=0,$EM407=0),"N.A.",IF($EM407&gt;0,$EU407^(1/3),"N.A."))</f>
        <v>12.152473416142778</v>
      </c>
      <c r="EW407" s="505">
        <f t="shared" ref="EW407:EW415" si="130">IF(AND($EK407=0,$EL407=0,$EM407=0),"N.A.",IF($EM407&gt;0,-($EL407/2)-SQRT($EM407),"N.A."))</f>
        <v>249.62392466253107</v>
      </c>
      <c r="EX407" s="505">
        <f t="shared" ref="EX407:EX415" si="131">IF(AND($EK407=0,$EL407=0,$EM407=0),"N.A.",IF($EM407&gt;0,$EW407^(1/3),"N.A."))</f>
        <v>6.2964448293092747</v>
      </c>
      <c r="EY407" s="502" t="str">
        <f t="shared" ref="EY407:EY415" si="132">IF($DC407&gt;0,IF(AND($EK407=0,$EL407=0,$EM407=0),"N.A.",IF($EM407&gt;0,($EV407+$EX407)-($EH407/(3*$EG407)),"N.A.")),"N.A.")</f>
        <v>N.A.</v>
      </c>
      <c r="EZ407" s="509" t="str">
        <f t="shared" ref="EZ407:FA415" si="133">IF($DC407&gt;0,IF(AND($EK407=0,$EL407=0,$EM407=0),"N.A.",IF($EM407&gt;0,-($EV407+$EX407)/2-($EH407/(3*$EG407)),"N.A.")),"N.A.")</f>
        <v>N.A.</v>
      </c>
      <c r="FA407" s="509" t="str">
        <f t="shared" si="133"/>
        <v>N.A.</v>
      </c>
      <c r="FB407" s="510" t="str">
        <f t="shared" ref="FB407:FB415" si="134">IF($DC407&gt;0,IF(AND($EK407=0,$EL407=0,$EM407=0),"",IF($EM407&gt;0,ROUND(($EV407-$EX407)*SQRT(3)/2,6),"")),"")</f>
        <v/>
      </c>
      <c r="FC407" s="510" t="str">
        <f t="shared" ref="FC407:FC415" si="135">IF($DC407&gt;0,IF(AND($EK407=0,$EL407=0,$EM407=0),"",IF($EM407&gt;0,ROUND(-($EV407-$EX407)*SQRT(3)/2,6),"")),"")</f>
        <v/>
      </c>
      <c r="FD407" s="502" t="str">
        <f t="shared" ref="FD407:FD415" si="136">IF(AND($EY407&lt;$I407,$EY407&gt;0),$EY407,IF(AND($EZ407&lt;$I407,$EZ407&gt;0,$FB407=0),$EZ407,IF(AND($FC407&lt;$I407,$FA407&gt;0,$FB407=0),$FA407,"N.A.")))</f>
        <v>N.A.</v>
      </c>
      <c r="FE407" s="502" t="str">
        <f t="shared" ref="FE407:FE415" si="137">IF($DC407&gt;0,IF(AND($EK407=0,$EL407=0,$EM407=0),"N.A.",IF($EM407&lt;=0,2*$EO407*COS($EP407/3)-($EH407/(3*$EG407)),"N.A.")),"N.A.")</f>
        <v>N.A.</v>
      </c>
      <c r="FF407" s="502" t="str">
        <f t="shared" ref="FF407:FF415" si="138">IF($DC407&gt;0,IF(AND($EK407=0,$EL407=0,$EM407=0),"N.A.",IF($EM407&lt;=0,$EQ407*($ER407+$ES407)+$ET407,"N.A.")),"N.A.")</f>
        <v>N.A.</v>
      </c>
      <c r="FG407" s="502" t="str">
        <f t="shared" ref="FG407:FG415" si="139">IF($DC407&gt;0,IF(AND($EK407=0,$EL407=0,$EM407=0),"N.A.",IF($EM407&lt;=0,$EQ407*($ER407-$ES407)+$ET407,"N.A.")),"N.A.")</f>
        <v>N.A.</v>
      </c>
      <c r="FH407" s="502" t="str">
        <f t="shared" ref="FH407:FH415" si="140">IF(AND($FE407&lt;$I407,$FE407&gt;0),$FE407,IF(AND($FF407&lt;$I407,$FF407&gt;0),$FF407,IF(AND($FG407&lt;$I407,$FG407&gt;0),$FG407,"N.A.")))</f>
        <v>N.A.</v>
      </c>
      <c r="FI407" s="502" t="str">
        <f t="shared" ref="FI407:FK415" si="141">IF($DC407&gt;0,IF(AND($EK407=0,$EL407=0,$EM407=0),($EJ407/$EG407)^(1/3)*(-1),"N.A."),"N.A.")</f>
        <v>N.A.</v>
      </c>
      <c r="FJ407" s="502" t="str">
        <f t="shared" si="141"/>
        <v>N.A.</v>
      </c>
      <c r="FK407" s="502" t="str">
        <f t="shared" si="141"/>
        <v>N.A.</v>
      </c>
      <c r="FL407" s="502" t="str">
        <f t="shared" ref="FL407:FL415" si="142">IF(AND($FI407&lt;$I407,$FI407&gt;0),$FI407,IF(AND($FJ407&lt;$I407,$FJ407&gt;0),$FJ407,IF(AND($FK407&lt;$I407,$FK407&gt;0),$FK407,"N.A.")))</f>
        <v>N.A.</v>
      </c>
      <c r="FM407" s="503">
        <f t="shared" ref="FM407:FM415" si="143">IF(MAX($FD407,$FH407,$FL407)=0,$I407,MAX($FD407,$FH407,$FL407))</f>
        <v>19</v>
      </c>
    </row>
    <row r="408" spans="1:169" x14ac:dyDescent="0.25">
      <c r="A408" s="284" t="s">
        <v>728</v>
      </c>
      <c r="B408" s="317" t="s">
        <v>232</v>
      </c>
      <c r="C408" s="297">
        <v>-600</v>
      </c>
      <c r="D408" s="298">
        <v>0</v>
      </c>
      <c r="E408" s="299">
        <v>0</v>
      </c>
      <c r="F408" s="340">
        <v>-600</v>
      </c>
      <c r="G408" s="298">
        <v>0</v>
      </c>
      <c r="H408" s="299">
        <v>0</v>
      </c>
      <c r="I408" s="300">
        <v>19</v>
      </c>
      <c r="J408" s="370">
        <v>16</v>
      </c>
      <c r="K408" s="328">
        <v>1.75</v>
      </c>
      <c r="L408" s="300">
        <v>34</v>
      </c>
      <c r="M408" s="328">
        <v>34</v>
      </c>
      <c r="N408" s="331">
        <v>4</v>
      </c>
      <c r="O408" s="301">
        <v>1</v>
      </c>
      <c r="P408" s="301">
        <v>1.5</v>
      </c>
      <c r="Q408" s="328">
        <v>1.5</v>
      </c>
      <c r="R408" s="494">
        <f t="shared" si="2"/>
        <v>0</v>
      </c>
      <c r="S408" s="621">
        <f t="shared" si="3"/>
        <v>19</v>
      </c>
      <c r="T408" s="621">
        <f t="shared" si="4"/>
        <v>0</v>
      </c>
      <c r="U408" s="622">
        <f t="shared" si="5"/>
        <v>19</v>
      </c>
      <c r="V408" s="623">
        <f t="shared" si="6"/>
        <v>1.9736842105263157</v>
      </c>
      <c r="W408" s="621">
        <f t="shared" si="7"/>
        <v>2.0475354247947637</v>
      </c>
      <c r="X408" s="622">
        <f t="shared" si="8"/>
        <v>0.96393165491832677</v>
      </c>
      <c r="Y408" s="623">
        <f t="shared" si="9"/>
        <v>1.3400956122605583</v>
      </c>
      <c r="Z408" s="622">
        <f t="shared" si="10"/>
        <v>0.76576892129174756</v>
      </c>
      <c r="AA408" s="624">
        <f t="shared" si="11"/>
        <v>0</v>
      </c>
      <c r="AB408" s="625">
        <f t="shared" si="12"/>
        <v>15.001104920891263</v>
      </c>
      <c r="AC408" s="622">
        <f t="shared" si="13"/>
        <v>0</v>
      </c>
      <c r="AD408" s="626">
        <f t="shared" si="14"/>
        <v>0</v>
      </c>
      <c r="AE408" s="625">
        <f t="shared" si="15"/>
        <v>7.7754418176347384</v>
      </c>
      <c r="AF408" s="622">
        <f t="shared" si="16"/>
        <v>0</v>
      </c>
      <c r="AG408" s="549" t="str">
        <f t="shared" si="17"/>
        <v>---</v>
      </c>
      <c r="AH408" s="627">
        <f t="shared" si="18"/>
        <v>0.84312500000000012</v>
      </c>
      <c r="AI408" s="628">
        <f t="shared" si="19"/>
        <v>31.2</v>
      </c>
      <c r="AJ408" s="629">
        <f t="shared" si="20"/>
        <v>12.9</v>
      </c>
      <c r="AK408" s="629">
        <f t="shared" si="21"/>
        <v>0.61</v>
      </c>
      <c r="AL408" s="629">
        <f t="shared" si="22"/>
        <v>12.2</v>
      </c>
      <c r="AM408" s="630">
        <f t="shared" si="23"/>
        <v>0.99</v>
      </c>
      <c r="AN408" s="628">
        <f t="shared" si="24"/>
        <v>600</v>
      </c>
      <c r="AO408" s="631">
        <f t="shared" si="25"/>
        <v>0</v>
      </c>
      <c r="AP408" s="632">
        <f t="shared" si="26"/>
        <v>0</v>
      </c>
      <c r="AQ408" s="633">
        <f t="shared" si="27"/>
        <v>0</v>
      </c>
      <c r="AR408" s="634">
        <f t="shared" si="28"/>
        <v>19</v>
      </c>
      <c r="AS408" s="629">
        <f t="shared" si="29"/>
        <v>2.0475354247947637</v>
      </c>
      <c r="AT408" s="629">
        <f t="shared" si="30"/>
        <v>1.9736842105263157</v>
      </c>
      <c r="AU408" s="629">
        <f t="shared" si="31"/>
        <v>1.9736842105263157</v>
      </c>
      <c r="AV408" s="630">
        <f t="shared" si="32"/>
        <v>0.96393165491832677</v>
      </c>
      <c r="AW408" s="635">
        <f t="shared" si="33"/>
        <v>3.3725000000000005</v>
      </c>
      <c r="AX408" s="636">
        <f t="shared" si="34"/>
        <v>3.12</v>
      </c>
      <c r="AY408" s="636">
        <f t="shared" si="35"/>
        <v>3.1362796431440865</v>
      </c>
      <c r="AZ408" s="636">
        <f t="shared" si="36"/>
        <v>0.96318194219803643</v>
      </c>
      <c r="BA408" s="636">
        <f t="shared" si="37"/>
        <v>1</v>
      </c>
      <c r="BB408" s="636">
        <f t="shared" si="38"/>
        <v>3.1362796431440865</v>
      </c>
      <c r="BC408" s="629">
        <f t="shared" si="39"/>
        <v>3.3725000000000005</v>
      </c>
      <c r="BD408" s="629">
        <f t="shared" si="40"/>
        <v>1.3400956122605583</v>
      </c>
      <c r="BE408" s="629" t="str">
        <f t="shared" si="41"/>
        <v>N.A.</v>
      </c>
      <c r="BF408" s="629" t="str">
        <f t="shared" si="42"/>
        <v>N.A.</v>
      </c>
      <c r="BG408" s="629">
        <f t="shared" si="43"/>
        <v>1.3400956122605583</v>
      </c>
      <c r="BH408" s="630">
        <f t="shared" si="44"/>
        <v>0.76576892129174756</v>
      </c>
      <c r="BI408" s="637">
        <f t="shared" si="45"/>
        <v>0</v>
      </c>
      <c r="BJ408" s="629">
        <f t="shared" si="46"/>
        <v>0.78539816339744828</v>
      </c>
      <c r="BK408" s="629">
        <f>VLOOKUP($O408,$H$5:$K$20,3)</f>
        <v>0.60574540107571861</v>
      </c>
      <c r="BL408" s="631">
        <f t="shared" si="47"/>
        <v>19.100000000000001</v>
      </c>
      <c r="BM408" s="631">
        <f t="shared" si="48"/>
        <v>15.001104920891263</v>
      </c>
      <c r="BN408" s="630">
        <f t="shared" si="49"/>
        <v>0</v>
      </c>
      <c r="BO408" s="628">
        <f t="shared" si="50"/>
        <v>9.9</v>
      </c>
      <c r="BP408" s="631">
        <f t="shared" si="51"/>
        <v>7.7754418176347384</v>
      </c>
      <c r="BQ408" s="631">
        <f t="shared" si="52"/>
        <v>0</v>
      </c>
      <c r="BR408" s="630">
        <f t="shared" si="53"/>
        <v>0</v>
      </c>
      <c r="BS408" s="638" t="str">
        <f t="shared" si="54"/>
        <v>N.A.</v>
      </c>
      <c r="BT408" s="639">
        <v>1</v>
      </c>
      <c r="BU408" s="640">
        <f t="shared" si="55"/>
        <v>-28.5</v>
      </c>
      <c r="BV408" s="640">
        <f t="shared" si="56"/>
        <v>43.772731336004952</v>
      </c>
      <c r="BW408" s="640">
        <f t="shared" si="57"/>
        <v>-766.02279838008667</v>
      </c>
      <c r="BX408" s="640">
        <f t="shared" si="58"/>
        <v>-226.97726866399503</v>
      </c>
      <c r="BY408" s="640">
        <f t="shared" si="59"/>
        <v>-2064.9318506880395</v>
      </c>
      <c r="BZ408" s="640">
        <f t="shared" si="60"/>
        <v>632890.7246693999</v>
      </c>
      <c r="CA408" s="640" t="str">
        <f t="shared" si="61"/>
        <v>N.A.</v>
      </c>
      <c r="CB408" s="640" t="str">
        <f t="shared" si="62"/>
        <v>N.A.</v>
      </c>
      <c r="CC408" s="640" t="str">
        <f t="shared" si="63"/>
        <v>N.A.</v>
      </c>
      <c r="CD408" s="640" t="str">
        <f t="shared" si="64"/>
        <v>N.A.</v>
      </c>
      <c r="CE408" s="640" t="str">
        <f t="shared" si="65"/>
        <v>N.A.</v>
      </c>
      <c r="CF408" s="640" t="str">
        <f t="shared" si="66"/>
        <v>N.A.</v>
      </c>
      <c r="CG408" s="640" t="str">
        <f t="shared" si="67"/>
        <v>N.A.</v>
      </c>
      <c r="CH408" s="640">
        <f t="shared" si="68"/>
        <v>1828.0102199432581</v>
      </c>
      <c r="CI408" s="640">
        <f t="shared" si="69"/>
        <v>12.227177208380736</v>
      </c>
      <c r="CJ408" s="640">
        <f t="shared" si="70"/>
        <v>236.92163074478128</v>
      </c>
      <c r="CK408" s="640">
        <f t="shared" si="71"/>
        <v>6.1877805698936648</v>
      </c>
      <c r="CL408" s="629" t="str">
        <f t="shared" si="72"/>
        <v>N.A.</v>
      </c>
      <c r="CM408" s="641" t="str">
        <f t="shared" si="73"/>
        <v>N.A.</v>
      </c>
      <c r="CN408" s="641" t="str">
        <f t="shared" si="73"/>
        <v>N.A.</v>
      </c>
      <c r="CO408" s="642" t="str">
        <f t="shared" si="74"/>
        <v/>
      </c>
      <c r="CP408" s="642" t="str">
        <f t="shared" si="75"/>
        <v/>
      </c>
      <c r="CQ408" s="629" t="str">
        <f t="shared" si="76"/>
        <v>N.A.</v>
      </c>
      <c r="CR408" s="629" t="str">
        <f t="shared" si="77"/>
        <v>N.A.</v>
      </c>
      <c r="CS408" s="629" t="str">
        <f t="shared" si="78"/>
        <v>N.A.</v>
      </c>
      <c r="CT408" s="629" t="str">
        <f t="shared" si="79"/>
        <v>N.A.</v>
      </c>
      <c r="CU408" s="629" t="str">
        <f t="shared" si="80"/>
        <v>N.A.</v>
      </c>
      <c r="CV408" s="629" t="str">
        <f t="shared" si="81"/>
        <v>N.A.</v>
      </c>
      <c r="CW408" s="629" t="str">
        <f t="shared" si="81"/>
        <v>N.A.</v>
      </c>
      <c r="CX408" s="629" t="str">
        <f t="shared" si="81"/>
        <v>N.A.</v>
      </c>
      <c r="CY408" s="629" t="str">
        <f t="shared" si="82"/>
        <v>N.A.</v>
      </c>
      <c r="CZ408" s="630">
        <f t="shared" si="83"/>
        <v>19</v>
      </c>
      <c r="DA408" s="637">
        <f t="shared" si="84"/>
        <v>600</v>
      </c>
      <c r="DB408" s="631">
        <f t="shared" si="85"/>
        <v>0</v>
      </c>
      <c r="DC408" s="632">
        <f t="shared" si="86"/>
        <v>0</v>
      </c>
      <c r="DD408" s="633">
        <f t="shared" si="87"/>
        <v>0</v>
      </c>
      <c r="DE408" s="634">
        <f t="shared" si="88"/>
        <v>19</v>
      </c>
      <c r="DF408" s="629">
        <f t="shared" si="89"/>
        <v>2.0475354247947637</v>
      </c>
      <c r="DG408" s="629">
        <f t="shared" si="90"/>
        <v>1.9736842105263157</v>
      </c>
      <c r="DH408" s="629">
        <f t="shared" si="91"/>
        <v>1.9736842105263157</v>
      </c>
      <c r="DI408" s="630">
        <f t="shared" si="92"/>
        <v>0.96393165491832677</v>
      </c>
      <c r="DJ408" s="635">
        <f t="shared" si="93"/>
        <v>3.3725000000000005</v>
      </c>
      <c r="DK408" s="636">
        <f t="shared" si="94"/>
        <v>3.12</v>
      </c>
      <c r="DL408" s="636">
        <f t="shared" si="95"/>
        <v>3.1362796431440865</v>
      </c>
      <c r="DM408" s="636">
        <f t="shared" si="96"/>
        <v>0.96318194219803643</v>
      </c>
      <c r="DN408" s="636">
        <f t="shared" si="97"/>
        <v>1</v>
      </c>
      <c r="DO408" s="636">
        <f t="shared" si="98"/>
        <v>3.1362796431440865</v>
      </c>
      <c r="DP408" s="629">
        <f t="shared" si="99"/>
        <v>3.3725000000000005</v>
      </c>
      <c r="DQ408" s="629">
        <f t="shared" si="100"/>
        <v>1.3400956122605583</v>
      </c>
      <c r="DR408" s="629" t="str">
        <f t="shared" si="101"/>
        <v>N.A.</v>
      </c>
      <c r="DS408" s="629" t="str">
        <f t="shared" si="102"/>
        <v>N.A.</v>
      </c>
      <c r="DT408" s="629">
        <f t="shared" si="103"/>
        <v>1.3400956122605583</v>
      </c>
      <c r="DU408" s="630">
        <f t="shared" si="104"/>
        <v>0.76576892129174756</v>
      </c>
      <c r="DV408" s="637">
        <f t="shared" si="105"/>
        <v>0</v>
      </c>
      <c r="DW408" s="629">
        <f t="shared" si="106"/>
        <v>0.78539816339744828</v>
      </c>
      <c r="DX408" s="629">
        <f>VLOOKUP($O408,$H$5:$K$20,3)</f>
        <v>0.60574540107571861</v>
      </c>
      <c r="DY408" s="631">
        <f t="shared" si="107"/>
        <v>19.100000000000001</v>
      </c>
      <c r="DZ408" s="631">
        <f t="shared" si="108"/>
        <v>15.001104920891263</v>
      </c>
      <c r="EA408" s="630">
        <f t="shared" si="109"/>
        <v>0</v>
      </c>
      <c r="EB408" s="637">
        <f t="shared" si="110"/>
        <v>9.9</v>
      </c>
      <c r="EC408" s="631">
        <f t="shared" si="111"/>
        <v>7.7754418176347384</v>
      </c>
      <c r="ED408" s="631">
        <f t="shared" si="112"/>
        <v>0</v>
      </c>
      <c r="EE408" s="630">
        <f t="shared" si="113"/>
        <v>0</v>
      </c>
      <c r="EF408" s="643" t="str">
        <f t="shared" si="114"/>
        <v>N.A.</v>
      </c>
      <c r="EG408" s="639">
        <v>1</v>
      </c>
      <c r="EH408" s="640">
        <f t="shared" si="115"/>
        <v>-28.5</v>
      </c>
      <c r="EI408" s="640">
        <f t="shared" si="116"/>
        <v>43.772731336004952</v>
      </c>
      <c r="EJ408" s="640">
        <f t="shared" si="117"/>
        <v>-766.02279838008667</v>
      </c>
      <c r="EK408" s="640">
        <f t="shared" si="118"/>
        <v>-226.97726866399503</v>
      </c>
      <c r="EL408" s="640">
        <f t="shared" si="119"/>
        <v>-2064.9318506880395</v>
      </c>
      <c r="EM408" s="640">
        <f t="shared" si="120"/>
        <v>632890.7246693999</v>
      </c>
      <c r="EN408" s="640" t="str">
        <f t="shared" si="121"/>
        <v>N.A.</v>
      </c>
      <c r="EO408" s="640" t="str">
        <f t="shared" si="122"/>
        <v>N.A.</v>
      </c>
      <c r="EP408" s="640" t="str">
        <f t="shared" si="123"/>
        <v>N.A.</v>
      </c>
      <c r="EQ408" s="640" t="str">
        <f t="shared" si="124"/>
        <v>N.A.</v>
      </c>
      <c r="ER408" s="640" t="str">
        <f t="shared" si="125"/>
        <v>N.A.</v>
      </c>
      <c r="ES408" s="640" t="str">
        <f t="shared" si="126"/>
        <v>N.A.</v>
      </c>
      <c r="ET408" s="640" t="str">
        <f t="shared" si="127"/>
        <v>N.A.</v>
      </c>
      <c r="EU408" s="640">
        <f t="shared" si="128"/>
        <v>1828.0102199432581</v>
      </c>
      <c r="EV408" s="640">
        <f t="shared" si="129"/>
        <v>12.227177208380736</v>
      </c>
      <c r="EW408" s="640">
        <f t="shared" si="130"/>
        <v>236.92163074478128</v>
      </c>
      <c r="EX408" s="640">
        <f t="shared" si="131"/>
        <v>6.1877805698936648</v>
      </c>
      <c r="EY408" s="629" t="str">
        <f t="shared" si="132"/>
        <v>N.A.</v>
      </c>
      <c r="EZ408" s="641" t="str">
        <f t="shared" si="133"/>
        <v>N.A.</v>
      </c>
      <c r="FA408" s="641" t="str">
        <f t="shared" si="133"/>
        <v>N.A.</v>
      </c>
      <c r="FB408" s="642" t="str">
        <f t="shared" si="134"/>
        <v/>
      </c>
      <c r="FC408" s="642" t="str">
        <f t="shared" si="135"/>
        <v/>
      </c>
      <c r="FD408" s="629" t="str">
        <f t="shared" si="136"/>
        <v>N.A.</v>
      </c>
      <c r="FE408" s="629" t="str">
        <f t="shared" si="137"/>
        <v>N.A.</v>
      </c>
      <c r="FF408" s="629" t="str">
        <f t="shared" si="138"/>
        <v>N.A.</v>
      </c>
      <c r="FG408" s="629" t="str">
        <f t="shared" si="139"/>
        <v>N.A.</v>
      </c>
      <c r="FH408" s="629" t="str">
        <f t="shared" si="140"/>
        <v>N.A.</v>
      </c>
      <c r="FI408" s="629" t="str">
        <f t="shared" si="141"/>
        <v>N.A.</v>
      </c>
      <c r="FJ408" s="629" t="str">
        <f t="shared" si="141"/>
        <v>N.A.</v>
      </c>
      <c r="FK408" s="629" t="str">
        <f t="shared" si="141"/>
        <v>N.A.</v>
      </c>
      <c r="FL408" s="629" t="str">
        <f t="shared" si="142"/>
        <v>N.A.</v>
      </c>
      <c r="FM408" s="630">
        <f t="shared" si="143"/>
        <v>19</v>
      </c>
    </row>
    <row r="409" spans="1:169" x14ac:dyDescent="0.25">
      <c r="A409" s="284" t="s">
        <v>729</v>
      </c>
      <c r="B409" s="317" t="s">
        <v>105</v>
      </c>
      <c r="C409" s="297">
        <v>-360</v>
      </c>
      <c r="D409" s="298">
        <v>10</v>
      </c>
      <c r="E409" s="299">
        <v>60</v>
      </c>
      <c r="F409" s="340">
        <v>-360</v>
      </c>
      <c r="G409" s="298">
        <v>10</v>
      </c>
      <c r="H409" s="299">
        <v>60</v>
      </c>
      <c r="I409" s="300">
        <v>19</v>
      </c>
      <c r="J409" s="370">
        <v>17</v>
      </c>
      <c r="K409" s="328">
        <v>2</v>
      </c>
      <c r="L409" s="300">
        <v>36</v>
      </c>
      <c r="M409" s="328">
        <v>36</v>
      </c>
      <c r="N409" s="331">
        <v>4</v>
      </c>
      <c r="O409" s="301">
        <v>1.25</v>
      </c>
      <c r="P409" s="301">
        <v>2</v>
      </c>
      <c r="Q409" s="328">
        <v>2</v>
      </c>
      <c r="R409" s="620">
        <f t="shared" si="2"/>
        <v>2</v>
      </c>
      <c r="S409" s="512">
        <f t="shared" si="3"/>
        <v>19</v>
      </c>
      <c r="T409" s="512">
        <f t="shared" si="4"/>
        <v>2</v>
      </c>
      <c r="U409" s="513">
        <f t="shared" si="5"/>
        <v>19</v>
      </c>
      <c r="V409" s="514">
        <f t="shared" si="6"/>
        <v>1.8184780837542773</v>
      </c>
      <c r="W409" s="512">
        <f t="shared" si="7"/>
        <v>2.0999999999999996</v>
      </c>
      <c r="X409" s="513">
        <f t="shared" si="8"/>
        <v>0.86594194464489416</v>
      </c>
      <c r="Y409" s="514">
        <f t="shared" si="9"/>
        <v>1.5654597445366347</v>
      </c>
      <c r="Z409" s="513">
        <f t="shared" si="10"/>
        <v>0.78272987226831736</v>
      </c>
      <c r="AA409" s="515">
        <f t="shared" si="11"/>
        <v>0</v>
      </c>
      <c r="AB409" s="516">
        <f t="shared" si="12"/>
        <v>23.4392264388926</v>
      </c>
      <c r="AC409" s="513">
        <f t="shared" si="13"/>
        <v>0</v>
      </c>
      <c r="AD409" s="544">
        <f t="shared" si="14"/>
        <v>2.5</v>
      </c>
      <c r="AE409" s="516">
        <f t="shared" si="15"/>
        <v>12.149127840054279</v>
      </c>
      <c r="AF409" s="513">
        <f t="shared" si="16"/>
        <v>0.20577608803800609</v>
      </c>
      <c r="AG409" s="551" t="str">
        <f t="shared" si="17"/>
        <v>---</v>
      </c>
      <c r="AH409" s="595">
        <f t="shared" si="18"/>
        <v>1.095</v>
      </c>
      <c r="AI409" s="517">
        <f t="shared" si="19"/>
        <v>29.4</v>
      </c>
      <c r="AJ409" s="518">
        <f t="shared" si="20"/>
        <v>11.1</v>
      </c>
      <c r="AK409" s="518">
        <f t="shared" si="21"/>
        <v>0.68</v>
      </c>
      <c r="AL409" s="518">
        <f t="shared" si="22"/>
        <v>10.3</v>
      </c>
      <c r="AM409" s="519">
        <f t="shared" si="23"/>
        <v>1.1200000000000001</v>
      </c>
      <c r="AN409" s="517">
        <f t="shared" si="24"/>
        <v>360</v>
      </c>
      <c r="AO409" s="520">
        <f t="shared" si="25"/>
        <v>10</v>
      </c>
      <c r="AP409" s="525">
        <f t="shared" si="26"/>
        <v>60</v>
      </c>
      <c r="AQ409" s="531">
        <f t="shared" si="27"/>
        <v>2</v>
      </c>
      <c r="AR409" s="593">
        <f t="shared" si="28"/>
        <v>19</v>
      </c>
      <c r="AS409" s="518">
        <f t="shared" si="29"/>
        <v>2.0999999999999996</v>
      </c>
      <c r="AT409" s="518">
        <f t="shared" si="30"/>
        <v>1.8184780837542773</v>
      </c>
      <c r="AU409" s="518">
        <f t="shared" si="31"/>
        <v>0.41062408342838524</v>
      </c>
      <c r="AV409" s="519">
        <f t="shared" si="32"/>
        <v>0.86594194464489416</v>
      </c>
      <c r="AW409" s="560">
        <f t="shared" si="33"/>
        <v>4.2275</v>
      </c>
      <c r="AX409" s="522">
        <f t="shared" si="34"/>
        <v>4.38</v>
      </c>
      <c r="AY409" s="522">
        <f t="shared" si="35"/>
        <v>2.6731301876264837</v>
      </c>
      <c r="AZ409" s="522">
        <f t="shared" si="36"/>
        <v>0.52999690298174074</v>
      </c>
      <c r="BA409" s="522">
        <f t="shared" si="37"/>
        <v>0.86381443329456786</v>
      </c>
      <c r="BB409" s="522">
        <f t="shared" si="38"/>
        <v>2.3090884381471728</v>
      </c>
      <c r="BC409" s="518">
        <f t="shared" si="39"/>
        <v>4.2275</v>
      </c>
      <c r="BD409" s="518" t="str">
        <f t="shared" si="40"/>
        <v>N.A.</v>
      </c>
      <c r="BE409" s="518">
        <f t="shared" si="41"/>
        <v>1.5654597445366347</v>
      </c>
      <c r="BF409" s="518" t="str">
        <f t="shared" si="42"/>
        <v>N.A.</v>
      </c>
      <c r="BG409" s="518">
        <f t="shared" si="43"/>
        <v>1.5654597445366347</v>
      </c>
      <c r="BH409" s="519">
        <f t="shared" si="44"/>
        <v>0.78272987226831736</v>
      </c>
      <c r="BI409" s="527">
        <f t="shared" si="45"/>
        <v>0</v>
      </c>
      <c r="BJ409" s="518">
        <f t="shared" si="46"/>
        <v>1.227184630308513</v>
      </c>
      <c r="BK409" s="629">
        <f t="shared" ref="BK409:BK415" si="144">VLOOKUP($O409,$H$5:$K$20,3)</f>
        <v>0.96911163956828572</v>
      </c>
      <c r="BL409" s="520">
        <f t="shared" si="47"/>
        <v>19.100000000000001</v>
      </c>
      <c r="BM409" s="520">
        <f t="shared" si="48"/>
        <v>23.4392264388926</v>
      </c>
      <c r="BN409" s="519">
        <f t="shared" si="49"/>
        <v>0</v>
      </c>
      <c r="BO409" s="517">
        <f t="shared" si="50"/>
        <v>9.9</v>
      </c>
      <c r="BP409" s="520">
        <f t="shared" si="51"/>
        <v>12.149127840054279</v>
      </c>
      <c r="BQ409" s="520">
        <f t="shared" si="52"/>
        <v>2.5</v>
      </c>
      <c r="BR409" s="519">
        <f t="shared" si="53"/>
        <v>0.20577608803800609</v>
      </c>
      <c r="BS409" s="548" t="str">
        <f t="shared" si="54"/>
        <v>N.A.</v>
      </c>
      <c r="BT409" s="537">
        <v>1</v>
      </c>
      <c r="BU409" s="521">
        <f t="shared" si="55"/>
        <v>-22.5</v>
      </c>
      <c r="BV409" s="521">
        <f t="shared" si="56"/>
        <v>76.441350678685126</v>
      </c>
      <c r="BW409" s="521">
        <f t="shared" si="57"/>
        <v>-1299.502961537647</v>
      </c>
      <c r="BX409" s="521">
        <f t="shared" si="58"/>
        <v>-92.308649321314874</v>
      </c>
      <c r="BY409" s="521">
        <f t="shared" si="59"/>
        <v>-1569.9428314475085</v>
      </c>
      <c r="BZ409" s="521">
        <f t="shared" si="60"/>
        <v>587048.58476463286</v>
      </c>
      <c r="CA409" s="521" t="str">
        <f t="shared" si="61"/>
        <v>N.A.</v>
      </c>
      <c r="CB409" s="521" t="str">
        <f t="shared" si="62"/>
        <v>N.A.</v>
      </c>
      <c r="CC409" s="521" t="str">
        <f t="shared" si="63"/>
        <v>N.A.</v>
      </c>
      <c r="CD409" s="521" t="str">
        <f t="shared" si="64"/>
        <v>N.A.</v>
      </c>
      <c r="CE409" s="521" t="str">
        <f t="shared" si="65"/>
        <v>N.A.</v>
      </c>
      <c r="CF409" s="521" t="str">
        <f t="shared" si="66"/>
        <v>N.A.</v>
      </c>
      <c r="CG409" s="521" t="str">
        <f t="shared" si="67"/>
        <v>N.A.</v>
      </c>
      <c r="CH409" s="521">
        <f t="shared" si="68"/>
        <v>1551.1623741438029</v>
      </c>
      <c r="CI409" s="521">
        <f t="shared" si="69"/>
        <v>11.575837472864608</v>
      </c>
      <c r="CJ409" s="521">
        <f t="shared" si="70"/>
        <v>18.780457303705475</v>
      </c>
      <c r="CK409" s="521">
        <f t="shared" si="71"/>
        <v>2.6580841209890633</v>
      </c>
      <c r="CL409" s="518">
        <f t="shared" si="72"/>
        <v>21.733921593853673</v>
      </c>
      <c r="CM409" s="523">
        <f t="shared" si="73"/>
        <v>0.38303920307316464</v>
      </c>
      <c r="CN409" s="523">
        <f t="shared" si="73"/>
        <v>0.38303920307316464</v>
      </c>
      <c r="CO409" s="524">
        <f t="shared" si="74"/>
        <v>7.723001</v>
      </c>
      <c r="CP409" s="524">
        <f t="shared" si="75"/>
        <v>-7.723001</v>
      </c>
      <c r="CQ409" s="518" t="str">
        <f t="shared" si="76"/>
        <v>N.A.</v>
      </c>
      <c r="CR409" s="518" t="str">
        <f t="shared" si="77"/>
        <v>N.A.</v>
      </c>
      <c r="CS409" s="518" t="str">
        <f t="shared" si="78"/>
        <v>N.A.</v>
      </c>
      <c r="CT409" s="518" t="str">
        <f t="shared" si="79"/>
        <v>N.A.</v>
      </c>
      <c r="CU409" s="518" t="str">
        <f t="shared" si="80"/>
        <v>N.A.</v>
      </c>
      <c r="CV409" s="518" t="str">
        <f t="shared" si="81"/>
        <v>N.A.</v>
      </c>
      <c r="CW409" s="518" t="str">
        <f t="shared" si="81"/>
        <v>N.A.</v>
      </c>
      <c r="CX409" s="518" t="str">
        <f t="shared" si="81"/>
        <v>N.A.</v>
      </c>
      <c r="CY409" s="518" t="str">
        <f t="shared" si="82"/>
        <v>N.A.</v>
      </c>
      <c r="CZ409" s="519">
        <f t="shared" si="83"/>
        <v>19</v>
      </c>
      <c r="DA409" s="527">
        <f t="shared" si="84"/>
        <v>360</v>
      </c>
      <c r="DB409" s="520">
        <f t="shared" si="85"/>
        <v>10</v>
      </c>
      <c r="DC409" s="525">
        <f t="shared" si="86"/>
        <v>60</v>
      </c>
      <c r="DD409" s="531">
        <f t="shared" si="87"/>
        <v>2</v>
      </c>
      <c r="DE409" s="593">
        <f t="shared" si="88"/>
        <v>19</v>
      </c>
      <c r="DF409" s="518">
        <f t="shared" si="89"/>
        <v>2.0999999999999996</v>
      </c>
      <c r="DG409" s="518">
        <f t="shared" si="90"/>
        <v>1.8184780837542773</v>
      </c>
      <c r="DH409" s="518">
        <f t="shared" si="91"/>
        <v>0.41062408342838524</v>
      </c>
      <c r="DI409" s="519">
        <f t="shared" si="92"/>
        <v>0.86594194464489416</v>
      </c>
      <c r="DJ409" s="560">
        <f t="shared" si="93"/>
        <v>4.2275</v>
      </c>
      <c r="DK409" s="522">
        <f t="shared" si="94"/>
        <v>4.38</v>
      </c>
      <c r="DL409" s="522">
        <f t="shared" si="95"/>
        <v>2.6731301876264837</v>
      </c>
      <c r="DM409" s="522">
        <f t="shared" si="96"/>
        <v>0.52999690298174074</v>
      </c>
      <c r="DN409" s="522">
        <f t="shared" si="97"/>
        <v>0.86381443329456786</v>
      </c>
      <c r="DO409" s="522">
        <f t="shared" si="98"/>
        <v>2.3090884381471728</v>
      </c>
      <c r="DP409" s="518">
        <f t="shared" si="99"/>
        <v>4.2275</v>
      </c>
      <c r="DQ409" s="518" t="str">
        <f t="shared" si="100"/>
        <v>N.A.</v>
      </c>
      <c r="DR409" s="518">
        <f t="shared" si="101"/>
        <v>1.5654597445366347</v>
      </c>
      <c r="DS409" s="518" t="str">
        <f t="shared" si="102"/>
        <v>N.A.</v>
      </c>
      <c r="DT409" s="518">
        <f t="shared" si="103"/>
        <v>1.5654597445366347</v>
      </c>
      <c r="DU409" s="519">
        <f t="shared" si="104"/>
        <v>0.78272987226831736</v>
      </c>
      <c r="DV409" s="527">
        <f t="shared" si="105"/>
        <v>0</v>
      </c>
      <c r="DW409" s="518">
        <f t="shared" si="106"/>
        <v>1.227184630308513</v>
      </c>
      <c r="DX409" s="629">
        <f t="shared" ref="DX409:DX415" si="145">VLOOKUP($O409,$H$5:$K$20,3)</f>
        <v>0.96911163956828572</v>
      </c>
      <c r="DY409" s="520">
        <f t="shared" si="107"/>
        <v>19.100000000000001</v>
      </c>
      <c r="DZ409" s="520">
        <f t="shared" si="108"/>
        <v>23.4392264388926</v>
      </c>
      <c r="EA409" s="519">
        <f t="shared" si="109"/>
        <v>0</v>
      </c>
      <c r="EB409" s="527">
        <f t="shared" si="110"/>
        <v>9.9</v>
      </c>
      <c r="EC409" s="520">
        <f t="shared" si="111"/>
        <v>12.149127840054279</v>
      </c>
      <c r="ED409" s="520">
        <f t="shared" si="112"/>
        <v>2.5</v>
      </c>
      <c r="EE409" s="519">
        <f t="shared" si="113"/>
        <v>0.20577608803800609</v>
      </c>
      <c r="EF409" s="550" t="str">
        <f t="shared" si="114"/>
        <v>N.A.</v>
      </c>
      <c r="EG409" s="537">
        <v>1</v>
      </c>
      <c r="EH409" s="521">
        <f t="shared" si="115"/>
        <v>-22.5</v>
      </c>
      <c r="EI409" s="521">
        <f t="shared" si="116"/>
        <v>76.441350678685126</v>
      </c>
      <c r="EJ409" s="521">
        <f t="shared" si="117"/>
        <v>-1299.502961537647</v>
      </c>
      <c r="EK409" s="521">
        <f t="shared" si="118"/>
        <v>-92.308649321314874</v>
      </c>
      <c r="EL409" s="521">
        <f t="shared" si="119"/>
        <v>-1569.9428314475085</v>
      </c>
      <c r="EM409" s="521">
        <f t="shared" si="120"/>
        <v>587048.58476463286</v>
      </c>
      <c r="EN409" s="521" t="str">
        <f t="shared" si="121"/>
        <v>N.A.</v>
      </c>
      <c r="EO409" s="521" t="str">
        <f t="shared" si="122"/>
        <v>N.A.</v>
      </c>
      <c r="EP409" s="521" t="str">
        <f t="shared" si="123"/>
        <v>N.A.</v>
      </c>
      <c r="EQ409" s="521" t="str">
        <f t="shared" si="124"/>
        <v>N.A.</v>
      </c>
      <c r="ER409" s="521" t="str">
        <f t="shared" si="125"/>
        <v>N.A.</v>
      </c>
      <c r="ES409" s="521" t="str">
        <f t="shared" si="126"/>
        <v>N.A.</v>
      </c>
      <c r="ET409" s="521" t="str">
        <f t="shared" si="127"/>
        <v>N.A.</v>
      </c>
      <c r="EU409" s="521">
        <f t="shared" si="128"/>
        <v>1551.1623741438029</v>
      </c>
      <c r="EV409" s="521">
        <f t="shared" si="129"/>
        <v>11.575837472864608</v>
      </c>
      <c r="EW409" s="521">
        <f t="shared" si="130"/>
        <v>18.780457303705475</v>
      </c>
      <c r="EX409" s="521">
        <f t="shared" si="131"/>
        <v>2.6580841209890633</v>
      </c>
      <c r="EY409" s="518">
        <f t="shared" si="132"/>
        <v>21.733921593853673</v>
      </c>
      <c r="EZ409" s="523">
        <f t="shared" si="133"/>
        <v>0.38303920307316464</v>
      </c>
      <c r="FA409" s="523">
        <f t="shared" si="133"/>
        <v>0.38303920307316464</v>
      </c>
      <c r="FB409" s="524">
        <f t="shared" si="134"/>
        <v>7.723001</v>
      </c>
      <c r="FC409" s="524">
        <f t="shared" si="135"/>
        <v>-7.723001</v>
      </c>
      <c r="FD409" s="518" t="str">
        <f t="shared" si="136"/>
        <v>N.A.</v>
      </c>
      <c r="FE409" s="518" t="str">
        <f t="shared" si="137"/>
        <v>N.A.</v>
      </c>
      <c r="FF409" s="518" t="str">
        <f t="shared" si="138"/>
        <v>N.A.</v>
      </c>
      <c r="FG409" s="518" t="str">
        <f t="shared" si="139"/>
        <v>N.A.</v>
      </c>
      <c r="FH409" s="518" t="str">
        <f t="shared" si="140"/>
        <v>N.A.</v>
      </c>
      <c r="FI409" s="518" t="str">
        <f t="shared" si="141"/>
        <v>N.A.</v>
      </c>
      <c r="FJ409" s="518" t="str">
        <f t="shared" si="141"/>
        <v>N.A.</v>
      </c>
      <c r="FK409" s="518" t="str">
        <f t="shared" si="141"/>
        <v>N.A.</v>
      </c>
      <c r="FL409" s="518" t="str">
        <f t="shared" si="142"/>
        <v>N.A.</v>
      </c>
      <c r="FM409" s="519">
        <f t="shared" si="143"/>
        <v>19</v>
      </c>
    </row>
    <row r="410" spans="1:169" x14ac:dyDescent="0.25">
      <c r="A410" s="284" t="s">
        <v>730</v>
      </c>
      <c r="B410" s="284" t="s">
        <v>135</v>
      </c>
      <c r="C410" s="297">
        <v>-130</v>
      </c>
      <c r="D410" s="298">
        <v>10</v>
      </c>
      <c r="E410" s="299">
        <v>59.58</v>
      </c>
      <c r="F410" s="340">
        <v>-130</v>
      </c>
      <c r="G410" s="298">
        <v>10</v>
      </c>
      <c r="H410" s="299">
        <v>59.58</v>
      </c>
      <c r="I410" s="300">
        <v>28.75</v>
      </c>
      <c r="J410" s="370">
        <v>24</v>
      </c>
      <c r="K410" s="328">
        <v>1.75</v>
      </c>
      <c r="L410" s="300">
        <v>36</v>
      </c>
      <c r="M410" s="328">
        <v>36</v>
      </c>
      <c r="N410" s="331">
        <v>4</v>
      </c>
      <c r="O410" s="301">
        <v>1.25</v>
      </c>
      <c r="P410" s="301">
        <v>2</v>
      </c>
      <c r="Q410" s="328">
        <v>2</v>
      </c>
      <c r="R410" s="620">
        <f t="shared" si="2"/>
        <v>5.4996923076923077</v>
      </c>
      <c r="S410" s="512">
        <f t="shared" si="3"/>
        <v>26.64149723411753</v>
      </c>
      <c r="T410" s="512">
        <f t="shared" si="4"/>
        <v>5.4996923076923077</v>
      </c>
      <c r="U410" s="513">
        <f t="shared" si="5"/>
        <v>26.64149723411753</v>
      </c>
      <c r="V410" s="514">
        <f t="shared" si="6"/>
        <v>0.40675193667662357</v>
      </c>
      <c r="W410" s="512">
        <f t="shared" si="7"/>
        <v>1.439021406614805</v>
      </c>
      <c r="X410" s="513">
        <f t="shared" si="8"/>
        <v>0.28265871154306066</v>
      </c>
      <c r="Y410" s="514">
        <f t="shared" si="9"/>
        <v>1.3244495644946155</v>
      </c>
      <c r="Z410" s="513">
        <f t="shared" si="10"/>
        <v>0.75682832256835175</v>
      </c>
      <c r="AA410" s="515">
        <f t="shared" si="11"/>
        <v>1.8883575653297683E-2</v>
      </c>
      <c r="AB410" s="516">
        <f t="shared" si="12"/>
        <v>23.4392264388926</v>
      </c>
      <c r="AC410" s="513">
        <f t="shared" si="13"/>
        <v>8.0563988331817352E-4</v>
      </c>
      <c r="AD410" s="544">
        <f t="shared" si="14"/>
        <v>2.5</v>
      </c>
      <c r="AE410" s="516">
        <f t="shared" si="15"/>
        <v>12.149127840054279</v>
      </c>
      <c r="AF410" s="513">
        <f t="shared" si="16"/>
        <v>0.20577608803800609</v>
      </c>
      <c r="AG410" s="551">
        <f t="shared" si="17"/>
        <v>0.38149140275362942</v>
      </c>
      <c r="AH410" s="595">
        <f t="shared" si="18"/>
        <v>1.9312500000000001</v>
      </c>
      <c r="AI410" s="517">
        <f t="shared" si="19"/>
        <v>26.5</v>
      </c>
      <c r="AJ410" s="518">
        <f t="shared" si="20"/>
        <v>14</v>
      </c>
      <c r="AK410" s="518">
        <f t="shared" si="21"/>
        <v>0.44</v>
      </c>
      <c r="AL410" s="518">
        <f t="shared" si="22"/>
        <v>14.5</v>
      </c>
      <c r="AM410" s="519">
        <f t="shared" si="23"/>
        <v>0.71</v>
      </c>
      <c r="AN410" s="517">
        <f t="shared" si="24"/>
        <v>130</v>
      </c>
      <c r="AO410" s="520">
        <f t="shared" si="25"/>
        <v>10</v>
      </c>
      <c r="AP410" s="525">
        <f t="shared" si="26"/>
        <v>59.58</v>
      </c>
      <c r="AQ410" s="531">
        <f t="shared" si="27"/>
        <v>5.4996923076923077</v>
      </c>
      <c r="AR410" s="593">
        <f t="shared" si="28"/>
        <v>26.64149723411753</v>
      </c>
      <c r="AS410" s="518">
        <f t="shared" si="29"/>
        <v>1.439021406614805</v>
      </c>
      <c r="AT410" s="518">
        <f t="shared" si="30"/>
        <v>0.40675193667662357</v>
      </c>
      <c r="AU410" s="518">
        <f t="shared" si="31"/>
        <v>0</v>
      </c>
      <c r="AV410" s="519">
        <f t="shared" si="32"/>
        <v>0.28265871154306066</v>
      </c>
      <c r="AW410" s="560">
        <f t="shared" si="33"/>
        <v>7.7250000000000005</v>
      </c>
      <c r="AX410" s="522">
        <f t="shared" si="34"/>
        <v>6.1999999999999993</v>
      </c>
      <c r="AY410" s="522">
        <f t="shared" si="35"/>
        <v>3.5619517121937516</v>
      </c>
      <c r="AZ410" s="522">
        <f t="shared" si="36"/>
        <v>0.14128585643149599</v>
      </c>
      <c r="BA410" s="522">
        <f t="shared" si="37"/>
        <v>0.39018663311867935</v>
      </c>
      <c r="BB410" s="522">
        <f t="shared" si="38"/>
        <v>1.3898259459121951</v>
      </c>
      <c r="BC410" s="518">
        <f t="shared" si="39"/>
        <v>7.7250000000000005</v>
      </c>
      <c r="BD410" s="518" t="str">
        <f t="shared" si="40"/>
        <v>N.A.</v>
      </c>
      <c r="BE410" s="518">
        <f t="shared" si="41"/>
        <v>1.3244495644946155</v>
      </c>
      <c r="BF410" s="518" t="str">
        <f t="shared" si="42"/>
        <v>N.A.</v>
      </c>
      <c r="BG410" s="518">
        <f t="shared" si="43"/>
        <v>1.3244495644946155</v>
      </c>
      <c r="BH410" s="519">
        <f t="shared" si="44"/>
        <v>0.75682832256835175</v>
      </c>
      <c r="BI410" s="527">
        <f t="shared" si="45"/>
        <v>1.8883575653297683E-2</v>
      </c>
      <c r="BJ410" s="518">
        <f t="shared" si="46"/>
        <v>1.227184630308513</v>
      </c>
      <c r="BK410" s="629">
        <f t="shared" si="144"/>
        <v>0.96911163956828572</v>
      </c>
      <c r="BL410" s="520">
        <f t="shared" si="47"/>
        <v>19.100000000000001</v>
      </c>
      <c r="BM410" s="520">
        <f t="shared" si="48"/>
        <v>23.4392264388926</v>
      </c>
      <c r="BN410" s="519">
        <f t="shared" si="49"/>
        <v>8.0563988331817352E-4</v>
      </c>
      <c r="BO410" s="517">
        <f t="shared" si="50"/>
        <v>9.9</v>
      </c>
      <c r="BP410" s="520">
        <f t="shared" si="51"/>
        <v>12.149127840054279</v>
      </c>
      <c r="BQ410" s="520">
        <f t="shared" si="52"/>
        <v>2.5</v>
      </c>
      <c r="BR410" s="519">
        <f t="shared" si="53"/>
        <v>0.20577608803800609</v>
      </c>
      <c r="BS410" s="548">
        <f t="shared" si="54"/>
        <v>0.38149140275362942</v>
      </c>
      <c r="BT410" s="537">
        <v>1</v>
      </c>
      <c r="BU410" s="521">
        <f t="shared" si="55"/>
        <v>-26.62592307692308</v>
      </c>
      <c r="BV410" s="521">
        <f t="shared" si="56"/>
        <v>101.87813855447523</v>
      </c>
      <c r="BW410" s="521">
        <f t="shared" si="57"/>
        <v>-2725.240206332212</v>
      </c>
      <c r="BX410" s="521">
        <f t="shared" si="58"/>
        <v>-134.43512134493312</v>
      </c>
      <c r="BY410" s="521">
        <f t="shared" si="59"/>
        <v>-3219.2756417947066</v>
      </c>
      <c r="BZ410" s="521">
        <f t="shared" si="60"/>
        <v>2500948.0140970419</v>
      </c>
      <c r="CA410" s="521" t="str">
        <f t="shared" si="61"/>
        <v>N.A.</v>
      </c>
      <c r="CB410" s="521" t="str">
        <f t="shared" si="62"/>
        <v>N.A.</v>
      </c>
      <c r="CC410" s="521" t="str">
        <f t="shared" si="63"/>
        <v>N.A.</v>
      </c>
      <c r="CD410" s="521" t="str">
        <f t="shared" si="64"/>
        <v>N.A.</v>
      </c>
      <c r="CE410" s="521" t="str">
        <f t="shared" si="65"/>
        <v>N.A.</v>
      </c>
      <c r="CF410" s="521" t="str">
        <f t="shared" si="66"/>
        <v>N.A.</v>
      </c>
      <c r="CG410" s="521" t="str">
        <f t="shared" si="67"/>
        <v>N.A.</v>
      </c>
      <c r="CH410" s="521">
        <f t="shared" si="68"/>
        <v>3191.076410946629</v>
      </c>
      <c r="CI410" s="521">
        <f t="shared" si="69"/>
        <v>14.722415415800231</v>
      </c>
      <c r="CJ410" s="521">
        <f t="shared" si="70"/>
        <v>28.199230848077377</v>
      </c>
      <c r="CK410" s="521">
        <f t="shared" si="71"/>
        <v>3.0437741260096058</v>
      </c>
      <c r="CL410" s="518">
        <f t="shared" si="72"/>
        <v>26.64149723411753</v>
      </c>
      <c r="CM410" s="523">
        <f t="shared" si="73"/>
        <v>-7.787078597225161E-3</v>
      </c>
      <c r="CN410" s="523">
        <f t="shared" si="73"/>
        <v>-7.787078597225161E-3</v>
      </c>
      <c r="CO410" s="524">
        <f t="shared" si="74"/>
        <v>10.114000000000001</v>
      </c>
      <c r="CP410" s="524">
        <f t="shared" si="75"/>
        <v>-10.114000000000001</v>
      </c>
      <c r="CQ410" s="518">
        <f t="shared" si="76"/>
        <v>26.64149723411753</v>
      </c>
      <c r="CR410" s="518" t="str">
        <f t="shared" si="77"/>
        <v>N.A.</v>
      </c>
      <c r="CS410" s="518" t="str">
        <f t="shared" si="78"/>
        <v>N.A.</v>
      </c>
      <c r="CT410" s="518" t="str">
        <f t="shared" si="79"/>
        <v>N.A.</v>
      </c>
      <c r="CU410" s="518" t="str">
        <f t="shared" si="80"/>
        <v>N.A.</v>
      </c>
      <c r="CV410" s="518" t="str">
        <f t="shared" si="81"/>
        <v>N.A.</v>
      </c>
      <c r="CW410" s="518" t="str">
        <f t="shared" si="81"/>
        <v>N.A.</v>
      </c>
      <c r="CX410" s="518" t="str">
        <f t="shared" si="81"/>
        <v>N.A.</v>
      </c>
      <c r="CY410" s="518" t="str">
        <f t="shared" si="82"/>
        <v>N.A.</v>
      </c>
      <c r="CZ410" s="519">
        <f t="shared" si="83"/>
        <v>26.64149723411753</v>
      </c>
      <c r="DA410" s="527">
        <f t="shared" si="84"/>
        <v>130</v>
      </c>
      <c r="DB410" s="520">
        <f t="shared" si="85"/>
        <v>10</v>
      </c>
      <c r="DC410" s="525">
        <f t="shared" si="86"/>
        <v>59.58</v>
      </c>
      <c r="DD410" s="531">
        <f t="shared" si="87"/>
        <v>5.4996923076923077</v>
      </c>
      <c r="DE410" s="593">
        <f t="shared" si="88"/>
        <v>26.64149723411753</v>
      </c>
      <c r="DF410" s="518">
        <f t="shared" si="89"/>
        <v>1.439021406614805</v>
      </c>
      <c r="DG410" s="518">
        <f t="shared" si="90"/>
        <v>0.40675193667662357</v>
      </c>
      <c r="DH410" s="518">
        <f t="shared" si="91"/>
        <v>0</v>
      </c>
      <c r="DI410" s="519">
        <f t="shared" si="92"/>
        <v>0.28265871154306066</v>
      </c>
      <c r="DJ410" s="560">
        <f t="shared" si="93"/>
        <v>7.7250000000000005</v>
      </c>
      <c r="DK410" s="522">
        <f t="shared" si="94"/>
        <v>6.1999999999999993</v>
      </c>
      <c r="DL410" s="522">
        <f t="shared" si="95"/>
        <v>3.5619517121937516</v>
      </c>
      <c r="DM410" s="522">
        <f t="shared" si="96"/>
        <v>0.14128585643149599</v>
      </c>
      <c r="DN410" s="522">
        <f t="shared" si="97"/>
        <v>0.39018663311867935</v>
      </c>
      <c r="DO410" s="522">
        <f t="shared" si="98"/>
        <v>1.3898259459121951</v>
      </c>
      <c r="DP410" s="518">
        <f t="shared" si="99"/>
        <v>7.7250000000000005</v>
      </c>
      <c r="DQ410" s="518" t="str">
        <f t="shared" si="100"/>
        <v>N.A.</v>
      </c>
      <c r="DR410" s="518">
        <f t="shared" si="101"/>
        <v>1.3244495644946155</v>
      </c>
      <c r="DS410" s="518" t="str">
        <f t="shared" si="102"/>
        <v>N.A.</v>
      </c>
      <c r="DT410" s="518">
        <f t="shared" si="103"/>
        <v>1.3244495644946155</v>
      </c>
      <c r="DU410" s="519">
        <f t="shared" si="104"/>
        <v>0.75682832256835175</v>
      </c>
      <c r="DV410" s="527">
        <f t="shared" si="105"/>
        <v>1.8883575653297683E-2</v>
      </c>
      <c r="DW410" s="518">
        <f t="shared" si="106"/>
        <v>1.227184630308513</v>
      </c>
      <c r="DX410" s="629">
        <f t="shared" si="145"/>
        <v>0.96911163956828572</v>
      </c>
      <c r="DY410" s="520">
        <f t="shared" si="107"/>
        <v>19.100000000000001</v>
      </c>
      <c r="DZ410" s="520">
        <f t="shared" si="108"/>
        <v>23.4392264388926</v>
      </c>
      <c r="EA410" s="519">
        <f t="shared" si="109"/>
        <v>8.0563988331817352E-4</v>
      </c>
      <c r="EB410" s="527">
        <f t="shared" si="110"/>
        <v>9.9</v>
      </c>
      <c r="EC410" s="520">
        <f t="shared" si="111"/>
        <v>12.149127840054279</v>
      </c>
      <c r="ED410" s="520">
        <f t="shared" si="112"/>
        <v>2.5</v>
      </c>
      <c r="EE410" s="519">
        <f t="shared" si="113"/>
        <v>0.20577608803800609</v>
      </c>
      <c r="EF410" s="550">
        <f t="shared" si="114"/>
        <v>0.38149140275362942</v>
      </c>
      <c r="EG410" s="537">
        <v>1</v>
      </c>
      <c r="EH410" s="521">
        <f t="shared" si="115"/>
        <v>-26.62592307692308</v>
      </c>
      <c r="EI410" s="521">
        <f t="shared" si="116"/>
        <v>101.87813855447523</v>
      </c>
      <c r="EJ410" s="521">
        <f t="shared" si="117"/>
        <v>-2725.240206332212</v>
      </c>
      <c r="EK410" s="521">
        <f t="shared" si="118"/>
        <v>-134.43512134493312</v>
      </c>
      <c r="EL410" s="521">
        <f t="shared" si="119"/>
        <v>-3219.2756417947066</v>
      </c>
      <c r="EM410" s="521">
        <f t="shared" si="120"/>
        <v>2500948.0140970419</v>
      </c>
      <c r="EN410" s="521" t="str">
        <f t="shared" si="121"/>
        <v>N.A.</v>
      </c>
      <c r="EO410" s="521" t="str">
        <f t="shared" si="122"/>
        <v>N.A.</v>
      </c>
      <c r="EP410" s="521" t="str">
        <f t="shared" si="123"/>
        <v>N.A.</v>
      </c>
      <c r="EQ410" s="521" t="str">
        <f t="shared" si="124"/>
        <v>N.A.</v>
      </c>
      <c r="ER410" s="521" t="str">
        <f t="shared" si="125"/>
        <v>N.A.</v>
      </c>
      <c r="ES410" s="521" t="str">
        <f t="shared" si="126"/>
        <v>N.A.</v>
      </c>
      <c r="ET410" s="521" t="str">
        <f t="shared" si="127"/>
        <v>N.A.</v>
      </c>
      <c r="EU410" s="521">
        <f t="shared" si="128"/>
        <v>3191.076410946629</v>
      </c>
      <c r="EV410" s="521">
        <f t="shared" si="129"/>
        <v>14.722415415800231</v>
      </c>
      <c r="EW410" s="521">
        <f t="shared" si="130"/>
        <v>28.199230848077377</v>
      </c>
      <c r="EX410" s="521">
        <f t="shared" si="131"/>
        <v>3.0437741260096058</v>
      </c>
      <c r="EY410" s="518">
        <f t="shared" si="132"/>
        <v>26.64149723411753</v>
      </c>
      <c r="EZ410" s="523">
        <f t="shared" si="133"/>
        <v>-7.787078597225161E-3</v>
      </c>
      <c r="FA410" s="523">
        <f t="shared" si="133"/>
        <v>-7.787078597225161E-3</v>
      </c>
      <c r="FB410" s="524">
        <f t="shared" si="134"/>
        <v>10.114000000000001</v>
      </c>
      <c r="FC410" s="524">
        <f t="shared" si="135"/>
        <v>-10.114000000000001</v>
      </c>
      <c r="FD410" s="518">
        <f t="shared" si="136"/>
        <v>26.64149723411753</v>
      </c>
      <c r="FE410" s="518" t="str">
        <f t="shared" si="137"/>
        <v>N.A.</v>
      </c>
      <c r="FF410" s="518" t="str">
        <f t="shared" si="138"/>
        <v>N.A.</v>
      </c>
      <c r="FG410" s="518" t="str">
        <f t="shared" si="139"/>
        <v>N.A.</v>
      </c>
      <c r="FH410" s="518" t="str">
        <f t="shared" si="140"/>
        <v>N.A.</v>
      </c>
      <c r="FI410" s="518" t="str">
        <f t="shared" si="141"/>
        <v>N.A.</v>
      </c>
      <c r="FJ410" s="518" t="str">
        <f t="shared" si="141"/>
        <v>N.A.</v>
      </c>
      <c r="FK410" s="518" t="str">
        <f t="shared" si="141"/>
        <v>N.A.</v>
      </c>
      <c r="FL410" s="518" t="str">
        <f t="shared" si="142"/>
        <v>N.A.</v>
      </c>
      <c r="FM410" s="519">
        <f t="shared" si="143"/>
        <v>26.64149723411753</v>
      </c>
    </row>
    <row r="411" spans="1:169" x14ac:dyDescent="0.25">
      <c r="A411" s="284" t="s">
        <v>731</v>
      </c>
      <c r="B411" s="284" t="s">
        <v>135</v>
      </c>
      <c r="C411" s="297">
        <v>-130</v>
      </c>
      <c r="D411" s="298">
        <v>10</v>
      </c>
      <c r="E411" s="299">
        <v>175</v>
      </c>
      <c r="F411" s="340">
        <v>-130</v>
      </c>
      <c r="G411" s="298">
        <v>10</v>
      </c>
      <c r="H411" s="299">
        <v>175</v>
      </c>
      <c r="I411" s="300">
        <v>28.75</v>
      </c>
      <c r="J411" s="370">
        <v>24</v>
      </c>
      <c r="K411" s="328">
        <v>2.5</v>
      </c>
      <c r="L411" s="300">
        <v>36</v>
      </c>
      <c r="M411" s="328">
        <v>36</v>
      </c>
      <c r="N411" s="331">
        <v>6</v>
      </c>
      <c r="O411" s="301">
        <v>1.75</v>
      </c>
      <c r="P411" s="301">
        <v>2.5</v>
      </c>
      <c r="Q411" s="328">
        <v>2.5</v>
      </c>
      <c r="R411" s="620">
        <f t="shared" si="2"/>
        <v>16.153846153846153</v>
      </c>
      <c r="S411" s="512">
        <f t="shared" si="3"/>
        <v>15.531675333643584</v>
      </c>
      <c r="T411" s="512">
        <f t="shared" si="4"/>
        <v>16.153846153846153</v>
      </c>
      <c r="U411" s="513">
        <f t="shared" si="5"/>
        <v>15.531675333643584</v>
      </c>
      <c r="V411" s="514">
        <f t="shared" si="6"/>
        <v>0.92774216337757542</v>
      </c>
      <c r="W411" s="512">
        <f t="shared" si="7"/>
        <v>1.439021406614805</v>
      </c>
      <c r="X411" s="513">
        <f t="shared" si="8"/>
        <v>0.6447035180387084</v>
      </c>
      <c r="Y411" s="514">
        <f t="shared" si="9"/>
        <v>1.9221831471693398</v>
      </c>
      <c r="Z411" s="513">
        <f t="shared" si="10"/>
        <v>0.76887325886773594</v>
      </c>
      <c r="AA411" s="515">
        <f t="shared" si="11"/>
        <v>14.304226966317161</v>
      </c>
      <c r="AB411" s="516">
        <f t="shared" si="12"/>
        <v>45.940883820229487</v>
      </c>
      <c r="AC411" s="513">
        <f t="shared" si="13"/>
        <v>0.31136159727119739</v>
      </c>
      <c r="AD411" s="544">
        <f t="shared" si="14"/>
        <v>1.6666666666666667</v>
      </c>
      <c r="AE411" s="516">
        <f t="shared" si="15"/>
        <v>23.812290566506384</v>
      </c>
      <c r="AF411" s="513">
        <f t="shared" si="16"/>
        <v>6.9991866679593923E-2</v>
      </c>
      <c r="AG411" s="551">
        <f t="shared" si="17"/>
        <v>0.44084655062844613</v>
      </c>
      <c r="AH411" s="595">
        <f t="shared" si="18"/>
        <v>1.9312500000000001</v>
      </c>
      <c r="AI411" s="517">
        <f t="shared" si="19"/>
        <v>26.5</v>
      </c>
      <c r="AJ411" s="518">
        <f t="shared" si="20"/>
        <v>14</v>
      </c>
      <c r="AK411" s="518">
        <f t="shared" si="21"/>
        <v>0.44</v>
      </c>
      <c r="AL411" s="518">
        <f t="shared" si="22"/>
        <v>14.5</v>
      </c>
      <c r="AM411" s="519">
        <f t="shared" si="23"/>
        <v>0.71</v>
      </c>
      <c r="AN411" s="517">
        <f t="shared" si="24"/>
        <v>130</v>
      </c>
      <c r="AO411" s="520">
        <f t="shared" si="25"/>
        <v>10</v>
      </c>
      <c r="AP411" s="525">
        <f t="shared" si="26"/>
        <v>175</v>
      </c>
      <c r="AQ411" s="531">
        <f t="shared" si="27"/>
        <v>16.153846153846153</v>
      </c>
      <c r="AR411" s="593">
        <f t="shared" si="28"/>
        <v>15.531675333643584</v>
      </c>
      <c r="AS411" s="518">
        <f t="shared" si="29"/>
        <v>1.439021406614805</v>
      </c>
      <c r="AT411" s="518">
        <f t="shared" si="30"/>
        <v>0.92774216337757542</v>
      </c>
      <c r="AU411" s="518">
        <f t="shared" si="31"/>
        <v>0</v>
      </c>
      <c r="AV411" s="519">
        <f t="shared" si="32"/>
        <v>0.6447035180387084</v>
      </c>
      <c r="AW411" s="560">
        <f t="shared" si="33"/>
        <v>7.7250000000000005</v>
      </c>
      <c r="AX411" s="522">
        <f t="shared" si="34"/>
        <v>6.1999999999999993</v>
      </c>
      <c r="AY411" s="522">
        <f t="shared" si="35"/>
        <v>3.5619517121937516</v>
      </c>
      <c r="AZ411" s="522">
        <f t="shared" si="36"/>
        <v>0.32225254333482989</v>
      </c>
      <c r="BA411" s="522">
        <f t="shared" si="37"/>
        <v>0.6227029926214005</v>
      </c>
      <c r="BB411" s="522">
        <f t="shared" si="38"/>
        <v>2.2180379907559704</v>
      </c>
      <c r="BC411" s="518">
        <f t="shared" si="39"/>
        <v>7.25</v>
      </c>
      <c r="BD411" s="518" t="str">
        <f t="shared" si="40"/>
        <v>N.A.</v>
      </c>
      <c r="BE411" s="518">
        <f t="shared" si="41"/>
        <v>1.9221831471693398</v>
      </c>
      <c r="BF411" s="518" t="str">
        <f t="shared" si="42"/>
        <v>N.A.</v>
      </c>
      <c r="BG411" s="518">
        <f t="shared" si="43"/>
        <v>1.9221831471693398</v>
      </c>
      <c r="BH411" s="519">
        <f t="shared" si="44"/>
        <v>0.76887325886773594</v>
      </c>
      <c r="BI411" s="527">
        <f t="shared" si="45"/>
        <v>14.304226966317161</v>
      </c>
      <c r="BJ411" s="518">
        <f t="shared" si="46"/>
        <v>2.4052818754046852</v>
      </c>
      <c r="BK411" s="629">
        <f t="shared" si="144"/>
        <v>1.8994588135538397</v>
      </c>
      <c r="BL411" s="520">
        <f t="shared" si="47"/>
        <v>19.100000000000001</v>
      </c>
      <c r="BM411" s="520">
        <f t="shared" si="48"/>
        <v>45.940883820229487</v>
      </c>
      <c r="BN411" s="519">
        <f t="shared" si="49"/>
        <v>0.31136159727119739</v>
      </c>
      <c r="BO411" s="517">
        <f t="shared" si="50"/>
        <v>9.9</v>
      </c>
      <c r="BP411" s="520">
        <f t="shared" si="51"/>
        <v>23.812290566506384</v>
      </c>
      <c r="BQ411" s="520">
        <f t="shared" si="52"/>
        <v>1.6666666666666667</v>
      </c>
      <c r="BR411" s="519">
        <f t="shared" si="53"/>
        <v>6.9991866679593923E-2</v>
      </c>
      <c r="BS411" s="548">
        <f t="shared" si="54"/>
        <v>0.44084655062844613</v>
      </c>
      <c r="BT411" s="537">
        <v>1</v>
      </c>
      <c r="BU411" s="521">
        <f t="shared" si="55"/>
        <v>5.3365384615384599</v>
      </c>
      <c r="BV411" s="521">
        <f t="shared" si="56"/>
        <v>469.67233175918483</v>
      </c>
      <c r="BW411" s="521">
        <f t="shared" si="57"/>
        <v>-12328.898708678602</v>
      </c>
      <c r="BX411" s="521">
        <f t="shared" si="58"/>
        <v>460.17945084202506</v>
      </c>
      <c r="BY411" s="521">
        <f t="shared" si="59"/>
        <v>-13153.115946457441</v>
      </c>
      <c r="BZ411" s="521">
        <f t="shared" si="60"/>
        <v>46860372.547086067</v>
      </c>
      <c r="CA411" s="521" t="str">
        <f t="shared" si="61"/>
        <v>N.A.</v>
      </c>
      <c r="CB411" s="521" t="str">
        <f t="shared" si="62"/>
        <v>N.A.</v>
      </c>
      <c r="CC411" s="521" t="str">
        <f t="shared" si="63"/>
        <v>N.A.</v>
      </c>
      <c r="CD411" s="521" t="str">
        <f t="shared" si="64"/>
        <v>N.A.</v>
      </c>
      <c r="CE411" s="521" t="str">
        <f t="shared" si="65"/>
        <v>N.A.</v>
      </c>
      <c r="CF411" s="521" t="str">
        <f t="shared" si="66"/>
        <v>N.A.</v>
      </c>
      <c r="CG411" s="521" t="str">
        <f t="shared" si="67"/>
        <v>N.A.</v>
      </c>
      <c r="CH411" s="521">
        <f t="shared" si="68"/>
        <v>13422.021620571102</v>
      </c>
      <c r="CI411" s="521">
        <f t="shared" si="69"/>
        <v>23.765081683216188</v>
      </c>
      <c r="CJ411" s="521">
        <f t="shared" si="70"/>
        <v>-268.90567411366101</v>
      </c>
      <c r="CK411" s="521">
        <f t="shared" si="71"/>
        <v>-6.45456019572645</v>
      </c>
      <c r="CL411" s="518">
        <f t="shared" si="72"/>
        <v>15.531675333643584</v>
      </c>
      <c r="CM411" s="523">
        <f t="shared" si="73"/>
        <v>-10.434106897591022</v>
      </c>
      <c r="CN411" s="523">
        <f t="shared" si="73"/>
        <v>-10.434106897591022</v>
      </c>
      <c r="CO411" s="524">
        <f t="shared" si="74"/>
        <v>26.170978000000002</v>
      </c>
      <c r="CP411" s="524">
        <f t="shared" si="75"/>
        <v>-26.170978000000002</v>
      </c>
      <c r="CQ411" s="518">
        <f t="shared" si="76"/>
        <v>15.531675333643584</v>
      </c>
      <c r="CR411" s="518" t="str">
        <f t="shared" si="77"/>
        <v>N.A.</v>
      </c>
      <c r="CS411" s="518" t="str">
        <f t="shared" si="78"/>
        <v>N.A.</v>
      </c>
      <c r="CT411" s="518" t="str">
        <f t="shared" si="79"/>
        <v>N.A.</v>
      </c>
      <c r="CU411" s="518" t="str">
        <f t="shared" si="80"/>
        <v>N.A.</v>
      </c>
      <c r="CV411" s="518" t="str">
        <f t="shared" si="81"/>
        <v>N.A.</v>
      </c>
      <c r="CW411" s="518" t="str">
        <f t="shared" si="81"/>
        <v>N.A.</v>
      </c>
      <c r="CX411" s="518" t="str">
        <f t="shared" si="81"/>
        <v>N.A.</v>
      </c>
      <c r="CY411" s="518" t="str">
        <f t="shared" si="82"/>
        <v>N.A.</v>
      </c>
      <c r="CZ411" s="519">
        <f t="shared" si="83"/>
        <v>15.531675333643584</v>
      </c>
      <c r="DA411" s="527">
        <f t="shared" si="84"/>
        <v>130</v>
      </c>
      <c r="DB411" s="520">
        <f t="shared" si="85"/>
        <v>10</v>
      </c>
      <c r="DC411" s="525">
        <f t="shared" si="86"/>
        <v>175</v>
      </c>
      <c r="DD411" s="531">
        <f t="shared" si="87"/>
        <v>16.153846153846153</v>
      </c>
      <c r="DE411" s="593">
        <f t="shared" si="88"/>
        <v>15.531675333643584</v>
      </c>
      <c r="DF411" s="518">
        <f t="shared" si="89"/>
        <v>1.439021406614805</v>
      </c>
      <c r="DG411" s="518">
        <f t="shared" si="90"/>
        <v>0.92774216337757542</v>
      </c>
      <c r="DH411" s="518">
        <f t="shared" si="91"/>
        <v>0</v>
      </c>
      <c r="DI411" s="519">
        <f t="shared" si="92"/>
        <v>0.6447035180387084</v>
      </c>
      <c r="DJ411" s="560">
        <f t="shared" si="93"/>
        <v>7.7250000000000005</v>
      </c>
      <c r="DK411" s="522">
        <f t="shared" si="94"/>
        <v>6.1999999999999993</v>
      </c>
      <c r="DL411" s="522">
        <f t="shared" si="95"/>
        <v>3.5619517121937516</v>
      </c>
      <c r="DM411" s="522">
        <f t="shared" si="96"/>
        <v>0.32225254333482989</v>
      </c>
      <c r="DN411" s="522">
        <f t="shared" si="97"/>
        <v>0.6227029926214005</v>
      </c>
      <c r="DO411" s="522">
        <f t="shared" si="98"/>
        <v>2.2180379907559704</v>
      </c>
      <c r="DP411" s="518">
        <f t="shared" si="99"/>
        <v>7.25</v>
      </c>
      <c r="DQ411" s="518" t="str">
        <f t="shared" si="100"/>
        <v>N.A.</v>
      </c>
      <c r="DR411" s="518">
        <f t="shared" si="101"/>
        <v>1.9221831471693398</v>
      </c>
      <c r="DS411" s="518" t="str">
        <f t="shared" si="102"/>
        <v>N.A.</v>
      </c>
      <c r="DT411" s="518">
        <f t="shared" si="103"/>
        <v>1.9221831471693398</v>
      </c>
      <c r="DU411" s="519">
        <f t="shared" si="104"/>
        <v>0.76887325886773594</v>
      </c>
      <c r="DV411" s="527">
        <f t="shared" si="105"/>
        <v>14.304226966317161</v>
      </c>
      <c r="DW411" s="518">
        <f t="shared" si="106"/>
        <v>2.4052818754046852</v>
      </c>
      <c r="DX411" s="629">
        <f t="shared" si="145"/>
        <v>1.8994588135538397</v>
      </c>
      <c r="DY411" s="520">
        <f t="shared" si="107"/>
        <v>19.100000000000001</v>
      </c>
      <c r="DZ411" s="520">
        <f t="shared" si="108"/>
        <v>45.940883820229487</v>
      </c>
      <c r="EA411" s="519">
        <f t="shared" si="109"/>
        <v>0.31136159727119739</v>
      </c>
      <c r="EB411" s="527">
        <f t="shared" si="110"/>
        <v>9.9</v>
      </c>
      <c r="EC411" s="520">
        <f t="shared" si="111"/>
        <v>23.812290566506384</v>
      </c>
      <c r="ED411" s="520">
        <f t="shared" si="112"/>
        <v>1.6666666666666667</v>
      </c>
      <c r="EE411" s="519">
        <f t="shared" si="113"/>
        <v>6.9991866679593923E-2</v>
      </c>
      <c r="EF411" s="550">
        <f t="shared" si="114"/>
        <v>0.44084655062844613</v>
      </c>
      <c r="EG411" s="537">
        <v>1</v>
      </c>
      <c r="EH411" s="521">
        <f t="shared" si="115"/>
        <v>5.3365384615384599</v>
      </c>
      <c r="EI411" s="521">
        <f t="shared" si="116"/>
        <v>469.67233175918483</v>
      </c>
      <c r="EJ411" s="521">
        <f t="shared" si="117"/>
        <v>-12328.898708678602</v>
      </c>
      <c r="EK411" s="521">
        <f t="shared" si="118"/>
        <v>460.17945084202506</v>
      </c>
      <c r="EL411" s="521">
        <f t="shared" si="119"/>
        <v>-13153.115946457441</v>
      </c>
      <c r="EM411" s="521">
        <f t="shared" si="120"/>
        <v>46860372.547086067</v>
      </c>
      <c r="EN411" s="521" t="str">
        <f t="shared" si="121"/>
        <v>N.A.</v>
      </c>
      <c r="EO411" s="521" t="str">
        <f t="shared" si="122"/>
        <v>N.A.</v>
      </c>
      <c r="EP411" s="521" t="str">
        <f t="shared" si="123"/>
        <v>N.A.</v>
      </c>
      <c r="EQ411" s="521" t="str">
        <f t="shared" si="124"/>
        <v>N.A.</v>
      </c>
      <c r="ER411" s="521" t="str">
        <f t="shared" si="125"/>
        <v>N.A.</v>
      </c>
      <c r="ES411" s="521" t="str">
        <f t="shared" si="126"/>
        <v>N.A.</v>
      </c>
      <c r="ET411" s="521" t="str">
        <f t="shared" si="127"/>
        <v>N.A.</v>
      </c>
      <c r="EU411" s="521">
        <f t="shared" si="128"/>
        <v>13422.021620571102</v>
      </c>
      <c r="EV411" s="521">
        <f t="shared" si="129"/>
        <v>23.765081683216188</v>
      </c>
      <c r="EW411" s="521">
        <f t="shared" si="130"/>
        <v>-268.90567411366101</v>
      </c>
      <c r="EX411" s="521">
        <f t="shared" si="131"/>
        <v>-6.45456019572645</v>
      </c>
      <c r="EY411" s="518">
        <f t="shared" si="132"/>
        <v>15.531675333643584</v>
      </c>
      <c r="EZ411" s="523">
        <f t="shared" si="133"/>
        <v>-10.434106897591022</v>
      </c>
      <c r="FA411" s="523">
        <f t="shared" si="133"/>
        <v>-10.434106897591022</v>
      </c>
      <c r="FB411" s="524">
        <f t="shared" si="134"/>
        <v>26.170978000000002</v>
      </c>
      <c r="FC411" s="524">
        <f t="shared" si="135"/>
        <v>-26.170978000000002</v>
      </c>
      <c r="FD411" s="518">
        <f t="shared" si="136"/>
        <v>15.531675333643584</v>
      </c>
      <c r="FE411" s="518" t="str">
        <f t="shared" si="137"/>
        <v>N.A.</v>
      </c>
      <c r="FF411" s="518" t="str">
        <f t="shared" si="138"/>
        <v>N.A.</v>
      </c>
      <c r="FG411" s="518" t="str">
        <f t="shared" si="139"/>
        <v>N.A.</v>
      </c>
      <c r="FH411" s="518" t="str">
        <f t="shared" si="140"/>
        <v>N.A.</v>
      </c>
      <c r="FI411" s="518" t="str">
        <f t="shared" si="141"/>
        <v>N.A.</v>
      </c>
      <c r="FJ411" s="518" t="str">
        <f t="shared" si="141"/>
        <v>N.A.</v>
      </c>
      <c r="FK411" s="518" t="str">
        <f t="shared" si="141"/>
        <v>N.A.</v>
      </c>
      <c r="FL411" s="518" t="str">
        <f t="shared" si="142"/>
        <v>N.A.</v>
      </c>
      <c r="FM411" s="519">
        <f t="shared" si="143"/>
        <v>15.531675333643584</v>
      </c>
    </row>
    <row r="412" spans="1:169" x14ac:dyDescent="0.25">
      <c r="A412" s="284" t="s">
        <v>732</v>
      </c>
      <c r="B412" s="284" t="s">
        <v>135</v>
      </c>
      <c r="C412" s="297">
        <v>0</v>
      </c>
      <c r="D412" s="298">
        <v>10</v>
      </c>
      <c r="E412" s="299">
        <v>175</v>
      </c>
      <c r="F412" s="340">
        <v>0</v>
      </c>
      <c r="G412" s="298">
        <v>10</v>
      </c>
      <c r="H412" s="299">
        <v>175</v>
      </c>
      <c r="I412" s="300">
        <v>28.75</v>
      </c>
      <c r="J412" s="370">
        <v>24</v>
      </c>
      <c r="K412" s="328">
        <v>2.25</v>
      </c>
      <c r="L412" s="300">
        <v>36</v>
      </c>
      <c r="M412" s="328">
        <v>36</v>
      </c>
      <c r="N412" s="331">
        <v>6</v>
      </c>
      <c r="O412" s="301">
        <v>2</v>
      </c>
      <c r="P412" s="301">
        <v>2.75</v>
      </c>
      <c r="Q412" s="328">
        <v>2.75</v>
      </c>
      <c r="R412" s="620" t="str">
        <f t="shared" si="2"/>
        <v>(Infinite)</v>
      </c>
      <c r="S412" s="512">
        <f t="shared" si="3"/>
        <v>10.602094784379005</v>
      </c>
      <c r="T412" s="512" t="str">
        <f t="shared" si="4"/>
        <v>(Infinite)</v>
      </c>
      <c r="U412" s="513">
        <f t="shared" si="5"/>
        <v>10.602094784379005</v>
      </c>
      <c r="V412" s="514">
        <f t="shared" si="6"/>
        <v>0.73471851104836128</v>
      </c>
      <c r="W412" s="512">
        <f t="shared" si="7"/>
        <v>1.439021406614805</v>
      </c>
      <c r="X412" s="513">
        <f t="shared" si="8"/>
        <v>0.51056815949439838</v>
      </c>
      <c r="Y412" s="514">
        <f t="shared" si="9"/>
        <v>1.8338427039857081</v>
      </c>
      <c r="Z412" s="513">
        <f t="shared" si="10"/>
        <v>0.81504120177142581</v>
      </c>
      <c r="AA412" s="515">
        <f t="shared" si="11"/>
        <v>31.158254509223493</v>
      </c>
      <c r="AB412" s="516">
        <f t="shared" si="12"/>
        <v>60.004419683565054</v>
      </c>
      <c r="AC412" s="513">
        <f t="shared" si="13"/>
        <v>0.5192659919642153</v>
      </c>
      <c r="AD412" s="544">
        <f t="shared" si="14"/>
        <v>1.6666666666666667</v>
      </c>
      <c r="AE412" s="516">
        <f t="shared" si="15"/>
        <v>31.101767270538954</v>
      </c>
      <c r="AF412" s="513">
        <f t="shared" si="16"/>
        <v>5.3587522926564088E-2</v>
      </c>
      <c r="AG412" s="551">
        <f t="shared" si="17"/>
        <v>0.61840290937835884</v>
      </c>
      <c r="AH412" s="595">
        <f t="shared" si="18"/>
        <v>1.9312500000000001</v>
      </c>
      <c r="AI412" s="517">
        <f t="shared" si="19"/>
        <v>26.5</v>
      </c>
      <c r="AJ412" s="518">
        <f t="shared" si="20"/>
        <v>14</v>
      </c>
      <c r="AK412" s="518">
        <f t="shared" si="21"/>
        <v>0.44</v>
      </c>
      <c r="AL412" s="518">
        <f t="shared" si="22"/>
        <v>14.5</v>
      </c>
      <c r="AM412" s="519">
        <f t="shared" si="23"/>
        <v>0.71</v>
      </c>
      <c r="AN412" s="517">
        <f t="shared" si="24"/>
        <v>-1E-4</v>
      </c>
      <c r="AO412" s="520">
        <f t="shared" si="25"/>
        <v>10</v>
      </c>
      <c r="AP412" s="525">
        <f t="shared" si="26"/>
        <v>175</v>
      </c>
      <c r="AQ412" s="531">
        <f t="shared" si="27"/>
        <v>21000000</v>
      </c>
      <c r="AR412" s="593">
        <f t="shared" si="28"/>
        <v>10.602094784379005</v>
      </c>
      <c r="AS412" s="518">
        <f t="shared" si="29"/>
        <v>1.439021406614805</v>
      </c>
      <c r="AT412" s="518">
        <f t="shared" si="30"/>
        <v>0.73471851104836128</v>
      </c>
      <c r="AU412" s="518">
        <f t="shared" si="31"/>
        <v>0</v>
      </c>
      <c r="AV412" s="519">
        <f t="shared" si="32"/>
        <v>0.51056815949439838</v>
      </c>
      <c r="AW412" s="560">
        <f t="shared" si="33"/>
        <v>7.7250000000000005</v>
      </c>
      <c r="AX412" s="522">
        <f t="shared" si="34"/>
        <v>6.1999999999999993</v>
      </c>
      <c r="AY412" s="522">
        <f t="shared" si="35"/>
        <v>3.5619517121937516</v>
      </c>
      <c r="AZ412" s="522">
        <f t="shared" si="36"/>
        <v>0.25520550662323882</v>
      </c>
      <c r="BA412" s="522">
        <f t="shared" si="37"/>
        <v>0.54232386766742635</v>
      </c>
      <c r="BB412" s="522">
        <f t="shared" si="38"/>
        <v>1.9317314290015268</v>
      </c>
      <c r="BC412" s="518">
        <f t="shared" si="39"/>
        <v>7.375</v>
      </c>
      <c r="BD412" s="518" t="str">
        <f t="shared" si="40"/>
        <v>N.A.</v>
      </c>
      <c r="BE412" s="518">
        <f t="shared" si="41"/>
        <v>1.8338427039857081</v>
      </c>
      <c r="BF412" s="518" t="str">
        <f t="shared" si="42"/>
        <v>N.A.</v>
      </c>
      <c r="BG412" s="518">
        <f t="shared" si="43"/>
        <v>1.8338427039857081</v>
      </c>
      <c r="BH412" s="519">
        <f t="shared" si="44"/>
        <v>0.81504120177142581</v>
      </c>
      <c r="BI412" s="527">
        <f t="shared" si="45"/>
        <v>31.158254509223493</v>
      </c>
      <c r="BJ412" s="518">
        <f t="shared" si="46"/>
        <v>3.1415926535897931</v>
      </c>
      <c r="BK412" s="629">
        <f t="shared" si="144"/>
        <v>2.4982259372269628</v>
      </c>
      <c r="BL412" s="520">
        <f t="shared" si="47"/>
        <v>19.100000000000001</v>
      </c>
      <c r="BM412" s="520">
        <f t="shared" si="48"/>
        <v>60.004419683565054</v>
      </c>
      <c r="BN412" s="519">
        <f t="shared" si="49"/>
        <v>0.5192659919642153</v>
      </c>
      <c r="BO412" s="517">
        <f t="shared" si="50"/>
        <v>9.9</v>
      </c>
      <c r="BP412" s="520">
        <f t="shared" si="51"/>
        <v>31.101767270538954</v>
      </c>
      <c r="BQ412" s="520">
        <f t="shared" si="52"/>
        <v>1.6666666666666667</v>
      </c>
      <c r="BR412" s="519">
        <f t="shared" si="53"/>
        <v>5.3587522926564088E-2</v>
      </c>
      <c r="BS412" s="548">
        <f t="shared" si="54"/>
        <v>0.61840290937835884</v>
      </c>
      <c r="BT412" s="537">
        <v>1</v>
      </c>
      <c r="BU412" s="521">
        <f t="shared" si="55"/>
        <v>-63000043.125</v>
      </c>
      <c r="BV412" s="521">
        <f t="shared" si="56"/>
        <v>-459613424.59905118</v>
      </c>
      <c r="BW412" s="521">
        <f t="shared" si="57"/>
        <v>11949949039.575331</v>
      </c>
      <c r="BX412" s="521">
        <f t="shared" si="58"/>
        <v>-1323002270864044.8</v>
      </c>
      <c r="BY412" s="521">
        <f t="shared" si="59"/>
        <v>-1.8522047688152611E+22</v>
      </c>
      <c r="BZ412" s="521">
        <f t="shared" si="60"/>
        <v>-1.1847581351976803E+32</v>
      </c>
      <c r="CA412" s="521">
        <f t="shared" si="61"/>
        <v>9.2610238440827016E+21</v>
      </c>
      <c r="CB412" s="521">
        <f t="shared" si="62"/>
        <v>21000018.022722725</v>
      </c>
      <c r="CC412" s="521">
        <f t="shared" si="63"/>
        <v>1.1753039976802881E-6</v>
      </c>
      <c r="CD412" s="521">
        <f t="shared" si="64"/>
        <v>-21000018.022722725</v>
      </c>
      <c r="CE412" s="521">
        <f t="shared" si="65"/>
        <v>0.99999999999992328</v>
      </c>
      <c r="CF412" s="521">
        <f t="shared" si="66"/>
        <v>6.7856207944034028E-7</v>
      </c>
      <c r="CG412" s="521">
        <f t="shared" si="67"/>
        <v>21000014.375</v>
      </c>
      <c r="CH412" s="521" t="str">
        <f t="shared" si="68"/>
        <v>N.A.</v>
      </c>
      <c r="CI412" s="521" t="str">
        <f t="shared" si="69"/>
        <v>N.A.</v>
      </c>
      <c r="CJ412" s="521" t="str">
        <f t="shared" si="70"/>
        <v>N.A.</v>
      </c>
      <c r="CK412" s="521" t="str">
        <f t="shared" si="71"/>
        <v>N.A.</v>
      </c>
      <c r="CL412" s="518" t="str">
        <f t="shared" si="72"/>
        <v>N.A.</v>
      </c>
      <c r="CM412" s="523" t="str">
        <f t="shared" si="73"/>
        <v>N.A.</v>
      </c>
      <c r="CN412" s="523" t="str">
        <f t="shared" si="73"/>
        <v>N.A.</v>
      </c>
      <c r="CO412" s="524" t="str">
        <f t="shared" si="74"/>
        <v/>
      </c>
      <c r="CP412" s="524" t="str">
        <f t="shared" si="75"/>
        <v/>
      </c>
      <c r="CQ412" s="518" t="str">
        <f t="shared" si="76"/>
        <v>N.A.</v>
      </c>
      <c r="CR412" s="518">
        <f t="shared" si="77"/>
        <v>63000050.420442231</v>
      </c>
      <c r="CS412" s="518">
        <f t="shared" si="78"/>
        <v>-17.897537011653185</v>
      </c>
      <c r="CT412" s="518">
        <f t="shared" si="79"/>
        <v>10.602094784379005</v>
      </c>
      <c r="CU412" s="518">
        <f t="shared" si="80"/>
        <v>10.602094784379005</v>
      </c>
      <c r="CV412" s="518" t="str">
        <f t="shared" si="81"/>
        <v>N.A.</v>
      </c>
      <c r="CW412" s="518" t="str">
        <f t="shared" si="81"/>
        <v>N.A.</v>
      </c>
      <c r="CX412" s="518" t="str">
        <f t="shared" si="81"/>
        <v>N.A.</v>
      </c>
      <c r="CY412" s="518" t="str">
        <f t="shared" si="82"/>
        <v>N.A.</v>
      </c>
      <c r="CZ412" s="519">
        <f t="shared" si="83"/>
        <v>10.602094784379005</v>
      </c>
      <c r="DA412" s="527">
        <f t="shared" si="84"/>
        <v>-1E-4</v>
      </c>
      <c r="DB412" s="520">
        <f t="shared" si="85"/>
        <v>10</v>
      </c>
      <c r="DC412" s="525">
        <f t="shared" si="86"/>
        <v>175</v>
      </c>
      <c r="DD412" s="531">
        <f t="shared" si="87"/>
        <v>21000000</v>
      </c>
      <c r="DE412" s="593">
        <f t="shared" si="88"/>
        <v>10.602094784379005</v>
      </c>
      <c r="DF412" s="518">
        <f t="shared" si="89"/>
        <v>1.439021406614805</v>
      </c>
      <c r="DG412" s="518">
        <f t="shared" si="90"/>
        <v>0.73471851104836128</v>
      </c>
      <c r="DH412" s="518">
        <f t="shared" si="91"/>
        <v>0</v>
      </c>
      <c r="DI412" s="519">
        <f t="shared" si="92"/>
        <v>0.51056815949439838</v>
      </c>
      <c r="DJ412" s="560">
        <f t="shared" si="93"/>
        <v>7.7250000000000005</v>
      </c>
      <c r="DK412" s="522">
        <f t="shared" si="94"/>
        <v>6.1999999999999993</v>
      </c>
      <c r="DL412" s="522">
        <f t="shared" si="95"/>
        <v>3.5619517121937516</v>
      </c>
      <c r="DM412" s="522">
        <f t="shared" si="96"/>
        <v>0.25520550662323882</v>
      </c>
      <c r="DN412" s="522">
        <f t="shared" si="97"/>
        <v>0.54232386766742635</v>
      </c>
      <c r="DO412" s="522">
        <f t="shared" si="98"/>
        <v>1.9317314290015268</v>
      </c>
      <c r="DP412" s="518">
        <f t="shared" si="99"/>
        <v>7.375</v>
      </c>
      <c r="DQ412" s="518" t="str">
        <f t="shared" si="100"/>
        <v>N.A.</v>
      </c>
      <c r="DR412" s="518">
        <f t="shared" si="101"/>
        <v>1.8338427039857081</v>
      </c>
      <c r="DS412" s="518" t="str">
        <f t="shared" si="102"/>
        <v>N.A.</v>
      </c>
      <c r="DT412" s="518">
        <f t="shared" si="103"/>
        <v>1.8338427039857081</v>
      </c>
      <c r="DU412" s="519">
        <f t="shared" si="104"/>
        <v>0.81504120177142581</v>
      </c>
      <c r="DV412" s="527">
        <f t="shared" si="105"/>
        <v>31.158254509223493</v>
      </c>
      <c r="DW412" s="518">
        <f t="shared" si="106"/>
        <v>3.1415926535897931</v>
      </c>
      <c r="DX412" s="629">
        <f t="shared" si="145"/>
        <v>2.4982259372269628</v>
      </c>
      <c r="DY412" s="520">
        <f t="shared" si="107"/>
        <v>19.100000000000001</v>
      </c>
      <c r="DZ412" s="520">
        <f t="shared" si="108"/>
        <v>60.004419683565054</v>
      </c>
      <c r="EA412" s="519">
        <f t="shared" si="109"/>
        <v>0.5192659919642153</v>
      </c>
      <c r="EB412" s="527">
        <f t="shared" si="110"/>
        <v>9.9</v>
      </c>
      <c r="EC412" s="520">
        <f t="shared" si="111"/>
        <v>31.101767270538954</v>
      </c>
      <c r="ED412" s="520">
        <f t="shared" si="112"/>
        <v>1.6666666666666667</v>
      </c>
      <c r="EE412" s="519">
        <f t="shared" si="113"/>
        <v>5.3587522926564088E-2</v>
      </c>
      <c r="EF412" s="550">
        <f t="shared" si="114"/>
        <v>0.61840290937835884</v>
      </c>
      <c r="EG412" s="537">
        <v>1</v>
      </c>
      <c r="EH412" s="521">
        <f t="shared" si="115"/>
        <v>-63000043.125</v>
      </c>
      <c r="EI412" s="521">
        <f t="shared" si="116"/>
        <v>-459613424.59905118</v>
      </c>
      <c r="EJ412" s="521">
        <f t="shared" si="117"/>
        <v>11949949039.575331</v>
      </c>
      <c r="EK412" s="521">
        <f t="shared" si="118"/>
        <v>-1323002270864044.8</v>
      </c>
      <c r="EL412" s="521">
        <f t="shared" si="119"/>
        <v>-1.8522047688152611E+22</v>
      </c>
      <c r="EM412" s="521">
        <f t="shared" si="120"/>
        <v>-1.1847581351976803E+32</v>
      </c>
      <c r="EN412" s="521">
        <f t="shared" si="121"/>
        <v>9.2610238440827016E+21</v>
      </c>
      <c r="EO412" s="521">
        <f t="shared" si="122"/>
        <v>21000018.022722725</v>
      </c>
      <c r="EP412" s="521">
        <f t="shared" si="123"/>
        <v>1.1753039976802881E-6</v>
      </c>
      <c r="EQ412" s="521">
        <f t="shared" si="124"/>
        <v>-21000018.022722725</v>
      </c>
      <c r="ER412" s="521">
        <f t="shared" si="125"/>
        <v>0.99999999999992328</v>
      </c>
      <c r="ES412" s="521">
        <f t="shared" si="126"/>
        <v>6.7856207944034028E-7</v>
      </c>
      <c r="ET412" s="521">
        <f t="shared" si="127"/>
        <v>21000014.375</v>
      </c>
      <c r="EU412" s="521" t="str">
        <f t="shared" si="128"/>
        <v>N.A.</v>
      </c>
      <c r="EV412" s="521" t="str">
        <f t="shared" si="129"/>
        <v>N.A.</v>
      </c>
      <c r="EW412" s="521" t="str">
        <f t="shared" si="130"/>
        <v>N.A.</v>
      </c>
      <c r="EX412" s="521" t="str">
        <f t="shared" si="131"/>
        <v>N.A.</v>
      </c>
      <c r="EY412" s="518" t="str">
        <f t="shared" si="132"/>
        <v>N.A.</v>
      </c>
      <c r="EZ412" s="523" t="str">
        <f t="shared" si="133"/>
        <v>N.A.</v>
      </c>
      <c r="FA412" s="523" t="str">
        <f t="shared" si="133"/>
        <v>N.A.</v>
      </c>
      <c r="FB412" s="524" t="str">
        <f t="shared" si="134"/>
        <v/>
      </c>
      <c r="FC412" s="524" t="str">
        <f t="shared" si="135"/>
        <v/>
      </c>
      <c r="FD412" s="518" t="str">
        <f t="shared" si="136"/>
        <v>N.A.</v>
      </c>
      <c r="FE412" s="518">
        <f t="shared" si="137"/>
        <v>63000050.420442231</v>
      </c>
      <c r="FF412" s="518">
        <f t="shared" si="138"/>
        <v>-17.897537011653185</v>
      </c>
      <c r="FG412" s="518">
        <f t="shared" si="139"/>
        <v>10.602094784379005</v>
      </c>
      <c r="FH412" s="518">
        <f t="shared" si="140"/>
        <v>10.602094784379005</v>
      </c>
      <c r="FI412" s="518" t="str">
        <f t="shared" si="141"/>
        <v>N.A.</v>
      </c>
      <c r="FJ412" s="518" t="str">
        <f t="shared" si="141"/>
        <v>N.A.</v>
      </c>
      <c r="FK412" s="518" t="str">
        <f t="shared" si="141"/>
        <v>N.A.</v>
      </c>
      <c r="FL412" s="518" t="str">
        <f t="shared" si="142"/>
        <v>N.A.</v>
      </c>
      <c r="FM412" s="519">
        <f t="shared" si="143"/>
        <v>10.602094784379005</v>
      </c>
    </row>
    <row r="413" spans="1:169" x14ac:dyDescent="0.25">
      <c r="A413" s="284" t="s">
        <v>733</v>
      </c>
      <c r="B413" s="317" t="s">
        <v>135</v>
      </c>
      <c r="C413" s="297">
        <v>150</v>
      </c>
      <c r="D413" s="298">
        <v>0</v>
      </c>
      <c r="E413" s="299">
        <v>0</v>
      </c>
      <c r="F413" s="340">
        <v>150</v>
      </c>
      <c r="G413" s="298">
        <v>0</v>
      </c>
      <c r="H413" s="299">
        <v>0</v>
      </c>
      <c r="I413" s="300">
        <v>28.75</v>
      </c>
      <c r="J413" s="370">
        <v>24</v>
      </c>
      <c r="K413" s="328">
        <v>2.25</v>
      </c>
      <c r="L413" s="300">
        <v>36</v>
      </c>
      <c r="M413" s="328">
        <v>36</v>
      </c>
      <c r="N413" s="331">
        <v>6</v>
      </c>
      <c r="O413" s="301">
        <v>1.375</v>
      </c>
      <c r="P413" s="301">
        <v>2</v>
      </c>
      <c r="Q413" s="328">
        <v>2</v>
      </c>
      <c r="R413" s="620">
        <f t="shared" si="2"/>
        <v>0</v>
      </c>
      <c r="S413" s="512">
        <f t="shared" si="3"/>
        <v>0</v>
      </c>
      <c r="T413" s="512">
        <f t="shared" si="4"/>
        <v>0</v>
      </c>
      <c r="U413" s="513">
        <f t="shared" si="5"/>
        <v>0</v>
      </c>
      <c r="V413" s="514">
        <f t="shared" si="6"/>
        <v>0</v>
      </c>
      <c r="W413" s="512">
        <f t="shared" si="7"/>
        <v>1.439021406614805</v>
      </c>
      <c r="X413" s="513">
        <f t="shared" si="8"/>
        <v>0</v>
      </c>
      <c r="Y413" s="514">
        <f t="shared" si="9"/>
        <v>1.8087090897733034</v>
      </c>
      <c r="Z413" s="513">
        <f t="shared" si="10"/>
        <v>0.80387070656591264</v>
      </c>
      <c r="AA413" s="515">
        <f t="shared" si="11"/>
        <v>25</v>
      </c>
      <c r="AB413" s="516">
        <f t="shared" si="12"/>
        <v>28.361463991060045</v>
      </c>
      <c r="AC413" s="513">
        <f t="shared" si="13"/>
        <v>0.88147776884438589</v>
      </c>
      <c r="AD413" s="544">
        <f t="shared" si="14"/>
        <v>0</v>
      </c>
      <c r="AE413" s="516">
        <f t="shared" si="15"/>
        <v>14.700444686465678</v>
      </c>
      <c r="AF413" s="513">
        <f t="shared" si="16"/>
        <v>0</v>
      </c>
      <c r="AG413" s="551" t="str">
        <f t="shared" si="17"/>
        <v>---</v>
      </c>
      <c r="AH413" s="595">
        <f t="shared" si="18"/>
        <v>1.9312500000000001</v>
      </c>
      <c r="AI413" s="517">
        <f t="shared" si="19"/>
        <v>26.5</v>
      </c>
      <c r="AJ413" s="518">
        <f t="shared" si="20"/>
        <v>14</v>
      </c>
      <c r="AK413" s="518">
        <f t="shared" si="21"/>
        <v>0.44</v>
      </c>
      <c r="AL413" s="518">
        <f t="shared" si="22"/>
        <v>14.5</v>
      </c>
      <c r="AM413" s="519">
        <f t="shared" si="23"/>
        <v>0.71</v>
      </c>
      <c r="AN413" s="517">
        <f t="shared" si="24"/>
        <v>-150</v>
      </c>
      <c r="AO413" s="520">
        <f t="shared" si="25"/>
        <v>0</v>
      </c>
      <c r="AP413" s="525">
        <f t="shared" si="26"/>
        <v>0</v>
      </c>
      <c r="AQ413" s="531">
        <f t="shared" si="27"/>
        <v>0</v>
      </c>
      <c r="AR413" s="593">
        <f t="shared" si="28"/>
        <v>0</v>
      </c>
      <c r="AS413" s="518">
        <f t="shared" si="29"/>
        <v>1.439021406614805</v>
      </c>
      <c r="AT413" s="518">
        <f t="shared" si="30"/>
        <v>0</v>
      </c>
      <c r="AU413" s="518">
        <f t="shared" si="31"/>
        <v>0</v>
      </c>
      <c r="AV413" s="519">
        <f t="shared" si="32"/>
        <v>0</v>
      </c>
      <c r="AW413" s="560">
        <f t="shared" si="33"/>
        <v>7.7250000000000005</v>
      </c>
      <c r="AX413" s="522">
        <f t="shared" si="34"/>
        <v>6.1999999999999993</v>
      </c>
      <c r="AY413" s="522" t="str">
        <f t="shared" si="35"/>
        <v>N.A.</v>
      </c>
      <c r="AZ413" s="522" t="str">
        <f t="shared" si="36"/>
        <v>N.A.</v>
      </c>
      <c r="BA413" s="522" t="str">
        <f t="shared" si="37"/>
        <v>N.A.</v>
      </c>
      <c r="BB413" s="522" t="str">
        <f t="shared" si="38"/>
        <v>N.A.</v>
      </c>
      <c r="BC413" s="518">
        <f t="shared" si="39"/>
        <v>7</v>
      </c>
      <c r="BD413" s="518" t="str">
        <f t="shared" si="40"/>
        <v>N.A.</v>
      </c>
      <c r="BE413" s="518" t="str">
        <f t="shared" si="41"/>
        <v>N.A.</v>
      </c>
      <c r="BF413" s="518">
        <f t="shared" si="42"/>
        <v>1.8087090897733034</v>
      </c>
      <c r="BG413" s="518">
        <f t="shared" si="43"/>
        <v>1.8087090897733034</v>
      </c>
      <c r="BH413" s="519">
        <f t="shared" si="44"/>
        <v>0.80387070656591264</v>
      </c>
      <c r="BI413" s="527">
        <f t="shared" si="45"/>
        <v>25</v>
      </c>
      <c r="BJ413" s="518">
        <f t="shared" si="46"/>
        <v>1.4848934026733007</v>
      </c>
      <c r="BK413" s="629">
        <f t="shared" si="144"/>
        <v>1.1548829321901668</v>
      </c>
      <c r="BL413" s="520">
        <f t="shared" si="47"/>
        <v>19.100000000000001</v>
      </c>
      <c r="BM413" s="520">
        <f t="shared" si="48"/>
        <v>28.361463991060045</v>
      </c>
      <c r="BN413" s="519">
        <f t="shared" si="49"/>
        <v>0.88147776884438589</v>
      </c>
      <c r="BO413" s="517">
        <f t="shared" si="50"/>
        <v>9.9</v>
      </c>
      <c r="BP413" s="520">
        <f t="shared" si="51"/>
        <v>14.700444686465678</v>
      </c>
      <c r="BQ413" s="520">
        <f t="shared" si="52"/>
        <v>0</v>
      </c>
      <c r="BR413" s="519">
        <f t="shared" si="53"/>
        <v>0</v>
      </c>
      <c r="BS413" s="548" t="str">
        <f t="shared" si="54"/>
        <v>N.A.</v>
      </c>
      <c r="BT413" s="537">
        <v>1</v>
      </c>
      <c r="BU413" s="521">
        <f t="shared" si="55"/>
        <v>-43.125</v>
      </c>
      <c r="BV413" s="521">
        <f t="shared" si="56"/>
        <v>128.0160030942391</v>
      </c>
      <c r="BW413" s="521">
        <f t="shared" si="57"/>
        <v>-3424.4280827708958</v>
      </c>
      <c r="BX413" s="521">
        <f t="shared" si="58"/>
        <v>-491.90587190576088</v>
      </c>
      <c r="BY413" s="521">
        <f t="shared" si="59"/>
        <v>-7525.1160070412097</v>
      </c>
      <c r="BZ413" s="521">
        <f t="shared" si="60"/>
        <v>9748429.9147584736</v>
      </c>
      <c r="CA413" s="521" t="str">
        <f t="shared" si="61"/>
        <v>N.A.</v>
      </c>
      <c r="CB413" s="521" t="str">
        <f t="shared" si="62"/>
        <v>N.A.</v>
      </c>
      <c r="CC413" s="521" t="str">
        <f t="shared" si="63"/>
        <v>N.A.</v>
      </c>
      <c r="CD413" s="521" t="str">
        <f t="shared" si="64"/>
        <v>N.A.</v>
      </c>
      <c r="CE413" s="521" t="str">
        <f t="shared" si="65"/>
        <v>N.A.</v>
      </c>
      <c r="CF413" s="521" t="str">
        <f t="shared" si="66"/>
        <v>N.A.</v>
      </c>
      <c r="CG413" s="521" t="str">
        <f t="shared" si="67"/>
        <v>N.A.</v>
      </c>
      <c r="CH413" s="521">
        <f t="shared" si="68"/>
        <v>6884.8055777463378</v>
      </c>
      <c r="CI413" s="521">
        <f t="shared" si="69"/>
        <v>19.023798044776616</v>
      </c>
      <c r="CJ413" s="521">
        <f t="shared" si="70"/>
        <v>640.31042929487194</v>
      </c>
      <c r="CK413" s="521">
        <f t="shared" si="71"/>
        <v>8.6191318674983481</v>
      </c>
      <c r="CL413" s="518" t="str">
        <f t="shared" si="72"/>
        <v>N.A.</v>
      </c>
      <c r="CM413" s="523" t="str">
        <f t="shared" si="73"/>
        <v>N.A.</v>
      </c>
      <c r="CN413" s="523" t="str">
        <f t="shared" si="73"/>
        <v>N.A.</v>
      </c>
      <c r="CO413" s="524" t="str">
        <f t="shared" si="74"/>
        <v/>
      </c>
      <c r="CP413" s="524" t="str">
        <f t="shared" si="75"/>
        <v/>
      </c>
      <c r="CQ413" s="518" t="str">
        <f t="shared" si="76"/>
        <v>N.A.</v>
      </c>
      <c r="CR413" s="518" t="str">
        <f t="shared" si="77"/>
        <v>N.A.</v>
      </c>
      <c r="CS413" s="518" t="str">
        <f t="shared" si="78"/>
        <v>N.A.</v>
      </c>
      <c r="CT413" s="518" t="str">
        <f t="shared" si="79"/>
        <v>N.A.</v>
      </c>
      <c r="CU413" s="518" t="str">
        <f t="shared" si="80"/>
        <v>N.A.</v>
      </c>
      <c r="CV413" s="518" t="str">
        <f t="shared" si="81"/>
        <v>N.A.</v>
      </c>
      <c r="CW413" s="518" t="str">
        <f t="shared" si="81"/>
        <v>N.A.</v>
      </c>
      <c r="CX413" s="518" t="str">
        <f t="shared" si="81"/>
        <v>N.A.</v>
      </c>
      <c r="CY413" s="518" t="str">
        <f t="shared" si="82"/>
        <v>N.A.</v>
      </c>
      <c r="CZ413" s="519">
        <f t="shared" si="83"/>
        <v>28.75</v>
      </c>
      <c r="DA413" s="527">
        <f t="shared" si="84"/>
        <v>-150</v>
      </c>
      <c r="DB413" s="520">
        <f t="shared" si="85"/>
        <v>0</v>
      </c>
      <c r="DC413" s="525">
        <f t="shared" si="86"/>
        <v>0</v>
      </c>
      <c r="DD413" s="531">
        <f t="shared" si="87"/>
        <v>0</v>
      </c>
      <c r="DE413" s="593">
        <f t="shared" si="88"/>
        <v>0</v>
      </c>
      <c r="DF413" s="518">
        <f t="shared" si="89"/>
        <v>1.439021406614805</v>
      </c>
      <c r="DG413" s="518">
        <f t="shared" si="90"/>
        <v>0</v>
      </c>
      <c r="DH413" s="518">
        <f t="shared" si="91"/>
        <v>0</v>
      </c>
      <c r="DI413" s="519">
        <f t="shared" si="92"/>
        <v>0</v>
      </c>
      <c r="DJ413" s="560">
        <f t="shared" si="93"/>
        <v>7.7250000000000005</v>
      </c>
      <c r="DK413" s="522">
        <f t="shared" si="94"/>
        <v>6.1999999999999993</v>
      </c>
      <c r="DL413" s="522" t="str">
        <f t="shared" si="95"/>
        <v>N.A.</v>
      </c>
      <c r="DM413" s="522" t="str">
        <f t="shared" si="96"/>
        <v>N.A.</v>
      </c>
      <c r="DN413" s="522" t="str">
        <f t="shared" si="97"/>
        <v>N.A.</v>
      </c>
      <c r="DO413" s="522" t="str">
        <f t="shared" si="98"/>
        <v>N.A.</v>
      </c>
      <c r="DP413" s="518">
        <f t="shared" si="99"/>
        <v>7</v>
      </c>
      <c r="DQ413" s="518" t="str">
        <f t="shared" si="100"/>
        <v>N.A.</v>
      </c>
      <c r="DR413" s="518" t="str">
        <f t="shared" si="101"/>
        <v>N.A.</v>
      </c>
      <c r="DS413" s="518">
        <f t="shared" si="102"/>
        <v>1.8087090897733034</v>
      </c>
      <c r="DT413" s="518">
        <f t="shared" si="103"/>
        <v>1.8087090897733034</v>
      </c>
      <c r="DU413" s="519">
        <f t="shared" si="104"/>
        <v>0.80387070656591264</v>
      </c>
      <c r="DV413" s="527">
        <f t="shared" si="105"/>
        <v>25</v>
      </c>
      <c r="DW413" s="518">
        <f t="shared" si="106"/>
        <v>1.4848934026733007</v>
      </c>
      <c r="DX413" s="629">
        <f t="shared" si="145"/>
        <v>1.1548829321901668</v>
      </c>
      <c r="DY413" s="520">
        <f t="shared" si="107"/>
        <v>19.100000000000001</v>
      </c>
      <c r="DZ413" s="520">
        <f t="shared" si="108"/>
        <v>28.361463991060045</v>
      </c>
      <c r="EA413" s="519">
        <f t="shared" si="109"/>
        <v>0.88147776884438589</v>
      </c>
      <c r="EB413" s="527">
        <f t="shared" si="110"/>
        <v>9.9</v>
      </c>
      <c r="EC413" s="520">
        <f t="shared" si="111"/>
        <v>14.700444686465678</v>
      </c>
      <c r="ED413" s="520">
        <f t="shared" si="112"/>
        <v>0</v>
      </c>
      <c r="EE413" s="519">
        <f t="shared" si="113"/>
        <v>0</v>
      </c>
      <c r="EF413" s="550" t="str">
        <f t="shared" si="114"/>
        <v>N.A.</v>
      </c>
      <c r="EG413" s="537">
        <v>1</v>
      </c>
      <c r="EH413" s="521">
        <f t="shared" si="115"/>
        <v>-43.125</v>
      </c>
      <c r="EI413" s="521">
        <f t="shared" si="116"/>
        <v>128.0160030942391</v>
      </c>
      <c r="EJ413" s="521">
        <f t="shared" si="117"/>
        <v>-3424.4280827708958</v>
      </c>
      <c r="EK413" s="521">
        <f t="shared" si="118"/>
        <v>-491.90587190576088</v>
      </c>
      <c r="EL413" s="521">
        <f t="shared" si="119"/>
        <v>-7525.1160070412097</v>
      </c>
      <c r="EM413" s="521">
        <f t="shared" si="120"/>
        <v>9748429.9147584736</v>
      </c>
      <c r="EN413" s="521" t="str">
        <f t="shared" si="121"/>
        <v>N.A.</v>
      </c>
      <c r="EO413" s="521" t="str">
        <f t="shared" si="122"/>
        <v>N.A.</v>
      </c>
      <c r="EP413" s="521" t="str">
        <f t="shared" si="123"/>
        <v>N.A.</v>
      </c>
      <c r="EQ413" s="521" t="str">
        <f t="shared" si="124"/>
        <v>N.A.</v>
      </c>
      <c r="ER413" s="521" t="str">
        <f t="shared" si="125"/>
        <v>N.A.</v>
      </c>
      <c r="ES413" s="521" t="str">
        <f t="shared" si="126"/>
        <v>N.A.</v>
      </c>
      <c r="ET413" s="521" t="str">
        <f t="shared" si="127"/>
        <v>N.A.</v>
      </c>
      <c r="EU413" s="521">
        <f t="shared" si="128"/>
        <v>6884.8055777463378</v>
      </c>
      <c r="EV413" s="521">
        <f t="shared" si="129"/>
        <v>19.023798044776616</v>
      </c>
      <c r="EW413" s="521">
        <f t="shared" si="130"/>
        <v>640.31042929487194</v>
      </c>
      <c r="EX413" s="521">
        <f t="shared" si="131"/>
        <v>8.6191318674983481</v>
      </c>
      <c r="EY413" s="518" t="str">
        <f t="shared" si="132"/>
        <v>N.A.</v>
      </c>
      <c r="EZ413" s="523" t="str">
        <f t="shared" si="133"/>
        <v>N.A.</v>
      </c>
      <c r="FA413" s="523" t="str">
        <f t="shared" si="133"/>
        <v>N.A.</v>
      </c>
      <c r="FB413" s="524" t="str">
        <f t="shared" si="134"/>
        <v/>
      </c>
      <c r="FC413" s="524" t="str">
        <f t="shared" si="135"/>
        <v/>
      </c>
      <c r="FD413" s="518" t="str">
        <f t="shared" si="136"/>
        <v>N.A.</v>
      </c>
      <c r="FE413" s="518" t="str">
        <f t="shared" si="137"/>
        <v>N.A.</v>
      </c>
      <c r="FF413" s="518" t="str">
        <f t="shared" si="138"/>
        <v>N.A.</v>
      </c>
      <c r="FG413" s="518" t="str">
        <f t="shared" si="139"/>
        <v>N.A.</v>
      </c>
      <c r="FH413" s="518" t="str">
        <f t="shared" si="140"/>
        <v>N.A.</v>
      </c>
      <c r="FI413" s="518" t="str">
        <f t="shared" si="141"/>
        <v>N.A.</v>
      </c>
      <c r="FJ413" s="518" t="str">
        <f t="shared" si="141"/>
        <v>N.A.</v>
      </c>
      <c r="FK413" s="518" t="str">
        <f t="shared" si="141"/>
        <v>N.A.</v>
      </c>
      <c r="FL413" s="518" t="str">
        <f t="shared" si="142"/>
        <v>N.A.</v>
      </c>
      <c r="FM413" s="519">
        <f t="shared" si="143"/>
        <v>28.75</v>
      </c>
    </row>
    <row r="414" spans="1:169" x14ac:dyDescent="0.25">
      <c r="A414" s="284" t="s">
        <v>734</v>
      </c>
      <c r="B414" s="317" t="s">
        <v>135</v>
      </c>
      <c r="C414" s="297">
        <v>150</v>
      </c>
      <c r="D414" s="298">
        <v>5</v>
      </c>
      <c r="E414" s="299">
        <v>50</v>
      </c>
      <c r="F414" s="340">
        <v>150</v>
      </c>
      <c r="G414" s="298">
        <v>5</v>
      </c>
      <c r="H414" s="299">
        <v>50</v>
      </c>
      <c r="I414" s="300">
        <v>28.75</v>
      </c>
      <c r="J414" s="370">
        <v>24</v>
      </c>
      <c r="K414" s="328">
        <v>2.5</v>
      </c>
      <c r="L414" s="300">
        <v>36</v>
      </c>
      <c r="M414" s="328">
        <v>36</v>
      </c>
      <c r="N414" s="331">
        <v>6</v>
      </c>
      <c r="O414" s="301">
        <v>1.75</v>
      </c>
      <c r="P414" s="301">
        <v>2.5</v>
      </c>
      <c r="Q414" s="328">
        <v>2.5</v>
      </c>
      <c r="R414" s="620">
        <f t="shared" si="2"/>
        <v>4</v>
      </c>
      <c r="S414" s="512">
        <f t="shared" si="3"/>
        <v>0</v>
      </c>
      <c r="T414" s="512">
        <f t="shared" si="4"/>
        <v>4</v>
      </c>
      <c r="U414" s="513">
        <f t="shared" si="5"/>
        <v>0</v>
      </c>
      <c r="V414" s="514">
        <f t="shared" si="6"/>
        <v>0</v>
      </c>
      <c r="W414" s="512">
        <f t="shared" si="7"/>
        <v>1.439021406614805</v>
      </c>
      <c r="X414" s="513">
        <f t="shared" si="8"/>
        <v>0</v>
      </c>
      <c r="Y414" s="514">
        <f t="shared" si="9"/>
        <v>1.963108021339701</v>
      </c>
      <c r="Z414" s="513">
        <f t="shared" si="10"/>
        <v>0.78524320853588037</v>
      </c>
      <c r="AA414" s="515">
        <f t="shared" si="11"/>
        <v>33.421052631578945</v>
      </c>
      <c r="AB414" s="516">
        <f t="shared" si="12"/>
        <v>45.940883820229487</v>
      </c>
      <c r="AC414" s="513">
        <f t="shared" si="13"/>
        <v>0.72747953135508481</v>
      </c>
      <c r="AD414" s="544">
        <f t="shared" si="14"/>
        <v>0.83333333333333337</v>
      </c>
      <c r="AE414" s="516">
        <f t="shared" si="15"/>
        <v>23.812290566506384</v>
      </c>
      <c r="AF414" s="513">
        <f t="shared" si="16"/>
        <v>3.4995933339796961E-2</v>
      </c>
      <c r="AG414" s="551">
        <f t="shared" si="17"/>
        <v>0.79222200803370924</v>
      </c>
      <c r="AH414" s="595">
        <f t="shared" si="18"/>
        <v>1.9312500000000001</v>
      </c>
      <c r="AI414" s="517">
        <f t="shared" si="19"/>
        <v>26.5</v>
      </c>
      <c r="AJ414" s="518">
        <f t="shared" si="20"/>
        <v>14</v>
      </c>
      <c r="AK414" s="518">
        <f t="shared" si="21"/>
        <v>0.44</v>
      </c>
      <c r="AL414" s="518">
        <f t="shared" si="22"/>
        <v>14.5</v>
      </c>
      <c r="AM414" s="519">
        <f t="shared" si="23"/>
        <v>0.71</v>
      </c>
      <c r="AN414" s="517">
        <f t="shared" si="24"/>
        <v>-150</v>
      </c>
      <c r="AO414" s="520">
        <f t="shared" si="25"/>
        <v>5</v>
      </c>
      <c r="AP414" s="525">
        <f t="shared" si="26"/>
        <v>50</v>
      </c>
      <c r="AQ414" s="531">
        <f t="shared" si="27"/>
        <v>4</v>
      </c>
      <c r="AR414" s="593">
        <f t="shared" si="28"/>
        <v>0</v>
      </c>
      <c r="AS414" s="518">
        <f t="shared" si="29"/>
        <v>1.439021406614805</v>
      </c>
      <c r="AT414" s="518">
        <f t="shared" si="30"/>
        <v>0</v>
      </c>
      <c r="AU414" s="518">
        <f t="shared" si="31"/>
        <v>0</v>
      </c>
      <c r="AV414" s="519">
        <f t="shared" si="32"/>
        <v>0</v>
      </c>
      <c r="AW414" s="560">
        <f t="shared" si="33"/>
        <v>7.7250000000000005</v>
      </c>
      <c r="AX414" s="522">
        <f t="shared" si="34"/>
        <v>6.1999999999999993</v>
      </c>
      <c r="AY414" s="522" t="str">
        <f t="shared" si="35"/>
        <v>N.A.</v>
      </c>
      <c r="AZ414" s="522" t="str">
        <f t="shared" si="36"/>
        <v>N.A.</v>
      </c>
      <c r="BA414" s="522" t="str">
        <f t="shared" si="37"/>
        <v>N.A.</v>
      </c>
      <c r="BB414" s="522" t="str">
        <f t="shared" si="38"/>
        <v>N.A.</v>
      </c>
      <c r="BC414" s="518">
        <f t="shared" si="39"/>
        <v>7.25</v>
      </c>
      <c r="BD414" s="518" t="str">
        <f t="shared" si="40"/>
        <v>N.A.</v>
      </c>
      <c r="BE414" s="518" t="str">
        <f t="shared" si="41"/>
        <v>N.A.</v>
      </c>
      <c r="BF414" s="518">
        <f t="shared" si="42"/>
        <v>1.963108021339701</v>
      </c>
      <c r="BG414" s="518">
        <f t="shared" si="43"/>
        <v>1.963108021339701</v>
      </c>
      <c r="BH414" s="519">
        <f t="shared" si="44"/>
        <v>0.78524320853588037</v>
      </c>
      <c r="BI414" s="527">
        <f t="shared" si="45"/>
        <v>33.421052631578945</v>
      </c>
      <c r="BJ414" s="518">
        <f t="shared" si="46"/>
        <v>2.4052818754046852</v>
      </c>
      <c r="BK414" s="629">
        <f t="shared" si="144"/>
        <v>1.8994588135538397</v>
      </c>
      <c r="BL414" s="520">
        <f t="shared" si="47"/>
        <v>19.100000000000001</v>
      </c>
      <c r="BM414" s="520">
        <f t="shared" si="48"/>
        <v>45.940883820229487</v>
      </c>
      <c r="BN414" s="519">
        <f t="shared" si="49"/>
        <v>0.72747953135508481</v>
      </c>
      <c r="BO414" s="517">
        <f t="shared" si="50"/>
        <v>9.9</v>
      </c>
      <c r="BP414" s="520">
        <f t="shared" si="51"/>
        <v>23.812290566506384</v>
      </c>
      <c r="BQ414" s="520">
        <f t="shared" si="52"/>
        <v>0.83333333333333337</v>
      </c>
      <c r="BR414" s="519">
        <f t="shared" si="53"/>
        <v>3.4995933339796961E-2</v>
      </c>
      <c r="BS414" s="548">
        <f t="shared" si="54"/>
        <v>0.79222200803370924</v>
      </c>
      <c r="BT414" s="537">
        <v>1</v>
      </c>
      <c r="BU414" s="521">
        <f t="shared" si="55"/>
        <v>-55.125</v>
      </c>
      <c r="BV414" s="521">
        <f t="shared" si="56"/>
        <v>131.95939612719465</v>
      </c>
      <c r="BW414" s="521">
        <f t="shared" si="57"/>
        <v>-3463.9341483388594</v>
      </c>
      <c r="BX414" s="521">
        <f t="shared" si="58"/>
        <v>-880.96247887280526</v>
      </c>
      <c r="BY414" s="521">
        <f t="shared" si="59"/>
        <v>-13447.473213251658</v>
      </c>
      <c r="BZ414" s="521">
        <f t="shared" si="60"/>
        <v>19886023.680686101</v>
      </c>
      <c r="CA414" s="521" t="str">
        <f t="shared" si="61"/>
        <v>N.A.</v>
      </c>
      <c r="CB414" s="521" t="str">
        <f t="shared" si="62"/>
        <v>N.A.</v>
      </c>
      <c r="CC414" s="521" t="str">
        <f t="shared" si="63"/>
        <v>N.A.</v>
      </c>
      <c r="CD414" s="521" t="str">
        <f t="shared" si="64"/>
        <v>N.A.</v>
      </c>
      <c r="CE414" s="521" t="str">
        <f t="shared" si="65"/>
        <v>N.A.</v>
      </c>
      <c r="CF414" s="521" t="str">
        <f t="shared" si="66"/>
        <v>N.A.</v>
      </c>
      <c r="CG414" s="521" t="str">
        <f t="shared" si="67"/>
        <v>N.A.</v>
      </c>
      <c r="CH414" s="521">
        <f t="shared" si="68"/>
        <v>11183.111414901772</v>
      </c>
      <c r="CI414" s="521">
        <f t="shared" si="69"/>
        <v>22.362527307278111</v>
      </c>
      <c r="CJ414" s="521">
        <f t="shared" si="70"/>
        <v>2264.3617983498862</v>
      </c>
      <c r="CK414" s="521">
        <f t="shared" si="71"/>
        <v>13.131528274476185</v>
      </c>
      <c r="CL414" s="518">
        <f t="shared" si="72"/>
        <v>53.869055581754296</v>
      </c>
      <c r="CM414" s="523">
        <f t="shared" si="73"/>
        <v>0.62797220912285212</v>
      </c>
      <c r="CN414" s="523">
        <f t="shared" si="73"/>
        <v>0.62797220912285212</v>
      </c>
      <c r="CO414" s="524">
        <f t="shared" si="74"/>
        <v>7.9942799999999998</v>
      </c>
      <c r="CP414" s="524">
        <f t="shared" si="75"/>
        <v>-7.9942799999999998</v>
      </c>
      <c r="CQ414" s="518" t="str">
        <f t="shared" si="76"/>
        <v>N.A.</v>
      </c>
      <c r="CR414" s="518" t="str">
        <f t="shared" si="77"/>
        <v>N.A.</v>
      </c>
      <c r="CS414" s="518" t="str">
        <f t="shared" si="78"/>
        <v>N.A.</v>
      </c>
      <c r="CT414" s="518" t="str">
        <f t="shared" si="79"/>
        <v>N.A.</v>
      </c>
      <c r="CU414" s="518" t="str">
        <f t="shared" si="80"/>
        <v>N.A.</v>
      </c>
      <c r="CV414" s="518" t="str">
        <f t="shared" si="81"/>
        <v>N.A.</v>
      </c>
      <c r="CW414" s="518" t="str">
        <f t="shared" si="81"/>
        <v>N.A.</v>
      </c>
      <c r="CX414" s="518" t="str">
        <f t="shared" si="81"/>
        <v>N.A.</v>
      </c>
      <c r="CY414" s="518" t="str">
        <f t="shared" si="82"/>
        <v>N.A.</v>
      </c>
      <c r="CZ414" s="519">
        <f t="shared" si="83"/>
        <v>28.75</v>
      </c>
      <c r="DA414" s="527">
        <f t="shared" si="84"/>
        <v>-150</v>
      </c>
      <c r="DB414" s="520">
        <f t="shared" si="85"/>
        <v>5</v>
      </c>
      <c r="DC414" s="525">
        <f t="shared" si="86"/>
        <v>50</v>
      </c>
      <c r="DD414" s="531">
        <f t="shared" si="87"/>
        <v>4</v>
      </c>
      <c r="DE414" s="593">
        <f t="shared" si="88"/>
        <v>0</v>
      </c>
      <c r="DF414" s="518">
        <f t="shared" si="89"/>
        <v>1.439021406614805</v>
      </c>
      <c r="DG414" s="518">
        <f t="shared" si="90"/>
        <v>0</v>
      </c>
      <c r="DH414" s="518">
        <f t="shared" si="91"/>
        <v>0</v>
      </c>
      <c r="DI414" s="519">
        <f t="shared" si="92"/>
        <v>0</v>
      </c>
      <c r="DJ414" s="560">
        <f t="shared" si="93"/>
        <v>7.7250000000000005</v>
      </c>
      <c r="DK414" s="522">
        <f t="shared" si="94"/>
        <v>6.1999999999999993</v>
      </c>
      <c r="DL414" s="522" t="str">
        <f t="shared" si="95"/>
        <v>N.A.</v>
      </c>
      <c r="DM414" s="522" t="str">
        <f t="shared" si="96"/>
        <v>N.A.</v>
      </c>
      <c r="DN414" s="522" t="str">
        <f t="shared" si="97"/>
        <v>N.A.</v>
      </c>
      <c r="DO414" s="522" t="str">
        <f t="shared" si="98"/>
        <v>N.A.</v>
      </c>
      <c r="DP414" s="518">
        <f t="shared" si="99"/>
        <v>7.25</v>
      </c>
      <c r="DQ414" s="518" t="str">
        <f t="shared" si="100"/>
        <v>N.A.</v>
      </c>
      <c r="DR414" s="518" t="str">
        <f t="shared" si="101"/>
        <v>N.A.</v>
      </c>
      <c r="DS414" s="518">
        <f t="shared" si="102"/>
        <v>1.963108021339701</v>
      </c>
      <c r="DT414" s="518">
        <f t="shared" si="103"/>
        <v>1.963108021339701</v>
      </c>
      <c r="DU414" s="519">
        <f t="shared" si="104"/>
        <v>0.78524320853588037</v>
      </c>
      <c r="DV414" s="527">
        <f t="shared" si="105"/>
        <v>33.421052631578945</v>
      </c>
      <c r="DW414" s="518">
        <f t="shared" si="106"/>
        <v>2.4052818754046852</v>
      </c>
      <c r="DX414" s="629">
        <f t="shared" si="145"/>
        <v>1.8994588135538397</v>
      </c>
      <c r="DY414" s="520">
        <f t="shared" si="107"/>
        <v>19.100000000000001</v>
      </c>
      <c r="DZ414" s="520">
        <f t="shared" si="108"/>
        <v>45.940883820229487</v>
      </c>
      <c r="EA414" s="519">
        <f t="shared" si="109"/>
        <v>0.72747953135508481</v>
      </c>
      <c r="EB414" s="527">
        <f t="shared" si="110"/>
        <v>9.9</v>
      </c>
      <c r="EC414" s="520">
        <f t="shared" si="111"/>
        <v>23.812290566506384</v>
      </c>
      <c r="ED414" s="520">
        <f t="shared" si="112"/>
        <v>0.83333333333333337</v>
      </c>
      <c r="EE414" s="519">
        <f t="shared" si="113"/>
        <v>3.4995933339796961E-2</v>
      </c>
      <c r="EF414" s="550">
        <f t="shared" si="114"/>
        <v>0.79222200803370924</v>
      </c>
      <c r="EG414" s="537">
        <v>1</v>
      </c>
      <c r="EH414" s="521">
        <f t="shared" si="115"/>
        <v>-55.125</v>
      </c>
      <c r="EI414" s="521">
        <f t="shared" si="116"/>
        <v>131.95939612719465</v>
      </c>
      <c r="EJ414" s="521">
        <f t="shared" si="117"/>
        <v>-3463.9341483388594</v>
      </c>
      <c r="EK414" s="521">
        <f t="shared" si="118"/>
        <v>-880.96247887280526</v>
      </c>
      <c r="EL414" s="521">
        <f t="shared" si="119"/>
        <v>-13447.473213251658</v>
      </c>
      <c r="EM414" s="521">
        <f t="shared" si="120"/>
        <v>19886023.680686101</v>
      </c>
      <c r="EN414" s="521" t="str">
        <f t="shared" si="121"/>
        <v>N.A.</v>
      </c>
      <c r="EO414" s="521" t="str">
        <f t="shared" si="122"/>
        <v>N.A.</v>
      </c>
      <c r="EP414" s="521" t="str">
        <f t="shared" si="123"/>
        <v>N.A.</v>
      </c>
      <c r="EQ414" s="521" t="str">
        <f t="shared" si="124"/>
        <v>N.A.</v>
      </c>
      <c r="ER414" s="521" t="str">
        <f t="shared" si="125"/>
        <v>N.A.</v>
      </c>
      <c r="ES414" s="521" t="str">
        <f t="shared" si="126"/>
        <v>N.A.</v>
      </c>
      <c r="ET414" s="521" t="str">
        <f t="shared" si="127"/>
        <v>N.A.</v>
      </c>
      <c r="EU414" s="521">
        <f t="shared" si="128"/>
        <v>11183.111414901772</v>
      </c>
      <c r="EV414" s="521">
        <f t="shared" si="129"/>
        <v>22.362527307278111</v>
      </c>
      <c r="EW414" s="521">
        <f t="shared" si="130"/>
        <v>2264.3617983498862</v>
      </c>
      <c r="EX414" s="521">
        <f t="shared" si="131"/>
        <v>13.131528274476185</v>
      </c>
      <c r="EY414" s="518">
        <f t="shared" si="132"/>
        <v>53.869055581754296</v>
      </c>
      <c r="EZ414" s="523">
        <f t="shared" si="133"/>
        <v>0.62797220912285212</v>
      </c>
      <c r="FA414" s="523">
        <f t="shared" si="133"/>
        <v>0.62797220912285212</v>
      </c>
      <c r="FB414" s="524">
        <f t="shared" si="134"/>
        <v>7.9942799999999998</v>
      </c>
      <c r="FC414" s="524">
        <f t="shared" si="135"/>
        <v>-7.9942799999999998</v>
      </c>
      <c r="FD414" s="518" t="str">
        <f t="shared" si="136"/>
        <v>N.A.</v>
      </c>
      <c r="FE414" s="518" t="str">
        <f t="shared" si="137"/>
        <v>N.A.</v>
      </c>
      <c r="FF414" s="518" t="str">
        <f t="shared" si="138"/>
        <v>N.A.</v>
      </c>
      <c r="FG414" s="518" t="str">
        <f t="shared" si="139"/>
        <v>N.A.</v>
      </c>
      <c r="FH414" s="518" t="str">
        <f t="shared" si="140"/>
        <v>N.A.</v>
      </c>
      <c r="FI414" s="518" t="str">
        <f t="shared" si="141"/>
        <v>N.A.</v>
      </c>
      <c r="FJ414" s="518" t="str">
        <f t="shared" si="141"/>
        <v>N.A.</v>
      </c>
      <c r="FK414" s="518" t="str">
        <f t="shared" si="141"/>
        <v>N.A.</v>
      </c>
      <c r="FL414" s="518" t="str">
        <f t="shared" si="142"/>
        <v>N.A.</v>
      </c>
      <c r="FM414" s="519">
        <f t="shared" si="143"/>
        <v>28.75</v>
      </c>
    </row>
    <row r="415" spans="1:169" x14ac:dyDescent="0.25">
      <c r="A415" s="284" t="s">
        <v>735</v>
      </c>
      <c r="B415" s="317" t="s">
        <v>135</v>
      </c>
      <c r="C415" s="297">
        <v>130</v>
      </c>
      <c r="D415" s="298">
        <v>10</v>
      </c>
      <c r="E415" s="299">
        <v>175</v>
      </c>
      <c r="F415" s="340">
        <v>130</v>
      </c>
      <c r="G415" s="298">
        <v>10</v>
      </c>
      <c r="H415" s="299">
        <v>175</v>
      </c>
      <c r="I415" s="300">
        <v>28.75</v>
      </c>
      <c r="J415" s="370">
        <v>24</v>
      </c>
      <c r="K415" s="328">
        <v>2.75</v>
      </c>
      <c r="L415" s="300">
        <v>36</v>
      </c>
      <c r="M415" s="328">
        <v>36</v>
      </c>
      <c r="N415" s="331">
        <v>6</v>
      </c>
      <c r="O415" s="301">
        <v>2.25</v>
      </c>
      <c r="P415" s="301">
        <v>3.5</v>
      </c>
      <c r="Q415" s="328">
        <v>3.5</v>
      </c>
      <c r="R415" s="620">
        <f t="shared" si="2"/>
        <v>16.153846153846153</v>
      </c>
      <c r="S415" s="512">
        <f t="shared" si="3"/>
        <v>5.7621606709303599</v>
      </c>
      <c r="T415" s="512">
        <f t="shared" si="4"/>
        <v>16.153846153846153</v>
      </c>
      <c r="U415" s="513">
        <f t="shared" si="5"/>
        <v>5.7621606709303599</v>
      </c>
      <c r="V415" s="514">
        <f t="shared" si="6"/>
        <v>0.42541658410940925</v>
      </c>
      <c r="W415" s="512">
        <f t="shared" si="7"/>
        <v>1.439021406614805</v>
      </c>
      <c r="X415" s="513">
        <f t="shared" si="8"/>
        <v>0.29562908665144277</v>
      </c>
      <c r="Y415" s="514">
        <f t="shared" si="9"/>
        <v>2.1563993459194601</v>
      </c>
      <c r="Z415" s="513">
        <f t="shared" si="10"/>
        <v>0.78414521669798554</v>
      </c>
      <c r="AA415" s="515">
        <f t="shared" si="11"/>
        <v>53.138608172200435</v>
      </c>
      <c r="AB415" s="516">
        <f t="shared" si="12"/>
        <v>75.943093662012018</v>
      </c>
      <c r="AC415" s="513">
        <f t="shared" si="13"/>
        <v>0.69971613756869167</v>
      </c>
      <c r="AD415" s="544">
        <f t="shared" si="14"/>
        <v>1.6666666666666667</v>
      </c>
      <c r="AE415" s="516">
        <f t="shared" si="15"/>
        <v>39.363174201775863</v>
      </c>
      <c r="AF415" s="513">
        <f t="shared" si="16"/>
        <v>4.2340758855556812E-2</v>
      </c>
      <c r="AG415" s="551">
        <f t="shared" si="17"/>
        <v>0.77804654145147178</v>
      </c>
      <c r="AH415" s="595">
        <f t="shared" si="18"/>
        <v>1.9312500000000001</v>
      </c>
      <c r="AI415" s="517">
        <f t="shared" si="19"/>
        <v>26.5</v>
      </c>
      <c r="AJ415" s="518">
        <f t="shared" si="20"/>
        <v>14</v>
      </c>
      <c r="AK415" s="518">
        <f t="shared" si="21"/>
        <v>0.44</v>
      </c>
      <c r="AL415" s="518">
        <f t="shared" si="22"/>
        <v>14.5</v>
      </c>
      <c r="AM415" s="519">
        <f t="shared" si="23"/>
        <v>0.71</v>
      </c>
      <c r="AN415" s="517">
        <f t="shared" si="24"/>
        <v>-130</v>
      </c>
      <c r="AO415" s="520">
        <f t="shared" si="25"/>
        <v>10</v>
      </c>
      <c r="AP415" s="525">
        <f t="shared" si="26"/>
        <v>175</v>
      </c>
      <c r="AQ415" s="531">
        <f t="shared" si="27"/>
        <v>16.153846153846153</v>
      </c>
      <c r="AR415" s="593">
        <f t="shared" si="28"/>
        <v>5.7621606709303599</v>
      </c>
      <c r="AS415" s="518">
        <f t="shared" si="29"/>
        <v>1.439021406614805</v>
      </c>
      <c r="AT415" s="518">
        <f t="shared" si="30"/>
        <v>0.42541658410940925</v>
      </c>
      <c r="AU415" s="518">
        <f t="shared" si="31"/>
        <v>0</v>
      </c>
      <c r="AV415" s="519">
        <f t="shared" si="32"/>
        <v>0.29562908665144277</v>
      </c>
      <c r="AW415" s="560">
        <f t="shared" si="33"/>
        <v>7.7250000000000005</v>
      </c>
      <c r="AX415" s="522">
        <f t="shared" si="34"/>
        <v>6.1999999999999993</v>
      </c>
      <c r="AY415" s="522">
        <f t="shared" si="35"/>
        <v>3.5619517121937516</v>
      </c>
      <c r="AZ415" s="522">
        <f t="shared" si="36"/>
        <v>0.14776904792919146</v>
      </c>
      <c r="BA415" s="522">
        <f t="shared" si="37"/>
        <v>0.39976568511644672</v>
      </c>
      <c r="BB415" s="522">
        <f t="shared" si="38"/>
        <v>1.4239460665768355</v>
      </c>
      <c r="BC415" s="518">
        <f t="shared" si="39"/>
        <v>7.7250000000000005</v>
      </c>
      <c r="BD415" s="518" t="str">
        <f t="shared" si="40"/>
        <v>N.A.</v>
      </c>
      <c r="BE415" s="518" t="str">
        <f t="shared" si="41"/>
        <v>N.A.</v>
      </c>
      <c r="BF415" s="518">
        <f t="shared" si="42"/>
        <v>2.1563993459194601</v>
      </c>
      <c r="BG415" s="518">
        <f t="shared" si="43"/>
        <v>2.1563993459194601</v>
      </c>
      <c r="BH415" s="519">
        <f t="shared" si="44"/>
        <v>0.78414521669798554</v>
      </c>
      <c r="BI415" s="527">
        <f t="shared" si="45"/>
        <v>53.138608172200435</v>
      </c>
      <c r="BJ415" s="518">
        <f t="shared" si="46"/>
        <v>3.9760782021995817</v>
      </c>
      <c r="BK415" s="629">
        <f t="shared" si="144"/>
        <v>3.2476895238936292</v>
      </c>
      <c r="BL415" s="520">
        <f t="shared" si="47"/>
        <v>19.100000000000001</v>
      </c>
      <c r="BM415" s="520">
        <f t="shared" si="48"/>
        <v>75.943093662012018</v>
      </c>
      <c r="BN415" s="519">
        <f t="shared" si="49"/>
        <v>0.69971613756869167</v>
      </c>
      <c r="BO415" s="517">
        <f t="shared" si="50"/>
        <v>9.9</v>
      </c>
      <c r="BP415" s="520">
        <f t="shared" si="51"/>
        <v>39.363174201775863</v>
      </c>
      <c r="BQ415" s="520">
        <f t="shared" si="52"/>
        <v>1.6666666666666667</v>
      </c>
      <c r="BR415" s="519">
        <f t="shared" si="53"/>
        <v>4.2340758855556812E-2</v>
      </c>
      <c r="BS415" s="548">
        <f t="shared" si="54"/>
        <v>0.77804654145147178</v>
      </c>
      <c r="BT415" s="537">
        <v>1</v>
      </c>
      <c r="BU415" s="521">
        <f t="shared" si="55"/>
        <v>-91.586538461538453</v>
      </c>
      <c r="BV415" s="521">
        <f t="shared" si="56"/>
        <v>-146.22367711694741</v>
      </c>
      <c r="BW415" s="521">
        <f t="shared" si="57"/>
        <v>3692.1478472029225</v>
      </c>
      <c r="BX415" s="521">
        <f t="shared" si="58"/>
        <v>-2942.2550195725685</v>
      </c>
      <c r="BY415" s="521">
        <f t="shared" si="59"/>
        <v>-57678.299425656412</v>
      </c>
      <c r="BZ415" s="521">
        <f t="shared" si="60"/>
        <v>-111662826.20028269</v>
      </c>
      <c r="CA415" s="521">
        <f t="shared" si="61"/>
        <v>30714.156058065506</v>
      </c>
      <c r="CB415" s="521">
        <f t="shared" si="62"/>
        <v>31.316955043408285</v>
      </c>
      <c r="CC415" s="521">
        <f t="shared" si="63"/>
        <v>0.35122190226446093</v>
      </c>
      <c r="CD415" s="521">
        <f t="shared" si="64"/>
        <v>-31.316955043408285</v>
      </c>
      <c r="CE415" s="521">
        <f t="shared" si="65"/>
        <v>0.99315466712734513</v>
      </c>
      <c r="CF415" s="521">
        <f t="shared" si="66"/>
        <v>0.20231515388007046</v>
      </c>
      <c r="CG415" s="521">
        <f t="shared" si="67"/>
        <v>30.52884615384615</v>
      </c>
      <c r="CH415" s="521" t="str">
        <f t="shared" si="68"/>
        <v>N.A.</v>
      </c>
      <c r="CI415" s="521" t="str">
        <f t="shared" si="69"/>
        <v>N.A.</v>
      </c>
      <c r="CJ415" s="521" t="str">
        <f t="shared" si="70"/>
        <v>N.A.</v>
      </c>
      <c r="CK415" s="521" t="str">
        <f t="shared" si="71"/>
        <v>N.A.</v>
      </c>
      <c r="CL415" s="518" t="str">
        <f t="shared" si="72"/>
        <v>N.A.</v>
      </c>
      <c r="CM415" s="523" t="str">
        <f t="shared" si="73"/>
        <v>N.A.</v>
      </c>
      <c r="CN415" s="523" t="str">
        <f t="shared" si="73"/>
        <v>N.A.</v>
      </c>
      <c r="CO415" s="524" t="str">
        <f t="shared" si="74"/>
        <v/>
      </c>
      <c r="CP415" s="524" t="str">
        <f t="shared" si="75"/>
        <v/>
      </c>
      <c r="CQ415" s="518" t="str">
        <f t="shared" si="76"/>
        <v>N.A.</v>
      </c>
      <c r="CR415" s="518">
        <f t="shared" si="77"/>
        <v>92.734006277002521</v>
      </c>
      <c r="CS415" s="518">
        <f t="shared" si="78"/>
        <v>-6.9096284863944284</v>
      </c>
      <c r="CT415" s="518">
        <f t="shared" si="79"/>
        <v>5.7621606709303599</v>
      </c>
      <c r="CU415" s="518">
        <f t="shared" si="80"/>
        <v>5.7621606709303599</v>
      </c>
      <c r="CV415" s="518" t="str">
        <f t="shared" si="81"/>
        <v>N.A.</v>
      </c>
      <c r="CW415" s="518" t="str">
        <f t="shared" si="81"/>
        <v>N.A.</v>
      </c>
      <c r="CX415" s="518" t="str">
        <f t="shared" si="81"/>
        <v>N.A.</v>
      </c>
      <c r="CY415" s="518" t="str">
        <f t="shared" si="82"/>
        <v>N.A.</v>
      </c>
      <c r="CZ415" s="519">
        <f t="shared" si="83"/>
        <v>5.7621606709303599</v>
      </c>
      <c r="DA415" s="527">
        <f t="shared" si="84"/>
        <v>-130</v>
      </c>
      <c r="DB415" s="520">
        <f t="shared" si="85"/>
        <v>10</v>
      </c>
      <c r="DC415" s="525">
        <f t="shared" si="86"/>
        <v>175</v>
      </c>
      <c r="DD415" s="531">
        <f t="shared" si="87"/>
        <v>16.153846153846153</v>
      </c>
      <c r="DE415" s="593">
        <f t="shared" si="88"/>
        <v>5.7621606709303599</v>
      </c>
      <c r="DF415" s="518">
        <f t="shared" si="89"/>
        <v>1.439021406614805</v>
      </c>
      <c r="DG415" s="518">
        <f t="shared" si="90"/>
        <v>0.42541658410940925</v>
      </c>
      <c r="DH415" s="518">
        <f t="shared" si="91"/>
        <v>0</v>
      </c>
      <c r="DI415" s="519">
        <f t="shared" si="92"/>
        <v>0.29562908665144277</v>
      </c>
      <c r="DJ415" s="560">
        <f t="shared" si="93"/>
        <v>7.7250000000000005</v>
      </c>
      <c r="DK415" s="522">
        <f t="shared" si="94"/>
        <v>6.1999999999999993</v>
      </c>
      <c r="DL415" s="522">
        <f t="shared" si="95"/>
        <v>3.5619517121937516</v>
      </c>
      <c r="DM415" s="522">
        <f t="shared" si="96"/>
        <v>0.14776904792919146</v>
      </c>
      <c r="DN415" s="522">
        <f t="shared" si="97"/>
        <v>0.39976568511644672</v>
      </c>
      <c r="DO415" s="522">
        <f t="shared" si="98"/>
        <v>1.4239460665768355</v>
      </c>
      <c r="DP415" s="518">
        <f t="shared" si="99"/>
        <v>7.7250000000000005</v>
      </c>
      <c r="DQ415" s="518" t="str">
        <f t="shared" si="100"/>
        <v>N.A.</v>
      </c>
      <c r="DR415" s="518" t="str">
        <f t="shared" si="101"/>
        <v>N.A.</v>
      </c>
      <c r="DS415" s="518">
        <f t="shared" si="102"/>
        <v>2.1563993459194601</v>
      </c>
      <c r="DT415" s="518">
        <f t="shared" si="103"/>
        <v>2.1563993459194601</v>
      </c>
      <c r="DU415" s="519">
        <f t="shared" si="104"/>
        <v>0.78414521669798554</v>
      </c>
      <c r="DV415" s="527">
        <f t="shared" si="105"/>
        <v>53.138608172200435</v>
      </c>
      <c r="DW415" s="518">
        <f t="shared" si="106"/>
        <v>3.9760782021995817</v>
      </c>
      <c r="DX415" s="629">
        <f t="shared" si="145"/>
        <v>3.2476895238936292</v>
      </c>
      <c r="DY415" s="520">
        <f t="shared" si="107"/>
        <v>19.100000000000001</v>
      </c>
      <c r="DZ415" s="520">
        <f t="shared" si="108"/>
        <v>75.943093662012018</v>
      </c>
      <c r="EA415" s="519">
        <f t="shared" si="109"/>
        <v>0.69971613756869167</v>
      </c>
      <c r="EB415" s="527">
        <f t="shared" si="110"/>
        <v>9.9</v>
      </c>
      <c r="EC415" s="520">
        <f t="shared" si="111"/>
        <v>39.363174201775863</v>
      </c>
      <c r="ED415" s="520">
        <f t="shared" si="112"/>
        <v>1.6666666666666667</v>
      </c>
      <c r="EE415" s="519">
        <f t="shared" si="113"/>
        <v>4.2340758855556812E-2</v>
      </c>
      <c r="EF415" s="550">
        <f t="shared" si="114"/>
        <v>0.77804654145147178</v>
      </c>
      <c r="EG415" s="537">
        <v>1</v>
      </c>
      <c r="EH415" s="521">
        <f t="shared" si="115"/>
        <v>-91.586538461538453</v>
      </c>
      <c r="EI415" s="521">
        <f t="shared" si="116"/>
        <v>-146.22367711694741</v>
      </c>
      <c r="EJ415" s="521">
        <f t="shared" si="117"/>
        <v>3692.1478472029225</v>
      </c>
      <c r="EK415" s="521">
        <f t="shared" si="118"/>
        <v>-2942.2550195725685</v>
      </c>
      <c r="EL415" s="521">
        <f t="shared" si="119"/>
        <v>-57678.299425656412</v>
      </c>
      <c r="EM415" s="521">
        <f t="shared" si="120"/>
        <v>-111662826.20028269</v>
      </c>
      <c r="EN415" s="521">
        <f t="shared" si="121"/>
        <v>30714.156058065506</v>
      </c>
      <c r="EO415" s="521">
        <f t="shared" si="122"/>
        <v>31.316955043408285</v>
      </c>
      <c r="EP415" s="521">
        <f t="shared" si="123"/>
        <v>0.35122190226446093</v>
      </c>
      <c r="EQ415" s="521">
        <f t="shared" si="124"/>
        <v>-31.316955043408285</v>
      </c>
      <c r="ER415" s="521">
        <f t="shared" si="125"/>
        <v>0.99315466712734513</v>
      </c>
      <c r="ES415" s="521">
        <f t="shared" si="126"/>
        <v>0.20231515388007046</v>
      </c>
      <c r="ET415" s="521">
        <f t="shared" si="127"/>
        <v>30.52884615384615</v>
      </c>
      <c r="EU415" s="521" t="str">
        <f t="shared" si="128"/>
        <v>N.A.</v>
      </c>
      <c r="EV415" s="521" t="str">
        <f t="shared" si="129"/>
        <v>N.A.</v>
      </c>
      <c r="EW415" s="521" t="str">
        <f t="shared" si="130"/>
        <v>N.A.</v>
      </c>
      <c r="EX415" s="521" t="str">
        <f t="shared" si="131"/>
        <v>N.A.</v>
      </c>
      <c r="EY415" s="518" t="str">
        <f t="shared" si="132"/>
        <v>N.A.</v>
      </c>
      <c r="EZ415" s="523" t="str">
        <f t="shared" si="133"/>
        <v>N.A.</v>
      </c>
      <c r="FA415" s="523" t="str">
        <f t="shared" si="133"/>
        <v>N.A.</v>
      </c>
      <c r="FB415" s="524" t="str">
        <f t="shared" si="134"/>
        <v/>
      </c>
      <c r="FC415" s="524" t="str">
        <f t="shared" si="135"/>
        <v/>
      </c>
      <c r="FD415" s="518" t="str">
        <f t="shared" si="136"/>
        <v>N.A.</v>
      </c>
      <c r="FE415" s="518">
        <f t="shared" si="137"/>
        <v>92.734006277002521</v>
      </c>
      <c r="FF415" s="518">
        <f t="shared" si="138"/>
        <v>-6.9096284863944284</v>
      </c>
      <c r="FG415" s="518">
        <f t="shared" si="139"/>
        <v>5.7621606709303599</v>
      </c>
      <c r="FH415" s="518">
        <f t="shared" si="140"/>
        <v>5.7621606709303599</v>
      </c>
      <c r="FI415" s="518" t="str">
        <f t="shared" si="141"/>
        <v>N.A.</v>
      </c>
      <c r="FJ415" s="518" t="str">
        <f t="shared" si="141"/>
        <v>N.A.</v>
      </c>
      <c r="FK415" s="518" t="str">
        <f t="shared" si="141"/>
        <v>N.A.</v>
      </c>
      <c r="FL415" s="518" t="str">
        <f t="shared" si="142"/>
        <v>N.A.</v>
      </c>
      <c r="FM415" s="519">
        <f t="shared" si="143"/>
        <v>5.7621606709303599</v>
      </c>
    </row>
    <row r="416" spans="1:169" x14ac:dyDescent="0.25">
      <c r="A416" s="284"/>
      <c r="B416" s="317"/>
      <c r="C416" s="297"/>
      <c r="D416" s="298"/>
      <c r="E416" s="299"/>
      <c r="F416" s="340"/>
      <c r="G416" s="298"/>
      <c r="H416" s="299"/>
      <c r="I416" s="300"/>
      <c r="J416" s="370"/>
      <c r="K416" s="328"/>
      <c r="L416" s="300"/>
      <c r="M416" s="328"/>
      <c r="N416" s="331"/>
      <c r="O416" s="301"/>
      <c r="P416" s="301"/>
      <c r="Q416" s="328"/>
      <c r="R416" s="620"/>
      <c r="S416" s="512"/>
      <c r="T416" s="512"/>
      <c r="U416" s="513"/>
      <c r="V416" s="514"/>
      <c r="W416" s="512"/>
      <c r="X416" s="513"/>
      <c r="Y416" s="514"/>
      <c r="Z416" s="513"/>
      <c r="AA416" s="515"/>
      <c r="AB416" s="516"/>
      <c r="AC416" s="513"/>
      <c r="AD416" s="544"/>
      <c r="AE416" s="516"/>
      <c r="AF416" s="513"/>
      <c r="AG416" s="551"/>
      <c r="AH416" s="595"/>
      <c r="AI416" s="517"/>
      <c r="AJ416" s="518"/>
      <c r="AK416" s="518"/>
      <c r="AL416" s="518"/>
      <c r="AM416" s="519"/>
      <c r="AN416" s="517"/>
      <c r="AO416" s="520"/>
      <c r="AP416" s="525"/>
      <c r="AQ416" s="531"/>
      <c r="AR416" s="593"/>
      <c r="AS416" s="518"/>
      <c r="AT416" s="518"/>
      <c r="AU416" s="518"/>
      <c r="AV416" s="519"/>
      <c r="AW416" s="560"/>
      <c r="AX416" s="522"/>
      <c r="AY416" s="522"/>
      <c r="AZ416" s="522"/>
      <c r="BA416" s="522"/>
      <c r="BB416" s="522"/>
      <c r="BC416" s="518"/>
      <c r="BD416" s="518"/>
      <c r="BE416" s="518"/>
      <c r="BF416" s="518"/>
      <c r="BG416" s="518"/>
      <c r="BH416" s="519"/>
      <c r="BI416" s="527"/>
      <c r="BJ416" s="518"/>
      <c r="BK416" s="518"/>
      <c r="BL416" s="520"/>
      <c r="BM416" s="520"/>
      <c r="BN416" s="519"/>
      <c r="BO416" s="517"/>
      <c r="BP416" s="520"/>
      <c r="BQ416" s="520"/>
      <c r="BR416" s="519"/>
      <c r="BS416" s="548"/>
      <c r="BT416" s="537"/>
      <c r="BU416" s="521"/>
      <c r="BV416" s="521"/>
      <c r="BW416" s="521"/>
      <c r="BX416" s="521"/>
      <c r="BY416" s="521"/>
      <c r="BZ416" s="521"/>
      <c r="CA416" s="521"/>
      <c r="CB416" s="521"/>
      <c r="CC416" s="521"/>
      <c r="CD416" s="521"/>
      <c r="CE416" s="521"/>
      <c r="CF416" s="521"/>
      <c r="CG416" s="521"/>
      <c r="CH416" s="521"/>
      <c r="CI416" s="521"/>
      <c r="CJ416" s="521"/>
      <c r="CK416" s="521"/>
      <c r="CL416" s="518"/>
      <c r="CM416" s="523"/>
      <c r="CN416" s="523"/>
      <c r="CO416" s="524"/>
      <c r="CP416" s="524"/>
      <c r="CQ416" s="518"/>
      <c r="CR416" s="518"/>
      <c r="CS416" s="518"/>
      <c r="CT416" s="518"/>
      <c r="CU416" s="518"/>
      <c r="CV416" s="518"/>
      <c r="CW416" s="518"/>
      <c r="CX416" s="518"/>
      <c r="CY416" s="518"/>
      <c r="CZ416" s="519"/>
      <c r="DA416" s="527"/>
      <c r="DB416" s="520"/>
      <c r="DC416" s="525"/>
      <c r="DD416" s="531"/>
      <c r="DE416" s="593"/>
      <c r="DF416" s="518"/>
      <c r="DG416" s="518"/>
      <c r="DH416" s="518"/>
      <c r="DI416" s="519"/>
      <c r="DJ416" s="560"/>
      <c r="DK416" s="522"/>
      <c r="DL416" s="522"/>
      <c r="DM416" s="522"/>
      <c r="DN416" s="522"/>
      <c r="DO416" s="522"/>
      <c r="DP416" s="518"/>
      <c r="DQ416" s="518"/>
      <c r="DR416" s="518"/>
      <c r="DS416" s="518"/>
      <c r="DT416" s="518"/>
      <c r="DU416" s="519"/>
      <c r="DV416" s="527"/>
      <c r="DW416" s="518"/>
      <c r="DX416" s="518"/>
      <c r="DY416" s="520"/>
      <c r="DZ416" s="520"/>
      <c r="EA416" s="519"/>
      <c r="EB416" s="527"/>
      <c r="EC416" s="520"/>
      <c r="ED416" s="520"/>
      <c r="EE416" s="519"/>
      <c r="EF416" s="550"/>
      <c r="EG416" s="537"/>
      <c r="EH416" s="521"/>
      <c r="EI416" s="521"/>
      <c r="EJ416" s="521"/>
      <c r="EK416" s="521"/>
      <c r="EL416" s="521"/>
      <c r="EM416" s="521"/>
      <c r="EN416" s="521"/>
      <c r="EO416" s="521"/>
      <c r="EP416" s="521"/>
      <c r="EQ416" s="521"/>
      <c r="ER416" s="521"/>
      <c r="ES416" s="521"/>
      <c r="ET416" s="521"/>
      <c r="EU416" s="521"/>
      <c r="EV416" s="521"/>
      <c r="EW416" s="521"/>
      <c r="EX416" s="521"/>
      <c r="EY416" s="518"/>
      <c r="EZ416" s="523"/>
      <c r="FA416" s="523"/>
      <c r="FB416" s="524"/>
      <c r="FC416" s="524"/>
      <c r="FD416" s="518"/>
      <c r="FE416" s="518"/>
      <c r="FF416" s="518"/>
      <c r="FG416" s="518"/>
      <c r="FH416" s="518"/>
      <c r="FI416" s="518"/>
      <c r="FJ416" s="518"/>
      <c r="FK416" s="518"/>
      <c r="FL416" s="518"/>
      <c r="FM416" s="519"/>
    </row>
    <row r="417" spans="1:169" x14ac:dyDescent="0.25">
      <c r="A417" s="284"/>
      <c r="B417" s="317"/>
      <c r="C417" s="297"/>
      <c r="D417" s="298"/>
      <c r="E417" s="299"/>
      <c r="F417" s="340"/>
      <c r="G417" s="298"/>
      <c r="H417" s="299"/>
      <c r="I417" s="300"/>
      <c r="J417" s="370"/>
      <c r="K417" s="328"/>
      <c r="L417" s="300"/>
      <c r="M417" s="328"/>
      <c r="N417" s="331"/>
      <c r="O417" s="301"/>
      <c r="P417" s="301"/>
      <c r="Q417" s="328"/>
      <c r="R417" s="620"/>
      <c r="S417" s="512"/>
      <c r="T417" s="512"/>
      <c r="U417" s="513"/>
      <c r="V417" s="514"/>
      <c r="W417" s="512"/>
      <c r="X417" s="513"/>
      <c r="Y417" s="514"/>
      <c r="Z417" s="513"/>
      <c r="AA417" s="515"/>
      <c r="AB417" s="516"/>
      <c r="AC417" s="513"/>
      <c r="AD417" s="544"/>
      <c r="AE417" s="516"/>
      <c r="AF417" s="513"/>
      <c r="AG417" s="551"/>
      <c r="AH417" s="595"/>
      <c r="AI417" s="517"/>
      <c r="AJ417" s="518"/>
      <c r="AK417" s="518"/>
      <c r="AL417" s="518"/>
      <c r="AM417" s="519"/>
      <c r="AN417" s="517"/>
      <c r="AO417" s="520"/>
      <c r="AP417" s="525"/>
      <c r="AQ417" s="531"/>
      <c r="AR417" s="593"/>
      <c r="AS417" s="518"/>
      <c r="AT417" s="518"/>
      <c r="AU417" s="518"/>
      <c r="AV417" s="519"/>
      <c r="AW417" s="560"/>
      <c r="AX417" s="522"/>
      <c r="AY417" s="522"/>
      <c r="AZ417" s="522"/>
      <c r="BA417" s="522"/>
      <c r="BB417" s="522"/>
      <c r="BC417" s="34"/>
      <c r="BD417" s="518"/>
      <c r="BE417" s="518"/>
      <c r="BF417" s="518"/>
      <c r="BG417" s="518"/>
      <c r="BH417" s="519"/>
      <c r="BI417" s="527"/>
      <c r="BJ417" s="518"/>
      <c r="BK417" s="518"/>
      <c r="BL417" s="520"/>
      <c r="BM417" s="520"/>
      <c r="BN417" s="519"/>
      <c r="BO417" s="517"/>
      <c r="BP417" s="520"/>
      <c r="BQ417" s="520"/>
      <c r="BR417" s="519"/>
      <c r="BS417" s="548"/>
      <c r="BT417" s="537"/>
      <c r="BU417" s="521"/>
      <c r="BV417" s="521"/>
      <c r="BW417" s="521"/>
      <c r="BX417" s="521"/>
      <c r="BY417" s="521"/>
      <c r="BZ417" s="521"/>
      <c r="CA417" s="521"/>
      <c r="CB417" s="521"/>
      <c r="CC417" s="521"/>
      <c r="CD417" s="521"/>
      <c r="CE417" s="521"/>
      <c r="CF417" s="521"/>
      <c r="CG417" s="521"/>
      <c r="CH417" s="521"/>
      <c r="CI417" s="521"/>
      <c r="CJ417" s="521"/>
      <c r="CK417" s="521"/>
      <c r="CL417" s="518"/>
      <c r="CM417" s="523"/>
      <c r="CN417" s="523"/>
      <c r="CO417" s="524"/>
      <c r="CP417" s="524"/>
      <c r="CQ417" s="518"/>
      <c r="CR417" s="518"/>
      <c r="CS417" s="518"/>
      <c r="CT417" s="518"/>
      <c r="CU417" s="518"/>
      <c r="CV417" s="518"/>
      <c r="CW417" s="518"/>
      <c r="CX417" s="518"/>
      <c r="CY417" s="518"/>
      <c r="CZ417" s="519"/>
      <c r="DA417" s="527"/>
      <c r="DB417" s="520"/>
      <c r="DC417" s="525"/>
      <c r="DD417" s="531"/>
      <c r="DE417" s="593"/>
      <c r="DF417" s="518"/>
      <c r="DG417" s="518"/>
      <c r="DH417" s="518"/>
      <c r="DI417" s="519"/>
      <c r="DJ417" s="560"/>
      <c r="DK417" s="522"/>
      <c r="DL417" s="522"/>
      <c r="DM417" s="522"/>
      <c r="DN417" s="522"/>
      <c r="DO417" s="522"/>
      <c r="DP417" s="518"/>
      <c r="DQ417" s="518"/>
      <c r="DR417" s="518"/>
      <c r="DS417" s="518"/>
      <c r="DT417" s="518"/>
      <c r="DU417" s="519"/>
      <c r="DV417" s="527"/>
      <c r="DW417" s="518"/>
      <c r="DX417" s="518"/>
      <c r="DY417" s="520"/>
      <c r="DZ417" s="520"/>
      <c r="EA417" s="519"/>
      <c r="EB417" s="527"/>
      <c r="EC417" s="520"/>
      <c r="ED417" s="520"/>
      <c r="EE417" s="519"/>
      <c r="EF417" s="550"/>
      <c r="EG417" s="537"/>
      <c r="EH417" s="521"/>
      <c r="EI417" s="521"/>
      <c r="EJ417" s="521"/>
      <c r="EK417" s="521"/>
      <c r="EL417" s="521"/>
      <c r="EM417" s="521"/>
      <c r="EN417" s="521"/>
      <c r="EO417" s="521"/>
      <c r="EP417" s="521"/>
      <c r="EQ417" s="521"/>
      <c r="ER417" s="521"/>
      <c r="ES417" s="521"/>
      <c r="ET417" s="521"/>
      <c r="EU417" s="521"/>
      <c r="EV417" s="521"/>
      <c r="EW417" s="521"/>
      <c r="EX417" s="521"/>
      <c r="EY417" s="518"/>
      <c r="EZ417" s="523"/>
      <c r="FA417" s="523"/>
      <c r="FB417" s="524"/>
      <c r="FC417" s="524"/>
      <c r="FD417" s="518"/>
      <c r="FE417" s="518"/>
      <c r="FF417" s="518"/>
      <c r="FG417" s="518"/>
      <c r="FH417" s="518"/>
      <c r="FI417" s="518"/>
      <c r="FJ417" s="518"/>
      <c r="FK417" s="518"/>
      <c r="FL417" s="518"/>
      <c r="FM417" s="519"/>
    </row>
    <row r="418" spans="1:169" x14ac:dyDescent="0.25">
      <c r="A418" s="284"/>
      <c r="B418" s="317"/>
      <c r="C418" s="297"/>
      <c r="D418" s="298"/>
      <c r="E418" s="299"/>
      <c r="F418" s="340"/>
      <c r="G418" s="298"/>
      <c r="H418" s="299"/>
      <c r="I418" s="300"/>
      <c r="J418" s="370"/>
      <c r="K418" s="328"/>
      <c r="L418" s="300"/>
      <c r="M418" s="328"/>
      <c r="N418" s="331"/>
      <c r="O418" s="301"/>
      <c r="P418" s="301"/>
      <c r="Q418" s="328"/>
      <c r="R418" s="620"/>
      <c r="S418" s="512"/>
      <c r="T418" s="512"/>
      <c r="U418" s="513"/>
      <c r="V418" s="514"/>
      <c r="W418" s="512"/>
      <c r="X418" s="513"/>
      <c r="Y418" s="514"/>
      <c r="Z418" s="513"/>
      <c r="AA418" s="515"/>
      <c r="AB418" s="516"/>
      <c r="AC418" s="513"/>
      <c r="AD418" s="544"/>
      <c r="AE418" s="516"/>
      <c r="AF418" s="513"/>
      <c r="AG418" s="551"/>
      <c r="AH418" s="595"/>
      <c r="AI418" s="517"/>
      <c r="AJ418" s="518"/>
      <c r="AK418" s="518"/>
      <c r="AL418" s="518"/>
      <c r="AM418" s="519"/>
      <c r="AN418" s="517"/>
      <c r="AO418" s="520"/>
      <c r="AP418" s="525"/>
      <c r="AQ418" s="531"/>
      <c r="AR418" s="593"/>
      <c r="AS418" s="518"/>
      <c r="AT418" s="518"/>
      <c r="AU418" s="518"/>
      <c r="AV418" s="519"/>
      <c r="AW418" s="560"/>
      <c r="AX418" s="522"/>
      <c r="AY418" s="522"/>
      <c r="AZ418" s="522"/>
      <c r="BA418" s="522"/>
      <c r="BB418" s="522"/>
      <c r="BC418" s="518"/>
      <c r="BD418" s="518"/>
      <c r="BE418" s="518"/>
      <c r="BF418" s="518"/>
      <c r="BG418" s="518"/>
      <c r="BH418" s="519"/>
      <c r="BI418" s="527"/>
      <c r="BJ418" s="518"/>
      <c r="BK418" s="518"/>
      <c r="BL418" s="520"/>
      <c r="BM418" s="520"/>
      <c r="BN418" s="519"/>
      <c r="BO418" s="517"/>
      <c r="BP418" s="520"/>
      <c r="BQ418" s="520"/>
      <c r="BR418" s="519"/>
      <c r="BS418" s="548"/>
      <c r="BT418" s="537"/>
      <c r="BU418" s="521"/>
      <c r="BV418" s="521"/>
      <c r="BW418" s="521"/>
      <c r="BX418" s="521"/>
      <c r="BY418" s="521"/>
      <c r="BZ418" s="521"/>
      <c r="CA418" s="521"/>
      <c r="CB418" s="521"/>
      <c r="CC418" s="521"/>
      <c r="CD418" s="521"/>
      <c r="CE418" s="521"/>
      <c r="CF418" s="521"/>
      <c r="CG418" s="521"/>
      <c r="CH418" s="521"/>
      <c r="CI418" s="521"/>
      <c r="CJ418" s="521"/>
      <c r="CK418" s="521"/>
      <c r="CL418" s="518"/>
      <c r="CM418" s="523"/>
      <c r="CN418" s="523"/>
      <c r="CO418" s="524"/>
      <c r="CP418" s="524"/>
      <c r="CQ418" s="518"/>
      <c r="CR418" s="518"/>
      <c r="CS418" s="518"/>
      <c r="CT418" s="518"/>
      <c r="CU418" s="518"/>
      <c r="CV418" s="518"/>
      <c r="CW418" s="518"/>
      <c r="CX418" s="518"/>
      <c r="CY418" s="518"/>
      <c r="CZ418" s="519"/>
      <c r="DA418" s="527"/>
      <c r="DB418" s="520"/>
      <c r="DC418" s="525"/>
      <c r="DD418" s="531"/>
      <c r="DE418" s="593"/>
      <c r="DF418" s="518"/>
      <c r="DG418" s="518"/>
      <c r="DH418" s="518"/>
      <c r="DI418" s="519"/>
      <c r="DJ418" s="560"/>
      <c r="DK418" s="522"/>
      <c r="DL418" s="522"/>
      <c r="DM418" s="522"/>
      <c r="DN418" s="522"/>
      <c r="DO418" s="522"/>
      <c r="DP418" s="518"/>
      <c r="DQ418" s="518"/>
      <c r="DR418" s="518"/>
      <c r="DS418" s="518"/>
      <c r="DT418" s="518"/>
      <c r="DU418" s="519"/>
      <c r="DV418" s="527"/>
      <c r="DW418" s="518"/>
      <c r="DX418" s="518"/>
      <c r="DY418" s="520"/>
      <c r="DZ418" s="520"/>
      <c r="EA418" s="519"/>
      <c r="EB418" s="527"/>
      <c r="EC418" s="520"/>
      <c r="ED418" s="520"/>
      <c r="EE418" s="519"/>
      <c r="EF418" s="550"/>
      <c r="EG418" s="537"/>
      <c r="EH418" s="521"/>
      <c r="EI418" s="521"/>
      <c r="EJ418" s="521"/>
      <c r="EK418" s="521"/>
      <c r="EL418" s="521"/>
      <c r="EM418" s="521"/>
      <c r="EN418" s="521"/>
      <c r="EO418" s="521"/>
      <c r="EP418" s="521"/>
      <c r="EQ418" s="521"/>
      <c r="ER418" s="521"/>
      <c r="ES418" s="521"/>
      <c r="ET418" s="521"/>
      <c r="EU418" s="521"/>
      <c r="EV418" s="521"/>
      <c r="EW418" s="521"/>
      <c r="EX418" s="521"/>
      <c r="EY418" s="518"/>
      <c r="EZ418" s="523"/>
      <c r="FA418" s="523"/>
      <c r="FB418" s="524"/>
      <c r="FC418" s="524"/>
      <c r="FD418" s="518"/>
      <c r="FE418" s="518"/>
      <c r="FF418" s="518"/>
      <c r="FG418" s="518"/>
      <c r="FH418" s="518"/>
      <c r="FI418" s="518"/>
      <c r="FJ418" s="518"/>
      <c r="FK418" s="518"/>
      <c r="FL418" s="518"/>
      <c r="FM418" s="519"/>
    </row>
    <row r="419" spans="1:169" x14ac:dyDescent="0.25">
      <c r="A419" s="284"/>
      <c r="B419" s="317"/>
      <c r="C419" s="297"/>
      <c r="D419" s="298"/>
      <c r="E419" s="299"/>
      <c r="F419" s="340"/>
      <c r="G419" s="298"/>
      <c r="H419" s="299"/>
      <c r="I419" s="300"/>
      <c r="J419" s="370"/>
      <c r="K419" s="328"/>
      <c r="L419" s="300"/>
      <c r="M419" s="328"/>
      <c r="N419" s="331"/>
      <c r="O419" s="301"/>
      <c r="P419" s="301"/>
      <c r="Q419" s="328"/>
      <c r="R419" s="620"/>
      <c r="S419" s="512"/>
      <c r="T419" s="512"/>
      <c r="U419" s="513"/>
      <c r="V419" s="514"/>
      <c r="W419" s="512"/>
      <c r="X419" s="513"/>
      <c r="Y419" s="514"/>
      <c r="Z419" s="513"/>
      <c r="AA419" s="515"/>
      <c r="AB419" s="516"/>
      <c r="AC419" s="513"/>
      <c r="AD419" s="544"/>
      <c r="AE419" s="516"/>
      <c r="AF419" s="513"/>
      <c r="AG419" s="551"/>
      <c r="AH419" s="595"/>
      <c r="AI419" s="517"/>
      <c r="AJ419" s="518"/>
      <c r="AK419" s="518"/>
      <c r="AL419" s="518"/>
      <c r="AM419" s="519"/>
      <c r="AN419" s="517"/>
      <c r="AO419" s="520"/>
      <c r="AP419" s="525"/>
      <c r="AQ419" s="531"/>
      <c r="AR419" s="593"/>
      <c r="AS419" s="518"/>
      <c r="AT419" s="518"/>
      <c r="AU419" s="518"/>
      <c r="AV419" s="519"/>
      <c r="AW419" s="560"/>
      <c r="AX419" s="522"/>
      <c r="AY419" s="522"/>
      <c r="AZ419" s="522"/>
      <c r="BA419" s="522"/>
      <c r="BB419" s="522"/>
      <c r="BC419" s="518"/>
      <c r="BD419" s="518"/>
      <c r="BE419" s="518"/>
      <c r="BF419" s="518"/>
      <c r="BG419" s="518"/>
      <c r="BH419" s="519"/>
      <c r="BI419" s="527"/>
      <c r="BJ419" s="518"/>
      <c r="BK419" s="518"/>
      <c r="BL419" s="520"/>
      <c r="BM419" s="520"/>
      <c r="BN419" s="519"/>
      <c r="BO419" s="517"/>
      <c r="BP419" s="520"/>
      <c r="BQ419" s="520"/>
      <c r="BR419" s="519"/>
      <c r="BS419" s="548"/>
      <c r="BT419" s="537"/>
      <c r="BU419" s="521"/>
      <c r="BV419" s="521"/>
      <c r="BW419" s="521"/>
      <c r="BX419" s="521"/>
      <c r="BY419" s="521"/>
      <c r="BZ419" s="521"/>
      <c r="CA419" s="521"/>
      <c r="CB419" s="521"/>
      <c r="CC419" s="521"/>
      <c r="CD419" s="521"/>
      <c r="CE419" s="521"/>
      <c r="CF419" s="521"/>
      <c r="CG419" s="521"/>
      <c r="CH419" s="521"/>
      <c r="CI419" s="521"/>
      <c r="CJ419" s="521"/>
      <c r="CK419" s="521"/>
      <c r="CL419" s="518"/>
      <c r="CM419" s="523"/>
      <c r="CN419" s="523"/>
      <c r="CO419" s="524"/>
      <c r="CP419" s="524"/>
      <c r="CQ419" s="518"/>
      <c r="CR419" s="518"/>
      <c r="CS419" s="518"/>
      <c r="CT419" s="518"/>
      <c r="CU419" s="518"/>
      <c r="CV419" s="518"/>
      <c r="CW419" s="518"/>
      <c r="CX419" s="518"/>
      <c r="CY419" s="518"/>
      <c r="CZ419" s="519"/>
      <c r="DA419" s="527"/>
      <c r="DB419" s="520"/>
      <c r="DC419" s="525"/>
      <c r="DD419" s="531"/>
      <c r="DE419" s="593"/>
      <c r="DF419" s="518"/>
      <c r="DG419" s="518"/>
      <c r="DH419" s="518"/>
      <c r="DI419" s="519"/>
      <c r="DJ419" s="560"/>
      <c r="DK419" s="522"/>
      <c r="DL419" s="522"/>
      <c r="DM419" s="522"/>
      <c r="DN419" s="522"/>
      <c r="DO419" s="522"/>
      <c r="DP419" s="518"/>
      <c r="DQ419" s="518"/>
      <c r="DR419" s="518"/>
      <c r="DS419" s="518"/>
      <c r="DT419" s="518"/>
      <c r="DU419" s="519"/>
      <c r="DV419" s="527"/>
      <c r="DW419" s="518"/>
      <c r="DX419" s="518"/>
      <c r="DY419" s="520"/>
      <c r="DZ419" s="520"/>
      <c r="EA419" s="519"/>
      <c r="EB419" s="527"/>
      <c r="EC419" s="520"/>
      <c r="ED419" s="520"/>
      <c r="EE419" s="519"/>
      <c r="EF419" s="550"/>
      <c r="EG419" s="537"/>
      <c r="EH419" s="521"/>
      <c r="EI419" s="521"/>
      <c r="EJ419" s="521"/>
      <c r="EK419" s="521"/>
      <c r="EL419" s="521"/>
      <c r="EM419" s="521"/>
      <c r="EN419" s="521"/>
      <c r="EO419" s="521"/>
      <c r="EP419" s="521"/>
      <c r="EQ419" s="521"/>
      <c r="ER419" s="521"/>
      <c r="ES419" s="521"/>
      <c r="ET419" s="521"/>
      <c r="EU419" s="521"/>
      <c r="EV419" s="521"/>
      <c r="EW419" s="521"/>
      <c r="EX419" s="521"/>
      <c r="EY419" s="518"/>
      <c r="EZ419" s="523"/>
      <c r="FA419" s="523"/>
      <c r="FB419" s="524"/>
      <c r="FC419" s="524"/>
      <c r="FD419" s="518"/>
      <c r="FE419" s="518"/>
      <c r="FF419" s="518"/>
      <c r="FG419" s="518"/>
      <c r="FH419" s="518"/>
      <c r="FI419" s="518"/>
      <c r="FJ419" s="518"/>
      <c r="FK419" s="518"/>
      <c r="FL419" s="518"/>
      <c r="FM419" s="519"/>
    </row>
    <row r="420" spans="1:169" x14ac:dyDescent="0.25">
      <c r="A420" s="284"/>
      <c r="B420" s="317"/>
      <c r="C420" s="297"/>
      <c r="D420" s="298"/>
      <c r="E420" s="299"/>
      <c r="F420" s="340"/>
      <c r="G420" s="298"/>
      <c r="H420" s="299"/>
      <c r="I420" s="300"/>
      <c r="J420" s="370"/>
      <c r="K420" s="328"/>
      <c r="L420" s="300"/>
      <c r="M420" s="328"/>
      <c r="N420" s="331"/>
      <c r="O420" s="301"/>
      <c r="P420" s="301"/>
      <c r="Q420" s="328"/>
      <c r="R420" s="620"/>
      <c r="S420" s="512"/>
      <c r="T420" s="512"/>
      <c r="U420" s="513"/>
      <c r="V420" s="514"/>
      <c r="W420" s="512"/>
      <c r="X420" s="513"/>
      <c r="Y420" s="514"/>
      <c r="Z420" s="513"/>
      <c r="AA420" s="515"/>
      <c r="AB420" s="516"/>
      <c r="AC420" s="513"/>
      <c r="AD420" s="544"/>
      <c r="AE420" s="516"/>
      <c r="AF420" s="513"/>
      <c r="AG420" s="551"/>
      <c r="AH420" s="595"/>
      <c r="AI420" s="517"/>
      <c r="AJ420" s="518"/>
      <c r="AK420" s="518"/>
      <c r="AL420" s="518"/>
      <c r="AM420" s="519"/>
      <c r="AN420" s="517"/>
      <c r="AO420" s="520"/>
      <c r="AP420" s="525"/>
      <c r="AQ420" s="531"/>
      <c r="AR420" s="593"/>
      <c r="AS420" s="518"/>
      <c r="AT420" s="518"/>
      <c r="AU420" s="518"/>
      <c r="AV420" s="519"/>
      <c r="AW420" s="560"/>
      <c r="AX420" s="522"/>
      <c r="AY420" s="522"/>
      <c r="AZ420" s="522"/>
      <c r="BA420" s="522"/>
      <c r="BB420" s="522"/>
      <c r="BC420" s="518"/>
      <c r="BD420" s="518"/>
      <c r="BE420" s="518"/>
      <c r="BF420" s="518"/>
      <c r="BG420" s="518"/>
      <c r="BH420" s="519"/>
      <c r="BI420" s="527"/>
      <c r="BJ420" s="518"/>
      <c r="BK420" s="518"/>
      <c r="BL420" s="520"/>
      <c r="BM420" s="520"/>
      <c r="BN420" s="519"/>
      <c r="BO420" s="517"/>
      <c r="BP420" s="520"/>
      <c r="BQ420" s="520"/>
      <c r="BR420" s="519"/>
      <c r="BS420" s="548"/>
      <c r="BT420" s="537"/>
      <c r="BU420" s="521"/>
      <c r="BV420" s="521"/>
      <c r="BW420" s="521"/>
      <c r="BX420" s="521"/>
      <c r="BY420" s="521"/>
      <c r="BZ420" s="521"/>
      <c r="CA420" s="521"/>
      <c r="CB420" s="521"/>
      <c r="CC420" s="521"/>
      <c r="CD420" s="521"/>
      <c r="CE420" s="521"/>
      <c r="CF420" s="521"/>
      <c r="CG420" s="521"/>
      <c r="CH420" s="521"/>
      <c r="CI420" s="521"/>
      <c r="CJ420" s="521"/>
      <c r="CK420" s="521"/>
      <c r="CL420" s="518"/>
      <c r="CM420" s="523"/>
      <c r="CN420" s="523"/>
      <c r="CO420" s="524"/>
      <c r="CP420" s="524"/>
      <c r="CQ420" s="518"/>
      <c r="CR420" s="518"/>
      <c r="CS420" s="518"/>
      <c r="CT420" s="518"/>
      <c r="CU420" s="518"/>
      <c r="CV420" s="518"/>
      <c r="CW420" s="518"/>
      <c r="CX420" s="518"/>
      <c r="CY420" s="518"/>
      <c r="CZ420" s="519"/>
      <c r="DA420" s="527"/>
      <c r="DB420" s="520"/>
      <c r="DC420" s="525"/>
      <c r="DD420" s="531"/>
      <c r="DE420" s="593"/>
      <c r="DF420" s="518"/>
      <c r="DG420" s="518"/>
      <c r="DH420" s="518"/>
      <c r="DI420" s="519"/>
      <c r="DJ420" s="560"/>
      <c r="DK420" s="522"/>
      <c r="DL420" s="522"/>
      <c r="DM420" s="522"/>
      <c r="DN420" s="522"/>
      <c r="DO420" s="522"/>
      <c r="DP420" s="518"/>
      <c r="DQ420" s="518"/>
      <c r="DR420" s="518"/>
      <c r="DS420" s="518"/>
      <c r="DT420" s="518"/>
      <c r="DU420" s="519"/>
      <c r="DV420" s="527"/>
      <c r="DW420" s="518"/>
      <c r="DX420" s="518"/>
      <c r="DY420" s="520"/>
      <c r="DZ420" s="520"/>
      <c r="EA420" s="519"/>
      <c r="EB420" s="527"/>
      <c r="EC420" s="520"/>
      <c r="ED420" s="520"/>
      <c r="EE420" s="519"/>
      <c r="EF420" s="550"/>
      <c r="EG420" s="537"/>
      <c r="EH420" s="521"/>
      <c r="EI420" s="521"/>
      <c r="EJ420" s="521"/>
      <c r="EK420" s="521"/>
      <c r="EL420" s="521"/>
      <c r="EM420" s="521"/>
      <c r="EN420" s="521"/>
      <c r="EO420" s="521"/>
      <c r="EP420" s="521"/>
      <c r="EQ420" s="521"/>
      <c r="ER420" s="521"/>
      <c r="ES420" s="521"/>
      <c r="ET420" s="521"/>
      <c r="EU420" s="521"/>
      <c r="EV420" s="521"/>
      <c r="EW420" s="521"/>
      <c r="EX420" s="521"/>
      <c r="EY420" s="518"/>
      <c r="EZ420" s="523"/>
      <c r="FA420" s="523"/>
      <c r="FB420" s="524"/>
      <c r="FC420" s="524"/>
      <c r="FD420" s="518"/>
      <c r="FE420" s="518"/>
      <c r="FF420" s="518"/>
      <c r="FG420" s="518"/>
      <c r="FH420" s="518"/>
      <c r="FI420" s="518"/>
      <c r="FJ420" s="518"/>
      <c r="FK420" s="518"/>
      <c r="FL420" s="518"/>
      <c r="FM420" s="519"/>
    </row>
    <row r="421" spans="1:169" x14ac:dyDescent="0.25">
      <c r="A421" s="284"/>
      <c r="B421" s="317"/>
      <c r="C421" s="297"/>
      <c r="D421" s="298"/>
      <c r="E421" s="299"/>
      <c r="F421" s="340"/>
      <c r="G421" s="298"/>
      <c r="H421" s="299"/>
      <c r="I421" s="300"/>
      <c r="J421" s="370"/>
      <c r="K421" s="328"/>
      <c r="L421" s="300"/>
      <c r="M421" s="328"/>
      <c r="N421" s="331"/>
      <c r="O421" s="301"/>
      <c r="P421" s="301"/>
      <c r="Q421" s="328"/>
      <c r="R421" s="620"/>
      <c r="S421" s="512"/>
      <c r="T421" s="512"/>
      <c r="U421" s="513"/>
      <c r="V421" s="514"/>
      <c r="W421" s="512"/>
      <c r="X421" s="513"/>
      <c r="Y421" s="514"/>
      <c r="Z421" s="513"/>
      <c r="AA421" s="515"/>
      <c r="AB421" s="516"/>
      <c r="AC421" s="513"/>
      <c r="AD421" s="544"/>
      <c r="AE421" s="516"/>
      <c r="AF421" s="513"/>
      <c r="AG421" s="551"/>
      <c r="AH421" s="595"/>
      <c r="AI421" s="517"/>
      <c r="AJ421" s="518"/>
      <c r="AK421" s="518"/>
      <c r="AL421" s="518"/>
      <c r="AM421" s="519"/>
      <c r="AN421" s="517"/>
      <c r="AO421" s="520"/>
      <c r="AP421" s="525"/>
      <c r="AQ421" s="531"/>
      <c r="AR421" s="593"/>
      <c r="AS421" s="518"/>
      <c r="AT421" s="518"/>
      <c r="AU421" s="518"/>
      <c r="AV421" s="519"/>
      <c r="AW421" s="560"/>
      <c r="AX421" s="522"/>
      <c r="AY421" s="522"/>
      <c r="AZ421" s="522"/>
      <c r="BA421" s="522"/>
      <c r="BB421" s="522"/>
      <c r="BC421" s="518"/>
      <c r="BD421" s="518"/>
      <c r="BE421" s="518"/>
      <c r="BF421" s="518"/>
      <c r="BG421" s="518"/>
      <c r="BH421" s="519"/>
      <c r="BI421" s="527"/>
      <c r="BJ421" s="518"/>
      <c r="BK421" s="518"/>
      <c r="BL421" s="520"/>
      <c r="BM421" s="520"/>
      <c r="BN421" s="519"/>
      <c r="BO421" s="517"/>
      <c r="BP421" s="520"/>
      <c r="BQ421" s="520"/>
      <c r="BR421" s="519"/>
      <c r="BS421" s="548"/>
      <c r="BT421" s="537"/>
      <c r="BU421" s="521"/>
      <c r="BV421" s="521"/>
      <c r="BW421" s="521"/>
      <c r="BX421" s="521"/>
      <c r="BY421" s="521"/>
      <c r="BZ421" s="521"/>
      <c r="CA421" s="521"/>
      <c r="CB421" s="521"/>
      <c r="CC421" s="521"/>
      <c r="CD421" s="521"/>
      <c r="CE421" s="521"/>
      <c r="CF421" s="521"/>
      <c r="CG421" s="521"/>
      <c r="CH421" s="521"/>
      <c r="CI421" s="521"/>
      <c r="CJ421" s="521"/>
      <c r="CK421" s="521"/>
      <c r="CL421" s="518"/>
      <c r="CM421" s="523"/>
      <c r="CN421" s="523"/>
      <c r="CO421" s="524"/>
      <c r="CP421" s="524"/>
      <c r="CQ421" s="518"/>
      <c r="CR421" s="518"/>
      <c r="CS421" s="518"/>
      <c r="CT421" s="518"/>
      <c r="CU421" s="518"/>
      <c r="CV421" s="518"/>
      <c r="CW421" s="518"/>
      <c r="CX421" s="518"/>
      <c r="CY421" s="518"/>
      <c r="CZ421" s="519"/>
      <c r="DA421" s="527"/>
      <c r="DB421" s="520"/>
      <c r="DC421" s="525"/>
      <c r="DD421" s="531"/>
      <c r="DE421" s="593"/>
      <c r="DF421" s="518"/>
      <c r="DG421" s="518"/>
      <c r="DH421" s="518"/>
      <c r="DI421" s="519"/>
      <c r="DJ421" s="560"/>
      <c r="DK421" s="522"/>
      <c r="DL421" s="522"/>
      <c r="DM421" s="522"/>
      <c r="DN421" s="522"/>
      <c r="DO421" s="522"/>
      <c r="DP421" s="518"/>
      <c r="DQ421" s="518"/>
      <c r="DR421" s="518"/>
      <c r="DS421" s="518"/>
      <c r="DT421" s="518"/>
      <c r="DU421" s="519"/>
      <c r="DV421" s="527"/>
      <c r="DW421" s="518"/>
      <c r="DX421" s="518"/>
      <c r="DY421" s="520"/>
      <c r="DZ421" s="520"/>
      <c r="EA421" s="519"/>
      <c r="EB421" s="527"/>
      <c r="EC421" s="520"/>
      <c r="ED421" s="520"/>
      <c r="EE421" s="519"/>
      <c r="EF421" s="550"/>
      <c r="EG421" s="537"/>
      <c r="EH421" s="521"/>
      <c r="EI421" s="521"/>
      <c r="EJ421" s="521"/>
      <c r="EK421" s="521"/>
      <c r="EL421" s="521"/>
      <c r="EM421" s="521"/>
      <c r="EN421" s="521"/>
      <c r="EO421" s="521"/>
      <c r="EP421" s="521"/>
      <c r="EQ421" s="521"/>
      <c r="ER421" s="521"/>
      <c r="ES421" s="521"/>
      <c r="ET421" s="521"/>
      <c r="EU421" s="521"/>
      <c r="EV421" s="521"/>
      <c r="EW421" s="521"/>
      <c r="EX421" s="521"/>
      <c r="EY421" s="518"/>
      <c r="EZ421" s="523"/>
      <c r="FA421" s="523"/>
      <c r="FB421" s="524"/>
      <c r="FC421" s="524"/>
      <c r="FD421" s="518"/>
      <c r="FE421" s="518"/>
      <c r="FF421" s="518"/>
      <c r="FG421" s="518"/>
      <c r="FH421" s="518"/>
      <c r="FI421" s="518"/>
      <c r="FJ421" s="518"/>
      <c r="FK421" s="518"/>
      <c r="FL421" s="518"/>
      <c r="FM421" s="519"/>
    </row>
    <row r="422" spans="1:169" x14ac:dyDescent="0.25">
      <c r="A422" s="284"/>
      <c r="B422" s="284"/>
      <c r="C422" s="297"/>
      <c r="D422" s="298"/>
      <c r="E422" s="299"/>
      <c r="F422" s="340"/>
      <c r="G422" s="298"/>
      <c r="H422" s="299"/>
      <c r="I422" s="300"/>
      <c r="J422" s="370"/>
      <c r="K422" s="328"/>
      <c r="L422" s="300"/>
      <c r="M422" s="328"/>
      <c r="N422" s="331"/>
      <c r="O422" s="301"/>
      <c r="P422" s="301"/>
      <c r="Q422" s="328"/>
      <c r="R422" s="620"/>
      <c r="S422" s="512"/>
      <c r="T422" s="512"/>
      <c r="U422" s="513"/>
      <c r="V422" s="514"/>
      <c r="W422" s="512"/>
      <c r="X422" s="513"/>
      <c r="Y422" s="514"/>
      <c r="Z422" s="513"/>
      <c r="AA422" s="515"/>
      <c r="AB422" s="516"/>
      <c r="AC422" s="513"/>
      <c r="AD422" s="544"/>
      <c r="AE422" s="516"/>
      <c r="AF422" s="513"/>
      <c r="AG422" s="551"/>
      <c r="AH422" s="595"/>
      <c r="AI422" s="517"/>
      <c r="AJ422" s="518"/>
      <c r="AK422" s="518"/>
      <c r="AL422" s="518"/>
      <c r="AM422" s="519"/>
      <c r="AN422" s="517"/>
      <c r="AO422" s="520"/>
      <c r="AP422" s="525"/>
      <c r="AQ422" s="531"/>
      <c r="AR422" s="593"/>
      <c r="AS422" s="518"/>
      <c r="AT422" s="518"/>
      <c r="AU422" s="518"/>
      <c r="AV422" s="519"/>
      <c r="AW422" s="560"/>
      <c r="AX422" s="522"/>
      <c r="AY422" s="522"/>
      <c r="AZ422" s="522"/>
      <c r="BA422" s="522"/>
      <c r="BB422" s="522"/>
      <c r="BC422" s="518"/>
      <c r="BD422" s="518"/>
      <c r="BE422" s="518"/>
      <c r="BF422" s="518"/>
      <c r="BG422" s="518"/>
      <c r="BH422" s="519"/>
      <c r="BI422" s="527"/>
      <c r="BJ422" s="518"/>
      <c r="BK422" s="518"/>
      <c r="BL422" s="520"/>
      <c r="BM422" s="520"/>
      <c r="BN422" s="519"/>
      <c r="BO422" s="517"/>
      <c r="BP422" s="520"/>
      <c r="BQ422" s="520"/>
      <c r="BR422" s="519"/>
      <c r="BS422" s="548"/>
      <c r="BT422" s="537"/>
      <c r="BU422" s="521"/>
      <c r="BV422" s="521"/>
      <c r="BW422" s="521"/>
      <c r="BX422" s="521"/>
      <c r="BY422" s="521"/>
      <c r="BZ422" s="521"/>
      <c r="CA422" s="521"/>
      <c r="CB422" s="521"/>
      <c r="CC422" s="521"/>
      <c r="CD422" s="521"/>
      <c r="CE422" s="521"/>
      <c r="CF422" s="521"/>
      <c r="CG422" s="521"/>
      <c r="CH422" s="521"/>
      <c r="CI422" s="521"/>
      <c r="CJ422" s="521"/>
      <c r="CK422" s="521"/>
      <c r="CL422" s="518"/>
      <c r="CM422" s="523"/>
      <c r="CN422" s="523"/>
      <c r="CO422" s="524"/>
      <c r="CP422" s="524"/>
      <c r="CQ422" s="518"/>
      <c r="CR422" s="518"/>
      <c r="CS422" s="518"/>
      <c r="CT422" s="518"/>
      <c r="CU422" s="518"/>
      <c r="CV422" s="518"/>
      <c r="CW422" s="518"/>
      <c r="CX422" s="518"/>
      <c r="CY422" s="518"/>
      <c r="CZ422" s="519"/>
      <c r="DA422" s="527"/>
      <c r="DB422" s="520"/>
      <c r="DC422" s="525"/>
      <c r="DD422" s="531"/>
      <c r="DE422" s="593"/>
      <c r="DF422" s="518"/>
      <c r="DG422" s="518"/>
      <c r="DH422" s="518"/>
      <c r="DI422" s="519"/>
      <c r="DJ422" s="560"/>
      <c r="DK422" s="522"/>
      <c r="DL422" s="522"/>
      <c r="DM422" s="522"/>
      <c r="DN422" s="522"/>
      <c r="DO422" s="522"/>
      <c r="DP422" s="518"/>
      <c r="DQ422" s="518"/>
      <c r="DR422" s="518"/>
      <c r="DS422" s="518"/>
      <c r="DT422" s="518"/>
      <c r="DU422" s="519"/>
      <c r="DV422" s="527"/>
      <c r="DW422" s="518"/>
      <c r="DX422" s="518"/>
      <c r="DY422" s="520"/>
      <c r="DZ422" s="520"/>
      <c r="EA422" s="519"/>
      <c r="EB422" s="527"/>
      <c r="EC422" s="520"/>
      <c r="ED422" s="520"/>
      <c r="EE422" s="519"/>
      <c r="EF422" s="550"/>
      <c r="EG422" s="537"/>
      <c r="EH422" s="521"/>
      <c r="EI422" s="521"/>
      <c r="EJ422" s="521"/>
      <c r="EK422" s="521"/>
      <c r="EL422" s="521"/>
      <c r="EM422" s="521"/>
      <c r="EN422" s="521"/>
      <c r="EO422" s="521"/>
      <c r="EP422" s="521"/>
      <c r="EQ422" s="521"/>
      <c r="ER422" s="521"/>
      <c r="ES422" s="521"/>
      <c r="ET422" s="521"/>
      <c r="EU422" s="521"/>
      <c r="EV422" s="521"/>
      <c r="EW422" s="521"/>
      <c r="EX422" s="521"/>
      <c r="EY422" s="518"/>
      <c r="EZ422" s="523"/>
      <c r="FA422" s="523"/>
      <c r="FB422" s="524"/>
      <c r="FC422" s="524"/>
      <c r="FD422" s="518"/>
      <c r="FE422" s="518"/>
      <c r="FF422" s="518"/>
      <c r="FG422" s="518"/>
      <c r="FH422" s="518"/>
      <c r="FI422" s="518"/>
      <c r="FJ422" s="518"/>
      <c r="FK422" s="518"/>
      <c r="FL422" s="518"/>
      <c r="FM422" s="519"/>
    </row>
    <row r="423" spans="1:169" x14ac:dyDescent="0.25">
      <c r="A423" s="284"/>
      <c r="B423" s="284"/>
      <c r="C423" s="297"/>
      <c r="D423" s="298"/>
      <c r="E423" s="299"/>
      <c r="F423" s="340"/>
      <c r="G423" s="298"/>
      <c r="H423" s="299"/>
      <c r="I423" s="300"/>
      <c r="J423" s="370"/>
      <c r="K423" s="328"/>
      <c r="L423" s="300"/>
      <c r="M423" s="328"/>
      <c r="N423" s="331"/>
      <c r="O423" s="301"/>
      <c r="P423" s="301"/>
      <c r="Q423" s="328"/>
      <c r="R423" s="620"/>
      <c r="S423" s="512"/>
      <c r="T423" s="512"/>
      <c r="U423" s="513"/>
      <c r="V423" s="514"/>
      <c r="W423" s="512"/>
      <c r="X423" s="513"/>
      <c r="Y423" s="514"/>
      <c r="Z423" s="513"/>
      <c r="AA423" s="515"/>
      <c r="AB423" s="516"/>
      <c r="AC423" s="513"/>
      <c r="AD423" s="544"/>
      <c r="AE423" s="516"/>
      <c r="AF423" s="513"/>
      <c r="AG423" s="551"/>
      <c r="AH423" s="595"/>
      <c r="AI423" s="517"/>
      <c r="AJ423" s="518"/>
      <c r="AK423" s="518"/>
      <c r="AL423" s="518"/>
      <c r="AM423" s="519"/>
      <c r="AN423" s="517"/>
      <c r="AO423" s="520"/>
      <c r="AP423" s="525"/>
      <c r="AQ423" s="531"/>
      <c r="AR423" s="593"/>
      <c r="AS423" s="518"/>
      <c r="AT423" s="518"/>
      <c r="AU423" s="518"/>
      <c r="AV423" s="519"/>
      <c r="AW423" s="560"/>
      <c r="AX423" s="522"/>
      <c r="AY423" s="522"/>
      <c r="AZ423" s="522"/>
      <c r="BA423" s="522"/>
      <c r="BB423" s="522"/>
      <c r="BC423" s="518"/>
      <c r="BD423" s="518"/>
      <c r="BE423" s="518"/>
      <c r="BF423" s="518"/>
      <c r="BG423" s="518"/>
      <c r="BH423" s="519"/>
      <c r="BI423" s="527"/>
      <c r="BJ423" s="518"/>
      <c r="BK423" s="518"/>
      <c r="BL423" s="520"/>
      <c r="BM423" s="520"/>
      <c r="BN423" s="519"/>
      <c r="BO423" s="517"/>
      <c r="BP423" s="520"/>
      <c r="BQ423" s="520"/>
      <c r="BR423" s="519"/>
      <c r="BS423" s="548"/>
      <c r="BT423" s="537"/>
      <c r="BU423" s="521"/>
      <c r="BV423" s="521"/>
      <c r="BW423" s="521"/>
      <c r="BX423" s="521"/>
      <c r="BY423" s="521"/>
      <c r="BZ423" s="521"/>
      <c r="CA423" s="521"/>
      <c r="CB423" s="521"/>
      <c r="CC423" s="521"/>
      <c r="CD423" s="521"/>
      <c r="CE423" s="521"/>
      <c r="CF423" s="521"/>
      <c r="CG423" s="521"/>
      <c r="CH423" s="521"/>
      <c r="CI423" s="521"/>
      <c r="CJ423" s="521"/>
      <c r="CK423" s="521"/>
      <c r="CL423" s="518"/>
      <c r="CM423" s="523"/>
      <c r="CN423" s="523"/>
      <c r="CO423" s="524"/>
      <c r="CP423" s="524"/>
      <c r="CQ423" s="518"/>
      <c r="CR423" s="518"/>
      <c r="CS423" s="518"/>
      <c r="CT423" s="518"/>
      <c r="CU423" s="518"/>
      <c r="CV423" s="518"/>
      <c r="CW423" s="518"/>
      <c r="CX423" s="518"/>
      <c r="CY423" s="518"/>
      <c r="CZ423" s="519"/>
      <c r="DA423" s="527"/>
      <c r="DB423" s="520"/>
      <c r="DC423" s="525"/>
      <c r="DD423" s="531"/>
      <c r="DE423" s="593"/>
      <c r="DF423" s="518"/>
      <c r="DG423" s="518"/>
      <c r="DH423" s="518"/>
      <c r="DI423" s="519"/>
      <c r="DJ423" s="560"/>
      <c r="DK423" s="522"/>
      <c r="DL423" s="522"/>
      <c r="DM423" s="522"/>
      <c r="DN423" s="522"/>
      <c r="DO423" s="522"/>
      <c r="DP423" s="518"/>
      <c r="DQ423" s="518"/>
      <c r="DR423" s="518"/>
      <c r="DS423" s="518"/>
      <c r="DT423" s="518"/>
      <c r="DU423" s="519"/>
      <c r="DV423" s="527"/>
      <c r="DW423" s="518"/>
      <c r="DX423" s="518"/>
      <c r="DY423" s="520"/>
      <c r="DZ423" s="520"/>
      <c r="EA423" s="519"/>
      <c r="EB423" s="527"/>
      <c r="EC423" s="520"/>
      <c r="ED423" s="520"/>
      <c r="EE423" s="519"/>
      <c r="EF423" s="550"/>
      <c r="EG423" s="537"/>
      <c r="EH423" s="521"/>
      <c r="EI423" s="521"/>
      <c r="EJ423" s="521"/>
      <c r="EK423" s="521"/>
      <c r="EL423" s="521"/>
      <c r="EM423" s="521"/>
      <c r="EN423" s="521"/>
      <c r="EO423" s="521"/>
      <c r="EP423" s="521"/>
      <c r="EQ423" s="521"/>
      <c r="ER423" s="521"/>
      <c r="ES423" s="521"/>
      <c r="ET423" s="521"/>
      <c r="EU423" s="521"/>
      <c r="EV423" s="521"/>
      <c r="EW423" s="521"/>
      <c r="EX423" s="521"/>
      <c r="EY423" s="518"/>
      <c r="EZ423" s="523"/>
      <c r="FA423" s="523"/>
      <c r="FB423" s="524"/>
      <c r="FC423" s="524"/>
      <c r="FD423" s="518"/>
      <c r="FE423" s="518"/>
      <c r="FF423" s="518"/>
      <c r="FG423" s="518"/>
      <c r="FH423" s="518"/>
      <c r="FI423" s="518"/>
      <c r="FJ423" s="518"/>
      <c r="FK423" s="518"/>
      <c r="FL423" s="518"/>
      <c r="FM423" s="519"/>
    </row>
    <row r="424" spans="1:169" x14ac:dyDescent="0.25">
      <c r="A424" s="284"/>
      <c r="B424" s="284"/>
      <c r="C424" s="297"/>
      <c r="D424" s="298"/>
      <c r="E424" s="299"/>
      <c r="F424" s="340"/>
      <c r="G424" s="298"/>
      <c r="H424" s="299"/>
      <c r="I424" s="300"/>
      <c r="J424" s="370"/>
      <c r="K424" s="328"/>
      <c r="L424" s="300"/>
      <c r="M424" s="328"/>
      <c r="N424" s="331"/>
      <c r="O424" s="301"/>
      <c r="P424" s="301"/>
      <c r="Q424" s="328"/>
      <c r="R424" s="620"/>
      <c r="S424" s="512"/>
      <c r="T424" s="512"/>
      <c r="U424" s="513"/>
      <c r="V424" s="514"/>
      <c r="W424" s="512"/>
      <c r="X424" s="513"/>
      <c r="Y424" s="514"/>
      <c r="Z424" s="513"/>
      <c r="AA424" s="515"/>
      <c r="AB424" s="516"/>
      <c r="AC424" s="513"/>
      <c r="AD424" s="544"/>
      <c r="AE424" s="516"/>
      <c r="AF424" s="513"/>
      <c r="AG424" s="551"/>
      <c r="AH424" s="595"/>
      <c r="AI424" s="517"/>
      <c r="AJ424" s="518"/>
      <c r="AK424" s="518"/>
      <c r="AL424" s="518"/>
      <c r="AM424" s="519"/>
      <c r="AN424" s="517"/>
      <c r="AO424" s="520"/>
      <c r="AP424" s="525"/>
      <c r="AQ424" s="531"/>
      <c r="AR424" s="593"/>
      <c r="AS424" s="518"/>
      <c r="AT424" s="518"/>
      <c r="AU424" s="518"/>
      <c r="AV424" s="519"/>
      <c r="AW424" s="560"/>
      <c r="AX424" s="522"/>
      <c r="AY424" s="522"/>
      <c r="AZ424" s="522"/>
      <c r="BA424" s="522"/>
      <c r="BB424" s="522"/>
      <c r="BC424" s="518"/>
      <c r="BD424" s="518"/>
      <c r="BE424" s="518"/>
      <c r="BF424" s="518"/>
      <c r="BG424" s="518"/>
      <c r="BH424" s="519"/>
      <c r="BI424" s="527"/>
      <c r="BJ424" s="518"/>
      <c r="BK424" s="518"/>
      <c r="BL424" s="520"/>
      <c r="BM424" s="520"/>
      <c r="BN424" s="519"/>
      <c r="BO424" s="517"/>
      <c r="BP424" s="520"/>
      <c r="BQ424" s="520"/>
      <c r="BR424" s="519"/>
      <c r="BS424" s="548"/>
      <c r="BT424" s="537"/>
      <c r="BU424" s="521"/>
      <c r="BV424" s="521"/>
      <c r="BW424" s="521"/>
      <c r="BX424" s="521"/>
      <c r="BY424" s="521"/>
      <c r="BZ424" s="521"/>
      <c r="CA424" s="521"/>
      <c r="CB424" s="521"/>
      <c r="CC424" s="521"/>
      <c r="CD424" s="521"/>
      <c r="CE424" s="521"/>
      <c r="CF424" s="521"/>
      <c r="CG424" s="521"/>
      <c r="CH424" s="521"/>
      <c r="CI424" s="521"/>
      <c r="CJ424" s="521"/>
      <c r="CK424" s="521"/>
      <c r="CL424" s="518"/>
      <c r="CM424" s="523"/>
      <c r="CN424" s="523"/>
      <c r="CO424" s="524"/>
      <c r="CP424" s="524"/>
      <c r="CQ424" s="518"/>
      <c r="CR424" s="518"/>
      <c r="CS424" s="518"/>
      <c r="CT424" s="518"/>
      <c r="CU424" s="518"/>
      <c r="CV424" s="518"/>
      <c r="CW424" s="518"/>
      <c r="CX424" s="518"/>
      <c r="CY424" s="518"/>
      <c r="CZ424" s="519"/>
      <c r="DA424" s="527"/>
      <c r="DB424" s="520"/>
      <c r="DC424" s="525"/>
      <c r="DD424" s="531"/>
      <c r="DE424" s="593"/>
      <c r="DF424" s="518"/>
      <c r="DG424" s="518"/>
      <c r="DH424" s="518"/>
      <c r="DI424" s="519"/>
      <c r="DJ424" s="560"/>
      <c r="DK424" s="522"/>
      <c r="DL424" s="522"/>
      <c r="DM424" s="522"/>
      <c r="DN424" s="522"/>
      <c r="DO424" s="522"/>
      <c r="DP424" s="518"/>
      <c r="DQ424" s="518"/>
      <c r="DR424" s="518"/>
      <c r="DS424" s="518"/>
      <c r="DT424" s="518"/>
      <c r="DU424" s="519"/>
      <c r="DV424" s="527"/>
      <c r="DW424" s="518"/>
      <c r="DX424" s="518"/>
      <c r="DY424" s="520"/>
      <c r="DZ424" s="520"/>
      <c r="EA424" s="519"/>
      <c r="EB424" s="527"/>
      <c r="EC424" s="520"/>
      <c r="ED424" s="520"/>
      <c r="EE424" s="519"/>
      <c r="EF424" s="550"/>
      <c r="EG424" s="537"/>
      <c r="EH424" s="521"/>
      <c r="EI424" s="521"/>
      <c r="EJ424" s="521"/>
      <c r="EK424" s="521"/>
      <c r="EL424" s="521"/>
      <c r="EM424" s="521"/>
      <c r="EN424" s="521"/>
      <c r="EO424" s="521"/>
      <c r="EP424" s="521"/>
      <c r="EQ424" s="521"/>
      <c r="ER424" s="521"/>
      <c r="ES424" s="521"/>
      <c r="ET424" s="521"/>
      <c r="EU424" s="521"/>
      <c r="EV424" s="521"/>
      <c r="EW424" s="521"/>
      <c r="EX424" s="521"/>
      <c r="EY424" s="518"/>
      <c r="EZ424" s="523"/>
      <c r="FA424" s="523"/>
      <c r="FB424" s="524"/>
      <c r="FC424" s="524"/>
      <c r="FD424" s="518"/>
      <c r="FE424" s="518"/>
      <c r="FF424" s="518"/>
      <c r="FG424" s="518"/>
      <c r="FH424" s="518"/>
      <c r="FI424" s="518"/>
      <c r="FJ424" s="518"/>
      <c r="FK424" s="518"/>
      <c r="FL424" s="518"/>
      <c r="FM424" s="519"/>
    </row>
    <row r="425" spans="1:169" x14ac:dyDescent="0.25">
      <c r="A425" s="284"/>
      <c r="B425" s="284"/>
      <c r="C425" s="297"/>
      <c r="D425" s="298"/>
      <c r="E425" s="299"/>
      <c r="F425" s="340"/>
      <c r="G425" s="298"/>
      <c r="H425" s="299"/>
      <c r="I425" s="300"/>
      <c r="J425" s="370"/>
      <c r="K425" s="328"/>
      <c r="L425" s="300"/>
      <c r="M425" s="328"/>
      <c r="N425" s="331"/>
      <c r="O425" s="301"/>
      <c r="P425" s="301"/>
      <c r="Q425" s="328"/>
      <c r="R425" s="620"/>
      <c r="S425" s="512"/>
      <c r="T425" s="512"/>
      <c r="U425" s="513"/>
      <c r="V425" s="514"/>
      <c r="W425" s="512"/>
      <c r="X425" s="513"/>
      <c r="Y425" s="514"/>
      <c r="Z425" s="513"/>
      <c r="AA425" s="515"/>
      <c r="AB425" s="516"/>
      <c r="AC425" s="513"/>
      <c r="AD425" s="544"/>
      <c r="AE425" s="516"/>
      <c r="AF425" s="513"/>
      <c r="AG425" s="551"/>
      <c r="AH425" s="595"/>
      <c r="AI425" s="517"/>
      <c r="AJ425" s="518"/>
      <c r="AK425" s="518"/>
      <c r="AL425" s="518"/>
      <c r="AM425" s="519"/>
      <c r="AN425" s="517"/>
      <c r="AO425" s="520"/>
      <c r="AP425" s="525"/>
      <c r="AQ425" s="531"/>
      <c r="AR425" s="593"/>
      <c r="AS425" s="518"/>
      <c r="AT425" s="518"/>
      <c r="AU425" s="518"/>
      <c r="AV425" s="519"/>
      <c r="AW425" s="560"/>
      <c r="AX425" s="522"/>
      <c r="AY425" s="522"/>
      <c r="AZ425" s="522"/>
      <c r="BA425" s="522"/>
      <c r="BB425" s="522"/>
      <c r="BC425" s="518"/>
      <c r="BD425" s="518"/>
      <c r="BE425" s="518"/>
      <c r="BF425" s="518"/>
      <c r="BG425" s="518"/>
      <c r="BH425" s="519"/>
      <c r="BI425" s="527"/>
      <c r="BJ425" s="518"/>
      <c r="BK425" s="518"/>
      <c r="BL425" s="520"/>
      <c r="BM425" s="520"/>
      <c r="BN425" s="519"/>
      <c r="BO425" s="517"/>
      <c r="BP425" s="520"/>
      <c r="BQ425" s="520"/>
      <c r="BR425" s="519"/>
      <c r="BS425" s="548"/>
      <c r="BT425" s="537"/>
      <c r="BU425" s="521"/>
      <c r="BV425" s="521"/>
      <c r="BW425" s="521"/>
      <c r="BX425" s="521"/>
      <c r="BY425" s="521"/>
      <c r="BZ425" s="521"/>
      <c r="CA425" s="521"/>
      <c r="CB425" s="521"/>
      <c r="CC425" s="521"/>
      <c r="CD425" s="521"/>
      <c r="CE425" s="521"/>
      <c r="CF425" s="521"/>
      <c r="CG425" s="521"/>
      <c r="CH425" s="521"/>
      <c r="CI425" s="521"/>
      <c r="CJ425" s="521"/>
      <c r="CK425" s="521"/>
      <c r="CL425" s="518"/>
      <c r="CM425" s="523"/>
      <c r="CN425" s="523"/>
      <c r="CO425" s="524"/>
      <c r="CP425" s="524"/>
      <c r="CQ425" s="518"/>
      <c r="CR425" s="518"/>
      <c r="CS425" s="518"/>
      <c r="CT425" s="518"/>
      <c r="CU425" s="518"/>
      <c r="CV425" s="518"/>
      <c r="CW425" s="518"/>
      <c r="CX425" s="518"/>
      <c r="CY425" s="518"/>
      <c r="CZ425" s="519"/>
      <c r="DA425" s="527"/>
      <c r="DB425" s="520"/>
      <c r="DC425" s="525"/>
      <c r="DD425" s="531"/>
      <c r="DE425" s="593"/>
      <c r="DF425" s="518"/>
      <c r="DG425" s="518"/>
      <c r="DH425" s="518"/>
      <c r="DI425" s="519"/>
      <c r="DJ425" s="560"/>
      <c r="DK425" s="522"/>
      <c r="DL425" s="522"/>
      <c r="DM425" s="522"/>
      <c r="DN425" s="522"/>
      <c r="DO425" s="522"/>
      <c r="DP425" s="518"/>
      <c r="DQ425" s="518"/>
      <c r="DR425" s="518"/>
      <c r="DS425" s="518"/>
      <c r="DT425" s="518"/>
      <c r="DU425" s="519"/>
      <c r="DV425" s="527"/>
      <c r="DW425" s="518"/>
      <c r="DX425" s="518"/>
      <c r="DY425" s="520"/>
      <c r="DZ425" s="520"/>
      <c r="EA425" s="519"/>
      <c r="EB425" s="527"/>
      <c r="EC425" s="520"/>
      <c r="ED425" s="520"/>
      <c r="EE425" s="519"/>
      <c r="EF425" s="550"/>
      <c r="EG425" s="537"/>
      <c r="EH425" s="521"/>
      <c r="EI425" s="521"/>
      <c r="EJ425" s="521"/>
      <c r="EK425" s="521"/>
      <c r="EL425" s="521"/>
      <c r="EM425" s="521"/>
      <c r="EN425" s="521"/>
      <c r="EO425" s="521"/>
      <c r="EP425" s="521"/>
      <c r="EQ425" s="521"/>
      <c r="ER425" s="521"/>
      <c r="ES425" s="521"/>
      <c r="ET425" s="521"/>
      <c r="EU425" s="521"/>
      <c r="EV425" s="521"/>
      <c r="EW425" s="521"/>
      <c r="EX425" s="521"/>
      <c r="EY425" s="518"/>
      <c r="EZ425" s="523"/>
      <c r="FA425" s="523"/>
      <c r="FB425" s="524"/>
      <c r="FC425" s="524"/>
      <c r="FD425" s="518"/>
      <c r="FE425" s="518"/>
      <c r="FF425" s="518"/>
      <c r="FG425" s="518"/>
      <c r="FH425" s="518"/>
      <c r="FI425" s="518"/>
      <c r="FJ425" s="518"/>
      <c r="FK425" s="518"/>
      <c r="FL425" s="518"/>
      <c r="FM425" s="519"/>
    </row>
    <row r="426" spans="1:169" x14ac:dyDescent="0.25">
      <c r="A426" s="284"/>
      <c r="B426" s="284"/>
      <c r="C426" s="297"/>
      <c r="D426" s="298"/>
      <c r="E426" s="299"/>
      <c r="F426" s="340"/>
      <c r="G426" s="298"/>
      <c r="H426" s="299"/>
      <c r="I426" s="300"/>
      <c r="J426" s="370"/>
      <c r="K426" s="328"/>
      <c r="L426" s="300"/>
      <c r="M426" s="328"/>
      <c r="N426" s="331"/>
      <c r="O426" s="301"/>
      <c r="P426" s="301"/>
      <c r="Q426" s="328"/>
      <c r="R426" s="620"/>
      <c r="S426" s="512"/>
      <c r="T426" s="512"/>
      <c r="U426" s="513"/>
      <c r="V426" s="514"/>
      <c r="W426" s="512"/>
      <c r="X426" s="513"/>
      <c r="Y426" s="514"/>
      <c r="Z426" s="513"/>
      <c r="AA426" s="515"/>
      <c r="AB426" s="516"/>
      <c r="AC426" s="513"/>
      <c r="AD426" s="544"/>
      <c r="AE426" s="516"/>
      <c r="AF426" s="513"/>
      <c r="AG426" s="551"/>
      <c r="AH426" s="595"/>
      <c r="AI426" s="517"/>
      <c r="AJ426" s="518"/>
      <c r="AK426" s="518"/>
      <c r="AL426" s="518"/>
      <c r="AM426" s="519"/>
      <c r="AN426" s="517"/>
      <c r="AO426" s="520"/>
      <c r="AP426" s="525"/>
      <c r="AQ426" s="531"/>
      <c r="AR426" s="593"/>
      <c r="AS426" s="518"/>
      <c r="AT426" s="518"/>
      <c r="AU426" s="518"/>
      <c r="AV426" s="519"/>
      <c r="AW426" s="560"/>
      <c r="AX426" s="522"/>
      <c r="AY426" s="522"/>
      <c r="AZ426" s="522"/>
      <c r="BA426" s="522"/>
      <c r="BB426" s="522"/>
      <c r="BC426" s="518"/>
      <c r="BD426" s="518"/>
      <c r="BE426" s="518"/>
      <c r="BF426" s="518"/>
      <c r="BG426" s="518"/>
      <c r="BH426" s="519"/>
      <c r="BI426" s="527"/>
      <c r="BJ426" s="518"/>
      <c r="BK426" s="518"/>
      <c r="BL426" s="520"/>
      <c r="BM426" s="520"/>
      <c r="BN426" s="519"/>
      <c r="BO426" s="517"/>
      <c r="BP426" s="520"/>
      <c r="BQ426" s="520"/>
      <c r="BR426" s="519"/>
      <c r="BS426" s="548"/>
      <c r="BT426" s="537"/>
      <c r="BU426" s="521"/>
      <c r="BV426" s="521"/>
      <c r="BW426" s="521"/>
      <c r="BX426" s="521"/>
      <c r="BY426" s="521"/>
      <c r="BZ426" s="521"/>
      <c r="CA426" s="521"/>
      <c r="CB426" s="521"/>
      <c r="CC426" s="521"/>
      <c r="CD426" s="521"/>
      <c r="CE426" s="521"/>
      <c r="CF426" s="521"/>
      <c r="CG426" s="521"/>
      <c r="CH426" s="521"/>
      <c r="CI426" s="521"/>
      <c r="CJ426" s="521"/>
      <c r="CK426" s="521"/>
      <c r="CL426" s="518"/>
      <c r="CM426" s="523"/>
      <c r="CN426" s="523"/>
      <c r="CO426" s="524"/>
      <c r="CP426" s="524"/>
      <c r="CQ426" s="518"/>
      <c r="CR426" s="518"/>
      <c r="CS426" s="518"/>
      <c r="CT426" s="518"/>
      <c r="CU426" s="518"/>
      <c r="CV426" s="518"/>
      <c r="CW426" s="518"/>
      <c r="CX426" s="518"/>
      <c r="CY426" s="518"/>
      <c r="CZ426" s="519"/>
      <c r="DA426" s="527"/>
      <c r="DB426" s="520"/>
      <c r="DC426" s="525"/>
      <c r="DD426" s="531"/>
      <c r="DE426" s="593"/>
      <c r="DF426" s="518"/>
      <c r="DG426" s="518"/>
      <c r="DH426" s="518"/>
      <c r="DI426" s="519"/>
      <c r="DJ426" s="560"/>
      <c r="DK426" s="522"/>
      <c r="DL426" s="522"/>
      <c r="DM426" s="522"/>
      <c r="DN426" s="522"/>
      <c r="DO426" s="522"/>
      <c r="DP426" s="518"/>
      <c r="DQ426" s="518"/>
      <c r="DR426" s="518"/>
      <c r="DS426" s="518"/>
      <c r="DT426" s="518"/>
      <c r="DU426" s="519"/>
      <c r="DV426" s="527"/>
      <c r="DW426" s="518"/>
      <c r="DX426" s="518"/>
      <c r="DY426" s="520"/>
      <c r="DZ426" s="520"/>
      <c r="EA426" s="519"/>
      <c r="EB426" s="527"/>
      <c r="EC426" s="520"/>
      <c r="ED426" s="520"/>
      <c r="EE426" s="519"/>
      <c r="EF426" s="550"/>
      <c r="EG426" s="537"/>
      <c r="EH426" s="521"/>
      <c r="EI426" s="521"/>
      <c r="EJ426" s="521"/>
      <c r="EK426" s="521"/>
      <c r="EL426" s="521"/>
      <c r="EM426" s="521"/>
      <c r="EN426" s="521"/>
      <c r="EO426" s="521"/>
      <c r="EP426" s="521"/>
      <c r="EQ426" s="521"/>
      <c r="ER426" s="521"/>
      <c r="ES426" s="521"/>
      <c r="ET426" s="521"/>
      <c r="EU426" s="521"/>
      <c r="EV426" s="521"/>
      <c r="EW426" s="521"/>
      <c r="EX426" s="521"/>
      <c r="EY426" s="518"/>
      <c r="EZ426" s="523"/>
      <c r="FA426" s="523"/>
      <c r="FB426" s="524"/>
      <c r="FC426" s="524"/>
      <c r="FD426" s="518"/>
      <c r="FE426" s="518"/>
      <c r="FF426" s="518"/>
      <c r="FG426" s="518"/>
      <c r="FH426" s="518"/>
      <c r="FI426" s="518"/>
      <c r="FJ426" s="518"/>
      <c r="FK426" s="518"/>
      <c r="FL426" s="518"/>
      <c r="FM426" s="519"/>
    </row>
    <row r="427" spans="1:169" x14ac:dyDescent="0.25">
      <c r="A427" s="284"/>
      <c r="B427" s="284"/>
      <c r="C427" s="297"/>
      <c r="D427" s="298"/>
      <c r="E427" s="299"/>
      <c r="F427" s="297"/>
      <c r="G427" s="298"/>
      <c r="H427" s="299"/>
      <c r="I427" s="300"/>
      <c r="J427" s="370"/>
      <c r="K427" s="328"/>
      <c r="L427" s="300"/>
      <c r="M427" s="328"/>
      <c r="N427" s="331"/>
      <c r="O427" s="301"/>
      <c r="P427" s="301"/>
      <c r="Q427" s="328"/>
      <c r="R427" s="620"/>
      <c r="S427" s="512"/>
      <c r="T427" s="512"/>
      <c r="U427" s="513"/>
      <c r="V427" s="514"/>
      <c r="W427" s="512"/>
      <c r="X427" s="513"/>
      <c r="Y427" s="514"/>
      <c r="Z427" s="513"/>
      <c r="AA427" s="515"/>
      <c r="AB427" s="516"/>
      <c r="AC427" s="513"/>
      <c r="AD427" s="544"/>
      <c r="AE427" s="516"/>
      <c r="AF427" s="513"/>
      <c r="AG427" s="551"/>
      <c r="AH427" s="595"/>
      <c r="AI427" s="517"/>
      <c r="AJ427" s="518"/>
      <c r="AK427" s="518"/>
      <c r="AL427" s="518"/>
      <c r="AM427" s="519"/>
      <c r="AN427" s="517"/>
      <c r="AO427" s="520"/>
      <c r="AP427" s="525"/>
      <c r="AQ427" s="531"/>
      <c r="AR427" s="593"/>
      <c r="AS427" s="518"/>
      <c r="AT427" s="518"/>
      <c r="AU427" s="518"/>
      <c r="AV427" s="519"/>
      <c r="AW427" s="560"/>
      <c r="AX427" s="522"/>
      <c r="AY427" s="522"/>
      <c r="AZ427" s="522"/>
      <c r="BA427" s="522"/>
      <c r="BB427" s="522"/>
      <c r="BC427" s="518"/>
      <c r="BD427" s="518"/>
      <c r="BE427" s="518"/>
      <c r="BF427" s="518"/>
      <c r="BG427" s="518"/>
      <c r="BH427" s="519"/>
      <c r="BI427" s="527"/>
      <c r="BJ427" s="518"/>
      <c r="BK427" s="518"/>
      <c r="BL427" s="520"/>
      <c r="BM427" s="520"/>
      <c r="BN427" s="519"/>
      <c r="BO427" s="517"/>
      <c r="BP427" s="520"/>
      <c r="BQ427" s="520"/>
      <c r="BR427" s="519"/>
      <c r="BS427" s="548"/>
      <c r="BT427" s="537"/>
      <c r="BU427" s="521"/>
      <c r="BV427" s="521"/>
      <c r="BW427" s="521"/>
      <c r="BX427" s="521"/>
      <c r="BY427" s="521"/>
      <c r="BZ427" s="521"/>
      <c r="CA427" s="521"/>
      <c r="CB427" s="521"/>
      <c r="CC427" s="521"/>
      <c r="CD427" s="521"/>
      <c r="CE427" s="521"/>
      <c r="CF427" s="521"/>
      <c r="CG427" s="521"/>
      <c r="CH427" s="521"/>
      <c r="CI427" s="521"/>
      <c r="CJ427" s="521"/>
      <c r="CK427" s="521"/>
      <c r="CL427" s="518"/>
      <c r="CM427" s="523"/>
      <c r="CN427" s="523"/>
      <c r="CO427" s="524"/>
      <c r="CP427" s="524"/>
      <c r="CQ427" s="518"/>
      <c r="CR427" s="518"/>
      <c r="CS427" s="518"/>
      <c r="CT427" s="518"/>
      <c r="CU427" s="518"/>
      <c r="CV427" s="518"/>
      <c r="CW427" s="518"/>
      <c r="CX427" s="518"/>
      <c r="CY427" s="518"/>
      <c r="CZ427" s="519"/>
      <c r="DA427" s="527"/>
      <c r="DB427" s="520"/>
      <c r="DC427" s="525"/>
      <c r="DD427" s="531"/>
      <c r="DE427" s="593"/>
      <c r="DF427" s="518"/>
      <c r="DG427" s="518"/>
      <c r="DH427" s="518"/>
      <c r="DI427" s="519"/>
      <c r="DJ427" s="560"/>
      <c r="DK427" s="522"/>
      <c r="DL427" s="522"/>
      <c r="DM427" s="522"/>
      <c r="DN427" s="522"/>
      <c r="DO427" s="522"/>
      <c r="DP427" s="518"/>
      <c r="DQ427" s="518"/>
      <c r="DR427" s="518"/>
      <c r="DS427" s="518"/>
      <c r="DT427" s="518"/>
      <c r="DU427" s="519"/>
      <c r="DV427" s="527"/>
      <c r="DW427" s="518"/>
      <c r="DX427" s="518"/>
      <c r="DY427" s="520"/>
      <c r="DZ427" s="520"/>
      <c r="EA427" s="519"/>
      <c r="EB427" s="527"/>
      <c r="EC427" s="520"/>
      <c r="ED427" s="520"/>
      <c r="EE427" s="519"/>
      <c r="EF427" s="550"/>
      <c r="EG427" s="537"/>
      <c r="EH427" s="521"/>
      <c r="EI427" s="521"/>
      <c r="EJ427" s="521"/>
      <c r="EK427" s="521"/>
      <c r="EL427" s="521"/>
      <c r="EM427" s="521"/>
      <c r="EN427" s="521"/>
      <c r="EO427" s="521"/>
      <c r="EP427" s="521"/>
      <c r="EQ427" s="521"/>
      <c r="ER427" s="521"/>
      <c r="ES427" s="521"/>
      <c r="ET427" s="521"/>
      <c r="EU427" s="521"/>
      <c r="EV427" s="521"/>
      <c r="EW427" s="521"/>
      <c r="EX427" s="521"/>
      <c r="EY427" s="518"/>
      <c r="EZ427" s="523"/>
      <c r="FA427" s="523"/>
      <c r="FB427" s="524"/>
      <c r="FC427" s="524"/>
      <c r="FD427" s="518"/>
      <c r="FE427" s="518"/>
      <c r="FF427" s="518"/>
      <c r="FG427" s="518"/>
      <c r="FH427" s="518"/>
      <c r="FI427" s="518"/>
      <c r="FJ427" s="518"/>
      <c r="FK427" s="518"/>
      <c r="FL427" s="518"/>
      <c r="FM427" s="519"/>
    </row>
    <row r="428" spans="1:169" x14ac:dyDescent="0.25">
      <c r="A428" s="284"/>
      <c r="B428" s="317"/>
      <c r="C428" s="297"/>
      <c r="D428" s="298"/>
      <c r="E428" s="299"/>
      <c r="F428" s="340"/>
      <c r="G428" s="298"/>
      <c r="H428" s="299"/>
      <c r="I428" s="300"/>
      <c r="J428" s="370"/>
      <c r="K428" s="328"/>
      <c r="L428" s="300"/>
      <c r="M428" s="328"/>
      <c r="N428" s="331"/>
      <c r="O428" s="301"/>
      <c r="P428" s="301"/>
      <c r="Q428" s="328"/>
      <c r="R428" s="620"/>
      <c r="S428" s="512"/>
      <c r="T428" s="512"/>
      <c r="U428" s="513"/>
      <c r="V428" s="514"/>
      <c r="W428" s="512"/>
      <c r="X428" s="513"/>
      <c r="Y428" s="514"/>
      <c r="Z428" s="513"/>
      <c r="AA428" s="515"/>
      <c r="AB428" s="516"/>
      <c r="AC428" s="513"/>
      <c r="AD428" s="544"/>
      <c r="AE428" s="516"/>
      <c r="AF428" s="513"/>
      <c r="AG428" s="551"/>
      <c r="AH428" s="595"/>
      <c r="AI428" s="517"/>
      <c r="AJ428" s="518"/>
      <c r="AK428" s="518"/>
      <c r="AL428" s="518"/>
      <c r="AM428" s="519"/>
      <c r="AN428" s="517"/>
      <c r="AO428" s="520"/>
      <c r="AP428" s="525"/>
      <c r="AQ428" s="531"/>
      <c r="AR428" s="593"/>
      <c r="AS428" s="518"/>
      <c r="AT428" s="518"/>
      <c r="AU428" s="518"/>
      <c r="AV428" s="519"/>
      <c r="AW428" s="560"/>
      <c r="AX428" s="522"/>
      <c r="AY428" s="522"/>
      <c r="AZ428" s="522"/>
      <c r="BA428" s="522"/>
      <c r="BB428" s="522"/>
      <c r="BC428" s="518"/>
      <c r="BD428" s="518"/>
      <c r="BE428" s="518"/>
      <c r="BF428" s="518"/>
      <c r="BG428" s="518"/>
      <c r="BH428" s="519"/>
      <c r="BI428" s="527"/>
      <c r="BJ428" s="518"/>
      <c r="BK428" s="518"/>
      <c r="BL428" s="520"/>
      <c r="BM428" s="520"/>
      <c r="BN428" s="519"/>
      <c r="BO428" s="517"/>
      <c r="BP428" s="520"/>
      <c r="BQ428" s="520"/>
      <c r="BR428" s="519"/>
      <c r="BS428" s="548"/>
      <c r="BT428" s="537"/>
      <c r="BU428" s="521"/>
      <c r="BV428" s="521"/>
      <c r="BW428" s="521"/>
      <c r="BX428" s="521"/>
      <c r="BY428" s="521"/>
      <c r="BZ428" s="521"/>
      <c r="CA428" s="521"/>
      <c r="CB428" s="521"/>
      <c r="CC428" s="521"/>
      <c r="CD428" s="521"/>
      <c r="CE428" s="521"/>
      <c r="CF428" s="521"/>
      <c r="CG428" s="521"/>
      <c r="CH428" s="521"/>
      <c r="CI428" s="521"/>
      <c r="CJ428" s="521"/>
      <c r="CK428" s="521"/>
      <c r="CL428" s="518"/>
      <c r="CM428" s="523"/>
      <c r="CN428" s="523"/>
      <c r="CO428" s="524"/>
      <c r="CP428" s="524"/>
      <c r="CQ428" s="518"/>
      <c r="CR428" s="518"/>
      <c r="CS428" s="518"/>
      <c r="CT428" s="518"/>
      <c r="CU428" s="518"/>
      <c r="CV428" s="518"/>
      <c r="CW428" s="518"/>
      <c r="CX428" s="518"/>
      <c r="CY428" s="518"/>
      <c r="CZ428" s="519"/>
      <c r="DA428" s="527"/>
      <c r="DB428" s="520"/>
      <c r="DC428" s="525"/>
      <c r="DD428" s="531"/>
      <c r="DE428" s="593"/>
      <c r="DF428" s="518"/>
      <c r="DG428" s="518"/>
      <c r="DH428" s="518"/>
      <c r="DI428" s="519"/>
      <c r="DJ428" s="560"/>
      <c r="DK428" s="522"/>
      <c r="DL428" s="522"/>
      <c r="DM428" s="522"/>
      <c r="DN428" s="522"/>
      <c r="DO428" s="522"/>
      <c r="DP428" s="518"/>
      <c r="DQ428" s="518"/>
      <c r="DR428" s="518"/>
      <c r="DS428" s="518"/>
      <c r="DT428" s="518"/>
      <c r="DU428" s="519"/>
      <c r="DV428" s="527"/>
      <c r="DW428" s="518"/>
      <c r="DX428" s="518"/>
      <c r="DY428" s="520"/>
      <c r="DZ428" s="520"/>
      <c r="EA428" s="519"/>
      <c r="EB428" s="527"/>
      <c r="EC428" s="520"/>
      <c r="ED428" s="520"/>
      <c r="EE428" s="519"/>
      <c r="EF428" s="550"/>
      <c r="EG428" s="537"/>
      <c r="EH428" s="521"/>
      <c r="EI428" s="521"/>
      <c r="EJ428" s="521"/>
      <c r="EK428" s="521"/>
      <c r="EL428" s="521"/>
      <c r="EM428" s="521"/>
      <c r="EN428" s="521"/>
      <c r="EO428" s="521"/>
      <c r="EP428" s="521"/>
      <c r="EQ428" s="521"/>
      <c r="ER428" s="521"/>
      <c r="ES428" s="521"/>
      <c r="ET428" s="521"/>
      <c r="EU428" s="521"/>
      <c r="EV428" s="521"/>
      <c r="EW428" s="521"/>
      <c r="EX428" s="521"/>
      <c r="EY428" s="518"/>
      <c r="EZ428" s="523"/>
      <c r="FA428" s="523"/>
      <c r="FB428" s="524"/>
      <c r="FC428" s="524"/>
      <c r="FD428" s="518"/>
      <c r="FE428" s="518"/>
      <c r="FF428" s="518"/>
      <c r="FG428" s="518"/>
      <c r="FH428" s="518"/>
      <c r="FI428" s="518"/>
      <c r="FJ428" s="518"/>
      <c r="FK428" s="518"/>
      <c r="FL428" s="518"/>
      <c r="FM428" s="519"/>
    </row>
    <row r="429" spans="1:169" x14ac:dyDescent="0.25">
      <c r="A429" s="284"/>
      <c r="B429" s="317"/>
      <c r="C429" s="297"/>
      <c r="D429" s="298"/>
      <c r="E429" s="299"/>
      <c r="F429" s="340"/>
      <c r="G429" s="298"/>
      <c r="H429" s="299"/>
      <c r="I429" s="300"/>
      <c r="J429" s="370"/>
      <c r="K429" s="328"/>
      <c r="L429" s="300"/>
      <c r="M429" s="328"/>
      <c r="N429" s="331"/>
      <c r="O429" s="301"/>
      <c r="P429" s="301"/>
      <c r="Q429" s="328"/>
      <c r="R429" s="620"/>
      <c r="S429" s="512"/>
      <c r="T429" s="512"/>
      <c r="U429" s="513"/>
      <c r="V429" s="514"/>
      <c r="W429" s="512"/>
      <c r="X429" s="513"/>
      <c r="Y429" s="514"/>
      <c r="Z429" s="513"/>
      <c r="AA429" s="515"/>
      <c r="AB429" s="516"/>
      <c r="AC429" s="513"/>
      <c r="AD429" s="544"/>
      <c r="AE429" s="516"/>
      <c r="AF429" s="513"/>
      <c r="AG429" s="551"/>
      <c r="AH429" s="595"/>
      <c r="AI429" s="517"/>
      <c r="AJ429" s="518"/>
      <c r="AK429" s="518"/>
      <c r="AL429" s="518"/>
      <c r="AM429" s="519"/>
      <c r="AN429" s="517"/>
      <c r="AO429" s="520"/>
      <c r="AP429" s="525"/>
      <c r="AQ429" s="531"/>
      <c r="AR429" s="593"/>
      <c r="AS429" s="518"/>
      <c r="AT429" s="518"/>
      <c r="AU429" s="518"/>
      <c r="AV429" s="519"/>
      <c r="AW429" s="560"/>
      <c r="AX429" s="522"/>
      <c r="AY429" s="522"/>
      <c r="AZ429" s="522"/>
      <c r="BA429" s="522"/>
      <c r="BB429" s="522"/>
      <c r="BC429" s="518"/>
      <c r="BD429" s="518"/>
      <c r="BE429" s="518"/>
      <c r="BF429" s="518"/>
      <c r="BG429" s="518"/>
      <c r="BH429" s="519"/>
      <c r="BI429" s="527"/>
      <c r="BJ429" s="518"/>
      <c r="BK429" s="518"/>
      <c r="BL429" s="520"/>
      <c r="BM429" s="520"/>
      <c r="BN429" s="519"/>
      <c r="BO429" s="517"/>
      <c r="BP429" s="520"/>
      <c r="BQ429" s="520"/>
      <c r="BR429" s="519"/>
      <c r="BS429" s="548"/>
      <c r="BT429" s="537"/>
      <c r="BU429" s="521"/>
      <c r="BV429" s="521"/>
      <c r="BW429" s="521"/>
      <c r="BX429" s="521"/>
      <c r="BY429" s="521"/>
      <c r="BZ429" s="521"/>
      <c r="CA429" s="521"/>
      <c r="CB429" s="521"/>
      <c r="CC429" s="521"/>
      <c r="CD429" s="521"/>
      <c r="CE429" s="521"/>
      <c r="CF429" s="521"/>
      <c r="CG429" s="521"/>
      <c r="CH429" s="521"/>
      <c r="CI429" s="521"/>
      <c r="CJ429" s="521"/>
      <c r="CK429" s="521"/>
      <c r="CL429" s="518"/>
      <c r="CM429" s="523"/>
      <c r="CN429" s="523"/>
      <c r="CO429" s="524"/>
      <c r="CP429" s="524"/>
      <c r="CQ429" s="518"/>
      <c r="CR429" s="518"/>
      <c r="CS429" s="518"/>
      <c r="CT429" s="518"/>
      <c r="CU429" s="518"/>
      <c r="CV429" s="518"/>
      <c r="CW429" s="518"/>
      <c r="CX429" s="518"/>
      <c r="CY429" s="518"/>
      <c r="CZ429" s="519"/>
      <c r="DA429" s="527"/>
      <c r="DB429" s="520"/>
      <c r="DC429" s="525"/>
      <c r="DD429" s="531"/>
      <c r="DE429" s="593"/>
      <c r="DF429" s="518"/>
      <c r="DG429" s="518"/>
      <c r="DH429" s="518"/>
      <c r="DI429" s="519"/>
      <c r="DJ429" s="560"/>
      <c r="DK429" s="522"/>
      <c r="DL429" s="522"/>
      <c r="DM429" s="522"/>
      <c r="DN429" s="522"/>
      <c r="DO429" s="522"/>
      <c r="DP429" s="518"/>
      <c r="DQ429" s="518"/>
      <c r="DR429" s="518"/>
      <c r="DS429" s="518"/>
      <c r="DT429" s="518"/>
      <c r="DU429" s="519"/>
      <c r="DV429" s="527"/>
      <c r="DW429" s="518"/>
      <c r="DX429" s="518"/>
      <c r="DY429" s="520"/>
      <c r="DZ429" s="520"/>
      <c r="EA429" s="519"/>
      <c r="EB429" s="527"/>
      <c r="EC429" s="520"/>
      <c r="ED429" s="520"/>
      <c r="EE429" s="519"/>
      <c r="EF429" s="550"/>
      <c r="EG429" s="537"/>
      <c r="EH429" s="521"/>
      <c r="EI429" s="521"/>
      <c r="EJ429" s="521"/>
      <c r="EK429" s="521"/>
      <c r="EL429" s="521"/>
      <c r="EM429" s="521"/>
      <c r="EN429" s="521"/>
      <c r="EO429" s="521"/>
      <c r="EP429" s="521"/>
      <c r="EQ429" s="521"/>
      <c r="ER429" s="521"/>
      <c r="ES429" s="521"/>
      <c r="ET429" s="521"/>
      <c r="EU429" s="521"/>
      <c r="EV429" s="521"/>
      <c r="EW429" s="521"/>
      <c r="EX429" s="521"/>
      <c r="EY429" s="518"/>
      <c r="EZ429" s="523"/>
      <c r="FA429" s="523"/>
      <c r="FB429" s="524"/>
      <c r="FC429" s="524"/>
      <c r="FD429" s="518"/>
      <c r="FE429" s="518"/>
      <c r="FF429" s="518"/>
      <c r="FG429" s="518"/>
      <c r="FH429" s="518"/>
      <c r="FI429" s="518"/>
      <c r="FJ429" s="518"/>
      <c r="FK429" s="518"/>
      <c r="FL429" s="518"/>
      <c r="FM429" s="519"/>
    </row>
    <row r="430" spans="1:169" x14ac:dyDescent="0.25">
      <c r="A430" s="284"/>
      <c r="B430" s="317"/>
      <c r="C430" s="297"/>
      <c r="D430" s="298"/>
      <c r="E430" s="299"/>
      <c r="F430" s="340"/>
      <c r="G430" s="298"/>
      <c r="H430" s="299"/>
      <c r="I430" s="300"/>
      <c r="J430" s="370"/>
      <c r="K430" s="328"/>
      <c r="L430" s="300"/>
      <c r="M430" s="328"/>
      <c r="N430" s="331"/>
      <c r="O430" s="301"/>
      <c r="P430" s="301"/>
      <c r="Q430" s="328"/>
      <c r="R430" s="620"/>
      <c r="S430" s="512"/>
      <c r="T430" s="512"/>
      <c r="U430" s="513"/>
      <c r="V430" s="514"/>
      <c r="W430" s="512"/>
      <c r="X430" s="513"/>
      <c r="Y430" s="514"/>
      <c r="Z430" s="513"/>
      <c r="AA430" s="515"/>
      <c r="AB430" s="516"/>
      <c r="AC430" s="513"/>
      <c r="AD430" s="544"/>
      <c r="AE430" s="516"/>
      <c r="AF430" s="513"/>
      <c r="AG430" s="551"/>
      <c r="AH430" s="595"/>
      <c r="AI430" s="517"/>
      <c r="AJ430" s="518"/>
      <c r="AK430" s="518"/>
      <c r="AL430" s="518"/>
      <c r="AM430" s="519"/>
      <c r="AN430" s="517"/>
      <c r="AO430" s="520"/>
      <c r="AP430" s="525"/>
      <c r="AQ430" s="531"/>
      <c r="AR430" s="593"/>
      <c r="AS430" s="518"/>
      <c r="AT430" s="518"/>
      <c r="AU430" s="518"/>
      <c r="AV430" s="519"/>
      <c r="AW430" s="560"/>
      <c r="AX430" s="522"/>
      <c r="AY430" s="522"/>
      <c r="AZ430" s="522"/>
      <c r="BA430" s="522"/>
      <c r="BB430" s="522"/>
      <c r="BC430" s="518"/>
      <c r="BD430" s="518"/>
      <c r="BE430" s="518"/>
      <c r="BF430" s="518"/>
      <c r="BG430" s="518"/>
      <c r="BH430" s="519"/>
      <c r="BI430" s="527"/>
      <c r="BJ430" s="518"/>
      <c r="BK430" s="518"/>
      <c r="BL430" s="520"/>
      <c r="BM430" s="520"/>
      <c r="BN430" s="519"/>
      <c r="BO430" s="517"/>
      <c r="BP430" s="520"/>
      <c r="BQ430" s="520"/>
      <c r="BR430" s="519"/>
      <c r="BS430" s="548"/>
      <c r="BT430" s="537"/>
      <c r="BU430" s="521"/>
      <c r="BV430" s="521"/>
      <c r="BW430" s="521"/>
      <c r="BX430" s="521"/>
      <c r="BY430" s="521"/>
      <c r="BZ430" s="521"/>
      <c r="CA430" s="521"/>
      <c r="CB430" s="521"/>
      <c r="CC430" s="521"/>
      <c r="CD430" s="521"/>
      <c r="CE430" s="521"/>
      <c r="CF430" s="521"/>
      <c r="CG430" s="521"/>
      <c r="CH430" s="521"/>
      <c r="CI430" s="521"/>
      <c r="CJ430" s="521"/>
      <c r="CK430" s="521"/>
      <c r="CL430" s="518"/>
      <c r="CM430" s="523"/>
      <c r="CN430" s="523"/>
      <c r="CO430" s="524"/>
      <c r="CP430" s="524"/>
      <c r="CQ430" s="518"/>
      <c r="CR430" s="518"/>
      <c r="CS430" s="518"/>
      <c r="CT430" s="518"/>
      <c r="CU430" s="518"/>
      <c r="CV430" s="518"/>
      <c r="CW430" s="518"/>
      <c r="CX430" s="518"/>
      <c r="CY430" s="518"/>
      <c r="CZ430" s="519"/>
      <c r="DA430" s="527"/>
      <c r="DB430" s="520"/>
      <c r="DC430" s="525"/>
      <c r="DD430" s="531"/>
      <c r="DE430" s="593"/>
      <c r="DF430" s="518"/>
      <c r="DG430" s="518"/>
      <c r="DH430" s="518"/>
      <c r="DI430" s="519"/>
      <c r="DJ430" s="560"/>
      <c r="DK430" s="522"/>
      <c r="DL430" s="522"/>
      <c r="DM430" s="522"/>
      <c r="DN430" s="522"/>
      <c r="DO430" s="522"/>
      <c r="DP430" s="518"/>
      <c r="DQ430" s="518"/>
      <c r="DR430" s="518"/>
      <c r="DS430" s="518"/>
      <c r="DT430" s="518"/>
      <c r="DU430" s="519"/>
      <c r="DV430" s="527"/>
      <c r="DW430" s="518"/>
      <c r="DX430" s="518"/>
      <c r="DY430" s="520"/>
      <c r="DZ430" s="520"/>
      <c r="EA430" s="519"/>
      <c r="EB430" s="527"/>
      <c r="EC430" s="520"/>
      <c r="ED430" s="520"/>
      <c r="EE430" s="519"/>
      <c r="EF430" s="550"/>
      <c r="EG430" s="537"/>
      <c r="EH430" s="521"/>
      <c r="EI430" s="521"/>
      <c r="EJ430" s="521"/>
      <c r="EK430" s="521"/>
      <c r="EL430" s="521"/>
      <c r="EM430" s="521"/>
      <c r="EN430" s="521"/>
      <c r="EO430" s="521"/>
      <c r="EP430" s="521"/>
      <c r="EQ430" s="521"/>
      <c r="ER430" s="521"/>
      <c r="ES430" s="521"/>
      <c r="ET430" s="521"/>
      <c r="EU430" s="521"/>
      <c r="EV430" s="521"/>
      <c r="EW430" s="521"/>
      <c r="EX430" s="521"/>
      <c r="EY430" s="518"/>
      <c r="EZ430" s="523"/>
      <c r="FA430" s="523"/>
      <c r="FB430" s="524"/>
      <c r="FC430" s="524"/>
      <c r="FD430" s="518"/>
      <c r="FE430" s="518"/>
      <c r="FF430" s="518"/>
      <c r="FG430" s="518"/>
      <c r="FH430" s="518"/>
      <c r="FI430" s="518"/>
      <c r="FJ430" s="518"/>
      <c r="FK430" s="518"/>
      <c r="FL430" s="518"/>
      <c r="FM430" s="519"/>
    </row>
    <row r="431" spans="1:169" x14ac:dyDescent="0.25">
      <c r="A431" s="284"/>
      <c r="B431" s="317"/>
      <c r="C431" s="297"/>
      <c r="D431" s="298"/>
      <c r="E431" s="299"/>
      <c r="F431" s="297"/>
      <c r="G431" s="298"/>
      <c r="H431" s="299"/>
      <c r="I431" s="300"/>
      <c r="J431" s="370"/>
      <c r="K431" s="328"/>
      <c r="L431" s="300"/>
      <c r="M431" s="328"/>
      <c r="N431" s="331"/>
      <c r="O431" s="301"/>
      <c r="P431" s="301"/>
      <c r="Q431" s="328"/>
      <c r="R431" s="620"/>
      <c r="S431" s="512"/>
      <c r="T431" s="512"/>
      <c r="U431" s="513"/>
      <c r="V431" s="514"/>
      <c r="W431" s="512"/>
      <c r="X431" s="513"/>
      <c r="Y431" s="514"/>
      <c r="Z431" s="513"/>
      <c r="AA431" s="515"/>
      <c r="AB431" s="516"/>
      <c r="AC431" s="513"/>
      <c r="AD431" s="544"/>
      <c r="AE431" s="516"/>
      <c r="AF431" s="513"/>
      <c r="AG431" s="551"/>
      <c r="AH431" s="595"/>
      <c r="AI431" s="517"/>
      <c r="AJ431" s="518"/>
      <c r="AK431" s="518"/>
      <c r="AL431" s="518"/>
      <c r="AM431" s="519"/>
      <c r="AN431" s="517"/>
      <c r="AO431" s="520"/>
      <c r="AP431" s="525"/>
      <c r="AQ431" s="531"/>
      <c r="AR431" s="593"/>
      <c r="AS431" s="518"/>
      <c r="AT431" s="518"/>
      <c r="AU431" s="518"/>
      <c r="AV431" s="519"/>
      <c r="AW431" s="560"/>
      <c r="AX431" s="522"/>
      <c r="AY431" s="522"/>
      <c r="AZ431" s="522"/>
      <c r="BA431" s="522"/>
      <c r="BB431" s="522"/>
      <c r="BC431" s="518"/>
      <c r="BD431" s="518"/>
      <c r="BE431" s="518"/>
      <c r="BF431" s="518"/>
      <c r="BG431" s="518"/>
      <c r="BH431" s="519"/>
      <c r="BI431" s="527"/>
      <c r="BJ431" s="518"/>
      <c r="BK431" s="518"/>
      <c r="BL431" s="520"/>
      <c r="BM431" s="520"/>
      <c r="BN431" s="519"/>
      <c r="BO431" s="517"/>
      <c r="BP431" s="520"/>
      <c r="BQ431" s="520"/>
      <c r="BR431" s="519"/>
      <c r="BS431" s="548"/>
      <c r="BT431" s="537"/>
      <c r="BU431" s="521"/>
      <c r="BV431" s="521"/>
      <c r="BW431" s="521"/>
      <c r="BX431" s="521"/>
      <c r="BY431" s="521"/>
      <c r="BZ431" s="521"/>
      <c r="CA431" s="521"/>
      <c r="CB431" s="521"/>
      <c r="CC431" s="521"/>
      <c r="CD431" s="521"/>
      <c r="CE431" s="521"/>
      <c r="CF431" s="521"/>
      <c r="CG431" s="521"/>
      <c r="CH431" s="521"/>
      <c r="CI431" s="521"/>
      <c r="CJ431" s="521"/>
      <c r="CK431" s="521"/>
      <c r="CL431" s="518"/>
      <c r="CM431" s="523"/>
      <c r="CN431" s="523"/>
      <c r="CO431" s="524"/>
      <c r="CP431" s="524"/>
      <c r="CQ431" s="518"/>
      <c r="CR431" s="518"/>
      <c r="CS431" s="518"/>
      <c r="CT431" s="518"/>
      <c r="CU431" s="518"/>
      <c r="CV431" s="518"/>
      <c r="CW431" s="518"/>
      <c r="CX431" s="518"/>
      <c r="CY431" s="518"/>
      <c r="CZ431" s="519"/>
      <c r="DA431" s="527"/>
      <c r="DB431" s="520"/>
      <c r="DC431" s="525"/>
      <c r="DD431" s="531"/>
      <c r="DE431" s="593"/>
      <c r="DF431" s="518"/>
      <c r="DG431" s="518"/>
      <c r="DH431" s="518"/>
      <c r="DI431" s="519"/>
      <c r="DJ431" s="560"/>
      <c r="DK431" s="522"/>
      <c r="DL431" s="522"/>
      <c r="DM431" s="522"/>
      <c r="DN431" s="522"/>
      <c r="DO431" s="522"/>
      <c r="DP431" s="518"/>
      <c r="DQ431" s="518"/>
      <c r="DR431" s="518"/>
      <c r="DS431" s="518"/>
      <c r="DT431" s="518"/>
      <c r="DU431" s="519"/>
      <c r="DV431" s="527"/>
      <c r="DW431" s="518"/>
      <c r="DX431" s="518"/>
      <c r="DY431" s="520"/>
      <c r="DZ431" s="520"/>
      <c r="EA431" s="519"/>
      <c r="EB431" s="527"/>
      <c r="EC431" s="520"/>
      <c r="ED431" s="520"/>
      <c r="EE431" s="519"/>
      <c r="EF431" s="550"/>
      <c r="EG431" s="537"/>
      <c r="EH431" s="521"/>
      <c r="EI431" s="521"/>
      <c r="EJ431" s="521"/>
      <c r="EK431" s="521"/>
      <c r="EL431" s="521"/>
      <c r="EM431" s="521"/>
      <c r="EN431" s="521"/>
      <c r="EO431" s="521"/>
      <c r="EP431" s="521"/>
      <c r="EQ431" s="521"/>
      <c r="ER431" s="521"/>
      <c r="ES431" s="521"/>
      <c r="ET431" s="521"/>
      <c r="EU431" s="521"/>
      <c r="EV431" s="521"/>
      <c r="EW431" s="521"/>
      <c r="EX431" s="521"/>
      <c r="EY431" s="518"/>
      <c r="EZ431" s="523"/>
      <c r="FA431" s="523"/>
      <c r="FB431" s="524"/>
      <c r="FC431" s="524"/>
      <c r="FD431" s="518"/>
      <c r="FE431" s="518"/>
      <c r="FF431" s="518"/>
      <c r="FG431" s="518"/>
      <c r="FH431" s="518"/>
      <c r="FI431" s="518"/>
      <c r="FJ431" s="518"/>
      <c r="FK431" s="518"/>
      <c r="FL431" s="518"/>
      <c r="FM431" s="519"/>
    </row>
    <row r="432" spans="1:169" x14ac:dyDescent="0.25">
      <c r="A432" s="284"/>
      <c r="B432" s="317"/>
      <c r="C432" s="297"/>
      <c r="D432" s="298"/>
      <c r="E432" s="299"/>
      <c r="F432" s="340"/>
      <c r="G432" s="298"/>
      <c r="H432" s="299"/>
      <c r="I432" s="300"/>
      <c r="J432" s="370"/>
      <c r="K432" s="328"/>
      <c r="L432" s="300"/>
      <c r="M432" s="328"/>
      <c r="N432" s="331"/>
      <c r="O432" s="301"/>
      <c r="P432" s="301"/>
      <c r="Q432" s="328"/>
      <c r="R432" s="620"/>
      <c r="S432" s="512"/>
      <c r="T432" s="512"/>
      <c r="U432" s="513"/>
      <c r="V432" s="514"/>
      <c r="W432" s="512"/>
      <c r="X432" s="513"/>
      <c r="Y432" s="514"/>
      <c r="Z432" s="513"/>
      <c r="AA432" s="515"/>
      <c r="AB432" s="516"/>
      <c r="AC432" s="513"/>
      <c r="AD432" s="544"/>
      <c r="AE432" s="516"/>
      <c r="AF432" s="513"/>
      <c r="AG432" s="551"/>
      <c r="AH432" s="595"/>
      <c r="AI432" s="517"/>
      <c r="AJ432" s="518"/>
      <c r="AK432" s="518"/>
      <c r="AL432" s="518"/>
      <c r="AM432" s="519"/>
      <c r="AN432" s="517"/>
      <c r="AO432" s="520"/>
      <c r="AP432" s="525"/>
      <c r="AQ432" s="531"/>
      <c r="AR432" s="593"/>
      <c r="AS432" s="518"/>
      <c r="AT432" s="518"/>
      <c r="AU432" s="518"/>
      <c r="AV432" s="519"/>
      <c r="AW432" s="560"/>
      <c r="AX432" s="522"/>
      <c r="AY432" s="522"/>
      <c r="AZ432" s="522"/>
      <c r="BA432" s="522"/>
      <c r="BB432" s="522"/>
      <c r="BC432" s="518"/>
      <c r="BD432" s="518"/>
      <c r="BE432" s="518"/>
      <c r="BF432" s="518"/>
      <c r="BG432" s="518"/>
      <c r="BH432" s="519"/>
      <c r="BI432" s="527"/>
      <c r="BJ432" s="518"/>
      <c r="BK432" s="518"/>
      <c r="BL432" s="520"/>
      <c r="BM432" s="520"/>
      <c r="BN432" s="519"/>
      <c r="BO432" s="517"/>
      <c r="BP432" s="520"/>
      <c r="BQ432" s="520"/>
      <c r="BR432" s="519"/>
      <c r="BS432" s="548"/>
      <c r="BT432" s="537"/>
      <c r="BU432" s="521"/>
      <c r="BV432" s="521"/>
      <c r="BW432" s="521"/>
      <c r="BX432" s="521"/>
      <c r="BY432" s="521"/>
      <c r="BZ432" s="521"/>
      <c r="CA432" s="521"/>
      <c r="CB432" s="521"/>
      <c r="CC432" s="521"/>
      <c r="CD432" s="521"/>
      <c r="CE432" s="521"/>
      <c r="CF432" s="521"/>
      <c r="CG432" s="521"/>
      <c r="CH432" s="521"/>
      <c r="CI432" s="521"/>
      <c r="CJ432" s="521"/>
      <c r="CK432" s="521"/>
      <c r="CL432" s="518"/>
      <c r="CM432" s="523"/>
      <c r="CN432" s="523"/>
      <c r="CO432" s="524"/>
      <c r="CP432" s="524"/>
      <c r="CQ432" s="518"/>
      <c r="CR432" s="518"/>
      <c r="CS432" s="518"/>
      <c r="CT432" s="518"/>
      <c r="CU432" s="518"/>
      <c r="CV432" s="518"/>
      <c r="CW432" s="518"/>
      <c r="CX432" s="518"/>
      <c r="CY432" s="518"/>
      <c r="CZ432" s="519"/>
      <c r="DA432" s="527"/>
      <c r="DB432" s="520"/>
      <c r="DC432" s="525"/>
      <c r="DD432" s="531"/>
      <c r="DE432" s="593"/>
      <c r="DF432" s="518"/>
      <c r="DG432" s="518"/>
      <c r="DH432" s="518"/>
      <c r="DI432" s="519"/>
      <c r="DJ432" s="560"/>
      <c r="DK432" s="522"/>
      <c r="DL432" s="522"/>
      <c r="DM432" s="522"/>
      <c r="DN432" s="522"/>
      <c r="DO432" s="522"/>
      <c r="DP432" s="518"/>
      <c r="DQ432" s="518"/>
      <c r="DR432" s="518"/>
      <c r="DS432" s="518"/>
      <c r="DT432" s="518"/>
      <c r="DU432" s="519"/>
      <c r="DV432" s="527"/>
      <c r="DW432" s="518"/>
      <c r="DX432" s="518"/>
      <c r="DY432" s="520"/>
      <c r="DZ432" s="520"/>
      <c r="EA432" s="519"/>
      <c r="EB432" s="527"/>
      <c r="EC432" s="520"/>
      <c r="ED432" s="520"/>
      <c r="EE432" s="519"/>
      <c r="EF432" s="550"/>
      <c r="EG432" s="537"/>
      <c r="EH432" s="521"/>
      <c r="EI432" s="521"/>
      <c r="EJ432" s="521"/>
      <c r="EK432" s="521"/>
      <c r="EL432" s="521"/>
      <c r="EM432" s="521"/>
      <c r="EN432" s="521"/>
      <c r="EO432" s="521"/>
      <c r="EP432" s="521"/>
      <c r="EQ432" s="521"/>
      <c r="ER432" s="521"/>
      <c r="ES432" s="521"/>
      <c r="ET432" s="521"/>
      <c r="EU432" s="521"/>
      <c r="EV432" s="521"/>
      <c r="EW432" s="521"/>
      <c r="EX432" s="521"/>
      <c r="EY432" s="518"/>
      <c r="EZ432" s="523"/>
      <c r="FA432" s="523"/>
      <c r="FB432" s="524"/>
      <c r="FC432" s="524"/>
      <c r="FD432" s="518"/>
      <c r="FE432" s="518"/>
      <c r="FF432" s="518"/>
      <c r="FG432" s="518"/>
      <c r="FH432" s="518"/>
      <c r="FI432" s="518"/>
      <c r="FJ432" s="518"/>
      <c r="FK432" s="518"/>
      <c r="FL432" s="518"/>
      <c r="FM432" s="519"/>
    </row>
    <row r="433" spans="1:169" x14ac:dyDescent="0.25">
      <c r="A433" s="284"/>
      <c r="B433" s="317"/>
      <c r="C433" s="297"/>
      <c r="D433" s="298"/>
      <c r="E433" s="299"/>
      <c r="F433" s="297"/>
      <c r="G433" s="298"/>
      <c r="H433" s="299"/>
      <c r="I433" s="300"/>
      <c r="J433" s="370"/>
      <c r="K433" s="328"/>
      <c r="L433" s="300"/>
      <c r="M433" s="328"/>
      <c r="N433" s="331"/>
      <c r="O433" s="301"/>
      <c r="P433" s="301"/>
      <c r="Q433" s="328"/>
      <c r="R433" s="620"/>
      <c r="S433" s="512"/>
      <c r="T433" s="512"/>
      <c r="U433" s="513"/>
      <c r="V433" s="514"/>
      <c r="W433" s="512"/>
      <c r="X433" s="513"/>
      <c r="Y433" s="514"/>
      <c r="Z433" s="513"/>
      <c r="AA433" s="515"/>
      <c r="AB433" s="516"/>
      <c r="AC433" s="513"/>
      <c r="AD433" s="544"/>
      <c r="AE433" s="516"/>
      <c r="AF433" s="513"/>
      <c r="AG433" s="551"/>
      <c r="AH433" s="595"/>
      <c r="AI433" s="517"/>
      <c r="AJ433" s="518"/>
      <c r="AK433" s="518"/>
      <c r="AL433" s="518"/>
      <c r="AM433" s="519"/>
      <c r="AN433" s="517"/>
      <c r="AO433" s="520"/>
      <c r="AP433" s="525"/>
      <c r="AQ433" s="531"/>
      <c r="AR433" s="593"/>
      <c r="AS433" s="518"/>
      <c r="AT433" s="518"/>
      <c r="AU433" s="518"/>
      <c r="AV433" s="519"/>
      <c r="AW433" s="560"/>
      <c r="AX433" s="522"/>
      <c r="AY433" s="522"/>
      <c r="AZ433" s="522"/>
      <c r="BA433" s="522"/>
      <c r="BB433" s="522"/>
      <c r="BC433" s="518"/>
      <c r="BD433" s="518"/>
      <c r="BE433" s="518"/>
      <c r="BF433" s="518"/>
      <c r="BG433" s="518"/>
      <c r="BH433" s="519"/>
      <c r="BI433" s="527"/>
      <c r="BJ433" s="518"/>
      <c r="BK433" s="518"/>
      <c r="BL433" s="520"/>
      <c r="BM433" s="520"/>
      <c r="BN433" s="519"/>
      <c r="BO433" s="517"/>
      <c r="BP433" s="520"/>
      <c r="BQ433" s="520"/>
      <c r="BR433" s="519"/>
      <c r="BS433" s="548"/>
      <c r="BT433" s="537"/>
      <c r="BU433" s="521"/>
      <c r="BV433" s="521"/>
      <c r="BW433" s="521"/>
      <c r="BX433" s="521"/>
      <c r="BY433" s="521"/>
      <c r="BZ433" s="521"/>
      <c r="CA433" s="521"/>
      <c r="CB433" s="521"/>
      <c r="CC433" s="521"/>
      <c r="CD433" s="521"/>
      <c r="CE433" s="521"/>
      <c r="CF433" s="521"/>
      <c r="CG433" s="521"/>
      <c r="CH433" s="521"/>
      <c r="CI433" s="521"/>
      <c r="CJ433" s="521"/>
      <c r="CK433" s="521"/>
      <c r="CL433" s="518"/>
      <c r="CM433" s="523"/>
      <c r="CN433" s="523"/>
      <c r="CO433" s="524"/>
      <c r="CP433" s="524"/>
      <c r="CQ433" s="518"/>
      <c r="CR433" s="518"/>
      <c r="CS433" s="518"/>
      <c r="CT433" s="518"/>
      <c r="CU433" s="518"/>
      <c r="CV433" s="518"/>
      <c r="CW433" s="518"/>
      <c r="CX433" s="518"/>
      <c r="CY433" s="518"/>
      <c r="CZ433" s="519"/>
      <c r="DA433" s="527"/>
      <c r="DB433" s="520"/>
      <c r="DC433" s="525"/>
      <c r="DD433" s="531"/>
      <c r="DE433" s="593"/>
      <c r="DF433" s="518"/>
      <c r="DG433" s="518"/>
      <c r="DH433" s="518"/>
      <c r="DI433" s="519"/>
      <c r="DJ433" s="560"/>
      <c r="DK433" s="522"/>
      <c r="DL433" s="522"/>
      <c r="DM433" s="522"/>
      <c r="DN433" s="522"/>
      <c r="DO433" s="522"/>
      <c r="DP433" s="518"/>
      <c r="DQ433" s="518"/>
      <c r="DR433" s="518"/>
      <c r="DS433" s="518"/>
      <c r="DT433" s="518"/>
      <c r="DU433" s="519"/>
      <c r="DV433" s="527"/>
      <c r="DW433" s="518"/>
      <c r="DX433" s="518"/>
      <c r="DY433" s="520"/>
      <c r="DZ433" s="520"/>
      <c r="EA433" s="519"/>
      <c r="EB433" s="527"/>
      <c r="EC433" s="520"/>
      <c r="ED433" s="520"/>
      <c r="EE433" s="519"/>
      <c r="EF433" s="550"/>
      <c r="EG433" s="537"/>
      <c r="EH433" s="521"/>
      <c r="EI433" s="521"/>
      <c r="EJ433" s="521"/>
      <c r="EK433" s="521"/>
      <c r="EL433" s="521"/>
      <c r="EM433" s="521"/>
      <c r="EN433" s="521"/>
      <c r="EO433" s="521"/>
      <c r="EP433" s="521"/>
      <c r="EQ433" s="521"/>
      <c r="ER433" s="521"/>
      <c r="ES433" s="521"/>
      <c r="ET433" s="521"/>
      <c r="EU433" s="521"/>
      <c r="EV433" s="521"/>
      <c r="EW433" s="521"/>
      <c r="EX433" s="521"/>
      <c r="EY433" s="518"/>
      <c r="EZ433" s="523"/>
      <c r="FA433" s="523"/>
      <c r="FB433" s="524"/>
      <c r="FC433" s="524"/>
      <c r="FD433" s="518"/>
      <c r="FE433" s="518"/>
      <c r="FF433" s="518"/>
      <c r="FG433" s="518"/>
      <c r="FH433" s="518"/>
      <c r="FI433" s="518"/>
      <c r="FJ433" s="518"/>
      <c r="FK433" s="518"/>
      <c r="FL433" s="518"/>
      <c r="FM433" s="519"/>
    </row>
    <row r="434" spans="1:169" x14ac:dyDescent="0.25">
      <c r="A434" s="284"/>
      <c r="B434" s="317"/>
      <c r="C434" s="297"/>
      <c r="D434" s="298"/>
      <c r="E434" s="299"/>
      <c r="F434" s="340"/>
      <c r="G434" s="298"/>
      <c r="H434" s="299"/>
      <c r="I434" s="300"/>
      <c r="J434" s="370"/>
      <c r="K434" s="328"/>
      <c r="L434" s="300"/>
      <c r="M434" s="328"/>
      <c r="N434" s="331"/>
      <c r="O434" s="301"/>
      <c r="P434" s="301"/>
      <c r="Q434" s="328"/>
      <c r="R434" s="620"/>
      <c r="S434" s="512"/>
      <c r="T434" s="512"/>
      <c r="U434" s="513"/>
      <c r="V434" s="514"/>
      <c r="W434" s="512"/>
      <c r="X434" s="513"/>
      <c r="Y434" s="514"/>
      <c r="Z434" s="513"/>
      <c r="AA434" s="515"/>
      <c r="AB434" s="516"/>
      <c r="AC434" s="513"/>
      <c r="AD434" s="544"/>
      <c r="AE434" s="516"/>
      <c r="AF434" s="513"/>
      <c r="AG434" s="551"/>
      <c r="AH434" s="595"/>
      <c r="AI434" s="517"/>
      <c r="AJ434" s="518"/>
      <c r="AK434" s="518"/>
      <c r="AL434" s="518"/>
      <c r="AM434" s="519"/>
      <c r="AN434" s="517"/>
      <c r="AO434" s="520"/>
      <c r="AP434" s="525"/>
      <c r="AQ434" s="531"/>
      <c r="AR434" s="593"/>
      <c r="AS434" s="518"/>
      <c r="AT434" s="518"/>
      <c r="AU434" s="518"/>
      <c r="AV434" s="519"/>
      <c r="AW434" s="560"/>
      <c r="AX434" s="522"/>
      <c r="AY434" s="522"/>
      <c r="AZ434" s="522"/>
      <c r="BA434" s="522"/>
      <c r="BB434" s="522"/>
      <c r="BC434" s="518"/>
      <c r="BD434" s="518"/>
      <c r="BE434" s="518"/>
      <c r="BF434" s="518"/>
      <c r="BG434" s="518"/>
      <c r="BH434" s="519"/>
      <c r="BI434" s="527"/>
      <c r="BJ434" s="518"/>
      <c r="BK434" s="518"/>
      <c r="BL434" s="520"/>
      <c r="BM434" s="520"/>
      <c r="BN434" s="519"/>
      <c r="BO434" s="517"/>
      <c r="BP434" s="520"/>
      <c r="BQ434" s="520"/>
      <c r="BR434" s="519"/>
      <c r="BS434" s="548"/>
      <c r="BT434" s="537"/>
      <c r="BU434" s="521"/>
      <c r="BV434" s="521"/>
      <c r="BW434" s="521"/>
      <c r="BX434" s="521"/>
      <c r="BY434" s="521"/>
      <c r="BZ434" s="521"/>
      <c r="CA434" s="521"/>
      <c r="CB434" s="521"/>
      <c r="CC434" s="521"/>
      <c r="CD434" s="521"/>
      <c r="CE434" s="521"/>
      <c r="CF434" s="521"/>
      <c r="CG434" s="521"/>
      <c r="CH434" s="521"/>
      <c r="CI434" s="521"/>
      <c r="CJ434" s="521"/>
      <c r="CK434" s="521"/>
      <c r="CL434" s="518"/>
      <c r="CM434" s="523"/>
      <c r="CN434" s="523"/>
      <c r="CO434" s="524"/>
      <c r="CP434" s="524"/>
      <c r="CQ434" s="518"/>
      <c r="CR434" s="518"/>
      <c r="CS434" s="518"/>
      <c r="CT434" s="518"/>
      <c r="CU434" s="518"/>
      <c r="CV434" s="518"/>
      <c r="CW434" s="518"/>
      <c r="CX434" s="518"/>
      <c r="CY434" s="518"/>
      <c r="CZ434" s="519"/>
      <c r="DA434" s="527"/>
      <c r="DB434" s="520"/>
      <c r="DC434" s="525"/>
      <c r="DD434" s="531"/>
      <c r="DE434" s="593"/>
      <c r="DF434" s="518"/>
      <c r="DG434" s="518"/>
      <c r="DH434" s="518"/>
      <c r="DI434" s="519"/>
      <c r="DJ434" s="560"/>
      <c r="DK434" s="522"/>
      <c r="DL434" s="522"/>
      <c r="DM434" s="522"/>
      <c r="DN434" s="522"/>
      <c r="DO434" s="522"/>
      <c r="DP434" s="518"/>
      <c r="DQ434" s="518"/>
      <c r="DR434" s="518"/>
      <c r="DS434" s="518"/>
      <c r="DT434" s="518"/>
      <c r="DU434" s="519"/>
      <c r="DV434" s="527"/>
      <c r="DW434" s="518"/>
      <c r="DX434" s="518"/>
      <c r="DY434" s="520"/>
      <c r="DZ434" s="520"/>
      <c r="EA434" s="519"/>
      <c r="EB434" s="527"/>
      <c r="EC434" s="520"/>
      <c r="ED434" s="520"/>
      <c r="EE434" s="519"/>
      <c r="EF434" s="550"/>
      <c r="EG434" s="537"/>
      <c r="EH434" s="521"/>
      <c r="EI434" s="521"/>
      <c r="EJ434" s="521"/>
      <c r="EK434" s="521"/>
      <c r="EL434" s="521"/>
      <c r="EM434" s="521"/>
      <c r="EN434" s="521"/>
      <c r="EO434" s="521"/>
      <c r="EP434" s="521"/>
      <c r="EQ434" s="521"/>
      <c r="ER434" s="521"/>
      <c r="ES434" s="521"/>
      <c r="ET434" s="521"/>
      <c r="EU434" s="521"/>
      <c r="EV434" s="521"/>
      <c r="EW434" s="521"/>
      <c r="EX434" s="521"/>
      <c r="EY434" s="518"/>
      <c r="EZ434" s="523"/>
      <c r="FA434" s="523"/>
      <c r="FB434" s="524"/>
      <c r="FC434" s="524"/>
      <c r="FD434" s="518"/>
      <c r="FE434" s="518"/>
      <c r="FF434" s="518"/>
      <c r="FG434" s="518"/>
      <c r="FH434" s="518"/>
      <c r="FI434" s="518"/>
      <c r="FJ434" s="518"/>
      <c r="FK434" s="518"/>
      <c r="FL434" s="518"/>
      <c r="FM434" s="519"/>
    </row>
    <row r="435" spans="1:169" x14ac:dyDescent="0.25">
      <c r="A435" s="284"/>
      <c r="B435" s="317"/>
      <c r="C435" s="297"/>
      <c r="D435" s="298"/>
      <c r="E435" s="299"/>
      <c r="F435" s="340"/>
      <c r="G435" s="298"/>
      <c r="H435" s="299"/>
      <c r="I435" s="300"/>
      <c r="J435" s="370"/>
      <c r="K435" s="328"/>
      <c r="L435" s="300"/>
      <c r="M435" s="328"/>
      <c r="N435" s="331"/>
      <c r="O435" s="301"/>
      <c r="P435" s="301"/>
      <c r="Q435" s="328"/>
      <c r="R435" s="620"/>
      <c r="S435" s="512"/>
      <c r="T435" s="512"/>
      <c r="U435" s="513"/>
      <c r="V435" s="514"/>
      <c r="W435" s="512"/>
      <c r="X435" s="513"/>
      <c r="Y435" s="514"/>
      <c r="Z435" s="513"/>
      <c r="AA435" s="515"/>
      <c r="AB435" s="516"/>
      <c r="AC435" s="513"/>
      <c r="AD435" s="544"/>
      <c r="AE435" s="516"/>
      <c r="AF435" s="513"/>
      <c r="AG435" s="551"/>
      <c r="AH435" s="595"/>
      <c r="AI435" s="517"/>
      <c r="AJ435" s="518"/>
      <c r="AK435" s="518"/>
      <c r="AL435" s="518"/>
      <c r="AM435" s="519"/>
      <c r="AN435" s="517"/>
      <c r="AO435" s="520"/>
      <c r="AP435" s="525"/>
      <c r="AQ435" s="531"/>
      <c r="AR435" s="593"/>
      <c r="AS435" s="518"/>
      <c r="AT435" s="518"/>
      <c r="AU435" s="518"/>
      <c r="AV435" s="519"/>
      <c r="AW435" s="560"/>
      <c r="AX435" s="522"/>
      <c r="AY435" s="522"/>
      <c r="AZ435" s="522"/>
      <c r="BA435" s="522"/>
      <c r="BB435" s="522"/>
      <c r="BC435" s="518"/>
      <c r="BD435" s="518"/>
      <c r="BE435" s="518"/>
      <c r="BF435" s="518"/>
      <c r="BG435" s="518"/>
      <c r="BH435" s="519"/>
      <c r="BI435" s="527"/>
      <c r="BJ435" s="518"/>
      <c r="BK435" s="518"/>
      <c r="BL435" s="520"/>
      <c r="BM435" s="520"/>
      <c r="BN435" s="519"/>
      <c r="BO435" s="517"/>
      <c r="BP435" s="520"/>
      <c r="BQ435" s="520"/>
      <c r="BR435" s="519"/>
      <c r="BS435" s="548"/>
      <c r="BT435" s="537"/>
      <c r="BU435" s="521"/>
      <c r="BV435" s="521"/>
      <c r="BW435" s="521"/>
      <c r="BX435" s="521"/>
      <c r="BY435" s="521"/>
      <c r="BZ435" s="521"/>
      <c r="CA435" s="521"/>
      <c r="CB435" s="521"/>
      <c r="CC435" s="521"/>
      <c r="CD435" s="521"/>
      <c r="CE435" s="521"/>
      <c r="CF435" s="521"/>
      <c r="CG435" s="521"/>
      <c r="CH435" s="521"/>
      <c r="CI435" s="521"/>
      <c r="CJ435" s="521"/>
      <c r="CK435" s="521"/>
      <c r="CL435" s="518"/>
      <c r="CM435" s="523"/>
      <c r="CN435" s="523"/>
      <c r="CO435" s="524"/>
      <c r="CP435" s="524"/>
      <c r="CQ435" s="518"/>
      <c r="CR435" s="518"/>
      <c r="CS435" s="518"/>
      <c r="CT435" s="518"/>
      <c r="CU435" s="518"/>
      <c r="CV435" s="518"/>
      <c r="CW435" s="518"/>
      <c r="CX435" s="518"/>
      <c r="CY435" s="518"/>
      <c r="CZ435" s="519"/>
      <c r="DA435" s="527"/>
      <c r="DB435" s="520"/>
      <c r="DC435" s="525"/>
      <c r="DD435" s="531"/>
      <c r="DE435" s="593"/>
      <c r="DF435" s="518"/>
      <c r="DG435" s="518"/>
      <c r="DH435" s="518"/>
      <c r="DI435" s="519"/>
      <c r="DJ435" s="560"/>
      <c r="DK435" s="522"/>
      <c r="DL435" s="522"/>
      <c r="DM435" s="522"/>
      <c r="DN435" s="522"/>
      <c r="DO435" s="522"/>
      <c r="DP435" s="518"/>
      <c r="DQ435" s="518"/>
      <c r="DR435" s="518"/>
      <c r="DS435" s="518"/>
      <c r="DT435" s="518"/>
      <c r="DU435" s="519"/>
      <c r="DV435" s="527"/>
      <c r="DW435" s="518"/>
      <c r="DX435" s="518"/>
      <c r="DY435" s="520"/>
      <c r="DZ435" s="520"/>
      <c r="EA435" s="519"/>
      <c r="EB435" s="527"/>
      <c r="EC435" s="520"/>
      <c r="ED435" s="520"/>
      <c r="EE435" s="519"/>
      <c r="EF435" s="550"/>
      <c r="EG435" s="537"/>
      <c r="EH435" s="521"/>
      <c r="EI435" s="521"/>
      <c r="EJ435" s="521"/>
      <c r="EK435" s="521"/>
      <c r="EL435" s="521"/>
      <c r="EM435" s="521"/>
      <c r="EN435" s="521"/>
      <c r="EO435" s="521"/>
      <c r="EP435" s="521"/>
      <c r="EQ435" s="521"/>
      <c r="ER435" s="521"/>
      <c r="ES435" s="521"/>
      <c r="ET435" s="521"/>
      <c r="EU435" s="521"/>
      <c r="EV435" s="521"/>
      <c r="EW435" s="521"/>
      <c r="EX435" s="521"/>
      <c r="EY435" s="518"/>
      <c r="EZ435" s="523"/>
      <c r="FA435" s="523"/>
      <c r="FB435" s="524"/>
      <c r="FC435" s="524"/>
      <c r="FD435" s="518"/>
      <c r="FE435" s="518"/>
      <c r="FF435" s="518"/>
      <c r="FG435" s="518"/>
      <c r="FH435" s="518"/>
      <c r="FI435" s="518"/>
      <c r="FJ435" s="518"/>
      <c r="FK435" s="518"/>
      <c r="FL435" s="518"/>
      <c r="FM435" s="519"/>
    </row>
    <row r="436" spans="1:169" x14ac:dyDescent="0.25">
      <c r="A436" s="284"/>
      <c r="B436" s="317"/>
      <c r="C436" s="297"/>
      <c r="D436" s="298"/>
      <c r="E436" s="299"/>
      <c r="F436" s="340"/>
      <c r="G436" s="298"/>
      <c r="H436" s="299"/>
      <c r="I436" s="300"/>
      <c r="J436" s="370"/>
      <c r="K436" s="328"/>
      <c r="L436" s="300"/>
      <c r="M436" s="328"/>
      <c r="N436" s="331"/>
      <c r="O436" s="301"/>
      <c r="P436" s="301"/>
      <c r="Q436" s="328"/>
      <c r="R436" s="620"/>
      <c r="S436" s="512"/>
      <c r="T436" s="512"/>
      <c r="U436" s="513"/>
      <c r="V436" s="514"/>
      <c r="W436" s="512"/>
      <c r="X436" s="513"/>
      <c r="Y436" s="514"/>
      <c r="Z436" s="513"/>
      <c r="AA436" s="515"/>
      <c r="AB436" s="516"/>
      <c r="AC436" s="513"/>
      <c r="AD436" s="544"/>
      <c r="AE436" s="516"/>
      <c r="AF436" s="513"/>
      <c r="AG436" s="551"/>
      <c r="AH436" s="595"/>
      <c r="AI436" s="517"/>
      <c r="AJ436" s="518"/>
      <c r="AK436" s="518"/>
      <c r="AL436" s="518"/>
      <c r="AM436" s="519"/>
      <c r="AN436" s="517"/>
      <c r="AO436" s="520"/>
      <c r="AP436" s="525"/>
      <c r="AQ436" s="531"/>
      <c r="AR436" s="593"/>
      <c r="AS436" s="518"/>
      <c r="AT436" s="518"/>
      <c r="AU436" s="518"/>
      <c r="AV436" s="519"/>
      <c r="AW436" s="560"/>
      <c r="AX436" s="522"/>
      <c r="AY436" s="522"/>
      <c r="AZ436" s="522"/>
      <c r="BA436" s="522"/>
      <c r="BB436" s="522"/>
      <c r="BC436" s="518"/>
      <c r="BD436" s="518"/>
      <c r="BE436" s="518"/>
      <c r="BF436" s="518"/>
      <c r="BG436" s="518"/>
      <c r="BH436" s="519"/>
      <c r="BI436" s="527"/>
      <c r="BJ436" s="518"/>
      <c r="BK436" s="518"/>
      <c r="BL436" s="520"/>
      <c r="BM436" s="520"/>
      <c r="BN436" s="519"/>
      <c r="BO436" s="517"/>
      <c r="BP436" s="520"/>
      <c r="BQ436" s="520"/>
      <c r="BR436" s="519"/>
      <c r="BS436" s="548"/>
      <c r="BT436" s="537"/>
      <c r="BU436" s="521"/>
      <c r="BV436" s="521"/>
      <c r="BW436" s="521"/>
      <c r="BX436" s="521"/>
      <c r="BY436" s="521"/>
      <c r="BZ436" s="521"/>
      <c r="CA436" s="521"/>
      <c r="CB436" s="521"/>
      <c r="CC436" s="521"/>
      <c r="CD436" s="521"/>
      <c r="CE436" s="521"/>
      <c r="CF436" s="521"/>
      <c r="CG436" s="521"/>
      <c r="CH436" s="521"/>
      <c r="CI436" s="521"/>
      <c r="CJ436" s="521"/>
      <c r="CK436" s="521"/>
      <c r="CL436" s="518"/>
      <c r="CM436" s="523"/>
      <c r="CN436" s="523"/>
      <c r="CO436" s="524"/>
      <c r="CP436" s="524"/>
      <c r="CQ436" s="518"/>
      <c r="CR436" s="518"/>
      <c r="CS436" s="518"/>
      <c r="CT436" s="518"/>
      <c r="CU436" s="518"/>
      <c r="CV436" s="518"/>
      <c r="CW436" s="518"/>
      <c r="CX436" s="518"/>
      <c r="CY436" s="518"/>
      <c r="CZ436" s="519"/>
      <c r="DA436" s="527"/>
      <c r="DB436" s="520"/>
      <c r="DC436" s="525"/>
      <c r="DD436" s="531"/>
      <c r="DE436" s="593"/>
      <c r="DF436" s="518"/>
      <c r="DG436" s="518"/>
      <c r="DH436" s="518"/>
      <c r="DI436" s="519"/>
      <c r="DJ436" s="560"/>
      <c r="DK436" s="522"/>
      <c r="DL436" s="522"/>
      <c r="DM436" s="522"/>
      <c r="DN436" s="522"/>
      <c r="DO436" s="522"/>
      <c r="DP436" s="518"/>
      <c r="DQ436" s="518"/>
      <c r="DR436" s="518"/>
      <c r="DS436" s="518"/>
      <c r="DT436" s="518"/>
      <c r="DU436" s="519"/>
      <c r="DV436" s="527"/>
      <c r="DW436" s="518"/>
      <c r="DX436" s="518"/>
      <c r="DY436" s="520"/>
      <c r="DZ436" s="520"/>
      <c r="EA436" s="519"/>
      <c r="EB436" s="527"/>
      <c r="EC436" s="520"/>
      <c r="ED436" s="520"/>
      <c r="EE436" s="519"/>
      <c r="EF436" s="550"/>
      <c r="EG436" s="537"/>
      <c r="EH436" s="521"/>
      <c r="EI436" s="521"/>
      <c r="EJ436" s="521"/>
      <c r="EK436" s="521"/>
      <c r="EL436" s="521"/>
      <c r="EM436" s="521"/>
      <c r="EN436" s="521"/>
      <c r="EO436" s="521"/>
      <c r="EP436" s="521"/>
      <c r="EQ436" s="521"/>
      <c r="ER436" s="521"/>
      <c r="ES436" s="521"/>
      <c r="ET436" s="521"/>
      <c r="EU436" s="521"/>
      <c r="EV436" s="521"/>
      <c r="EW436" s="521"/>
      <c r="EX436" s="521"/>
      <c r="EY436" s="518"/>
      <c r="EZ436" s="523"/>
      <c r="FA436" s="523"/>
      <c r="FB436" s="524"/>
      <c r="FC436" s="524"/>
      <c r="FD436" s="518"/>
      <c r="FE436" s="518"/>
      <c r="FF436" s="518"/>
      <c r="FG436" s="518"/>
      <c r="FH436" s="518"/>
      <c r="FI436" s="518"/>
      <c r="FJ436" s="518"/>
      <c r="FK436" s="518"/>
      <c r="FL436" s="518"/>
      <c r="FM436" s="519"/>
    </row>
    <row r="437" spans="1:169" x14ac:dyDescent="0.25">
      <c r="A437" s="284"/>
      <c r="B437" s="317"/>
      <c r="C437" s="297"/>
      <c r="D437" s="298"/>
      <c r="E437" s="299"/>
      <c r="F437" s="340"/>
      <c r="G437" s="298"/>
      <c r="H437" s="299"/>
      <c r="I437" s="300"/>
      <c r="J437" s="370"/>
      <c r="K437" s="328"/>
      <c r="L437" s="300"/>
      <c r="M437" s="328"/>
      <c r="N437" s="331"/>
      <c r="O437" s="301"/>
      <c r="P437" s="301"/>
      <c r="Q437" s="328"/>
      <c r="R437" s="620"/>
      <c r="S437" s="512"/>
      <c r="T437" s="512"/>
      <c r="U437" s="513"/>
      <c r="V437" s="514"/>
      <c r="W437" s="512"/>
      <c r="X437" s="513"/>
      <c r="Y437" s="514"/>
      <c r="Z437" s="513"/>
      <c r="AA437" s="515"/>
      <c r="AB437" s="516"/>
      <c r="AC437" s="513"/>
      <c r="AD437" s="544"/>
      <c r="AE437" s="516"/>
      <c r="AF437" s="513"/>
      <c r="AG437" s="551"/>
      <c r="AH437" s="595"/>
      <c r="AI437" s="517"/>
      <c r="AJ437" s="518"/>
      <c r="AK437" s="518"/>
      <c r="AL437" s="518"/>
      <c r="AM437" s="519"/>
      <c r="AN437" s="517"/>
      <c r="AO437" s="520"/>
      <c r="AP437" s="525"/>
      <c r="AQ437" s="531"/>
      <c r="AR437" s="593"/>
      <c r="AS437" s="518"/>
      <c r="AT437" s="518"/>
      <c r="AU437" s="518"/>
      <c r="AV437" s="519"/>
      <c r="AW437" s="560"/>
      <c r="AX437" s="522"/>
      <c r="AY437" s="522"/>
      <c r="AZ437" s="522"/>
      <c r="BA437" s="522"/>
      <c r="BB437" s="522"/>
      <c r="BC437" s="518"/>
      <c r="BD437" s="518"/>
      <c r="BE437" s="518"/>
      <c r="BF437" s="518"/>
      <c r="BG437" s="518"/>
      <c r="BH437" s="519"/>
      <c r="BI437" s="527"/>
      <c r="BJ437" s="518"/>
      <c r="BK437" s="518"/>
      <c r="BL437" s="520"/>
      <c r="BM437" s="520"/>
      <c r="BN437" s="519"/>
      <c r="BO437" s="517"/>
      <c r="BP437" s="520"/>
      <c r="BQ437" s="520"/>
      <c r="BR437" s="519"/>
      <c r="BS437" s="548"/>
      <c r="BT437" s="537"/>
      <c r="BU437" s="521"/>
      <c r="BV437" s="521"/>
      <c r="BW437" s="521"/>
      <c r="BX437" s="521"/>
      <c r="BY437" s="521"/>
      <c r="BZ437" s="521"/>
      <c r="CA437" s="521"/>
      <c r="CB437" s="521"/>
      <c r="CC437" s="521"/>
      <c r="CD437" s="521"/>
      <c r="CE437" s="521"/>
      <c r="CF437" s="521"/>
      <c r="CG437" s="521"/>
      <c r="CH437" s="521"/>
      <c r="CI437" s="521"/>
      <c r="CJ437" s="521"/>
      <c r="CK437" s="521"/>
      <c r="CL437" s="518"/>
      <c r="CM437" s="523"/>
      <c r="CN437" s="523"/>
      <c r="CO437" s="524"/>
      <c r="CP437" s="524"/>
      <c r="CQ437" s="518"/>
      <c r="CR437" s="518"/>
      <c r="CS437" s="518"/>
      <c r="CT437" s="518"/>
      <c r="CU437" s="518"/>
      <c r="CV437" s="518"/>
      <c r="CW437" s="518"/>
      <c r="CX437" s="518"/>
      <c r="CY437" s="518"/>
      <c r="CZ437" s="519"/>
      <c r="DA437" s="527"/>
      <c r="DB437" s="520"/>
      <c r="DC437" s="525"/>
      <c r="DD437" s="531"/>
      <c r="DE437" s="593"/>
      <c r="DF437" s="518"/>
      <c r="DG437" s="518"/>
      <c r="DH437" s="518"/>
      <c r="DI437" s="519"/>
      <c r="DJ437" s="560"/>
      <c r="DK437" s="522"/>
      <c r="DL437" s="522"/>
      <c r="DM437" s="522"/>
      <c r="DN437" s="522"/>
      <c r="DO437" s="522"/>
      <c r="DP437" s="518"/>
      <c r="DQ437" s="518"/>
      <c r="DR437" s="518"/>
      <c r="DS437" s="518"/>
      <c r="DT437" s="518"/>
      <c r="DU437" s="519"/>
      <c r="DV437" s="527"/>
      <c r="DW437" s="518"/>
      <c r="DX437" s="518"/>
      <c r="DY437" s="520"/>
      <c r="DZ437" s="520"/>
      <c r="EA437" s="519"/>
      <c r="EB437" s="527"/>
      <c r="EC437" s="520"/>
      <c r="ED437" s="520"/>
      <c r="EE437" s="519"/>
      <c r="EF437" s="550"/>
      <c r="EG437" s="537"/>
      <c r="EH437" s="521"/>
      <c r="EI437" s="521"/>
      <c r="EJ437" s="521"/>
      <c r="EK437" s="521"/>
      <c r="EL437" s="521"/>
      <c r="EM437" s="521"/>
      <c r="EN437" s="521"/>
      <c r="EO437" s="521"/>
      <c r="EP437" s="521"/>
      <c r="EQ437" s="521"/>
      <c r="ER437" s="521"/>
      <c r="ES437" s="521"/>
      <c r="ET437" s="521"/>
      <c r="EU437" s="521"/>
      <c r="EV437" s="521"/>
      <c r="EW437" s="521"/>
      <c r="EX437" s="521"/>
      <c r="EY437" s="518"/>
      <c r="EZ437" s="523"/>
      <c r="FA437" s="523"/>
      <c r="FB437" s="524"/>
      <c r="FC437" s="524"/>
      <c r="FD437" s="518"/>
      <c r="FE437" s="518"/>
      <c r="FF437" s="518"/>
      <c r="FG437" s="518"/>
      <c r="FH437" s="518"/>
      <c r="FI437" s="518"/>
      <c r="FJ437" s="518"/>
      <c r="FK437" s="518"/>
      <c r="FL437" s="518"/>
      <c r="FM437" s="519"/>
    </row>
    <row r="438" spans="1:169" x14ac:dyDescent="0.25">
      <c r="A438" s="284"/>
      <c r="B438" s="317"/>
      <c r="C438" s="297"/>
      <c r="D438" s="298"/>
      <c r="E438" s="299"/>
      <c r="F438" s="340"/>
      <c r="G438" s="298"/>
      <c r="H438" s="299"/>
      <c r="I438" s="300"/>
      <c r="J438" s="370"/>
      <c r="K438" s="328"/>
      <c r="L438" s="300"/>
      <c r="M438" s="328"/>
      <c r="N438" s="331"/>
      <c r="O438" s="301"/>
      <c r="P438" s="301"/>
      <c r="Q438" s="328"/>
      <c r="R438" s="620"/>
      <c r="S438" s="512"/>
      <c r="T438" s="512"/>
      <c r="U438" s="513"/>
      <c r="V438" s="514"/>
      <c r="W438" s="512"/>
      <c r="X438" s="513"/>
      <c r="Y438" s="514"/>
      <c r="Z438" s="513"/>
      <c r="AA438" s="515"/>
      <c r="AB438" s="516"/>
      <c r="AC438" s="513"/>
      <c r="AD438" s="544"/>
      <c r="AE438" s="516"/>
      <c r="AF438" s="513"/>
      <c r="AG438" s="551"/>
      <c r="AH438" s="595"/>
      <c r="AI438" s="517"/>
      <c r="AJ438" s="518"/>
      <c r="AK438" s="518"/>
      <c r="AL438" s="518"/>
      <c r="AM438" s="519"/>
      <c r="AN438" s="517"/>
      <c r="AO438" s="520"/>
      <c r="AP438" s="525"/>
      <c r="AQ438" s="531"/>
      <c r="AR438" s="593"/>
      <c r="AS438" s="518"/>
      <c r="AT438" s="518"/>
      <c r="AU438" s="518"/>
      <c r="AV438" s="519"/>
      <c r="AW438" s="560"/>
      <c r="AX438" s="522"/>
      <c r="AY438" s="522"/>
      <c r="AZ438" s="522"/>
      <c r="BA438" s="522"/>
      <c r="BB438" s="522"/>
      <c r="BC438" s="518"/>
      <c r="BD438" s="518"/>
      <c r="BE438" s="518"/>
      <c r="BF438" s="518"/>
      <c r="BG438" s="518"/>
      <c r="BH438" s="519"/>
      <c r="BI438" s="527"/>
      <c r="BJ438" s="518"/>
      <c r="BK438" s="518"/>
      <c r="BL438" s="520"/>
      <c r="BM438" s="520"/>
      <c r="BN438" s="519"/>
      <c r="BO438" s="517"/>
      <c r="BP438" s="520"/>
      <c r="BQ438" s="520"/>
      <c r="BR438" s="519"/>
      <c r="BS438" s="548"/>
      <c r="BT438" s="537"/>
      <c r="BU438" s="521"/>
      <c r="BV438" s="521"/>
      <c r="BW438" s="521"/>
      <c r="BX438" s="521"/>
      <c r="BY438" s="521"/>
      <c r="BZ438" s="521"/>
      <c r="CA438" s="521"/>
      <c r="CB438" s="521"/>
      <c r="CC438" s="521"/>
      <c r="CD438" s="521"/>
      <c r="CE438" s="521"/>
      <c r="CF438" s="521"/>
      <c r="CG438" s="521"/>
      <c r="CH438" s="521"/>
      <c r="CI438" s="521"/>
      <c r="CJ438" s="521"/>
      <c r="CK438" s="521"/>
      <c r="CL438" s="518"/>
      <c r="CM438" s="523"/>
      <c r="CN438" s="523"/>
      <c r="CO438" s="524"/>
      <c r="CP438" s="524"/>
      <c r="CQ438" s="518"/>
      <c r="CR438" s="518"/>
      <c r="CS438" s="518"/>
      <c r="CT438" s="518"/>
      <c r="CU438" s="518"/>
      <c r="CV438" s="518"/>
      <c r="CW438" s="518"/>
      <c r="CX438" s="518"/>
      <c r="CY438" s="518"/>
      <c r="CZ438" s="519"/>
      <c r="DA438" s="527"/>
      <c r="DB438" s="520"/>
      <c r="DC438" s="525"/>
      <c r="DD438" s="531"/>
      <c r="DE438" s="593"/>
      <c r="DF438" s="518"/>
      <c r="DG438" s="518"/>
      <c r="DH438" s="518"/>
      <c r="DI438" s="519"/>
      <c r="DJ438" s="560"/>
      <c r="DK438" s="522"/>
      <c r="DL438" s="522"/>
      <c r="DM438" s="522"/>
      <c r="DN438" s="522"/>
      <c r="DO438" s="522"/>
      <c r="DP438" s="518"/>
      <c r="DQ438" s="518"/>
      <c r="DR438" s="518"/>
      <c r="DS438" s="518"/>
      <c r="DT438" s="518"/>
      <c r="DU438" s="519"/>
      <c r="DV438" s="527"/>
      <c r="DW438" s="518"/>
      <c r="DX438" s="518"/>
      <c r="DY438" s="520"/>
      <c r="DZ438" s="520"/>
      <c r="EA438" s="519"/>
      <c r="EB438" s="527"/>
      <c r="EC438" s="520"/>
      <c r="ED438" s="520"/>
      <c r="EE438" s="519"/>
      <c r="EF438" s="550"/>
      <c r="EG438" s="537"/>
      <c r="EH438" s="521"/>
      <c r="EI438" s="521"/>
      <c r="EJ438" s="521"/>
      <c r="EK438" s="521"/>
      <c r="EL438" s="521"/>
      <c r="EM438" s="521"/>
      <c r="EN438" s="521"/>
      <c r="EO438" s="521"/>
      <c r="EP438" s="521"/>
      <c r="EQ438" s="521"/>
      <c r="ER438" s="521"/>
      <c r="ES438" s="521"/>
      <c r="ET438" s="521"/>
      <c r="EU438" s="521"/>
      <c r="EV438" s="521"/>
      <c r="EW438" s="521"/>
      <c r="EX438" s="521"/>
      <c r="EY438" s="518"/>
      <c r="EZ438" s="523"/>
      <c r="FA438" s="523"/>
      <c r="FB438" s="524"/>
      <c r="FC438" s="524"/>
      <c r="FD438" s="518"/>
      <c r="FE438" s="518"/>
      <c r="FF438" s="518"/>
      <c r="FG438" s="518"/>
      <c r="FH438" s="518"/>
      <c r="FI438" s="518"/>
      <c r="FJ438" s="518"/>
      <c r="FK438" s="518"/>
      <c r="FL438" s="518"/>
      <c r="FM438" s="519"/>
    </row>
    <row r="439" spans="1:169" x14ac:dyDescent="0.25">
      <c r="A439" s="284"/>
      <c r="B439" s="317"/>
      <c r="C439" s="297"/>
      <c r="D439" s="298"/>
      <c r="E439" s="299"/>
      <c r="F439" s="340"/>
      <c r="G439" s="298"/>
      <c r="H439" s="299"/>
      <c r="I439" s="300"/>
      <c r="J439" s="370"/>
      <c r="K439" s="328"/>
      <c r="L439" s="300"/>
      <c r="M439" s="328"/>
      <c r="N439" s="331"/>
      <c r="O439" s="301"/>
      <c r="P439" s="301"/>
      <c r="Q439" s="328"/>
      <c r="R439" s="620"/>
      <c r="S439" s="512"/>
      <c r="T439" s="512"/>
      <c r="U439" s="513"/>
      <c r="V439" s="514"/>
      <c r="W439" s="512"/>
      <c r="X439" s="513"/>
      <c r="Y439" s="514"/>
      <c r="Z439" s="513"/>
      <c r="AA439" s="515"/>
      <c r="AB439" s="516"/>
      <c r="AC439" s="513"/>
      <c r="AD439" s="544"/>
      <c r="AE439" s="516"/>
      <c r="AF439" s="513"/>
      <c r="AG439" s="551"/>
      <c r="AH439" s="595"/>
      <c r="AI439" s="517"/>
      <c r="AJ439" s="518"/>
      <c r="AK439" s="518"/>
      <c r="AL439" s="518"/>
      <c r="AM439" s="519"/>
      <c r="AN439" s="517"/>
      <c r="AO439" s="520"/>
      <c r="AP439" s="525"/>
      <c r="AQ439" s="531"/>
      <c r="AR439" s="593"/>
      <c r="AS439" s="518"/>
      <c r="AT439" s="518"/>
      <c r="AU439" s="518"/>
      <c r="AV439" s="519"/>
      <c r="AW439" s="560"/>
      <c r="AX439" s="522"/>
      <c r="AY439" s="522"/>
      <c r="AZ439" s="522"/>
      <c r="BA439" s="522"/>
      <c r="BB439" s="522"/>
      <c r="BC439" s="518"/>
      <c r="BD439" s="518"/>
      <c r="BE439" s="518"/>
      <c r="BF439" s="518"/>
      <c r="BG439" s="518"/>
      <c r="BH439" s="519"/>
      <c r="BI439" s="527"/>
      <c r="BJ439" s="518"/>
      <c r="BK439" s="518"/>
      <c r="BL439" s="520"/>
      <c r="BM439" s="520"/>
      <c r="BN439" s="519"/>
      <c r="BO439" s="517"/>
      <c r="BP439" s="520"/>
      <c r="BQ439" s="520"/>
      <c r="BR439" s="519"/>
      <c r="BS439" s="548"/>
      <c r="BT439" s="537"/>
      <c r="BU439" s="521"/>
      <c r="BV439" s="521"/>
      <c r="BW439" s="521"/>
      <c r="BX439" s="521"/>
      <c r="BY439" s="521"/>
      <c r="BZ439" s="521"/>
      <c r="CA439" s="521"/>
      <c r="CB439" s="521"/>
      <c r="CC439" s="521"/>
      <c r="CD439" s="521"/>
      <c r="CE439" s="521"/>
      <c r="CF439" s="521"/>
      <c r="CG439" s="521"/>
      <c r="CH439" s="521"/>
      <c r="CI439" s="521"/>
      <c r="CJ439" s="521"/>
      <c r="CK439" s="521"/>
      <c r="CL439" s="518"/>
      <c r="CM439" s="523"/>
      <c r="CN439" s="523"/>
      <c r="CO439" s="524"/>
      <c r="CP439" s="524"/>
      <c r="CQ439" s="518"/>
      <c r="CR439" s="518"/>
      <c r="CS439" s="518"/>
      <c r="CT439" s="518"/>
      <c r="CU439" s="518"/>
      <c r="CV439" s="518"/>
      <c r="CW439" s="518"/>
      <c r="CX439" s="518"/>
      <c r="CY439" s="518"/>
      <c r="CZ439" s="519"/>
      <c r="DA439" s="527"/>
      <c r="DB439" s="520"/>
      <c r="DC439" s="525"/>
      <c r="DD439" s="531"/>
      <c r="DE439" s="593"/>
      <c r="DF439" s="518"/>
      <c r="DG439" s="518"/>
      <c r="DH439" s="518"/>
      <c r="DI439" s="519"/>
      <c r="DJ439" s="560"/>
      <c r="DK439" s="522"/>
      <c r="DL439" s="522"/>
      <c r="DM439" s="522"/>
      <c r="DN439" s="522"/>
      <c r="DO439" s="522"/>
      <c r="DP439" s="518"/>
      <c r="DQ439" s="518"/>
      <c r="DR439" s="518"/>
      <c r="DS439" s="518"/>
      <c r="DT439" s="518"/>
      <c r="DU439" s="519"/>
      <c r="DV439" s="527"/>
      <c r="DW439" s="518"/>
      <c r="DX439" s="518"/>
      <c r="DY439" s="520"/>
      <c r="DZ439" s="520"/>
      <c r="EA439" s="519"/>
      <c r="EB439" s="527"/>
      <c r="EC439" s="520"/>
      <c r="ED439" s="520"/>
      <c r="EE439" s="519"/>
      <c r="EF439" s="550"/>
      <c r="EG439" s="537"/>
      <c r="EH439" s="521"/>
      <c r="EI439" s="521"/>
      <c r="EJ439" s="521"/>
      <c r="EK439" s="521"/>
      <c r="EL439" s="521"/>
      <c r="EM439" s="521"/>
      <c r="EN439" s="521"/>
      <c r="EO439" s="521"/>
      <c r="EP439" s="521"/>
      <c r="EQ439" s="521"/>
      <c r="ER439" s="521"/>
      <c r="ES439" s="521"/>
      <c r="ET439" s="521"/>
      <c r="EU439" s="521"/>
      <c r="EV439" s="521"/>
      <c r="EW439" s="521"/>
      <c r="EX439" s="521"/>
      <c r="EY439" s="518"/>
      <c r="EZ439" s="523"/>
      <c r="FA439" s="523"/>
      <c r="FB439" s="524"/>
      <c r="FC439" s="524"/>
      <c r="FD439" s="518"/>
      <c r="FE439" s="518"/>
      <c r="FF439" s="518"/>
      <c r="FG439" s="518"/>
      <c r="FH439" s="518"/>
      <c r="FI439" s="518"/>
      <c r="FJ439" s="518"/>
      <c r="FK439" s="518"/>
      <c r="FL439" s="518"/>
      <c r="FM439" s="519"/>
    </row>
    <row r="440" spans="1:169" x14ac:dyDescent="0.25">
      <c r="A440" s="284"/>
      <c r="B440" s="317"/>
      <c r="C440" s="297"/>
      <c r="D440" s="298"/>
      <c r="E440" s="299"/>
      <c r="F440" s="340"/>
      <c r="G440" s="298"/>
      <c r="H440" s="299"/>
      <c r="I440" s="300"/>
      <c r="J440" s="370"/>
      <c r="K440" s="328"/>
      <c r="L440" s="300"/>
      <c r="M440" s="328"/>
      <c r="N440" s="331"/>
      <c r="O440" s="301"/>
      <c r="P440" s="301"/>
      <c r="Q440" s="328"/>
      <c r="R440" s="620"/>
      <c r="S440" s="512"/>
      <c r="T440" s="512"/>
      <c r="U440" s="513"/>
      <c r="V440" s="514"/>
      <c r="W440" s="512"/>
      <c r="X440" s="513"/>
      <c r="Y440" s="514"/>
      <c r="Z440" s="513"/>
      <c r="AA440" s="515"/>
      <c r="AB440" s="516"/>
      <c r="AC440" s="513"/>
      <c r="AD440" s="544"/>
      <c r="AE440" s="516"/>
      <c r="AF440" s="513"/>
      <c r="AG440" s="551"/>
      <c r="AH440" s="595"/>
      <c r="AI440" s="517"/>
      <c r="AJ440" s="518"/>
      <c r="AK440" s="518"/>
      <c r="AL440" s="518"/>
      <c r="AM440" s="519"/>
      <c r="AN440" s="517"/>
      <c r="AO440" s="520"/>
      <c r="AP440" s="525"/>
      <c r="AQ440" s="531"/>
      <c r="AR440" s="593"/>
      <c r="AS440" s="518"/>
      <c r="AT440" s="518"/>
      <c r="AU440" s="518"/>
      <c r="AV440" s="519"/>
      <c r="AW440" s="560"/>
      <c r="AX440" s="522"/>
      <c r="AY440" s="522"/>
      <c r="AZ440" s="522"/>
      <c r="BA440" s="522"/>
      <c r="BB440" s="522"/>
      <c r="BC440" s="518"/>
      <c r="BD440" s="518"/>
      <c r="BE440" s="518"/>
      <c r="BF440" s="518"/>
      <c r="BG440" s="518"/>
      <c r="BH440" s="519"/>
      <c r="BI440" s="527"/>
      <c r="BJ440" s="518"/>
      <c r="BK440" s="518"/>
      <c r="BL440" s="520"/>
      <c r="BM440" s="520"/>
      <c r="BN440" s="519"/>
      <c r="BO440" s="517"/>
      <c r="BP440" s="520"/>
      <c r="BQ440" s="520"/>
      <c r="BR440" s="519"/>
      <c r="BS440" s="548"/>
      <c r="BT440" s="537"/>
      <c r="BU440" s="521"/>
      <c r="BV440" s="521"/>
      <c r="BW440" s="521"/>
      <c r="BX440" s="521"/>
      <c r="BY440" s="521"/>
      <c r="BZ440" s="521"/>
      <c r="CA440" s="521"/>
      <c r="CB440" s="521"/>
      <c r="CC440" s="521"/>
      <c r="CD440" s="521"/>
      <c r="CE440" s="521"/>
      <c r="CF440" s="521"/>
      <c r="CG440" s="521"/>
      <c r="CH440" s="521"/>
      <c r="CI440" s="521"/>
      <c r="CJ440" s="521"/>
      <c r="CK440" s="521"/>
      <c r="CL440" s="518"/>
      <c r="CM440" s="523"/>
      <c r="CN440" s="523"/>
      <c r="CO440" s="524"/>
      <c r="CP440" s="524"/>
      <c r="CQ440" s="518"/>
      <c r="CR440" s="518"/>
      <c r="CS440" s="518"/>
      <c r="CT440" s="518"/>
      <c r="CU440" s="518"/>
      <c r="CV440" s="518"/>
      <c r="CW440" s="518"/>
      <c r="CX440" s="518"/>
      <c r="CY440" s="518"/>
      <c r="CZ440" s="519"/>
      <c r="DA440" s="527"/>
      <c r="DB440" s="520"/>
      <c r="DC440" s="525"/>
      <c r="DD440" s="531"/>
      <c r="DE440" s="593"/>
      <c r="DF440" s="518"/>
      <c r="DG440" s="518"/>
      <c r="DH440" s="518"/>
      <c r="DI440" s="519"/>
      <c r="DJ440" s="560"/>
      <c r="DK440" s="522"/>
      <c r="DL440" s="522"/>
      <c r="DM440" s="522"/>
      <c r="DN440" s="522"/>
      <c r="DO440" s="522"/>
      <c r="DP440" s="518"/>
      <c r="DQ440" s="518"/>
      <c r="DR440" s="518"/>
      <c r="DS440" s="518"/>
      <c r="DT440" s="518"/>
      <c r="DU440" s="519"/>
      <c r="DV440" s="527"/>
      <c r="DW440" s="518"/>
      <c r="DX440" s="518"/>
      <c r="DY440" s="520"/>
      <c r="DZ440" s="520"/>
      <c r="EA440" s="519"/>
      <c r="EB440" s="527"/>
      <c r="EC440" s="520"/>
      <c r="ED440" s="520"/>
      <c r="EE440" s="519"/>
      <c r="EF440" s="550"/>
      <c r="EG440" s="537"/>
      <c r="EH440" s="521"/>
      <c r="EI440" s="521"/>
      <c r="EJ440" s="521"/>
      <c r="EK440" s="521"/>
      <c r="EL440" s="521"/>
      <c r="EM440" s="521"/>
      <c r="EN440" s="521"/>
      <c r="EO440" s="521"/>
      <c r="EP440" s="521"/>
      <c r="EQ440" s="521"/>
      <c r="ER440" s="521"/>
      <c r="ES440" s="521"/>
      <c r="ET440" s="521"/>
      <c r="EU440" s="521"/>
      <c r="EV440" s="521"/>
      <c r="EW440" s="521"/>
      <c r="EX440" s="521"/>
      <c r="EY440" s="518"/>
      <c r="EZ440" s="523"/>
      <c r="FA440" s="523"/>
      <c r="FB440" s="524"/>
      <c r="FC440" s="524"/>
      <c r="FD440" s="518"/>
      <c r="FE440" s="518"/>
      <c r="FF440" s="518"/>
      <c r="FG440" s="518"/>
      <c r="FH440" s="518"/>
      <c r="FI440" s="518"/>
      <c r="FJ440" s="518"/>
      <c r="FK440" s="518"/>
      <c r="FL440" s="518"/>
      <c r="FM440" s="519"/>
    </row>
    <row r="441" spans="1:169" x14ac:dyDescent="0.25">
      <c r="A441" s="284"/>
      <c r="B441" s="317"/>
      <c r="C441" s="297"/>
      <c r="D441" s="298"/>
      <c r="E441" s="299"/>
      <c r="F441" s="340"/>
      <c r="G441" s="298"/>
      <c r="H441" s="299"/>
      <c r="I441" s="300"/>
      <c r="J441" s="370"/>
      <c r="K441" s="328"/>
      <c r="L441" s="300"/>
      <c r="M441" s="328"/>
      <c r="N441" s="331"/>
      <c r="O441" s="301"/>
      <c r="P441" s="301"/>
      <c r="Q441" s="328"/>
      <c r="R441" s="620"/>
      <c r="S441" s="512"/>
      <c r="T441" s="512"/>
      <c r="U441" s="513"/>
      <c r="V441" s="514"/>
      <c r="W441" s="512"/>
      <c r="X441" s="513"/>
      <c r="Y441" s="514"/>
      <c r="Z441" s="513"/>
      <c r="AA441" s="515"/>
      <c r="AB441" s="516"/>
      <c r="AC441" s="513"/>
      <c r="AD441" s="544"/>
      <c r="AE441" s="516"/>
      <c r="AF441" s="513"/>
      <c r="AG441" s="551"/>
      <c r="AH441" s="595"/>
      <c r="AI441" s="517"/>
      <c r="AJ441" s="518"/>
      <c r="AK441" s="518"/>
      <c r="AL441" s="518"/>
      <c r="AM441" s="519"/>
      <c r="AN441" s="517"/>
      <c r="AO441" s="520"/>
      <c r="AP441" s="525"/>
      <c r="AQ441" s="531"/>
      <c r="AR441" s="593"/>
      <c r="AS441" s="518"/>
      <c r="AT441" s="518"/>
      <c r="AU441" s="518"/>
      <c r="AV441" s="519"/>
      <c r="AW441" s="560"/>
      <c r="AX441" s="522"/>
      <c r="AY441" s="522"/>
      <c r="AZ441" s="522"/>
      <c r="BA441" s="522"/>
      <c r="BB441" s="522"/>
      <c r="BC441" s="518"/>
      <c r="BD441" s="518"/>
      <c r="BE441" s="518"/>
      <c r="BF441" s="518"/>
      <c r="BG441" s="518"/>
      <c r="BH441" s="519"/>
      <c r="BI441" s="527"/>
      <c r="BJ441" s="518"/>
      <c r="BK441" s="518"/>
      <c r="BL441" s="520"/>
      <c r="BM441" s="520"/>
      <c r="BN441" s="519"/>
      <c r="BO441" s="517"/>
      <c r="BP441" s="520"/>
      <c r="BQ441" s="520"/>
      <c r="BR441" s="519"/>
      <c r="BS441" s="548"/>
      <c r="BT441" s="537"/>
      <c r="BU441" s="521"/>
      <c r="BV441" s="521"/>
      <c r="BW441" s="521"/>
      <c r="BX441" s="521"/>
      <c r="BY441" s="521"/>
      <c r="BZ441" s="521"/>
      <c r="CA441" s="521"/>
      <c r="CB441" s="521"/>
      <c r="CC441" s="521"/>
      <c r="CD441" s="521"/>
      <c r="CE441" s="521"/>
      <c r="CF441" s="521"/>
      <c r="CG441" s="521"/>
      <c r="CH441" s="521"/>
      <c r="CI441" s="521"/>
      <c r="CJ441" s="521"/>
      <c r="CK441" s="521"/>
      <c r="CL441" s="518"/>
      <c r="CM441" s="523"/>
      <c r="CN441" s="523"/>
      <c r="CO441" s="524"/>
      <c r="CP441" s="524"/>
      <c r="CQ441" s="518"/>
      <c r="CR441" s="518"/>
      <c r="CS441" s="518"/>
      <c r="CT441" s="518"/>
      <c r="CU441" s="518"/>
      <c r="CV441" s="518"/>
      <c r="CW441" s="518"/>
      <c r="CX441" s="518"/>
      <c r="CY441" s="518"/>
      <c r="CZ441" s="519"/>
      <c r="DA441" s="527"/>
      <c r="DB441" s="520"/>
      <c r="DC441" s="525"/>
      <c r="DD441" s="531"/>
      <c r="DE441" s="593"/>
      <c r="DF441" s="518"/>
      <c r="DG441" s="518"/>
      <c r="DH441" s="518"/>
      <c r="DI441" s="519"/>
      <c r="DJ441" s="560"/>
      <c r="DK441" s="522"/>
      <c r="DL441" s="522"/>
      <c r="DM441" s="522"/>
      <c r="DN441" s="522"/>
      <c r="DO441" s="522"/>
      <c r="DP441" s="518"/>
      <c r="DQ441" s="518"/>
      <c r="DR441" s="518"/>
      <c r="DS441" s="518"/>
      <c r="DT441" s="518"/>
      <c r="DU441" s="519"/>
      <c r="DV441" s="527"/>
      <c r="DW441" s="518"/>
      <c r="DX441" s="518"/>
      <c r="DY441" s="520"/>
      <c r="DZ441" s="520"/>
      <c r="EA441" s="519"/>
      <c r="EB441" s="527"/>
      <c r="EC441" s="520"/>
      <c r="ED441" s="520"/>
      <c r="EE441" s="519"/>
      <c r="EF441" s="550"/>
      <c r="EG441" s="537"/>
      <c r="EH441" s="521"/>
      <c r="EI441" s="521"/>
      <c r="EJ441" s="521"/>
      <c r="EK441" s="521"/>
      <c r="EL441" s="521"/>
      <c r="EM441" s="521"/>
      <c r="EN441" s="521"/>
      <c r="EO441" s="521"/>
      <c r="EP441" s="521"/>
      <c r="EQ441" s="521"/>
      <c r="ER441" s="521"/>
      <c r="ES441" s="521"/>
      <c r="ET441" s="521"/>
      <c r="EU441" s="521"/>
      <c r="EV441" s="521"/>
      <c r="EW441" s="521"/>
      <c r="EX441" s="521"/>
      <c r="EY441" s="518"/>
      <c r="EZ441" s="523"/>
      <c r="FA441" s="523"/>
      <c r="FB441" s="524"/>
      <c r="FC441" s="524"/>
      <c r="FD441" s="518"/>
      <c r="FE441" s="518"/>
      <c r="FF441" s="518"/>
      <c r="FG441" s="518"/>
      <c r="FH441" s="518"/>
      <c r="FI441" s="518"/>
      <c r="FJ441" s="518"/>
      <c r="FK441" s="518"/>
      <c r="FL441" s="518"/>
      <c r="FM441" s="519"/>
    </row>
    <row r="442" spans="1:169" x14ac:dyDescent="0.25">
      <c r="A442" s="284"/>
      <c r="B442" s="317"/>
      <c r="C442" s="297"/>
      <c r="D442" s="298"/>
      <c r="E442" s="299"/>
      <c r="F442" s="340"/>
      <c r="G442" s="298"/>
      <c r="H442" s="299"/>
      <c r="I442" s="300"/>
      <c r="J442" s="370"/>
      <c r="K442" s="328"/>
      <c r="L442" s="300"/>
      <c r="M442" s="328"/>
      <c r="N442" s="331"/>
      <c r="O442" s="301"/>
      <c r="P442" s="301"/>
      <c r="Q442" s="328"/>
      <c r="R442" s="620"/>
      <c r="S442" s="512"/>
      <c r="T442" s="512"/>
      <c r="U442" s="513"/>
      <c r="V442" s="514"/>
      <c r="W442" s="512"/>
      <c r="X442" s="513"/>
      <c r="Y442" s="514"/>
      <c r="Z442" s="513"/>
      <c r="AA442" s="515"/>
      <c r="AB442" s="516"/>
      <c r="AC442" s="513"/>
      <c r="AD442" s="544"/>
      <c r="AE442" s="516"/>
      <c r="AF442" s="513"/>
      <c r="AG442" s="551"/>
      <c r="AH442" s="595"/>
      <c r="AI442" s="517"/>
      <c r="AJ442" s="518"/>
      <c r="AK442" s="518"/>
      <c r="AL442" s="518"/>
      <c r="AM442" s="519"/>
      <c r="AN442" s="517"/>
      <c r="AO442" s="520"/>
      <c r="AP442" s="525"/>
      <c r="AQ442" s="531"/>
      <c r="AR442" s="593"/>
      <c r="AS442" s="518"/>
      <c r="AT442" s="518"/>
      <c r="AU442" s="518"/>
      <c r="AV442" s="519"/>
      <c r="AW442" s="560"/>
      <c r="AX442" s="522"/>
      <c r="AY442" s="522"/>
      <c r="AZ442" s="522"/>
      <c r="BA442" s="522"/>
      <c r="BB442" s="522"/>
      <c r="BC442" s="518"/>
      <c r="BD442" s="518"/>
      <c r="BE442" s="518"/>
      <c r="BF442" s="518"/>
      <c r="BG442" s="518"/>
      <c r="BH442" s="519"/>
      <c r="BI442" s="527"/>
      <c r="BJ442" s="518"/>
      <c r="BK442" s="518"/>
      <c r="BL442" s="520"/>
      <c r="BM442" s="520"/>
      <c r="BN442" s="519"/>
      <c r="BO442" s="517"/>
      <c r="BP442" s="520"/>
      <c r="BQ442" s="520"/>
      <c r="BR442" s="519"/>
      <c r="BS442" s="548"/>
      <c r="BT442" s="537"/>
      <c r="BU442" s="521"/>
      <c r="BV442" s="521"/>
      <c r="BW442" s="521"/>
      <c r="BX442" s="521"/>
      <c r="BY442" s="521"/>
      <c r="BZ442" s="521"/>
      <c r="CA442" s="521"/>
      <c r="CB442" s="521"/>
      <c r="CC442" s="521"/>
      <c r="CD442" s="521"/>
      <c r="CE442" s="521"/>
      <c r="CF442" s="521"/>
      <c r="CG442" s="521"/>
      <c r="CH442" s="521"/>
      <c r="CI442" s="521"/>
      <c r="CJ442" s="521"/>
      <c r="CK442" s="521"/>
      <c r="CL442" s="518"/>
      <c r="CM442" s="523"/>
      <c r="CN442" s="523"/>
      <c r="CO442" s="524"/>
      <c r="CP442" s="524"/>
      <c r="CQ442" s="518"/>
      <c r="CR442" s="518"/>
      <c r="CS442" s="518"/>
      <c r="CT442" s="518"/>
      <c r="CU442" s="518"/>
      <c r="CV442" s="518"/>
      <c r="CW442" s="518"/>
      <c r="CX442" s="518"/>
      <c r="CY442" s="518"/>
      <c r="CZ442" s="519"/>
      <c r="DA442" s="527"/>
      <c r="DB442" s="520"/>
      <c r="DC442" s="525"/>
      <c r="DD442" s="531"/>
      <c r="DE442" s="593"/>
      <c r="DF442" s="518"/>
      <c r="DG442" s="518"/>
      <c r="DH442" s="518"/>
      <c r="DI442" s="519"/>
      <c r="DJ442" s="560"/>
      <c r="DK442" s="522"/>
      <c r="DL442" s="522"/>
      <c r="DM442" s="522"/>
      <c r="DN442" s="522"/>
      <c r="DO442" s="522"/>
      <c r="DP442" s="518"/>
      <c r="DQ442" s="518"/>
      <c r="DR442" s="518"/>
      <c r="DS442" s="518"/>
      <c r="DT442" s="518"/>
      <c r="DU442" s="519"/>
      <c r="DV442" s="527"/>
      <c r="DW442" s="518"/>
      <c r="DX442" s="518"/>
      <c r="DY442" s="520"/>
      <c r="DZ442" s="520"/>
      <c r="EA442" s="519"/>
      <c r="EB442" s="527"/>
      <c r="EC442" s="520"/>
      <c r="ED442" s="520"/>
      <c r="EE442" s="519"/>
      <c r="EF442" s="550"/>
      <c r="EG442" s="537"/>
      <c r="EH442" s="521"/>
      <c r="EI442" s="521"/>
      <c r="EJ442" s="521"/>
      <c r="EK442" s="521"/>
      <c r="EL442" s="521"/>
      <c r="EM442" s="521"/>
      <c r="EN442" s="521"/>
      <c r="EO442" s="521"/>
      <c r="EP442" s="521"/>
      <c r="EQ442" s="521"/>
      <c r="ER442" s="521"/>
      <c r="ES442" s="521"/>
      <c r="ET442" s="521"/>
      <c r="EU442" s="521"/>
      <c r="EV442" s="521"/>
      <c r="EW442" s="521"/>
      <c r="EX442" s="521"/>
      <c r="EY442" s="518"/>
      <c r="EZ442" s="523"/>
      <c r="FA442" s="523"/>
      <c r="FB442" s="524"/>
      <c r="FC442" s="524"/>
      <c r="FD442" s="518"/>
      <c r="FE442" s="518"/>
      <c r="FF442" s="518"/>
      <c r="FG442" s="518"/>
      <c r="FH442" s="518"/>
      <c r="FI442" s="518"/>
      <c r="FJ442" s="518"/>
      <c r="FK442" s="518"/>
      <c r="FL442" s="518"/>
      <c r="FM442" s="519"/>
    </row>
    <row r="443" spans="1:169" x14ac:dyDescent="0.25">
      <c r="A443" s="284"/>
      <c r="B443" s="317"/>
      <c r="C443" s="297"/>
      <c r="D443" s="298"/>
      <c r="E443" s="299"/>
      <c r="F443" s="340"/>
      <c r="G443" s="298"/>
      <c r="H443" s="299"/>
      <c r="I443" s="300"/>
      <c r="J443" s="370"/>
      <c r="K443" s="328"/>
      <c r="L443" s="300"/>
      <c r="M443" s="328"/>
      <c r="N443" s="331"/>
      <c r="O443" s="301"/>
      <c r="P443" s="301"/>
      <c r="Q443" s="328"/>
      <c r="R443" s="620"/>
      <c r="S443" s="512"/>
      <c r="T443" s="512"/>
      <c r="U443" s="513"/>
      <c r="V443" s="514"/>
      <c r="W443" s="512"/>
      <c r="X443" s="513"/>
      <c r="Y443" s="514"/>
      <c r="Z443" s="513"/>
      <c r="AA443" s="515"/>
      <c r="AB443" s="516"/>
      <c r="AC443" s="513"/>
      <c r="AD443" s="544"/>
      <c r="AE443" s="516"/>
      <c r="AF443" s="513"/>
      <c r="AG443" s="551"/>
      <c r="AH443" s="595"/>
      <c r="AI443" s="517"/>
      <c r="AJ443" s="518"/>
      <c r="AK443" s="518"/>
      <c r="AL443" s="518"/>
      <c r="AM443" s="519"/>
      <c r="AN443" s="517"/>
      <c r="AO443" s="520"/>
      <c r="AP443" s="525"/>
      <c r="AQ443" s="531"/>
      <c r="AR443" s="593"/>
      <c r="AS443" s="518"/>
      <c r="AT443" s="518"/>
      <c r="AU443" s="518"/>
      <c r="AV443" s="519"/>
      <c r="AW443" s="560"/>
      <c r="AX443" s="522"/>
      <c r="AY443" s="522"/>
      <c r="AZ443" s="522"/>
      <c r="BA443" s="522"/>
      <c r="BB443" s="522"/>
      <c r="BC443" s="518"/>
      <c r="BD443" s="518"/>
      <c r="BE443" s="518"/>
      <c r="BF443" s="518"/>
      <c r="BG443" s="518"/>
      <c r="BH443" s="519"/>
      <c r="BI443" s="527"/>
      <c r="BJ443" s="518"/>
      <c r="BK443" s="518"/>
      <c r="BL443" s="520"/>
      <c r="BM443" s="520"/>
      <c r="BN443" s="519"/>
      <c r="BO443" s="517"/>
      <c r="BP443" s="520"/>
      <c r="BQ443" s="520"/>
      <c r="BR443" s="519"/>
      <c r="BS443" s="548"/>
      <c r="BT443" s="537"/>
      <c r="BU443" s="521"/>
      <c r="BV443" s="521"/>
      <c r="BW443" s="521"/>
      <c r="BX443" s="521"/>
      <c r="BY443" s="521"/>
      <c r="BZ443" s="521"/>
      <c r="CA443" s="521"/>
      <c r="CB443" s="521"/>
      <c r="CC443" s="521"/>
      <c r="CD443" s="521"/>
      <c r="CE443" s="521"/>
      <c r="CF443" s="521"/>
      <c r="CG443" s="521"/>
      <c r="CH443" s="521"/>
      <c r="CI443" s="521"/>
      <c r="CJ443" s="521"/>
      <c r="CK443" s="521"/>
      <c r="CL443" s="518"/>
      <c r="CM443" s="523"/>
      <c r="CN443" s="523"/>
      <c r="CO443" s="524"/>
      <c r="CP443" s="524"/>
      <c r="CQ443" s="518"/>
      <c r="CR443" s="518"/>
      <c r="CS443" s="518"/>
      <c r="CT443" s="518"/>
      <c r="CU443" s="518"/>
      <c r="CV443" s="518"/>
      <c r="CW443" s="518"/>
      <c r="CX443" s="518"/>
      <c r="CY443" s="518"/>
      <c r="CZ443" s="519"/>
      <c r="DA443" s="527"/>
      <c r="DB443" s="520"/>
      <c r="DC443" s="525"/>
      <c r="DD443" s="531"/>
      <c r="DE443" s="593"/>
      <c r="DF443" s="518"/>
      <c r="DG443" s="518"/>
      <c r="DH443" s="518"/>
      <c r="DI443" s="519"/>
      <c r="DJ443" s="560"/>
      <c r="DK443" s="522"/>
      <c r="DL443" s="522"/>
      <c r="DM443" s="522"/>
      <c r="DN443" s="522"/>
      <c r="DO443" s="522"/>
      <c r="DP443" s="518"/>
      <c r="DQ443" s="518"/>
      <c r="DR443" s="518"/>
      <c r="DS443" s="518"/>
      <c r="DT443" s="518"/>
      <c r="DU443" s="519"/>
      <c r="DV443" s="527"/>
      <c r="DW443" s="518"/>
      <c r="DX443" s="518"/>
      <c r="DY443" s="520"/>
      <c r="DZ443" s="520"/>
      <c r="EA443" s="519"/>
      <c r="EB443" s="527"/>
      <c r="EC443" s="520"/>
      <c r="ED443" s="520"/>
      <c r="EE443" s="519"/>
      <c r="EF443" s="550"/>
      <c r="EG443" s="537"/>
      <c r="EH443" s="521"/>
      <c r="EI443" s="521"/>
      <c r="EJ443" s="521"/>
      <c r="EK443" s="521"/>
      <c r="EL443" s="521"/>
      <c r="EM443" s="521"/>
      <c r="EN443" s="521"/>
      <c r="EO443" s="521"/>
      <c r="EP443" s="521"/>
      <c r="EQ443" s="521"/>
      <c r="ER443" s="521"/>
      <c r="ES443" s="521"/>
      <c r="ET443" s="521"/>
      <c r="EU443" s="521"/>
      <c r="EV443" s="521"/>
      <c r="EW443" s="521"/>
      <c r="EX443" s="521"/>
      <c r="EY443" s="518"/>
      <c r="EZ443" s="523"/>
      <c r="FA443" s="523"/>
      <c r="FB443" s="524"/>
      <c r="FC443" s="524"/>
      <c r="FD443" s="518"/>
      <c r="FE443" s="518"/>
      <c r="FF443" s="518"/>
      <c r="FG443" s="518"/>
      <c r="FH443" s="518"/>
      <c r="FI443" s="518"/>
      <c r="FJ443" s="518"/>
      <c r="FK443" s="518"/>
      <c r="FL443" s="518"/>
      <c r="FM443" s="519"/>
    </row>
    <row r="444" spans="1:169" x14ac:dyDescent="0.25">
      <c r="A444" s="284"/>
      <c r="B444" s="317"/>
      <c r="C444" s="297"/>
      <c r="D444" s="298"/>
      <c r="E444" s="299"/>
      <c r="F444" s="340"/>
      <c r="G444" s="298"/>
      <c r="H444" s="299"/>
      <c r="I444" s="300"/>
      <c r="J444" s="370"/>
      <c r="K444" s="328"/>
      <c r="L444" s="300"/>
      <c r="M444" s="328"/>
      <c r="N444" s="331"/>
      <c r="O444" s="301"/>
      <c r="P444" s="301"/>
      <c r="Q444" s="328"/>
      <c r="R444" s="620"/>
      <c r="S444" s="512"/>
      <c r="T444" s="512"/>
      <c r="U444" s="513"/>
      <c r="V444" s="514"/>
      <c r="W444" s="512"/>
      <c r="X444" s="513"/>
      <c r="Y444" s="514"/>
      <c r="Z444" s="513"/>
      <c r="AA444" s="515"/>
      <c r="AB444" s="516"/>
      <c r="AC444" s="513"/>
      <c r="AD444" s="544"/>
      <c r="AE444" s="516"/>
      <c r="AF444" s="513"/>
      <c r="AG444" s="551"/>
      <c r="AH444" s="595"/>
      <c r="AI444" s="517"/>
      <c r="AJ444" s="518"/>
      <c r="AK444" s="518"/>
      <c r="AL444" s="518"/>
      <c r="AM444" s="519"/>
      <c r="AN444" s="517"/>
      <c r="AO444" s="520"/>
      <c r="AP444" s="525"/>
      <c r="AQ444" s="531"/>
      <c r="AR444" s="593"/>
      <c r="AS444" s="518"/>
      <c r="AT444" s="518"/>
      <c r="AU444" s="518"/>
      <c r="AV444" s="519"/>
      <c r="AW444" s="560"/>
      <c r="AX444" s="522"/>
      <c r="AY444" s="522"/>
      <c r="AZ444" s="522"/>
      <c r="BA444" s="522"/>
      <c r="BB444" s="522"/>
      <c r="BC444" s="518"/>
      <c r="BD444" s="518"/>
      <c r="BE444" s="518"/>
      <c r="BF444" s="518"/>
      <c r="BG444" s="518"/>
      <c r="BH444" s="519"/>
      <c r="BI444" s="527"/>
      <c r="BJ444" s="518"/>
      <c r="BK444" s="518"/>
      <c r="BL444" s="520"/>
      <c r="BM444" s="520"/>
      <c r="BN444" s="519"/>
      <c r="BO444" s="517"/>
      <c r="BP444" s="520"/>
      <c r="BQ444" s="520"/>
      <c r="BR444" s="519"/>
      <c r="BS444" s="548"/>
      <c r="BT444" s="537"/>
      <c r="BU444" s="521"/>
      <c r="BV444" s="521"/>
      <c r="BW444" s="521"/>
      <c r="BX444" s="521"/>
      <c r="BY444" s="521"/>
      <c r="BZ444" s="521"/>
      <c r="CA444" s="521"/>
      <c r="CB444" s="521"/>
      <c r="CC444" s="521"/>
      <c r="CD444" s="521"/>
      <c r="CE444" s="521"/>
      <c r="CF444" s="521"/>
      <c r="CG444" s="521"/>
      <c r="CH444" s="521"/>
      <c r="CI444" s="521"/>
      <c r="CJ444" s="521"/>
      <c r="CK444" s="521"/>
      <c r="CL444" s="518"/>
      <c r="CM444" s="523"/>
      <c r="CN444" s="523"/>
      <c r="CO444" s="524"/>
      <c r="CP444" s="524"/>
      <c r="CQ444" s="518"/>
      <c r="CR444" s="518"/>
      <c r="CS444" s="518"/>
      <c r="CT444" s="518"/>
      <c r="CU444" s="518"/>
      <c r="CV444" s="518"/>
      <c r="CW444" s="518"/>
      <c r="CX444" s="518"/>
      <c r="CY444" s="518"/>
      <c r="CZ444" s="519"/>
      <c r="DA444" s="527"/>
      <c r="DB444" s="520"/>
      <c r="DC444" s="525"/>
      <c r="DD444" s="531"/>
      <c r="DE444" s="593"/>
      <c r="DF444" s="518"/>
      <c r="DG444" s="518"/>
      <c r="DH444" s="518"/>
      <c r="DI444" s="519"/>
      <c r="DJ444" s="560"/>
      <c r="DK444" s="522"/>
      <c r="DL444" s="522"/>
      <c r="DM444" s="522"/>
      <c r="DN444" s="522"/>
      <c r="DO444" s="522"/>
      <c r="DP444" s="518"/>
      <c r="DQ444" s="518"/>
      <c r="DR444" s="518"/>
      <c r="DS444" s="518"/>
      <c r="DT444" s="518"/>
      <c r="DU444" s="519"/>
      <c r="DV444" s="527"/>
      <c r="DW444" s="518"/>
      <c r="DX444" s="518"/>
      <c r="DY444" s="520"/>
      <c r="DZ444" s="520"/>
      <c r="EA444" s="519"/>
      <c r="EB444" s="527"/>
      <c r="EC444" s="520"/>
      <c r="ED444" s="520"/>
      <c r="EE444" s="519"/>
      <c r="EF444" s="550"/>
      <c r="EG444" s="537"/>
      <c r="EH444" s="521"/>
      <c r="EI444" s="521"/>
      <c r="EJ444" s="521"/>
      <c r="EK444" s="521"/>
      <c r="EL444" s="521"/>
      <c r="EM444" s="521"/>
      <c r="EN444" s="521"/>
      <c r="EO444" s="521"/>
      <c r="EP444" s="521"/>
      <c r="EQ444" s="521"/>
      <c r="ER444" s="521"/>
      <c r="ES444" s="521"/>
      <c r="ET444" s="521"/>
      <c r="EU444" s="521"/>
      <c r="EV444" s="521"/>
      <c r="EW444" s="521"/>
      <c r="EX444" s="521"/>
      <c r="EY444" s="518"/>
      <c r="EZ444" s="523"/>
      <c r="FA444" s="523"/>
      <c r="FB444" s="524"/>
      <c r="FC444" s="524"/>
      <c r="FD444" s="518"/>
      <c r="FE444" s="518"/>
      <c r="FF444" s="518"/>
      <c r="FG444" s="518"/>
      <c r="FH444" s="518"/>
      <c r="FI444" s="518"/>
      <c r="FJ444" s="518"/>
      <c r="FK444" s="518"/>
      <c r="FL444" s="518"/>
      <c r="FM444" s="519"/>
    </row>
    <row r="445" spans="1:169" x14ac:dyDescent="0.25">
      <c r="A445" s="284"/>
      <c r="B445" s="317"/>
      <c r="C445" s="297"/>
      <c r="D445" s="298"/>
      <c r="E445" s="299"/>
      <c r="F445" s="340"/>
      <c r="G445" s="298"/>
      <c r="H445" s="299"/>
      <c r="I445" s="300"/>
      <c r="J445" s="370"/>
      <c r="K445" s="328"/>
      <c r="L445" s="300"/>
      <c r="M445" s="328"/>
      <c r="N445" s="331"/>
      <c r="O445" s="301"/>
      <c r="P445" s="301"/>
      <c r="Q445" s="328"/>
      <c r="R445" s="620"/>
      <c r="S445" s="512"/>
      <c r="T445" s="512"/>
      <c r="U445" s="513"/>
      <c r="V445" s="514"/>
      <c r="W445" s="512"/>
      <c r="X445" s="513"/>
      <c r="Y445" s="514"/>
      <c r="Z445" s="513"/>
      <c r="AA445" s="515"/>
      <c r="AB445" s="516"/>
      <c r="AC445" s="513"/>
      <c r="AD445" s="544"/>
      <c r="AE445" s="516"/>
      <c r="AF445" s="513"/>
      <c r="AG445" s="551"/>
      <c r="AH445" s="595"/>
      <c r="AI445" s="517"/>
      <c r="AJ445" s="518"/>
      <c r="AK445" s="518"/>
      <c r="AL445" s="518"/>
      <c r="AM445" s="519"/>
      <c r="AN445" s="517"/>
      <c r="AO445" s="520"/>
      <c r="AP445" s="525"/>
      <c r="AQ445" s="531"/>
      <c r="AR445" s="593"/>
      <c r="AS445" s="518"/>
      <c r="AT445" s="518"/>
      <c r="AU445" s="518"/>
      <c r="AV445" s="519"/>
      <c r="AW445" s="560"/>
      <c r="AX445" s="522"/>
      <c r="AY445" s="522"/>
      <c r="AZ445" s="522"/>
      <c r="BA445" s="522"/>
      <c r="BB445" s="522"/>
      <c r="BC445" s="518"/>
      <c r="BD445" s="518"/>
      <c r="BE445" s="518"/>
      <c r="BF445" s="518"/>
      <c r="BG445" s="518"/>
      <c r="BH445" s="519"/>
      <c r="BI445" s="527"/>
      <c r="BJ445" s="518"/>
      <c r="BK445" s="518"/>
      <c r="BL445" s="520"/>
      <c r="BM445" s="520"/>
      <c r="BN445" s="519"/>
      <c r="BO445" s="517"/>
      <c r="BP445" s="520"/>
      <c r="BQ445" s="520"/>
      <c r="BR445" s="519"/>
      <c r="BS445" s="548"/>
      <c r="BT445" s="537"/>
      <c r="BU445" s="521"/>
      <c r="BV445" s="521"/>
      <c r="BW445" s="521"/>
      <c r="BX445" s="521"/>
      <c r="BY445" s="521"/>
      <c r="BZ445" s="521"/>
      <c r="CA445" s="521"/>
      <c r="CB445" s="521"/>
      <c r="CC445" s="521"/>
      <c r="CD445" s="521"/>
      <c r="CE445" s="521"/>
      <c r="CF445" s="521"/>
      <c r="CG445" s="521"/>
      <c r="CH445" s="521"/>
      <c r="CI445" s="521"/>
      <c r="CJ445" s="521"/>
      <c r="CK445" s="521"/>
      <c r="CL445" s="518"/>
      <c r="CM445" s="523"/>
      <c r="CN445" s="523"/>
      <c r="CO445" s="524"/>
      <c r="CP445" s="524"/>
      <c r="CQ445" s="518"/>
      <c r="CR445" s="518"/>
      <c r="CS445" s="518"/>
      <c r="CT445" s="518"/>
      <c r="CU445" s="518"/>
      <c r="CV445" s="518"/>
      <c r="CW445" s="518"/>
      <c r="CX445" s="518"/>
      <c r="CY445" s="518"/>
      <c r="CZ445" s="519"/>
      <c r="DA445" s="527"/>
      <c r="DB445" s="520"/>
      <c r="DC445" s="525"/>
      <c r="DD445" s="531"/>
      <c r="DE445" s="593"/>
      <c r="DF445" s="518"/>
      <c r="DG445" s="518"/>
      <c r="DH445" s="518"/>
      <c r="DI445" s="519"/>
      <c r="DJ445" s="560"/>
      <c r="DK445" s="522"/>
      <c r="DL445" s="522"/>
      <c r="DM445" s="522"/>
      <c r="DN445" s="522"/>
      <c r="DO445" s="522"/>
      <c r="DP445" s="518"/>
      <c r="DQ445" s="518"/>
      <c r="DR445" s="518"/>
      <c r="DS445" s="518"/>
      <c r="DT445" s="518"/>
      <c r="DU445" s="519"/>
      <c r="DV445" s="527"/>
      <c r="DW445" s="518"/>
      <c r="DX445" s="518"/>
      <c r="DY445" s="520"/>
      <c r="DZ445" s="520"/>
      <c r="EA445" s="519"/>
      <c r="EB445" s="527"/>
      <c r="EC445" s="520"/>
      <c r="ED445" s="520"/>
      <c r="EE445" s="519"/>
      <c r="EF445" s="550"/>
      <c r="EG445" s="537"/>
      <c r="EH445" s="521"/>
      <c r="EI445" s="521"/>
      <c r="EJ445" s="521"/>
      <c r="EK445" s="521"/>
      <c r="EL445" s="521"/>
      <c r="EM445" s="521"/>
      <c r="EN445" s="521"/>
      <c r="EO445" s="521"/>
      <c r="EP445" s="521"/>
      <c r="EQ445" s="521"/>
      <c r="ER445" s="521"/>
      <c r="ES445" s="521"/>
      <c r="ET445" s="521"/>
      <c r="EU445" s="521"/>
      <c r="EV445" s="521"/>
      <c r="EW445" s="521"/>
      <c r="EX445" s="521"/>
      <c r="EY445" s="518"/>
      <c r="EZ445" s="523"/>
      <c r="FA445" s="523"/>
      <c r="FB445" s="524"/>
      <c r="FC445" s="524"/>
      <c r="FD445" s="518"/>
      <c r="FE445" s="518"/>
      <c r="FF445" s="518"/>
      <c r="FG445" s="518"/>
      <c r="FH445" s="518"/>
      <c r="FI445" s="518"/>
      <c r="FJ445" s="518"/>
      <c r="FK445" s="518"/>
      <c r="FL445" s="518"/>
      <c r="FM445" s="519"/>
    </row>
    <row r="446" spans="1:169" x14ac:dyDescent="0.25">
      <c r="A446" s="284"/>
      <c r="B446" s="317"/>
      <c r="C446" s="297"/>
      <c r="D446" s="298"/>
      <c r="E446" s="299"/>
      <c r="F446" s="340"/>
      <c r="G446" s="298"/>
      <c r="H446" s="299"/>
      <c r="I446" s="300"/>
      <c r="J446" s="370"/>
      <c r="K446" s="328"/>
      <c r="L446" s="300"/>
      <c r="M446" s="328"/>
      <c r="N446" s="331"/>
      <c r="O446" s="301"/>
      <c r="P446" s="301"/>
      <c r="Q446" s="328"/>
      <c r="R446" s="620"/>
      <c r="S446" s="512"/>
      <c r="T446" s="512"/>
      <c r="U446" s="513"/>
      <c r="V446" s="514"/>
      <c r="W446" s="512"/>
      <c r="X446" s="513"/>
      <c r="Y446" s="514"/>
      <c r="Z446" s="513"/>
      <c r="AA446" s="515"/>
      <c r="AB446" s="516"/>
      <c r="AC446" s="513"/>
      <c r="AD446" s="544"/>
      <c r="AE446" s="516"/>
      <c r="AF446" s="513"/>
      <c r="AG446" s="551"/>
      <c r="AH446" s="595"/>
      <c r="AI446" s="517"/>
      <c r="AJ446" s="518"/>
      <c r="AK446" s="518"/>
      <c r="AL446" s="518"/>
      <c r="AM446" s="519"/>
      <c r="AN446" s="517"/>
      <c r="AO446" s="520"/>
      <c r="AP446" s="525"/>
      <c r="AQ446" s="531"/>
      <c r="AR446" s="593"/>
      <c r="AS446" s="518"/>
      <c r="AT446" s="518"/>
      <c r="AU446" s="518"/>
      <c r="AV446" s="519"/>
      <c r="AW446" s="560"/>
      <c r="AX446" s="522"/>
      <c r="AY446" s="522"/>
      <c r="AZ446" s="522"/>
      <c r="BA446" s="522"/>
      <c r="BB446" s="522"/>
      <c r="BC446" s="518"/>
      <c r="BD446" s="518"/>
      <c r="BE446" s="518"/>
      <c r="BF446" s="518"/>
      <c r="BG446" s="518"/>
      <c r="BH446" s="519"/>
      <c r="BI446" s="527"/>
      <c r="BJ446" s="518"/>
      <c r="BK446" s="518"/>
      <c r="BL446" s="520"/>
      <c r="BM446" s="520"/>
      <c r="BN446" s="519"/>
      <c r="BO446" s="517"/>
      <c r="BP446" s="520"/>
      <c r="BQ446" s="520"/>
      <c r="BR446" s="519"/>
      <c r="BS446" s="548"/>
      <c r="BT446" s="537"/>
      <c r="BU446" s="521"/>
      <c r="BV446" s="521"/>
      <c r="BW446" s="521"/>
      <c r="BX446" s="521"/>
      <c r="BY446" s="521"/>
      <c r="BZ446" s="521"/>
      <c r="CA446" s="521"/>
      <c r="CB446" s="521"/>
      <c r="CC446" s="521"/>
      <c r="CD446" s="521"/>
      <c r="CE446" s="521"/>
      <c r="CF446" s="521"/>
      <c r="CG446" s="521"/>
      <c r="CH446" s="521"/>
      <c r="CI446" s="521"/>
      <c r="CJ446" s="521"/>
      <c r="CK446" s="521"/>
      <c r="CL446" s="518"/>
      <c r="CM446" s="523"/>
      <c r="CN446" s="523"/>
      <c r="CO446" s="524"/>
      <c r="CP446" s="524"/>
      <c r="CQ446" s="518"/>
      <c r="CR446" s="518"/>
      <c r="CS446" s="518"/>
      <c r="CT446" s="518"/>
      <c r="CU446" s="518"/>
      <c r="CV446" s="518"/>
      <c r="CW446" s="518"/>
      <c r="CX446" s="518"/>
      <c r="CY446" s="518"/>
      <c r="CZ446" s="519"/>
      <c r="DA446" s="527"/>
      <c r="DB446" s="520"/>
      <c r="DC446" s="525"/>
      <c r="DD446" s="531"/>
      <c r="DE446" s="593"/>
      <c r="DF446" s="518"/>
      <c r="DG446" s="518"/>
      <c r="DH446" s="518"/>
      <c r="DI446" s="519"/>
      <c r="DJ446" s="560"/>
      <c r="DK446" s="522"/>
      <c r="DL446" s="522"/>
      <c r="DM446" s="522"/>
      <c r="DN446" s="522"/>
      <c r="DO446" s="522"/>
      <c r="DP446" s="518"/>
      <c r="DQ446" s="518"/>
      <c r="DR446" s="518"/>
      <c r="DS446" s="518"/>
      <c r="DT446" s="518"/>
      <c r="DU446" s="519"/>
      <c r="DV446" s="527"/>
      <c r="DW446" s="518"/>
      <c r="DX446" s="518"/>
      <c r="DY446" s="520"/>
      <c r="DZ446" s="520"/>
      <c r="EA446" s="519"/>
      <c r="EB446" s="527"/>
      <c r="EC446" s="520"/>
      <c r="ED446" s="520"/>
      <c r="EE446" s="519"/>
      <c r="EF446" s="550"/>
      <c r="EG446" s="537"/>
      <c r="EH446" s="521"/>
      <c r="EI446" s="521"/>
      <c r="EJ446" s="521"/>
      <c r="EK446" s="521"/>
      <c r="EL446" s="521"/>
      <c r="EM446" s="521"/>
      <c r="EN446" s="521"/>
      <c r="EO446" s="521"/>
      <c r="EP446" s="521"/>
      <c r="EQ446" s="521"/>
      <c r="ER446" s="521"/>
      <c r="ES446" s="521"/>
      <c r="ET446" s="521"/>
      <c r="EU446" s="521"/>
      <c r="EV446" s="521"/>
      <c r="EW446" s="521"/>
      <c r="EX446" s="521"/>
      <c r="EY446" s="518"/>
      <c r="EZ446" s="523"/>
      <c r="FA446" s="523"/>
      <c r="FB446" s="524"/>
      <c r="FC446" s="524"/>
      <c r="FD446" s="518"/>
      <c r="FE446" s="518"/>
      <c r="FF446" s="518"/>
      <c r="FG446" s="518"/>
      <c r="FH446" s="518"/>
      <c r="FI446" s="518"/>
      <c r="FJ446" s="518"/>
      <c r="FK446" s="518"/>
      <c r="FL446" s="518"/>
      <c r="FM446" s="519"/>
    </row>
    <row r="447" spans="1:169" x14ac:dyDescent="0.25">
      <c r="A447" s="284"/>
      <c r="B447" s="317"/>
      <c r="C447" s="297"/>
      <c r="D447" s="298"/>
      <c r="E447" s="299"/>
      <c r="F447" s="340"/>
      <c r="G447" s="298"/>
      <c r="H447" s="299"/>
      <c r="I447" s="300"/>
      <c r="J447" s="370"/>
      <c r="K447" s="328"/>
      <c r="L447" s="300"/>
      <c r="M447" s="328"/>
      <c r="N447" s="331"/>
      <c r="O447" s="301"/>
      <c r="P447" s="301"/>
      <c r="Q447" s="328"/>
      <c r="R447" s="620"/>
      <c r="S447" s="512"/>
      <c r="T447" s="512"/>
      <c r="U447" s="513"/>
      <c r="V447" s="514"/>
      <c r="W447" s="512"/>
      <c r="X447" s="513"/>
      <c r="Y447" s="514"/>
      <c r="Z447" s="513"/>
      <c r="AA447" s="515"/>
      <c r="AB447" s="516"/>
      <c r="AC447" s="513"/>
      <c r="AD447" s="544"/>
      <c r="AE447" s="516"/>
      <c r="AF447" s="513"/>
      <c r="AG447" s="551"/>
      <c r="AH447" s="595"/>
      <c r="AI447" s="517"/>
      <c r="AJ447" s="518"/>
      <c r="AK447" s="518"/>
      <c r="AL447" s="518"/>
      <c r="AM447" s="519"/>
      <c r="AN447" s="517"/>
      <c r="AO447" s="520"/>
      <c r="AP447" s="525"/>
      <c r="AQ447" s="531"/>
      <c r="AR447" s="593"/>
      <c r="AS447" s="518"/>
      <c r="AT447" s="518"/>
      <c r="AU447" s="518"/>
      <c r="AV447" s="519"/>
      <c r="AW447" s="560"/>
      <c r="AX447" s="522"/>
      <c r="AY447" s="522"/>
      <c r="AZ447" s="522"/>
      <c r="BA447" s="522"/>
      <c r="BB447" s="522"/>
      <c r="BC447" s="518"/>
      <c r="BD447" s="518"/>
      <c r="BE447" s="518"/>
      <c r="BF447" s="518"/>
      <c r="BG447" s="518"/>
      <c r="BH447" s="519"/>
      <c r="BI447" s="527"/>
      <c r="BJ447" s="518"/>
      <c r="BK447" s="518"/>
      <c r="BL447" s="520"/>
      <c r="BM447" s="520"/>
      <c r="BN447" s="519"/>
      <c r="BO447" s="517"/>
      <c r="BP447" s="520"/>
      <c r="BQ447" s="520"/>
      <c r="BR447" s="519"/>
      <c r="BS447" s="548"/>
      <c r="BT447" s="537"/>
      <c r="BU447" s="521"/>
      <c r="BV447" s="521"/>
      <c r="BW447" s="521"/>
      <c r="BX447" s="521"/>
      <c r="BY447" s="521"/>
      <c r="BZ447" s="521"/>
      <c r="CA447" s="521"/>
      <c r="CB447" s="521"/>
      <c r="CC447" s="521"/>
      <c r="CD447" s="521"/>
      <c r="CE447" s="521"/>
      <c r="CF447" s="521"/>
      <c r="CG447" s="521"/>
      <c r="CH447" s="521"/>
      <c r="CI447" s="521"/>
      <c r="CJ447" s="521"/>
      <c r="CK447" s="521"/>
      <c r="CL447" s="518"/>
      <c r="CM447" s="523"/>
      <c r="CN447" s="523"/>
      <c r="CO447" s="524"/>
      <c r="CP447" s="524"/>
      <c r="CQ447" s="518"/>
      <c r="CR447" s="518"/>
      <c r="CS447" s="518"/>
      <c r="CT447" s="518"/>
      <c r="CU447" s="518"/>
      <c r="CV447" s="518"/>
      <c r="CW447" s="518"/>
      <c r="CX447" s="518"/>
      <c r="CY447" s="518"/>
      <c r="CZ447" s="519"/>
      <c r="DA447" s="527"/>
      <c r="DB447" s="520"/>
      <c r="DC447" s="525"/>
      <c r="DD447" s="531"/>
      <c r="DE447" s="593"/>
      <c r="DF447" s="518"/>
      <c r="DG447" s="518"/>
      <c r="DH447" s="518"/>
      <c r="DI447" s="519"/>
      <c r="DJ447" s="560"/>
      <c r="DK447" s="522"/>
      <c r="DL447" s="522"/>
      <c r="DM447" s="522"/>
      <c r="DN447" s="522"/>
      <c r="DO447" s="522"/>
      <c r="DP447" s="518"/>
      <c r="DQ447" s="518"/>
      <c r="DR447" s="518"/>
      <c r="DS447" s="518"/>
      <c r="DT447" s="518"/>
      <c r="DU447" s="519"/>
      <c r="DV447" s="527"/>
      <c r="DW447" s="518"/>
      <c r="DX447" s="518"/>
      <c r="DY447" s="520"/>
      <c r="DZ447" s="520"/>
      <c r="EA447" s="519"/>
      <c r="EB447" s="527"/>
      <c r="EC447" s="520"/>
      <c r="ED447" s="520"/>
      <c r="EE447" s="519"/>
      <c r="EF447" s="550"/>
      <c r="EG447" s="537"/>
      <c r="EH447" s="521"/>
      <c r="EI447" s="521"/>
      <c r="EJ447" s="521"/>
      <c r="EK447" s="521"/>
      <c r="EL447" s="521"/>
      <c r="EM447" s="521"/>
      <c r="EN447" s="521"/>
      <c r="EO447" s="521"/>
      <c r="EP447" s="521"/>
      <c r="EQ447" s="521"/>
      <c r="ER447" s="521"/>
      <c r="ES447" s="521"/>
      <c r="ET447" s="521"/>
      <c r="EU447" s="521"/>
      <c r="EV447" s="521"/>
      <c r="EW447" s="521"/>
      <c r="EX447" s="521"/>
      <c r="EY447" s="518"/>
      <c r="EZ447" s="523"/>
      <c r="FA447" s="523"/>
      <c r="FB447" s="524"/>
      <c r="FC447" s="524"/>
      <c r="FD447" s="518"/>
      <c r="FE447" s="518"/>
      <c r="FF447" s="518"/>
      <c r="FG447" s="518"/>
      <c r="FH447" s="518"/>
      <c r="FI447" s="518"/>
      <c r="FJ447" s="518"/>
      <c r="FK447" s="518"/>
      <c r="FL447" s="518"/>
      <c r="FM447" s="519"/>
    </row>
    <row r="448" spans="1:169" x14ac:dyDescent="0.25">
      <c r="A448" s="284"/>
      <c r="B448" s="317"/>
      <c r="C448" s="297"/>
      <c r="D448" s="298"/>
      <c r="E448" s="299"/>
      <c r="F448" s="340"/>
      <c r="G448" s="298"/>
      <c r="H448" s="299"/>
      <c r="I448" s="300"/>
      <c r="J448" s="370"/>
      <c r="K448" s="328"/>
      <c r="L448" s="300"/>
      <c r="M448" s="328"/>
      <c r="N448" s="331"/>
      <c r="O448" s="301"/>
      <c r="P448" s="301"/>
      <c r="Q448" s="328"/>
      <c r="R448" s="620"/>
      <c r="S448" s="512"/>
      <c r="T448" s="512"/>
      <c r="U448" s="513"/>
      <c r="V448" s="514"/>
      <c r="W448" s="512"/>
      <c r="X448" s="513"/>
      <c r="Y448" s="514"/>
      <c r="Z448" s="513"/>
      <c r="AA448" s="515"/>
      <c r="AB448" s="516"/>
      <c r="AC448" s="513"/>
      <c r="AD448" s="544"/>
      <c r="AE448" s="516"/>
      <c r="AF448" s="513"/>
      <c r="AG448" s="551"/>
      <c r="AH448" s="595"/>
      <c r="AI448" s="517"/>
      <c r="AJ448" s="518"/>
      <c r="AK448" s="518"/>
      <c r="AL448" s="518"/>
      <c r="AM448" s="519"/>
      <c r="AN448" s="517"/>
      <c r="AO448" s="520"/>
      <c r="AP448" s="525"/>
      <c r="AQ448" s="531"/>
      <c r="AR448" s="593"/>
      <c r="AS448" s="518"/>
      <c r="AT448" s="518"/>
      <c r="AU448" s="518"/>
      <c r="AV448" s="519"/>
      <c r="AW448" s="560"/>
      <c r="AX448" s="522"/>
      <c r="AY448" s="522"/>
      <c r="AZ448" s="522"/>
      <c r="BA448" s="522"/>
      <c r="BB448" s="522"/>
      <c r="BC448" s="518"/>
      <c r="BD448" s="518"/>
      <c r="BE448" s="518"/>
      <c r="BF448" s="518"/>
      <c r="BG448" s="518"/>
      <c r="BH448" s="519"/>
      <c r="BI448" s="527"/>
      <c r="BJ448" s="518"/>
      <c r="BK448" s="518"/>
      <c r="BL448" s="520"/>
      <c r="BM448" s="520"/>
      <c r="BN448" s="519"/>
      <c r="BO448" s="517"/>
      <c r="BP448" s="520"/>
      <c r="BQ448" s="520"/>
      <c r="BR448" s="519"/>
      <c r="BS448" s="548"/>
      <c r="BT448" s="537"/>
      <c r="BU448" s="521"/>
      <c r="BV448" s="521"/>
      <c r="BW448" s="521"/>
      <c r="BX448" s="521"/>
      <c r="BY448" s="521"/>
      <c r="BZ448" s="521"/>
      <c r="CA448" s="521"/>
      <c r="CB448" s="521"/>
      <c r="CC448" s="521"/>
      <c r="CD448" s="521"/>
      <c r="CE448" s="521"/>
      <c r="CF448" s="521"/>
      <c r="CG448" s="521"/>
      <c r="CH448" s="521"/>
      <c r="CI448" s="521"/>
      <c r="CJ448" s="521"/>
      <c r="CK448" s="521"/>
      <c r="CL448" s="518"/>
      <c r="CM448" s="523"/>
      <c r="CN448" s="523"/>
      <c r="CO448" s="524"/>
      <c r="CP448" s="524"/>
      <c r="CQ448" s="518"/>
      <c r="CR448" s="518"/>
      <c r="CS448" s="518"/>
      <c r="CT448" s="518"/>
      <c r="CU448" s="518"/>
      <c r="CV448" s="518"/>
      <c r="CW448" s="518"/>
      <c r="CX448" s="518"/>
      <c r="CY448" s="518"/>
      <c r="CZ448" s="519"/>
      <c r="DA448" s="527"/>
      <c r="DB448" s="520"/>
      <c r="DC448" s="525"/>
      <c r="DD448" s="531"/>
      <c r="DE448" s="593"/>
      <c r="DF448" s="518"/>
      <c r="DG448" s="518"/>
      <c r="DH448" s="518"/>
      <c r="DI448" s="519"/>
      <c r="DJ448" s="560"/>
      <c r="DK448" s="522"/>
      <c r="DL448" s="522"/>
      <c r="DM448" s="522"/>
      <c r="DN448" s="522"/>
      <c r="DO448" s="522"/>
      <c r="DP448" s="518"/>
      <c r="DQ448" s="518"/>
      <c r="DR448" s="518"/>
      <c r="DS448" s="518"/>
      <c r="DT448" s="518"/>
      <c r="DU448" s="519"/>
      <c r="DV448" s="527"/>
      <c r="DW448" s="518"/>
      <c r="DX448" s="518"/>
      <c r="DY448" s="520"/>
      <c r="DZ448" s="520"/>
      <c r="EA448" s="519"/>
      <c r="EB448" s="527"/>
      <c r="EC448" s="520"/>
      <c r="ED448" s="520"/>
      <c r="EE448" s="519"/>
      <c r="EF448" s="550"/>
      <c r="EG448" s="537"/>
      <c r="EH448" s="521"/>
      <c r="EI448" s="521"/>
      <c r="EJ448" s="521"/>
      <c r="EK448" s="521"/>
      <c r="EL448" s="521"/>
      <c r="EM448" s="521"/>
      <c r="EN448" s="521"/>
      <c r="EO448" s="521"/>
      <c r="EP448" s="521"/>
      <c r="EQ448" s="521"/>
      <c r="ER448" s="521"/>
      <c r="ES448" s="521"/>
      <c r="ET448" s="521"/>
      <c r="EU448" s="521"/>
      <c r="EV448" s="521"/>
      <c r="EW448" s="521"/>
      <c r="EX448" s="521"/>
      <c r="EY448" s="518"/>
      <c r="EZ448" s="523"/>
      <c r="FA448" s="523"/>
      <c r="FB448" s="524"/>
      <c r="FC448" s="524"/>
      <c r="FD448" s="518"/>
      <c r="FE448" s="518"/>
      <c r="FF448" s="518"/>
      <c r="FG448" s="518"/>
      <c r="FH448" s="518"/>
      <c r="FI448" s="518"/>
      <c r="FJ448" s="518"/>
      <c r="FK448" s="518"/>
      <c r="FL448" s="518"/>
      <c r="FM448" s="519"/>
    </row>
    <row r="449" spans="1:169" x14ac:dyDescent="0.25">
      <c r="A449" s="284"/>
      <c r="B449" s="317"/>
      <c r="C449" s="297"/>
      <c r="D449" s="298"/>
      <c r="E449" s="299"/>
      <c r="F449" s="340"/>
      <c r="G449" s="298"/>
      <c r="H449" s="299"/>
      <c r="I449" s="300"/>
      <c r="J449" s="370"/>
      <c r="K449" s="328"/>
      <c r="L449" s="300"/>
      <c r="M449" s="328"/>
      <c r="N449" s="331"/>
      <c r="O449" s="301"/>
      <c r="P449" s="301"/>
      <c r="Q449" s="328"/>
      <c r="R449" s="620"/>
      <c r="S449" s="512"/>
      <c r="T449" s="512"/>
      <c r="U449" s="513"/>
      <c r="V449" s="514"/>
      <c r="W449" s="512"/>
      <c r="X449" s="513"/>
      <c r="Y449" s="514"/>
      <c r="Z449" s="513"/>
      <c r="AA449" s="515"/>
      <c r="AB449" s="516"/>
      <c r="AC449" s="513"/>
      <c r="AD449" s="544"/>
      <c r="AE449" s="516"/>
      <c r="AF449" s="513"/>
      <c r="AG449" s="551"/>
      <c r="AH449" s="595"/>
      <c r="AI449" s="517"/>
      <c r="AJ449" s="518"/>
      <c r="AK449" s="518"/>
      <c r="AL449" s="518"/>
      <c r="AM449" s="519"/>
      <c r="AN449" s="517"/>
      <c r="AO449" s="520"/>
      <c r="AP449" s="525"/>
      <c r="AQ449" s="531"/>
      <c r="AR449" s="593"/>
      <c r="AS449" s="518"/>
      <c r="AT449" s="518"/>
      <c r="AU449" s="518"/>
      <c r="AV449" s="519"/>
      <c r="AW449" s="560"/>
      <c r="AX449" s="522"/>
      <c r="AY449" s="522"/>
      <c r="AZ449" s="522"/>
      <c r="BA449" s="522"/>
      <c r="BB449" s="522"/>
      <c r="BC449" s="518"/>
      <c r="BD449" s="518"/>
      <c r="BE449" s="518"/>
      <c r="BF449" s="518"/>
      <c r="BG449" s="518"/>
      <c r="BH449" s="519"/>
      <c r="BI449" s="527"/>
      <c r="BJ449" s="518"/>
      <c r="BK449" s="518"/>
      <c r="BL449" s="520"/>
      <c r="BM449" s="520"/>
      <c r="BN449" s="519"/>
      <c r="BO449" s="517"/>
      <c r="BP449" s="520"/>
      <c r="BQ449" s="520"/>
      <c r="BR449" s="519"/>
      <c r="BS449" s="548"/>
      <c r="BT449" s="537"/>
      <c r="BU449" s="521"/>
      <c r="BV449" s="521"/>
      <c r="BW449" s="521"/>
      <c r="BX449" s="521"/>
      <c r="BY449" s="521"/>
      <c r="BZ449" s="521"/>
      <c r="CA449" s="521"/>
      <c r="CB449" s="521"/>
      <c r="CC449" s="521"/>
      <c r="CD449" s="521"/>
      <c r="CE449" s="521"/>
      <c r="CF449" s="521"/>
      <c r="CG449" s="521"/>
      <c r="CH449" s="521"/>
      <c r="CI449" s="521"/>
      <c r="CJ449" s="521"/>
      <c r="CK449" s="521"/>
      <c r="CL449" s="518"/>
      <c r="CM449" s="523"/>
      <c r="CN449" s="523"/>
      <c r="CO449" s="524"/>
      <c r="CP449" s="524"/>
      <c r="CQ449" s="518"/>
      <c r="CR449" s="518"/>
      <c r="CS449" s="518"/>
      <c r="CT449" s="518"/>
      <c r="CU449" s="518"/>
      <c r="CV449" s="518"/>
      <c r="CW449" s="518"/>
      <c r="CX449" s="518"/>
      <c r="CY449" s="518"/>
      <c r="CZ449" s="519"/>
      <c r="DA449" s="527"/>
      <c r="DB449" s="520"/>
      <c r="DC449" s="525"/>
      <c r="DD449" s="531"/>
      <c r="DE449" s="593"/>
      <c r="DF449" s="518"/>
      <c r="DG449" s="518"/>
      <c r="DH449" s="518"/>
      <c r="DI449" s="519"/>
      <c r="DJ449" s="560"/>
      <c r="DK449" s="522"/>
      <c r="DL449" s="522"/>
      <c r="DM449" s="522"/>
      <c r="DN449" s="522"/>
      <c r="DO449" s="522"/>
      <c r="DP449" s="518"/>
      <c r="DQ449" s="518"/>
      <c r="DR449" s="518"/>
      <c r="DS449" s="518"/>
      <c r="DT449" s="518"/>
      <c r="DU449" s="519"/>
      <c r="DV449" s="527"/>
      <c r="DW449" s="518"/>
      <c r="DX449" s="518"/>
      <c r="DY449" s="520"/>
      <c r="DZ449" s="520"/>
      <c r="EA449" s="519"/>
      <c r="EB449" s="527"/>
      <c r="EC449" s="520"/>
      <c r="ED449" s="520"/>
      <c r="EE449" s="519"/>
      <c r="EF449" s="550"/>
      <c r="EG449" s="537"/>
      <c r="EH449" s="521"/>
      <c r="EI449" s="521"/>
      <c r="EJ449" s="521"/>
      <c r="EK449" s="521"/>
      <c r="EL449" s="521"/>
      <c r="EM449" s="521"/>
      <c r="EN449" s="521"/>
      <c r="EO449" s="521"/>
      <c r="EP449" s="521"/>
      <c r="EQ449" s="521"/>
      <c r="ER449" s="521"/>
      <c r="ES449" s="521"/>
      <c r="ET449" s="521"/>
      <c r="EU449" s="521"/>
      <c r="EV449" s="521"/>
      <c r="EW449" s="521"/>
      <c r="EX449" s="521"/>
      <c r="EY449" s="518"/>
      <c r="EZ449" s="523"/>
      <c r="FA449" s="523"/>
      <c r="FB449" s="524"/>
      <c r="FC449" s="524"/>
      <c r="FD449" s="518"/>
      <c r="FE449" s="518"/>
      <c r="FF449" s="518"/>
      <c r="FG449" s="518"/>
      <c r="FH449" s="518"/>
      <c r="FI449" s="518"/>
      <c r="FJ449" s="518"/>
      <c r="FK449" s="518"/>
      <c r="FL449" s="518"/>
      <c r="FM449" s="519"/>
    </row>
    <row r="450" spans="1:169" x14ac:dyDescent="0.25">
      <c r="A450" s="284"/>
      <c r="B450" s="317"/>
      <c r="C450" s="297"/>
      <c r="D450" s="298"/>
      <c r="E450" s="299"/>
      <c r="F450" s="340"/>
      <c r="G450" s="298"/>
      <c r="H450" s="299"/>
      <c r="I450" s="300"/>
      <c r="J450" s="370"/>
      <c r="K450" s="328"/>
      <c r="L450" s="300"/>
      <c r="M450" s="328"/>
      <c r="N450" s="331"/>
      <c r="O450" s="301"/>
      <c r="P450" s="301"/>
      <c r="Q450" s="328"/>
      <c r="R450" s="620"/>
      <c r="S450" s="512"/>
      <c r="T450" s="512"/>
      <c r="U450" s="513"/>
      <c r="V450" s="514"/>
      <c r="W450" s="512"/>
      <c r="X450" s="513"/>
      <c r="Y450" s="514"/>
      <c r="Z450" s="513"/>
      <c r="AA450" s="515"/>
      <c r="AB450" s="516"/>
      <c r="AC450" s="513"/>
      <c r="AD450" s="544"/>
      <c r="AE450" s="516"/>
      <c r="AF450" s="513"/>
      <c r="AG450" s="551"/>
      <c r="AH450" s="595"/>
      <c r="AI450" s="517"/>
      <c r="AJ450" s="518"/>
      <c r="AK450" s="518"/>
      <c r="AL450" s="518"/>
      <c r="AM450" s="519"/>
      <c r="AN450" s="517"/>
      <c r="AO450" s="520"/>
      <c r="AP450" s="525"/>
      <c r="AQ450" s="531"/>
      <c r="AR450" s="593"/>
      <c r="AS450" s="518"/>
      <c r="AT450" s="518"/>
      <c r="AU450" s="518"/>
      <c r="AV450" s="519"/>
      <c r="AW450" s="560"/>
      <c r="AX450" s="522"/>
      <c r="AY450" s="522"/>
      <c r="AZ450" s="522"/>
      <c r="BA450" s="522"/>
      <c r="BB450" s="522"/>
      <c r="BC450" s="518"/>
      <c r="BD450" s="518"/>
      <c r="BE450" s="518"/>
      <c r="BF450" s="518"/>
      <c r="BG450" s="518"/>
      <c r="BH450" s="519"/>
      <c r="BI450" s="527"/>
      <c r="BJ450" s="518"/>
      <c r="BK450" s="518"/>
      <c r="BL450" s="520"/>
      <c r="BM450" s="520"/>
      <c r="BN450" s="519"/>
      <c r="BO450" s="517"/>
      <c r="BP450" s="520"/>
      <c r="BQ450" s="520"/>
      <c r="BR450" s="519"/>
      <c r="BS450" s="548"/>
      <c r="BT450" s="537"/>
      <c r="BU450" s="521"/>
      <c r="BV450" s="521"/>
      <c r="BW450" s="521"/>
      <c r="BX450" s="521"/>
      <c r="BY450" s="521"/>
      <c r="BZ450" s="521"/>
      <c r="CA450" s="521"/>
      <c r="CB450" s="521"/>
      <c r="CC450" s="521"/>
      <c r="CD450" s="521"/>
      <c r="CE450" s="521"/>
      <c r="CF450" s="521"/>
      <c r="CG450" s="521"/>
      <c r="CH450" s="521"/>
      <c r="CI450" s="521"/>
      <c r="CJ450" s="521"/>
      <c r="CK450" s="521"/>
      <c r="CL450" s="518"/>
      <c r="CM450" s="523"/>
      <c r="CN450" s="523"/>
      <c r="CO450" s="524"/>
      <c r="CP450" s="524"/>
      <c r="CQ450" s="518"/>
      <c r="CR450" s="518"/>
      <c r="CS450" s="518"/>
      <c r="CT450" s="518"/>
      <c r="CU450" s="518"/>
      <c r="CV450" s="518"/>
      <c r="CW450" s="518"/>
      <c r="CX450" s="518"/>
      <c r="CY450" s="518"/>
      <c r="CZ450" s="519"/>
      <c r="DA450" s="527"/>
      <c r="DB450" s="520"/>
      <c r="DC450" s="525"/>
      <c r="DD450" s="531"/>
      <c r="DE450" s="593"/>
      <c r="DF450" s="518"/>
      <c r="DG450" s="518"/>
      <c r="DH450" s="518"/>
      <c r="DI450" s="519"/>
      <c r="DJ450" s="560"/>
      <c r="DK450" s="522"/>
      <c r="DL450" s="522"/>
      <c r="DM450" s="522"/>
      <c r="DN450" s="522"/>
      <c r="DO450" s="522"/>
      <c r="DP450" s="518"/>
      <c r="DQ450" s="518"/>
      <c r="DR450" s="518"/>
      <c r="DS450" s="518"/>
      <c r="DT450" s="518"/>
      <c r="DU450" s="519"/>
      <c r="DV450" s="527"/>
      <c r="DW450" s="518"/>
      <c r="DX450" s="518"/>
      <c r="DY450" s="520"/>
      <c r="DZ450" s="520"/>
      <c r="EA450" s="519"/>
      <c r="EB450" s="527"/>
      <c r="EC450" s="520"/>
      <c r="ED450" s="520"/>
      <c r="EE450" s="519"/>
      <c r="EF450" s="550"/>
      <c r="EG450" s="537"/>
      <c r="EH450" s="521"/>
      <c r="EI450" s="521"/>
      <c r="EJ450" s="521"/>
      <c r="EK450" s="521"/>
      <c r="EL450" s="521"/>
      <c r="EM450" s="521"/>
      <c r="EN450" s="521"/>
      <c r="EO450" s="521"/>
      <c r="EP450" s="521"/>
      <c r="EQ450" s="521"/>
      <c r="ER450" s="521"/>
      <c r="ES450" s="521"/>
      <c r="ET450" s="521"/>
      <c r="EU450" s="521"/>
      <c r="EV450" s="521"/>
      <c r="EW450" s="521"/>
      <c r="EX450" s="521"/>
      <c r="EY450" s="518"/>
      <c r="EZ450" s="523"/>
      <c r="FA450" s="523"/>
      <c r="FB450" s="524"/>
      <c r="FC450" s="524"/>
      <c r="FD450" s="518"/>
      <c r="FE450" s="518"/>
      <c r="FF450" s="518"/>
      <c r="FG450" s="518"/>
      <c r="FH450" s="518"/>
      <c r="FI450" s="518"/>
      <c r="FJ450" s="518"/>
      <c r="FK450" s="518"/>
      <c r="FL450" s="518"/>
      <c r="FM450" s="519"/>
    </row>
    <row r="451" spans="1:169" x14ac:dyDescent="0.25">
      <c r="A451" s="284"/>
      <c r="B451" s="317"/>
      <c r="C451" s="297"/>
      <c r="D451" s="298"/>
      <c r="E451" s="299"/>
      <c r="F451" s="340"/>
      <c r="G451" s="298"/>
      <c r="H451" s="299"/>
      <c r="I451" s="300"/>
      <c r="J451" s="370"/>
      <c r="K451" s="328"/>
      <c r="L451" s="300"/>
      <c r="M451" s="328"/>
      <c r="N451" s="331"/>
      <c r="O451" s="301"/>
      <c r="P451" s="301"/>
      <c r="Q451" s="328"/>
      <c r="R451" s="620"/>
      <c r="S451" s="512"/>
      <c r="T451" s="512"/>
      <c r="U451" s="513"/>
      <c r="V451" s="514"/>
      <c r="W451" s="512"/>
      <c r="X451" s="513"/>
      <c r="Y451" s="514"/>
      <c r="Z451" s="513"/>
      <c r="AA451" s="515"/>
      <c r="AB451" s="516"/>
      <c r="AC451" s="513"/>
      <c r="AD451" s="544"/>
      <c r="AE451" s="516"/>
      <c r="AF451" s="513"/>
      <c r="AG451" s="551"/>
      <c r="AH451" s="595"/>
      <c r="AI451" s="517"/>
      <c r="AJ451" s="518"/>
      <c r="AK451" s="518"/>
      <c r="AL451" s="518"/>
      <c r="AM451" s="519"/>
      <c r="AN451" s="517"/>
      <c r="AO451" s="520"/>
      <c r="AP451" s="525"/>
      <c r="AQ451" s="531"/>
      <c r="AR451" s="593"/>
      <c r="AS451" s="518"/>
      <c r="AT451" s="518"/>
      <c r="AU451" s="518"/>
      <c r="AV451" s="519"/>
      <c r="AW451" s="560"/>
      <c r="AX451" s="522"/>
      <c r="AY451" s="522"/>
      <c r="AZ451" s="522"/>
      <c r="BA451" s="522"/>
      <c r="BB451" s="522"/>
      <c r="BC451" s="518"/>
      <c r="BD451" s="518"/>
      <c r="BE451" s="518"/>
      <c r="BF451" s="518"/>
      <c r="BG451" s="518"/>
      <c r="BH451" s="519"/>
      <c r="BI451" s="527"/>
      <c r="BJ451" s="518"/>
      <c r="BK451" s="518"/>
      <c r="BL451" s="520"/>
      <c r="BM451" s="520"/>
      <c r="BN451" s="519"/>
      <c r="BO451" s="517"/>
      <c r="BP451" s="520"/>
      <c r="BQ451" s="520"/>
      <c r="BR451" s="519"/>
      <c r="BS451" s="548"/>
      <c r="BT451" s="537"/>
      <c r="BU451" s="521"/>
      <c r="BV451" s="521"/>
      <c r="BW451" s="521"/>
      <c r="BX451" s="521"/>
      <c r="BY451" s="521"/>
      <c r="BZ451" s="521"/>
      <c r="CA451" s="521"/>
      <c r="CB451" s="521"/>
      <c r="CC451" s="521"/>
      <c r="CD451" s="521"/>
      <c r="CE451" s="521"/>
      <c r="CF451" s="521"/>
      <c r="CG451" s="521"/>
      <c r="CH451" s="521"/>
      <c r="CI451" s="521"/>
      <c r="CJ451" s="521"/>
      <c r="CK451" s="521"/>
      <c r="CL451" s="518"/>
      <c r="CM451" s="523"/>
      <c r="CN451" s="523"/>
      <c r="CO451" s="524"/>
      <c r="CP451" s="524"/>
      <c r="CQ451" s="518"/>
      <c r="CR451" s="518"/>
      <c r="CS451" s="518"/>
      <c r="CT451" s="518"/>
      <c r="CU451" s="518"/>
      <c r="CV451" s="518"/>
      <c r="CW451" s="518"/>
      <c r="CX451" s="518"/>
      <c r="CY451" s="518"/>
      <c r="CZ451" s="519"/>
      <c r="DA451" s="527"/>
      <c r="DB451" s="520"/>
      <c r="DC451" s="525"/>
      <c r="DD451" s="531"/>
      <c r="DE451" s="593"/>
      <c r="DF451" s="518"/>
      <c r="DG451" s="518"/>
      <c r="DH451" s="518"/>
      <c r="DI451" s="519"/>
      <c r="DJ451" s="560"/>
      <c r="DK451" s="522"/>
      <c r="DL451" s="522"/>
      <c r="DM451" s="522"/>
      <c r="DN451" s="522"/>
      <c r="DO451" s="522"/>
      <c r="DP451" s="518"/>
      <c r="DQ451" s="518"/>
      <c r="DR451" s="518"/>
      <c r="DS451" s="518"/>
      <c r="DT451" s="518"/>
      <c r="DU451" s="519"/>
      <c r="DV451" s="527"/>
      <c r="DW451" s="518"/>
      <c r="DX451" s="518"/>
      <c r="DY451" s="520"/>
      <c r="DZ451" s="520"/>
      <c r="EA451" s="519"/>
      <c r="EB451" s="527"/>
      <c r="EC451" s="520"/>
      <c r="ED451" s="520"/>
      <c r="EE451" s="519"/>
      <c r="EF451" s="550"/>
      <c r="EG451" s="537"/>
      <c r="EH451" s="521"/>
      <c r="EI451" s="521"/>
      <c r="EJ451" s="521"/>
      <c r="EK451" s="521"/>
      <c r="EL451" s="521"/>
      <c r="EM451" s="521"/>
      <c r="EN451" s="521"/>
      <c r="EO451" s="521"/>
      <c r="EP451" s="521"/>
      <c r="EQ451" s="521"/>
      <c r="ER451" s="521"/>
      <c r="ES451" s="521"/>
      <c r="ET451" s="521"/>
      <c r="EU451" s="521"/>
      <c r="EV451" s="521"/>
      <c r="EW451" s="521"/>
      <c r="EX451" s="521"/>
      <c r="EY451" s="518"/>
      <c r="EZ451" s="523"/>
      <c r="FA451" s="523"/>
      <c r="FB451" s="524"/>
      <c r="FC451" s="524"/>
      <c r="FD451" s="518"/>
      <c r="FE451" s="518"/>
      <c r="FF451" s="518"/>
      <c r="FG451" s="518"/>
      <c r="FH451" s="518"/>
      <c r="FI451" s="518"/>
      <c r="FJ451" s="518"/>
      <c r="FK451" s="518"/>
      <c r="FL451" s="518"/>
      <c r="FM451" s="519"/>
    </row>
    <row r="452" spans="1:169" x14ac:dyDescent="0.25">
      <c r="A452" s="284"/>
      <c r="B452" s="317"/>
      <c r="C452" s="297"/>
      <c r="D452" s="298"/>
      <c r="E452" s="299"/>
      <c r="F452" s="340"/>
      <c r="G452" s="298"/>
      <c r="H452" s="299"/>
      <c r="I452" s="300"/>
      <c r="J452" s="370"/>
      <c r="K452" s="328"/>
      <c r="L452" s="300"/>
      <c r="M452" s="328"/>
      <c r="N452" s="331"/>
      <c r="O452" s="301"/>
      <c r="P452" s="301"/>
      <c r="Q452" s="328"/>
      <c r="R452" s="620"/>
      <c r="S452" s="512"/>
      <c r="T452" s="512"/>
      <c r="U452" s="513"/>
      <c r="V452" s="514"/>
      <c r="W452" s="512"/>
      <c r="X452" s="513"/>
      <c r="Y452" s="514"/>
      <c r="Z452" s="513"/>
      <c r="AA452" s="515"/>
      <c r="AB452" s="516"/>
      <c r="AC452" s="513"/>
      <c r="AD452" s="544"/>
      <c r="AE452" s="516"/>
      <c r="AF452" s="513"/>
      <c r="AG452" s="551"/>
      <c r="AH452" s="595"/>
      <c r="AI452" s="517"/>
      <c r="AJ452" s="518"/>
      <c r="AK452" s="518"/>
      <c r="AL452" s="518"/>
      <c r="AM452" s="519"/>
      <c r="AN452" s="517"/>
      <c r="AO452" s="520"/>
      <c r="AP452" s="525"/>
      <c r="AQ452" s="531"/>
      <c r="AR452" s="593"/>
      <c r="AS452" s="518"/>
      <c r="AT452" s="518"/>
      <c r="AU452" s="518"/>
      <c r="AV452" s="519"/>
      <c r="AW452" s="560"/>
      <c r="AX452" s="522"/>
      <c r="AY452" s="522"/>
      <c r="AZ452" s="522"/>
      <c r="BA452" s="522"/>
      <c r="BB452" s="522"/>
      <c r="BC452" s="518"/>
      <c r="BD452" s="518"/>
      <c r="BE452" s="518"/>
      <c r="BF452" s="518"/>
      <c r="BG452" s="518"/>
      <c r="BH452" s="519"/>
      <c r="BI452" s="527"/>
      <c r="BJ452" s="518"/>
      <c r="BK452" s="518"/>
      <c r="BL452" s="520"/>
      <c r="BM452" s="520"/>
      <c r="BN452" s="519"/>
      <c r="BO452" s="517"/>
      <c r="BP452" s="520"/>
      <c r="BQ452" s="520"/>
      <c r="BR452" s="519"/>
      <c r="BS452" s="548"/>
      <c r="BT452" s="537"/>
      <c r="BU452" s="521"/>
      <c r="BV452" s="521"/>
      <c r="BW452" s="521"/>
      <c r="BX452" s="521"/>
      <c r="BY452" s="521"/>
      <c r="BZ452" s="521"/>
      <c r="CA452" s="521"/>
      <c r="CB452" s="521"/>
      <c r="CC452" s="521"/>
      <c r="CD452" s="521"/>
      <c r="CE452" s="521"/>
      <c r="CF452" s="521"/>
      <c r="CG452" s="521"/>
      <c r="CH452" s="521"/>
      <c r="CI452" s="521"/>
      <c r="CJ452" s="521"/>
      <c r="CK452" s="521"/>
      <c r="CL452" s="518"/>
      <c r="CM452" s="523"/>
      <c r="CN452" s="523"/>
      <c r="CO452" s="524"/>
      <c r="CP452" s="524"/>
      <c r="CQ452" s="518"/>
      <c r="CR452" s="518"/>
      <c r="CS452" s="518"/>
      <c r="CT452" s="518"/>
      <c r="CU452" s="518"/>
      <c r="CV452" s="518"/>
      <c r="CW452" s="518"/>
      <c r="CX452" s="518"/>
      <c r="CY452" s="518"/>
      <c r="CZ452" s="519"/>
      <c r="DA452" s="527"/>
      <c r="DB452" s="520"/>
      <c r="DC452" s="525"/>
      <c r="DD452" s="531"/>
      <c r="DE452" s="593"/>
      <c r="DF452" s="518"/>
      <c r="DG452" s="518"/>
      <c r="DH452" s="518"/>
      <c r="DI452" s="519"/>
      <c r="DJ452" s="560"/>
      <c r="DK452" s="522"/>
      <c r="DL452" s="522"/>
      <c r="DM452" s="522"/>
      <c r="DN452" s="522"/>
      <c r="DO452" s="522"/>
      <c r="DP452" s="518"/>
      <c r="DQ452" s="518"/>
      <c r="DR452" s="518"/>
      <c r="DS452" s="518"/>
      <c r="DT452" s="518"/>
      <c r="DU452" s="519"/>
      <c r="DV452" s="527"/>
      <c r="DW452" s="518"/>
      <c r="DX452" s="518"/>
      <c r="DY452" s="520"/>
      <c r="DZ452" s="520"/>
      <c r="EA452" s="519"/>
      <c r="EB452" s="527"/>
      <c r="EC452" s="520"/>
      <c r="ED452" s="520"/>
      <c r="EE452" s="519"/>
      <c r="EF452" s="550"/>
      <c r="EG452" s="537"/>
      <c r="EH452" s="521"/>
      <c r="EI452" s="521"/>
      <c r="EJ452" s="521"/>
      <c r="EK452" s="521"/>
      <c r="EL452" s="521"/>
      <c r="EM452" s="521"/>
      <c r="EN452" s="521"/>
      <c r="EO452" s="521"/>
      <c r="EP452" s="521"/>
      <c r="EQ452" s="521"/>
      <c r="ER452" s="521"/>
      <c r="ES452" s="521"/>
      <c r="ET452" s="521"/>
      <c r="EU452" s="521"/>
      <c r="EV452" s="521"/>
      <c r="EW452" s="521"/>
      <c r="EX452" s="521"/>
      <c r="EY452" s="518"/>
      <c r="EZ452" s="523"/>
      <c r="FA452" s="523"/>
      <c r="FB452" s="524"/>
      <c r="FC452" s="524"/>
      <c r="FD452" s="518"/>
      <c r="FE452" s="518"/>
      <c r="FF452" s="518"/>
      <c r="FG452" s="518"/>
      <c r="FH452" s="518"/>
      <c r="FI452" s="518"/>
      <c r="FJ452" s="518"/>
      <c r="FK452" s="518"/>
      <c r="FL452" s="518"/>
      <c r="FM452" s="519"/>
    </row>
    <row r="453" spans="1:169" x14ac:dyDescent="0.25">
      <c r="A453" s="284"/>
      <c r="B453" s="317"/>
      <c r="C453" s="297"/>
      <c r="D453" s="298"/>
      <c r="E453" s="299"/>
      <c r="F453" s="340"/>
      <c r="G453" s="298"/>
      <c r="H453" s="299"/>
      <c r="I453" s="300"/>
      <c r="J453" s="370"/>
      <c r="K453" s="328"/>
      <c r="L453" s="300"/>
      <c r="M453" s="328"/>
      <c r="N453" s="331"/>
      <c r="O453" s="301"/>
      <c r="P453" s="301"/>
      <c r="Q453" s="328"/>
      <c r="R453" s="620"/>
      <c r="S453" s="512"/>
      <c r="T453" s="512"/>
      <c r="U453" s="513"/>
      <c r="V453" s="514"/>
      <c r="W453" s="512"/>
      <c r="X453" s="513"/>
      <c r="Y453" s="514"/>
      <c r="Z453" s="513"/>
      <c r="AA453" s="515"/>
      <c r="AB453" s="516"/>
      <c r="AC453" s="513"/>
      <c r="AD453" s="544"/>
      <c r="AE453" s="516"/>
      <c r="AF453" s="513"/>
      <c r="AG453" s="551"/>
      <c r="AH453" s="595"/>
      <c r="AI453" s="517"/>
      <c r="AJ453" s="518"/>
      <c r="AK453" s="518"/>
      <c r="AL453" s="518"/>
      <c r="AM453" s="519"/>
      <c r="AN453" s="517"/>
      <c r="AO453" s="520"/>
      <c r="AP453" s="525"/>
      <c r="AQ453" s="531"/>
      <c r="AR453" s="593"/>
      <c r="AS453" s="518"/>
      <c r="AT453" s="518"/>
      <c r="AU453" s="518"/>
      <c r="AV453" s="519"/>
      <c r="AW453" s="560"/>
      <c r="AX453" s="522"/>
      <c r="AY453" s="522"/>
      <c r="AZ453" s="522"/>
      <c r="BA453" s="522"/>
      <c r="BB453" s="522"/>
      <c r="BC453" s="518"/>
      <c r="BD453" s="518"/>
      <c r="BE453" s="518"/>
      <c r="BF453" s="518"/>
      <c r="BG453" s="518"/>
      <c r="BH453" s="519"/>
      <c r="BI453" s="527"/>
      <c r="BJ453" s="518"/>
      <c r="BK453" s="518"/>
      <c r="BL453" s="520"/>
      <c r="BM453" s="520"/>
      <c r="BN453" s="519"/>
      <c r="BO453" s="517"/>
      <c r="BP453" s="520"/>
      <c r="BQ453" s="520"/>
      <c r="BR453" s="519"/>
      <c r="BS453" s="548"/>
      <c r="BT453" s="537"/>
      <c r="BU453" s="521"/>
      <c r="BV453" s="521"/>
      <c r="BW453" s="521"/>
      <c r="BX453" s="521"/>
      <c r="BY453" s="521"/>
      <c r="BZ453" s="521"/>
      <c r="CA453" s="521"/>
      <c r="CB453" s="521"/>
      <c r="CC453" s="521"/>
      <c r="CD453" s="521"/>
      <c r="CE453" s="521"/>
      <c r="CF453" s="521"/>
      <c r="CG453" s="521"/>
      <c r="CH453" s="521"/>
      <c r="CI453" s="521"/>
      <c r="CJ453" s="521"/>
      <c r="CK453" s="521"/>
      <c r="CL453" s="518"/>
      <c r="CM453" s="523"/>
      <c r="CN453" s="523"/>
      <c r="CO453" s="524"/>
      <c r="CP453" s="524"/>
      <c r="CQ453" s="518"/>
      <c r="CR453" s="518"/>
      <c r="CS453" s="518"/>
      <c r="CT453" s="518"/>
      <c r="CU453" s="518"/>
      <c r="CV453" s="518"/>
      <c r="CW453" s="518"/>
      <c r="CX453" s="518"/>
      <c r="CY453" s="518"/>
      <c r="CZ453" s="519"/>
      <c r="DA453" s="527"/>
      <c r="DB453" s="520"/>
      <c r="DC453" s="525"/>
      <c r="DD453" s="531"/>
      <c r="DE453" s="593"/>
      <c r="DF453" s="518"/>
      <c r="DG453" s="518"/>
      <c r="DH453" s="518"/>
      <c r="DI453" s="519"/>
      <c r="DJ453" s="560"/>
      <c r="DK453" s="522"/>
      <c r="DL453" s="522"/>
      <c r="DM453" s="522"/>
      <c r="DN453" s="522"/>
      <c r="DO453" s="522"/>
      <c r="DP453" s="518"/>
      <c r="DQ453" s="518"/>
      <c r="DR453" s="518"/>
      <c r="DS453" s="518"/>
      <c r="DT453" s="518"/>
      <c r="DU453" s="519"/>
      <c r="DV453" s="527"/>
      <c r="DW453" s="518"/>
      <c r="DX453" s="518"/>
      <c r="DY453" s="520"/>
      <c r="DZ453" s="520"/>
      <c r="EA453" s="519"/>
      <c r="EB453" s="527"/>
      <c r="EC453" s="520"/>
      <c r="ED453" s="520"/>
      <c r="EE453" s="519"/>
      <c r="EF453" s="550"/>
      <c r="EG453" s="537"/>
      <c r="EH453" s="521"/>
      <c r="EI453" s="521"/>
      <c r="EJ453" s="521"/>
      <c r="EK453" s="521"/>
      <c r="EL453" s="521"/>
      <c r="EM453" s="521"/>
      <c r="EN453" s="521"/>
      <c r="EO453" s="521"/>
      <c r="EP453" s="521"/>
      <c r="EQ453" s="521"/>
      <c r="ER453" s="521"/>
      <c r="ES453" s="521"/>
      <c r="ET453" s="521"/>
      <c r="EU453" s="521"/>
      <c r="EV453" s="521"/>
      <c r="EW453" s="521"/>
      <c r="EX453" s="521"/>
      <c r="EY453" s="518"/>
      <c r="EZ453" s="523"/>
      <c r="FA453" s="523"/>
      <c r="FB453" s="524"/>
      <c r="FC453" s="524"/>
      <c r="FD453" s="518"/>
      <c r="FE453" s="518"/>
      <c r="FF453" s="518"/>
      <c r="FG453" s="518"/>
      <c r="FH453" s="518"/>
      <c r="FI453" s="518"/>
      <c r="FJ453" s="518"/>
      <c r="FK453" s="518"/>
      <c r="FL453" s="518"/>
      <c r="FM453" s="519"/>
    </row>
    <row r="454" spans="1:169" x14ac:dyDescent="0.25">
      <c r="A454" s="284"/>
      <c r="B454" s="317"/>
      <c r="C454" s="297"/>
      <c r="D454" s="298"/>
      <c r="E454" s="299"/>
      <c r="F454" s="340"/>
      <c r="G454" s="298"/>
      <c r="H454" s="299"/>
      <c r="I454" s="300"/>
      <c r="J454" s="370"/>
      <c r="K454" s="328"/>
      <c r="L454" s="300"/>
      <c r="M454" s="328"/>
      <c r="N454" s="331"/>
      <c r="O454" s="301"/>
      <c r="P454" s="301"/>
      <c r="Q454" s="328"/>
      <c r="R454" s="620"/>
      <c r="S454" s="512"/>
      <c r="T454" s="512"/>
      <c r="U454" s="513"/>
      <c r="V454" s="514"/>
      <c r="W454" s="512"/>
      <c r="X454" s="513"/>
      <c r="Y454" s="514"/>
      <c r="Z454" s="513"/>
      <c r="AA454" s="515"/>
      <c r="AB454" s="516"/>
      <c r="AC454" s="513"/>
      <c r="AD454" s="544"/>
      <c r="AE454" s="516"/>
      <c r="AF454" s="513"/>
      <c r="AG454" s="551"/>
      <c r="AH454" s="595"/>
      <c r="AI454" s="517"/>
      <c r="AJ454" s="518"/>
      <c r="AK454" s="518"/>
      <c r="AL454" s="518"/>
      <c r="AM454" s="519"/>
      <c r="AN454" s="517"/>
      <c r="AO454" s="520"/>
      <c r="AP454" s="525"/>
      <c r="AQ454" s="531"/>
      <c r="AR454" s="593"/>
      <c r="AS454" s="518"/>
      <c r="AT454" s="518"/>
      <c r="AU454" s="518"/>
      <c r="AV454" s="519"/>
      <c r="AW454" s="560"/>
      <c r="AX454" s="522"/>
      <c r="AY454" s="522"/>
      <c r="AZ454" s="522"/>
      <c r="BA454" s="522"/>
      <c r="BB454" s="522"/>
      <c r="BC454" s="518"/>
      <c r="BD454" s="518"/>
      <c r="BE454" s="518"/>
      <c r="BF454" s="518"/>
      <c r="BG454" s="518"/>
      <c r="BH454" s="519"/>
      <c r="BI454" s="527"/>
      <c r="BJ454" s="518"/>
      <c r="BK454" s="518"/>
      <c r="BL454" s="520"/>
      <c r="BM454" s="520"/>
      <c r="BN454" s="519"/>
      <c r="BO454" s="517"/>
      <c r="BP454" s="520"/>
      <c r="BQ454" s="520"/>
      <c r="BR454" s="519"/>
      <c r="BS454" s="548"/>
      <c r="BT454" s="537"/>
      <c r="BU454" s="521"/>
      <c r="BV454" s="521"/>
      <c r="BW454" s="521"/>
      <c r="BX454" s="521"/>
      <c r="BY454" s="521"/>
      <c r="BZ454" s="521"/>
      <c r="CA454" s="521"/>
      <c r="CB454" s="521"/>
      <c r="CC454" s="521"/>
      <c r="CD454" s="521"/>
      <c r="CE454" s="521"/>
      <c r="CF454" s="521"/>
      <c r="CG454" s="521"/>
      <c r="CH454" s="521"/>
      <c r="CI454" s="521"/>
      <c r="CJ454" s="521"/>
      <c r="CK454" s="521"/>
      <c r="CL454" s="518"/>
      <c r="CM454" s="523"/>
      <c r="CN454" s="523"/>
      <c r="CO454" s="524"/>
      <c r="CP454" s="524"/>
      <c r="CQ454" s="518"/>
      <c r="CR454" s="518"/>
      <c r="CS454" s="518"/>
      <c r="CT454" s="518"/>
      <c r="CU454" s="518"/>
      <c r="CV454" s="518"/>
      <c r="CW454" s="518"/>
      <c r="CX454" s="518"/>
      <c r="CY454" s="518"/>
      <c r="CZ454" s="519"/>
      <c r="DA454" s="527"/>
      <c r="DB454" s="520"/>
      <c r="DC454" s="525"/>
      <c r="DD454" s="531"/>
      <c r="DE454" s="593"/>
      <c r="DF454" s="518"/>
      <c r="DG454" s="518"/>
      <c r="DH454" s="518"/>
      <c r="DI454" s="519"/>
      <c r="DJ454" s="560"/>
      <c r="DK454" s="522"/>
      <c r="DL454" s="522"/>
      <c r="DM454" s="522"/>
      <c r="DN454" s="522"/>
      <c r="DO454" s="522"/>
      <c r="DP454" s="518"/>
      <c r="DQ454" s="518"/>
      <c r="DR454" s="518"/>
      <c r="DS454" s="518"/>
      <c r="DT454" s="518"/>
      <c r="DU454" s="519"/>
      <c r="DV454" s="527"/>
      <c r="DW454" s="518"/>
      <c r="DX454" s="518"/>
      <c r="DY454" s="520"/>
      <c r="DZ454" s="520"/>
      <c r="EA454" s="519"/>
      <c r="EB454" s="527"/>
      <c r="EC454" s="520"/>
      <c r="ED454" s="520"/>
      <c r="EE454" s="519"/>
      <c r="EF454" s="550"/>
      <c r="EG454" s="537"/>
      <c r="EH454" s="521"/>
      <c r="EI454" s="521"/>
      <c r="EJ454" s="521"/>
      <c r="EK454" s="521"/>
      <c r="EL454" s="521"/>
      <c r="EM454" s="521"/>
      <c r="EN454" s="521"/>
      <c r="EO454" s="521"/>
      <c r="EP454" s="521"/>
      <c r="EQ454" s="521"/>
      <c r="ER454" s="521"/>
      <c r="ES454" s="521"/>
      <c r="ET454" s="521"/>
      <c r="EU454" s="521"/>
      <c r="EV454" s="521"/>
      <c r="EW454" s="521"/>
      <c r="EX454" s="521"/>
      <c r="EY454" s="518"/>
      <c r="EZ454" s="523"/>
      <c r="FA454" s="523"/>
      <c r="FB454" s="524"/>
      <c r="FC454" s="524"/>
      <c r="FD454" s="518"/>
      <c r="FE454" s="518"/>
      <c r="FF454" s="518"/>
      <c r="FG454" s="518"/>
      <c r="FH454" s="518"/>
      <c r="FI454" s="518"/>
      <c r="FJ454" s="518"/>
      <c r="FK454" s="518"/>
      <c r="FL454" s="518"/>
      <c r="FM454" s="519"/>
    </row>
    <row r="455" spans="1:169" x14ac:dyDescent="0.25">
      <c r="A455" s="284"/>
      <c r="B455" s="317"/>
      <c r="C455" s="297"/>
      <c r="D455" s="298"/>
      <c r="E455" s="299"/>
      <c r="F455" s="340"/>
      <c r="G455" s="298"/>
      <c r="H455" s="299"/>
      <c r="I455" s="300"/>
      <c r="J455" s="370"/>
      <c r="K455" s="328"/>
      <c r="L455" s="300"/>
      <c r="M455" s="328"/>
      <c r="N455" s="331"/>
      <c r="O455" s="301"/>
      <c r="P455" s="301"/>
      <c r="Q455" s="328"/>
      <c r="R455" s="620"/>
      <c r="S455" s="512"/>
      <c r="T455" s="512"/>
      <c r="U455" s="513"/>
      <c r="V455" s="514"/>
      <c r="W455" s="512"/>
      <c r="X455" s="513"/>
      <c r="Y455" s="514"/>
      <c r="Z455" s="513"/>
      <c r="AA455" s="515"/>
      <c r="AB455" s="516"/>
      <c r="AC455" s="513"/>
      <c r="AD455" s="544"/>
      <c r="AE455" s="516"/>
      <c r="AF455" s="513"/>
      <c r="AG455" s="551"/>
      <c r="AH455" s="595"/>
      <c r="AI455" s="517"/>
      <c r="AJ455" s="518"/>
      <c r="AK455" s="518"/>
      <c r="AL455" s="518"/>
      <c r="AM455" s="519"/>
      <c r="AN455" s="517"/>
      <c r="AO455" s="520"/>
      <c r="AP455" s="525"/>
      <c r="AQ455" s="531"/>
      <c r="AR455" s="593"/>
      <c r="AS455" s="518"/>
      <c r="AT455" s="518"/>
      <c r="AU455" s="518"/>
      <c r="AV455" s="519"/>
      <c r="AW455" s="560"/>
      <c r="AX455" s="522"/>
      <c r="AY455" s="522"/>
      <c r="AZ455" s="522"/>
      <c r="BA455" s="522"/>
      <c r="BB455" s="522"/>
      <c r="BC455" s="518"/>
      <c r="BD455" s="518"/>
      <c r="BE455" s="518"/>
      <c r="BF455" s="518"/>
      <c r="BG455" s="518"/>
      <c r="BH455" s="519"/>
      <c r="BI455" s="527"/>
      <c r="BJ455" s="518"/>
      <c r="BK455" s="518"/>
      <c r="BL455" s="520"/>
      <c r="BM455" s="520"/>
      <c r="BN455" s="519"/>
      <c r="BO455" s="517"/>
      <c r="BP455" s="520"/>
      <c r="BQ455" s="520"/>
      <c r="BR455" s="519"/>
      <c r="BS455" s="548"/>
      <c r="BT455" s="537"/>
      <c r="BU455" s="521"/>
      <c r="BV455" s="521"/>
      <c r="BW455" s="521"/>
      <c r="BX455" s="521"/>
      <c r="BY455" s="521"/>
      <c r="BZ455" s="521"/>
      <c r="CA455" s="521"/>
      <c r="CB455" s="521"/>
      <c r="CC455" s="521"/>
      <c r="CD455" s="521"/>
      <c r="CE455" s="521"/>
      <c r="CF455" s="521"/>
      <c r="CG455" s="521"/>
      <c r="CH455" s="521"/>
      <c r="CI455" s="521"/>
      <c r="CJ455" s="521"/>
      <c r="CK455" s="521"/>
      <c r="CL455" s="518"/>
      <c r="CM455" s="523"/>
      <c r="CN455" s="523"/>
      <c r="CO455" s="524"/>
      <c r="CP455" s="524"/>
      <c r="CQ455" s="518"/>
      <c r="CR455" s="518"/>
      <c r="CS455" s="518"/>
      <c r="CT455" s="518"/>
      <c r="CU455" s="518"/>
      <c r="CV455" s="518"/>
      <c r="CW455" s="518"/>
      <c r="CX455" s="518"/>
      <c r="CY455" s="518"/>
      <c r="CZ455" s="519"/>
      <c r="DA455" s="527"/>
      <c r="DB455" s="520"/>
      <c r="DC455" s="525"/>
      <c r="DD455" s="531"/>
      <c r="DE455" s="593"/>
      <c r="DF455" s="518"/>
      <c r="DG455" s="518"/>
      <c r="DH455" s="518"/>
      <c r="DI455" s="519"/>
      <c r="DJ455" s="560"/>
      <c r="DK455" s="522"/>
      <c r="DL455" s="522"/>
      <c r="DM455" s="522"/>
      <c r="DN455" s="522"/>
      <c r="DO455" s="522"/>
      <c r="DP455" s="518"/>
      <c r="DQ455" s="518"/>
      <c r="DR455" s="518"/>
      <c r="DS455" s="518"/>
      <c r="DT455" s="518"/>
      <c r="DU455" s="519"/>
      <c r="DV455" s="527"/>
      <c r="DW455" s="518"/>
      <c r="DX455" s="518"/>
      <c r="DY455" s="520"/>
      <c r="DZ455" s="520"/>
      <c r="EA455" s="519"/>
      <c r="EB455" s="527"/>
      <c r="EC455" s="520"/>
      <c r="ED455" s="520"/>
      <c r="EE455" s="519"/>
      <c r="EF455" s="550"/>
      <c r="EG455" s="537"/>
      <c r="EH455" s="521"/>
      <c r="EI455" s="521"/>
      <c r="EJ455" s="521"/>
      <c r="EK455" s="521"/>
      <c r="EL455" s="521"/>
      <c r="EM455" s="521"/>
      <c r="EN455" s="521"/>
      <c r="EO455" s="521"/>
      <c r="EP455" s="521"/>
      <c r="EQ455" s="521"/>
      <c r="ER455" s="521"/>
      <c r="ES455" s="521"/>
      <c r="ET455" s="521"/>
      <c r="EU455" s="521"/>
      <c r="EV455" s="521"/>
      <c r="EW455" s="521"/>
      <c r="EX455" s="521"/>
      <c r="EY455" s="518"/>
      <c r="EZ455" s="523"/>
      <c r="FA455" s="523"/>
      <c r="FB455" s="524"/>
      <c r="FC455" s="524"/>
      <c r="FD455" s="518"/>
      <c r="FE455" s="518"/>
      <c r="FF455" s="518"/>
      <c r="FG455" s="518"/>
      <c r="FH455" s="518"/>
      <c r="FI455" s="518"/>
      <c r="FJ455" s="518"/>
      <c r="FK455" s="518"/>
      <c r="FL455" s="518"/>
      <c r="FM455" s="519"/>
    </row>
    <row r="456" spans="1:169" x14ac:dyDescent="0.25">
      <c r="A456" s="284"/>
      <c r="B456" s="317"/>
      <c r="C456" s="297"/>
      <c r="D456" s="298"/>
      <c r="E456" s="299"/>
      <c r="F456" s="340"/>
      <c r="G456" s="298"/>
      <c r="H456" s="299"/>
      <c r="I456" s="300"/>
      <c r="J456" s="370"/>
      <c r="K456" s="328"/>
      <c r="L456" s="300"/>
      <c r="M456" s="328"/>
      <c r="N456" s="331"/>
      <c r="O456" s="301"/>
      <c r="P456" s="301"/>
      <c r="Q456" s="328"/>
      <c r="R456" s="620"/>
      <c r="S456" s="512"/>
      <c r="T456" s="512"/>
      <c r="U456" s="513"/>
      <c r="V456" s="514"/>
      <c r="W456" s="512"/>
      <c r="X456" s="513"/>
      <c r="Y456" s="514"/>
      <c r="Z456" s="513"/>
      <c r="AA456" s="515"/>
      <c r="AB456" s="516"/>
      <c r="AC456" s="513"/>
      <c r="AD456" s="544"/>
      <c r="AE456" s="516"/>
      <c r="AF456" s="513"/>
      <c r="AG456" s="551"/>
      <c r="AH456" s="595"/>
      <c r="AI456" s="517"/>
      <c r="AJ456" s="518"/>
      <c r="AK456" s="518"/>
      <c r="AL456" s="518"/>
      <c r="AM456" s="519"/>
      <c r="AN456" s="517"/>
      <c r="AO456" s="520"/>
      <c r="AP456" s="525"/>
      <c r="AQ456" s="531"/>
      <c r="AR456" s="593"/>
      <c r="AS456" s="518"/>
      <c r="AT456" s="518"/>
      <c r="AU456" s="518"/>
      <c r="AV456" s="519"/>
      <c r="AW456" s="560"/>
      <c r="AX456" s="522"/>
      <c r="AY456" s="522"/>
      <c r="AZ456" s="522"/>
      <c r="BA456" s="522"/>
      <c r="BB456" s="522"/>
      <c r="BC456" s="518"/>
      <c r="BD456" s="518"/>
      <c r="BE456" s="518"/>
      <c r="BF456" s="518"/>
      <c r="BG456" s="518"/>
      <c r="BH456" s="519"/>
      <c r="BI456" s="527"/>
      <c r="BJ456" s="518"/>
      <c r="BK456" s="518"/>
      <c r="BL456" s="520"/>
      <c r="BM456" s="520"/>
      <c r="BN456" s="519"/>
      <c r="BO456" s="517"/>
      <c r="BP456" s="520"/>
      <c r="BQ456" s="520"/>
      <c r="BR456" s="519"/>
      <c r="BS456" s="548"/>
      <c r="BT456" s="537"/>
      <c r="BU456" s="521"/>
      <c r="BV456" s="521"/>
      <c r="BW456" s="521"/>
      <c r="BX456" s="521"/>
      <c r="BY456" s="521"/>
      <c r="BZ456" s="521"/>
      <c r="CA456" s="521"/>
      <c r="CB456" s="521"/>
      <c r="CC456" s="521"/>
      <c r="CD456" s="521"/>
      <c r="CE456" s="521"/>
      <c r="CF456" s="521"/>
      <c r="CG456" s="521"/>
      <c r="CH456" s="521"/>
      <c r="CI456" s="521"/>
      <c r="CJ456" s="521"/>
      <c r="CK456" s="521"/>
      <c r="CL456" s="518"/>
      <c r="CM456" s="523"/>
      <c r="CN456" s="523"/>
      <c r="CO456" s="524"/>
      <c r="CP456" s="524"/>
      <c r="CQ456" s="518"/>
      <c r="CR456" s="518"/>
      <c r="CS456" s="518"/>
      <c r="CT456" s="518"/>
      <c r="CU456" s="518"/>
      <c r="CV456" s="518"/>
      <c r="CW456" s="518"/>
      <c r="CX456" s="518"/>
      <c r="CY456" s="518"/>
      <c r="CZ456" s="519"/>
      <c r="DA456" s="527"/>
      <c r="DB456" s="520"/>
      <c r="DC456" s="525"/>
      <c r="DD456" s="531"/>
      <c r="DE456" s="593"/>
      <c r="DF456" s="518"/>
      <c r="DG456" s="518"/>
      <c r="DH456" s="518"/>
      <c r="DI456" s="519"/>
      <c r="DJ456" s="560"/>
      <c r="DK456" s="522"/>
      <c r="DL456" s="522"/>
      <c r="DM456" s="522"/>
      <c r="DN456" s="522"/>
      <c r="DO456" s="522"/>
      <c r="DP456" s="518"/>
      <c r="DQ456" s="518"/>
      <c r="DR456" s="518"/>
      <c r="DS456" s="518"/>
      <c r="DT456" s="518"/>
      <c r="DU456" s="519"/>
      <c r="DV456" s="527"/>
      <c r="DW456" s="518"/>
      <c r="DX456" s="518"/>
      <c r="DY456" s="520"/>
      <c r="DZ456" s="520"/>
      <c r="EA456" s="519"/>
      <c r="EB456" s="527"/>
      <c r="EC456" s="520"/>
      <c r="ED456" s="520"/>
      <c r="EE456" s="519"/>
      <c r="EF456" s="550"/>
      <c r="EG456" s="537"/>
      <c r="EH456" s="521"/>
      <c r="EI456" s="521"/>
      <c r="EJ456" s="521"/>
      <c r="EK456" s="521"/>
      <c r="EL456" s="521"/>
      <c r="EM456" s="521"/>
      <c r="EN456" s="521"/>
      <c r="EO456" s="521"/>
      <c r="EP456" s="521"/>
      <c r="EQ456" s="521"/>
      <c r="ER456" s="521"/>
      <c r="ES456" s="521"/>
      <c r="ET456" s="521"/>
      <c r="EU456" s="521"/>
      <c r="EV456" s="521"/>
      <c r="EW456" s="521"/>
      <c r="EX456" s="521"/>
      <c r="EY456" s="518"/>
      <c r="EZ456" s="523"/>
      <c r="FA456" s="523"/>
      <c r="FB456" s="524"/>
      <c r="FC456" s="524"/>
      <c r="FD456" s="518"/>
      <c r="FE456" s="518"/>
      <c r="FF456" s="518"/>
      <c r="FG456" s="518"/>
      <c r="FH456" s="518"/>
      <c r="FI456" s="518"/>
      <c r="FJ456" s="518"/>
      <c r="FK456" s="518"/>
      <c r="FL456" s="518"/>
      <c r="FM456" s="519"/>
    </row>
    <row r="457" spans="1:169" x14ac:dyDescent="0.25">
      <c r="A457" s="284"/>
      <c r="B457" s="317"/>
      <c r="C457" s="297"/>
      <c r="D457" s="298"/>
      <c r="E457" s="299"/>
      <c r="F457" s="340"/>
      <c r="G457" s="298"/>
      <c r="H457" s="299"/>
      <c r="I457" s="300"/>
      <c r="J457" s="370"/>
      <c r="K457" s="328"/>
      <c r="L457" s="300"/>
      <c r="M457" s="328"/>
      <c r="N457" s="331"/>
      <c r="O457" s="301"/>
      <c r="P457" s="301"/>
      <c r="Q457" s="328"/>
      <c r="R457" s="620"/>
      <c r="S457" s="512"/>
      <c r="T457" s="512"/>
      <c r="U457" s="513"/>
      <c r="V457" s="514"/>
      <c r="W457" s="512"/>
      <c r="X457" s="513"/>
      <c r="Y457" s="514"/>
      <c r="Z457" s="513"/>
      <c r="AA457" s="515"/>
      <c r="AB457" s="516"/>
      <c r="AC457" s="513"/>
      <c r="AD457" s="544"/>
      <c r="AE457" s="516"/>
      <c r="AF457" s="513"/>
      <c r="AG457" s="551"/>
      <c r="AH457" s="595"/>
      <c r="AI457" s="517"/>
      <c r="AJ457" s="518"/>
      <c r="AK457" s="518"/>
      <c r="AL457" s="518"/>
      <c r="AM457" s="519"/>
      <c r="AN457" s="517"/>
      <c r="AO457" s="520"/>
      <c r="AP457" s="525"/>
      <c r="AQ457" s="531"/>
      <c r="AR457" s="593"/>
      <c r="AS457" s="518"/>
      <c r="AT457" s="518"/>
      <c r="AU457" s="518"/>
      <c r="AV457" s="519"/>
      <c r="AW457" s="560"/>
      <c r="AX457" s="522"/>
      <c r="AY457" s="522"/>
      <c r="AZ457" s="522"/>
      <c r="BA457" s="522"/>
      <c r="BB457" s="522"/>
      <c r="BC457" s="518"/>
      <c r="BD457" s="518"/>
      <c r="BE457" s="518"/>
      <c r="BF457" s="518"/>
      <c r="BG457" s="518"/>
      <c r="BH457" s="519"/>
      <c r="BI457" s="527"/>
      <c r="BJ457" s="518"/>
      <c r="BK457" s="518"/>
      <c r="BL457" s="520"/>
      <c r="BM457" s="520"/>
      <c r="BN457" s="519"/>
      <c r="BO457" s="517"/>
      <c r="BP457" s="520"/>
      <c r="BQ457" s="520"/>
      <c r="BR457" s="519"/>
      <c r="BS457" s="548"/>
      <c r="BT457" s="537"/>
      <c r="BU457" s="521"/>
      <c r="BV457" s="521"/>
      <c r="BW457" s="521"/>
      <c r="BX457" s="521"/>
      <c r="BY457" s="521"/>
      <c r="BZ457" s="521"/>
      <c r="CA457" s="521"/>
      <c r="CB457" s="521"/>
      <c r="CC457" s="521"/>
      <c r="CD457" s="521"/>
      <c r="CE457" s="521"/>
      <c r="CF457" s="521"/>
      <c r="CG457" s="521"/>
      <c r="CH457" s="521"/>
      <c r="CI457" s="521"/>
      <c r="CJ457" s="521"/>
      <c r="CK457" s="521"/>
      <c r="CL457" s="518"/>
      <c r="CM457" s="523"/>
      <c r="CN457" s="523"/>
      <c r="CO457" s="524"/>
      <c r="CP457" s="524"/>
      <c r="CQ457" s="518"/>
      <c r="CR457" s="518"/>
      <c r="CS457" s="518"/>
      <c r="CT457" s="518"/>
      <c r="CU457" s="518"/>
      <c r="CV457" s="518"/>
      <c r="CW457" s="518"/>
      <c r="CX457" s="518"/>
      <c r="CY457" s="518"/>
      <c r="CZ457" s="519"/>
      <c r="DA457" s="527"/>
      <c r="DB457" s="520"/>
      <c r="DC457" s="525"/>
      <c r="DD457" s="531"/>
      <c r="DE457" s="593"/>
      <c r="DF457" s="518"/>
      <c r="DG457" s="518"/>
      <c r="DH457" s="518"/>
      <c r="DI457" s="519"/>
      <c r="DJ457" s="560"/>
      <c r="DK457" s="522"/>
      <c r="DL457" s="522"/>
      <c r="DM457" s="522"/>
      <c r="DN457" s="522"/>
      <c r="DO457" s="522"/>
      <c r="DP457" s="518"/>
      <c r="DQ457" s="518"/>
      <c r="DR457" s="518"/>
      <c r="DS457" s="518"/>
      <c r="DT457" s="518"/>
      <c r="DU457" s="519"/>
      <c r="DV457" s="527"/>
      <c r="DW457" s="518"/>
      <c r="DX457" s="518"/>
      <c r="DY457" s="520"/>
      <c r="DZ457" s="520"/>
      <c r="EA457" s="519"/>
      <c r="EB457" s="527"/>
      <c r="EC457" s="520"/>
      <c r="ED457" s="520"/>
      <c r="EE457" s="519"/>
      <c r="EF457" s="550"/>
      <c r="EG457" s="537"/>
      <c r="EH457" s="521"/>
      <c r="EI457" s="521"/>
      <c r="EJ457" s="521"/>
      <c r="EK457" s="521"/>
      <c r="EL457" s="521"/>
      <c r="EM457" s="521"/>
      <c r="EN457" s="521"/>
      <c r="EO457" s="521"/>
      <c r="EP457" s="521"/>
      <c r="EQ457" s="521"/>
      <c r="ER457" s="521"/>
      <c r="ES457" s="521"/>
      <c r="ET457" s="521"/>
      <c r="EU457" s="521"/>
      <c r="EV457" s="521"/>
      <c r="EW457" s="521"/>
      <c r="EX457" s="521"/>
      <c r="EY457" s="518"/>
      <c r="EZ457" s="523"/>
      <c r="FA457" s="523"/>
      <c r="FB457" s="524"/>
      <c r="FC457" s="524"/>
      <c r="FD457" s="518"/>
      <c r="FE457" s="518"/>
      <c r="FF457" s="518"/>
      <c r="FG457" s="518"/>
      <c r="FH457" s="518"/>
      <c r="FI457" s="518"/>
      <c r="FJ457" s="518"/>
      <c r="FK457" s="518"/>
      <c r="FL457" s="518"/>
      <c r="FM457" s="519"/>
    </row>
    <row r="458" spans="1:169" x14ac:dyDescent="0.25">
      <c r="A458" s="284"/>
      <c r="B458" s="317"/>
      <c r="C458" s="297"/>
      <c r="D458" s="298"/>
      <c r="E458" s="299"/>
      <c r="F458" s="340"/>
      <c r="G458" s="298"/>
      <c r="H458" s="299"/>
      <c r="I458" s="300"/>
      <c r="J458" s="370"/>
      <c r="K458" s="328"/>
      <c r="L458" s="300"/>
      <c r="M458" s="328"/>
      <c r="N458" s="331"/>
      <c r="O458" s="301"/>
      <c r="P458" s="301"/>
      <c r="Q458" s="328"/>
      <c r="R458" s="620"/>
      <c r="S458" s="512"/>
      <c r="T458" s="512"/>
      <c r="U458" s="513"/>
      <c r="V458" s="514"/>
      <c r="W458" s="512"/>
      <c r="X458" s="513"/>
      <c r="Y458" s="514"/>
      <c r="Z458" s="513"/>
      <c r="AA458" s="515"/>
      <c r="AB458" s="516"/>
      <c r="AC458" s="513"/>
      <c r="AD458" s="544"/>
      <c r="AE458" s="516"/>
      <c r="AF458" s="513"/>
      <c r="AG458" s="551"/>
      <c r="AH458" s="595"/>
      <c r="AI458" s="517"/>
      <c r="AJ458" s="518"/>
      <c r="AK458" s="518"/>
      <c r="AL458" s="518"/>
      <c r="AM458" s="519"/>
      <c r="AN458" s="517"/>
      <c r="AO458" s="520"/>
      <c r="AP458" s="525"/>
      <c r="AQ458" s="531"/>
      <c r="AR458" s="593"/>
      <c r="AS458" s="518"/>
      <c r="AT458" s="518"/>
      <c r="AU458" s="518"/>
      <c r="AV458" s="519"/>
      <c r="AW458" s="560"/>
      <c r="AX458" s="522"/>
      <c r="AY458" s="522"/>
      <c r="AZ458" s="522"/>
      <c r="BA458" s="522"/>
      <c r="BB458" s="522"/>
      <c r="BC458" s="518"/>
      <c r="BD458" s="518"/>
      <c r="BE458" s="518"/>
      <c r="BF458" s="518"/>
      <c r="BG458" s="518"/>
      <c r="BH458" s="519"/>
      <c r="BI458" s="527"/>
      <c r="BJ458" s="518"/>
      <c r="BK458" s="518"/>
      <c r="BL458" s="520"/>
      <c r="BM458" s="520"/>
      <c r="BN458" s="519"/>
      <c r="BO458" s="517"/>
      <c r="BP458" s="520"/>
      <c r="BQ458" s="520"/>
      <c r="BR458" s="519"/>
      <c r="BS458" s="548"/>
      <c r="BT458" s="537"/>
      <c r="BU458" s="521"/>
      <c r="BV458" s="521"/>
      <c r="BW458" s="521"/>
      <c r="BX458" s="521"/>
      <c r="BY458" s="521"/>
      <c r="BZ458" s="521"/>
      <c r="CA458" s="521"/>
      <c r="CB458" s="521"/>
      <c r="CC458" s="521"/>
      <c r="CD458" s="521"/>
      <c r="CE458" s="521"/>
      <c r="CF458" s="521"/>
      <c r="CG458" s="521"/>
      <c r="CH458" s="521"/>
      <c r="CI458" s="521"/>
      <c r="CJ458" s="521"/>
      <c r="CK458" s="521"/>
      <c r="CL458" s="518"/>
      <c r="CM458" s="523"/>
      <c r="CN458" s="523"/>
      <c r="CO458" s="524"/>
      <c r="CP458" s="524"/>
      <c r="CQ458" s="518"/>
      <c r="CR458" s="518"/>
      <c r="CS458" s="518"/>
      <c r="CT458" s="518"/>
      <c r="CU458" s="518"/>
      <c r="CV458" s="518"/>
      <c r="CW458" s="518"/>
      <c r="CX458" s="518"/>
      <c r="CY458" s="518"/>
      <c r="CZ458" s="519"/>
      <c r="DA458" s="527"/>
      <c r="DB458" s="520"/>
      <c r="DC458" s="525"/>
      <c r="DD458" s="531"/>
      <c r="DE458" s="593"/>
      <c r="DF458" s="518"/>
      <c r="DG458" s="518"/>
      <c r="DH458" s="518"/>
      <c r="DI458" s="519"/>
      <c r="DJ458" s="560"/>
      <c r="DK458" s="522"/>
      <c r="DL458" s="522"/>
      <c r="DM458" s="522"/>
      <c r="DN458" s="522"/>
      <c r="DO458" s="522"/>
      <c r="DP458" s="518"/>
      <c r="DQ458" s="518"/>
      <c r="DR458" s="518"/>
      <c r="DS458" s="518"/>
      <c r="DT458" s="518"/>
      <c r="DU458" s="519"/>
      <c r="DV458" s="527"/>
      <c r="DW458" s="518"/>
      <c r="DX458" s="518"/>
      <c r="DY458" s="520"/>
      <c r="DZ458" s="520"/>
      <c r="EA458" s="519"/>
      <c r="EB458" s="527"/>
      <c r="EC458" s="520"/>
      <c r="ED458" s="520"/>
      <c r="EE458" s="519"/>
      <c r="EF458" s="550"/>
      <c r="EG458" s="537"/>
      <c r="EH458" s="521"/>
      <c r="EI458" s="521"/>
      <c r="EJ458" s="521"/>
      <c r="EK458" s="521"/>
      <c r="EL458" s="521"/>
      <c r="EM458" s="521"/>
      <c r="EN458" s="521"/>
      <c r="EO458" s="521"/>
      <c r="EP458" s="521"/>
      <c r="EQ458" s="521"/>
      <c r="ER458" s="521"/>
      <c r="ES458" s="521"/>
      <c r="ET458" s="521"/>
      <c r="EU458" s="521"/>
      <c r="EV458" s="521"/>
      <c r="EW458" s="521"/>
      <c r="EX458" s="521"/>
      <c r="EY458" s="518"/>
      <c r="EZ458" s="523"/>
      <c r="FA458" s="523"/>
      <c r="FB458" s="524"/>
      <c r="FC458" s="524"/>
      <c r="FD458" s="518"/>
      <c r="FE458" s="518"/>
      <c r="FF458" s="518"/>
      <c r="FG458" s="518"/>
      <c r="FH458" s="518"/>
      <c r="FI458" s="518"/>
      <c r="FJ458" s="518"/>
      <c r="FK458" s="518"/>
      <c r="FL458" s="518"/>
      <c r="FM458" s="519"/>
    </row>
    <row r="459" spans="1:169" x14ac:dyDescent="0.25">
      <c r="A459" s="284"/>
      <c r="B459" s="317"/>
      <c r="C459" s="297"/>
      <c r="D459" s="298"/>
      <c r="E459" s="299"/>
      <c r="F459" s="340"/>
      <c r="G459" s="298"/>
      <c r="H459" s="299"/>
      <c r="I459" s="300"/>
      <c r="J459" s="370"/>
      <c r="K459" s="328"/>
      <c r="L459" s="300"/>
      <c r="M459" s="328"/>
      <c r="N459" s="331"/>
      <c r="O459" s="301"/>
      <c r="P459" s="301"/>
      <c r="Q459" s="328"/>
      <c r="R459" s="620"/>
      <c r="S459" s="512"/>
      <c r="T459" s="512"/>
      <c r="U459" s="513"/>
      <c r="V459" s="514"/>
      <c r="W459" s="512"/>
      <c r="X459" s="513"/>
      <c r="Y459" s="514"/>
      <c r="Z459" s="513"/>
      <c r="AA459" s="515"/>
      <c r="AB459" s="516"/>
      <c r="AC459" s="513"/>
      <c r="AD459" s="544"/>
      <c r="AE459" s="516"/>
      <c r="AF459" s="513"/>
      <c r="AG459" s="551"/>
      <c r="AH459" s="595"/>
      <c r="AI459" s="517"/>
      <c r="AJ459" s="518"/>
      <c r="AK459" s="518"/>
      <c r="AL459" s="518"/>
      <c r="AM459" s="519"/>
      <c r="AN459" s="517"/>
      <c r="AO459" s="520"/>
      <c r="AP459" s="525"/>
      <c r="AQ459" s="531"/>
      <c r="AR459" s="593"/>
      <c r="AS459" s="518"/>
      <c r="AT459" s="518"/>
      <c r="AU459" s="518"/>
      <c r="AV459" s="519"/>
      <c r="AW459" s="560"/>
      <c r="AX459" s="522"/>
      <c r="AY459" s="522"/>
      <c r="AZ459" s="522"/>
      <c r="BA459" s="522"/>
      <c r="BB459" s="522"/>
      <c r="BC459" s="518"/>
      <c r="BD459" s="518"/>
      <c r="BE459" s="518"/>
      <c r="BF459" s="518"/>
      <c r="BG459" s="518"/>
      <c r="BH459" s="519"/>
      <c r="BI459" s="527"/>
      <c r="BJ459" s="518"/>
      <c r="BK459" s="518"/>
      <c r="BL459" s="520"/>
      <c r="BM459" s="520"/>
      <c r="BN459" s="519"/>
      <c r="BO459" s="517"/>
      <c r="BP459" s="520"/>
      <c r="BQ459" s="520"/>
      <c r="BR459" s="519"/>
      <c r="BS459" s="548"/>
      <c r="BT459" s="537"/>
      <c r="BU459" s="521"/>
      <c r="BV459" s="521"/>
      <c r="BW459" s="521"/>
      <c r="BX459" s="521"/>
      <c r="BY459" s="521"/>
      <c r="BZ459" s="521"/>
      <c r="CA459" s="521"/>
      <c r="CB459" s="521"/>
      <c r="CC459" s="521"/>
      <c r="CD459" s="521"/>
      <c r="CE459" s="521"/>
      <c r="CF459" s="521"/>
      <c r="CG459" s="521"/>
      <c r="CH459" s="521"/>
      <c r="CI459" s="521"/>
      <c r="CJ459" s="521"/>
      <c r="CK459" s="521"/>
      <c r="CL459" s="518"/>
      <c r="CM459" s="523"/>
      <c r="CN459" s="523"/>
      <c r="CO459" s="524"/>
      <c r="CP459" s="524"/>
      <c r="CQ459" s="518"/>
      <c r="CR459" s="518"/>
      <c r="CS459" s="518"/>
      <c r="CT459" s="518"/>
      <c r="CU459" s="518"/>
      <c r="CV459" s="518"/>
      <c r="CW459" s="518"/>
      <c r="CX459" s="518"/>
      <c r="CY459" s="518"/>
      <c r="CZ459" s="519"/>
      <c r="DA459" s="527"/>
      <c r="DB459" s="520"/>
      <c r="DC459" s="525"/>
      <c r="DD459" s="531"/>
      <c r="DE459" s="593"/>
      <c r="DF459" s="518"/>
      <c r="DG459" s="518"/>
      <c r="DH459" s="518"/>
      <c r="DI459" s="519"/>
      <c r="DJ459" s="560"/>
      <c r="DK459" s="522"/>
      <c r="DL459" s="522"/>
      <c r="DM459" s="522"/>
      <c r="DN459" s="522"/>
      <c r="DO459" s="522"/>
      <c r="DP459" s="518"/>
      <c r="DQ459" s="518"/>
      <c r="DR459" s="518"/>
      <c r="DS459" s="518"/>
      <c r="DT459" s="518"/>
      <c r="DU459" s="519"/>
      <c r="DV459" s="527"/>
      <c r="DW459" s="518"/>
      <c r="DX459" s="518"/>
      <c r="DY459" s="520"/>
      <c r="DZ459" s="520"/>
      <c r="EA459" s="519"/>
      <c r="EB459" s="527"/>
      <c r="EC459" s="520"/>
      <c r="ED459" s="520"/>
      <c r="EE459" s="519"/>
      <c r="EF459" s="550"/>
      <c r="EG459" s="537"/>
      <c r="EH459" s="521"/>
      <c r="EI459" s="521"/>
      <c r="EJ459" s="521"/>
      <c r="EK459" s="521"/>
      <c r="EL459" s="521"/>
      <c r="EM459" s="521"/>
      <c r="EN459" s="521"/>
      <c r="EO459" s="521"/>
      <c r="EP459" s="521"/>
      <c r="EQ459" s="521"/>
      <c r="ER459" s="521"/>
      <c r="ES459" s="521"/>
      <c r="ET459" s="521"/>
      <c r="EU459" s="521"/>
      <c r="EV459" s="521"/>
      <c r="EW459" s="521"/>
      <c r="EX459" s="521"/>
      <c r="EY459" s="518"/>
      <c r="EZ459" s="523"/>
      <c r="FA459" s="523"/>
      <c r="FB459" s="524"/>
      <c r="FC459" s="524"/>
      <c r="FD459" s="518"/>
      <c r="FE459" s="518"/>
      <c r="FF459" s="518"/>
      <c r="FG459" s="518"/>
      <c r="FH459" s="518"/>
      <c r="FI459" s="518"/>
      <c r="FJ459" s="518"/>
      <c r="FK459" s="518"/>
      <c r="FL459" s="518"/>
      <c r="FM459" s="519"/>
    </row>
    <row r="460" spans="1:169" x14ac:dyDescent="0.25">
      <c r="A460" s="284"/>
      <c r="B460" s="317"/>
      <c r="C460" s="297"/>
      <c r="D460" s="298"/>
      <c r="E460" s="299"/>
      <c r="F460" s="340"/>
      <c r="G460" s="298"/>
      <c r="H460" s="299"/>
      <c r="I460" s="300"/>
      <c r="J460" s="370"/>
      <c r="K460" s="328"/>
      <c r="L460" s="300"/>
      <c r="M460" s="328"/>
      <c r="N460" s="331"/>
      <c r="O460" s="301"/>
      <c r="P460" s="301"/>
      <c r="Q460" s="328"/>
      <c r="R460" s="620"/>
      <c r="S460" s="512"/>
      <c r="T460" s="512"/>
      <c r="U460" s="513"/>
      <c r="V460" s="514"/>
      <c r="W460" s="512"/>
      <c r="X460" s="513"/>
      <c r="Y460" s="514"/>
      <c r="Z460" s="513"/>
      <c r="AA460" s="515"/>
      <c r="AB460" s="516"/>
      <c r="AC460" s="513"/>
      <c r="AD460" s="544"/>
      <c r="AE460" s="516"/>
      <c r="AF460" s="513"/>
      <c r="AG460" s="551"/>
      <c r="AH460" s="595"/>
      <c r="AI460" s="517"/>
      <c r="AJ460" s="518"/>
      <c r="AK460" s="518"/>
      <c r="AL460" s="518"/>
      <c r="AM460" s="519"/>
      <c r="AN460" s="517"/>
      <c r="AO460" s="520"/>
      <c r="AP460" s="525"/>
      <c r="AQ460" s="531"/>
      <c r="AR460" s="593"/>
      <c r="AS460" s="518"/>
      <c r="AT460" s="518"/>
      <c r="AU460" s="518"/>
      <c r="AV460" s="519"/>
      <c r="AW460" s="560"/>
      <c r="AX460" s="522"/>
      <c r="AY460" s="522"/>
      <c r="AZ460" s="522"/>
      <c r="BA460" s="522"/>
      <c r="BB460" s="522"/>
      <c r="BC460" s="518"/>
      <c r="BD460" s="518"/>
      <c r="BE460" s="518"/>
      <c r="BF460" s="518"/>
      <c r="BG460" s="518"/>
      <c r="BH460" s="519"/>
      <c r="BI460" s="527"/>
      <c r="BJ460" s="518"/>
      <c r="BK460" s="518"/>
      <c r="BL460" s="520"/>
      <c r="BM460" s="520"/>
      <c r="BN460" s="519"/>
      <c r="BO460" s="517"/>
      <c r="BP460" s="520"/>
      <c r="BQ460" s="520"/>
      <c r="BR460" s="519"/>
      <c r="BS460" s="548"/>
      <c r="BT460" s="537"/>
      <c r="BU460" s="521"/>
      <c r="BV460" s="521"/>
      <c r="BW460" s="521"/>
      <c r="BX460" s="521"/>
      <c r="BY460" s="521"/>
      <c r="BZ460" s="521"/>
      <c r="CA460" s="521"/>
      <c r="CB460" s="521"/>
      <c r="CC460" s="521"/>
      <c r="CD460" s="521"/>
      <c r="CE460" s="521"/>
      <c r="CF460" s="521"/>
      <c r="CG460" s="521"/>
      <c r="CH460" s="521"/>
      <c r="CI460" s="521"/>
      <c r="CJ460" s="521"/>
      <c r="CK460" s="521"/>
      <c r="CL460" s="518"/>
      <c r="CM460" s="523"/>
      <c r="CN460" s="523"/>
      <c r="CO460" s="524"/>
      <c r="CP460" s="524"/>
      <c r="CQ460" s="518"/>
      <c r="CR460" s="518"/>
      <c r="CS460" s="518"/>
      <c r="CT460" s="518"/>
      <c r="CU460" s="518"/>
      <c r="CV460" s="518"/>
      <c r="CW460" s="518"/>
      <c r="CX460" s="518"/>
      <c r="CY460" s="518"/>
      <c r="CZ460" s="519"/>
      <c r="DA460" s="527"/>
      <c r="DB460" s="520"/>
      <c r="DC460" s="525"/>
      <c r="DD460" s="531"/>
      <c r="DE460" s="593"/>
      <c r="DF460" s="518"/>
      <c r="DG460" s="518"/>
      <c r="DH460" s="518"/>
      <c r="DI460" s="519"/>
      <c r="DJ460" s="560"/>
      <c r="DK460" s="522"/>
      <c r="DL460" s="522"/>
      <c r="DM460" s="522"/>
      <c r="DN460" s="522"/>
      <c r="DO460" s="522"/>
      <c r="DP460" s="518"/>
      <c r="DQ460" s="518"/>
      <c r="DR460" s="518"/>
      <c r="DS460" s="518"/>
      <c r="DT460" s="518"/>
      <c r="DU460" s="519"/>
      <c r="DV460" s="527"/>
      <c r="DW460" s="518"/>
      <c r="DX460" s="518"/>
      <c r="DY460" s="520"/>
      <c r="DZ460" s="520"/>
      <c r="EA460" s="519"/>
      <c r="EB460" s="527"/>
      <c r="EC460" s="520"/>
      <c r="ED460" s="520"/>
      <c r="EE460" s="519"/>
      <c r="EF460" s="550"/>
      <c r="EG460" s="537"/>
      <c r="EH460" s="521"/>
      <c r="EI460" s="521"/>
      <c r="EJ460" s="521"/>
      <c r="EK460" s="521"/>
      <c r="EL460" s="521"/>
      <c r="EM460" s="521"/>
      <c r="EN460" s="521"/>
      <c r="EO460" s="521"/>
      <c r="EP460" s="521"/>
      <c r="EQ460" s="521"/>
      <c r="ER460" s="521"/>
      <c r="ES460" s="521"/>
      <c r="ET460" s="521"/>
      <c r="EU460" s="521"/>
      <c r="EV460" s="521"/>
      <c r="EW460" s="521"/>
      <c r="EX460" s="521"/>
      <c r="EY460" s="518"/>
      <c r="EZ460" s="523"/>
      <c r="FA460" s="523"/>
      <c r="FB460" s="524"/>
      <c r="FC460" s="524"/>
      <c r="FD460" s="518"/>
      <c r="FE460" s="518"/>
      <c r="FF460" s="518"/>
      <c r="FG460" s="518"/>
      <c r="FH460" s="518"/>
      <c r="FI460" s="518"/>
      <c r="FJ460" s="518"/>
      <c r="FK460" s="518"/>
      <c r="FL460" s="518"/>
      <c r="FM460" s="519"/>
    </row>
    <row r="461" spans="1:169" x14ac:dyDescent="0.25">
      <c r="A461" s="284"/>
      <c r="B461" s="317"/>
      <c r="C461" s="297"/>
      <c r="D461" s="298"/>
      <c r="E461" s="299"/>
      <c r="F461" s="340"/>
      <c r="G461" s="298"/>
      <c r="H461" s="299"/>
      <c r="I461" s="300"/>
      <c r="J461" s="370"/>
      <c r="K461" s="328"/>
      <c r="L461" s="300"/>
      <c r="M461" s="328"/>
      <c r="N461" s="331"/>
      <c r="O461" s="301"/>
      <c r="P461" s="301"/>
      <c r="Q461" s="328"/>
      <c r="R461" s="620"/>
      <c r="S461" s="512"/>
      <c r="T461" s="512"/>
      <c r="U461" s="513"/>
      <c r="V461" s="514"/>
      <c r="W461" s="512"/>
      <c r="X461" s="513"/>
      <c r="Y461" s="514"/>
      <c r="Z461" s="513"/>
      <c r="AA461" s="515"/>
      <c r="AB461" s="516"/>
      <c r="AC461" s="513"/>
      <c r="AD461" s="544"/>
      <c r="AE461" s="516"/>
      <c r="AF461" s="513"/>
      <c r="AG461" s="551"/>
      <c r="AH461" s="595"/>
      <c r="AI461" s="517"/>
      <c r="AJ461" s="518"/>
      <c r="AK461" s="518"/>
      <c r="AL461" s="518"/>
      <c r="AM461" s="519"/>
      <c r="AN461" s="517"/>
      <c r="AO461" s="520"/>
      <c r="AP461" s="525"/>
      <c r="AQ461" s="531"/>
      <c r="AR461" s="593"/>
      <c r="AS461" s="518"/>
      <c r="AT461" s="518"/>
      <c r="AU461" s="518"/>
      <c r="AV461" s="519"/>
      <c r="AW461" s="560"/>
      <c r="AX461" s="522"/>
      <c r="AY461" s="522"/>
      <c r="AZ461" s="522"/>
      <c r="BA461" s="522"/>
      <c r="BB461" s="522"/>
      <c r="BC461" s="518"/>
      <c r="BD461" s="518"/>
      <c r="BE461" s="518"/>
      <c r="BF461" s="518"/>
      <c r="BG461" s="518"/>
      <c r="BH461" s="519"/>
      <c r="BI461" s="527"/>
      <c r="BJ461" s="518"/>
      <c r="BK461" s="518"/>
      <c r="BL461" s="520"/>
      <c r="BM461" s="520"/>
      <c r="BN461" s="519"/>
      <c r="BO461" s="517"/>
      <c r="BP461" s="520"/>
      <c r="BQ461" s="520"/>
      <c r="BR461" s="519"/>
      <c r="BS461" s="548"/>
      <c r="BT461" s="537"/>
      <c r="BU461" s="521"/>
      <c r="BV461" s="521"/>
      <c r="BW461" s="521"/>
      <c r="BX461" s="521"/>
      <c r="BY461" s="521"/>
      <c r="BZ461" s="521"/>
      <c r="CA461" s="521"/>
      <c r="CB461" s="521"/>
      <c r="CC461" s="521"/>
      <c r="CD461" s="521"/>
      <c r="CE461" s="521"/>
      <c r="CF461" s="521"/>
      <c r="CG461" s="521"/>
      <c r="CH461" s="521"/>
      <c r="CI461" s="521"/>
      <c r="CJ461" s="521"/>
      <c r="CK461" s="521"/>
      <c r="CL461" s="518"/>
      <c r="CM461" s="523"/>
      <c r="CN461" s="523"/>
      <c r="CO461" s="524"/>
      <c r="CP461" s="524"/>
      <c r="CQ461" s="518"/>
      <c r="CR461" s="518"/>
      <c r="CS461" s="518"/>
      <c r="CT461" s="518"/>
      <c r="CU461" s="518"/>
      <c r="CV461" s="518"/>
      <c r="CW461" s="518"/>
      <c r="CX461" s="518"/>
      <c r="CY461" s="518"/>
      <c r="CZ461" s="519"/>
      <c r="DA461" s="527"/>
      <c r="DB461" s="520"/>
      <c r="DC461" s="525"/>
      <c r="DD461" s="531"/>
      <c r="DE461" s="593"/>
      <c r="DF461" s="518"/>
      <c r="DG461" s="518"/>
      <c r="DH461" s="518"/>
      <c r="DI461" s="519"/>
      <c r="DJ461" s="560"/>
      <c r="DK461" s="522"/>
      <c r="DL461" s="522"/>
      <c r="DM461" s="522"/>
      <c r="DN461" s="522"/>
      <c r="DO461" s="522"/>
      <c r="DP461" s="518"/>
      <c r="DQ461" s="518"/>
      <c r="DR461" s="518"/>
      <c r="DS461" s="518"/>
      <c r="DT461" s="518"/>
      <c r="DU461" s="519"/>
      <c r="DV461" s="527"/>
      <c r="DW461" s="518"/>
      <c r="DX461" s="518"/>
      <c r="DY461" s="520"/>
      <c r="DZ461" s="520"/>
      <c r="EA461" s="519"/>
      <c r="EB461" s="527"/>
      <c r="EC461" s="520"/>
      <c r="ED461" s="520"/>
      <c r="EE461" s="519"/>
      <c r="EF461" s="550"/>
      <c r="EG461" s="537"/>
      <c r="EH461" s="521"/>
      <c r="EI461" s="521"/>
      <c r="EJ461" s="521"/>
      <c r="EK461" s="521"/>
      <c r="EL461" s="521"/>
      <c r="EM461" s="521"/>
      <c r="EN461" s="521"/>
      <c r="EO461" s="521"/>
      <c r="EP461" s="521"/>
      <c r="EQ461" s="521"/>
      <c r="ER461" s="521"/>
      <c r="ES461" s="521"/>
      <c r="ET461" s="521"/>
      <c r="EU461" s="521"/>
      <c r="EV461" s="521"/>
      <c r="EW461" s="521"/>
      <c r="EX461" s="521"/>
      <c r="EY461" s="518"/>
      <c r="EZ461" s="523"/>
      <c r="FA461" s="523"/>
      <c r="FB461" s="524"/>
      <c r="FC461" s="524"/>
      <c r="FD461" s="518"/>
      <c r="FE461" s="518"/>
      <c r="FF461" s="518"/>
      <c r="FG461" s="518"/>
      <c r="FH461" s="518"/>
      <c r="FI461" s="518"/>
      <c r="FJ461" s="518"/>
      <c r="FK461" s="518"/>
      <c r="FL461" s="518"/>
      <c r="FM461" s="519"/>
    </row>
    <row r="462" spans="1:169" x14ac:dyDescent="0.25">
      <c r="A462" s="284"/>
      <c r="B462" s="317"/>
      <c r="C462" s="297"/>
      <c r="D462" s="298"/>
      <c r="E462" s="299"/>
      <c r="F462" s="340"/>
      <c r="G462" s="298"/>
      <c r="H462" s="299"/>
      <c r="I462" s="300"/>
      <c r="J462" s="370"/>
      <c r="K462" s="328"/>
      <c r="L462" s="300"/>
      <c r="M462" s="328"/>
      <c r="N462" s="331"/>
      <c r="O462" s="301"/>
      <c r="P462" s="301"/>
      <c r="Q462" s="328"/>
      <c r="R462" s="620"/>
      <c r="S462" s="512"/>
      <c r="T462" s="512"/>
      <c r="U462" s="513"/>
      <c r="V462" s="514"/>
      <c r="W462" s="512"/>
      <c r="X462" s="513"/>
      <c r="Y462" s="514"/>
      <c r="Z462" s="513"/>
      <c r="AA462" s="515"/>
      <c r="AB462" s="516"/>
      <c r="AC462" s="513"/>
      <c r="AD462" s="544"/>
      <c r="AE462" s="516"/>
      <c r="AF462" s="513"/>
      <c r="AG462" s="551"/>
      <c r="AH462" s="595"/>
      <c r="AI462" s="517"/>
      <c r="AJ462" s="518"/>
      <c r="AK462" s="518"/>
      <c r="AL462" s="518"/>
      <c r="AM462" s="519"/>
      <c r="AN462" s="517"/>
      <c r="AO462" s="520"/>
      <c r="AP462" s="525"/>
      <c r="AQ462" s="531"/>
      <c r="AR462" s="593"/>
      <c r="AS462" s="518"/>
      <c r="AT462" s="518"/>
      <c r="AU462" s="518"/>
      <c r="AV462" s="519"/>
      <c r="AW462" s="560"/>
      <c r="AX462" s="522"/>
      <c r="AY462" s="522"/>
      <c r="AZ462" s="522"/>
      <c r="BA462" s="522"/>
      <c r="BB462" s="522"/>
      <c r="BC462" s="518"/>
      <c r="BD462" s="518"/>
      <c r="BE462" s="518"/>
      <c r="BF462" s="518"/>
      <c r="BG462" s="518"/>
      <c r="BH462" s="519"/>
      <c r="BI462" s="527"/>
      <c r="BJ462" s="518"/>
      <c r="BK462" s="518"/>
      <c r="BL462" s="520"/>
      <c r="BM462" s="520"/>
      <c r="BN462" s="519"/>
      <c r="BO462" s="517"/>
      <c r="BP462" s="520"/>
      <c r="BQ462" s="520"/>
      <c r="BR462" s="519"/>
      <c r="BS462" s="548"/>
      <c r="BT462" s="537"/>
      <c r="BU462" s="521"/>
      <c r="BV462" s="521"/>
      <c r="BW462" s="521"/>
      <c r="BX462" s="521"/>
      <c r="BY462" s="521"/>
      <c r="BZ462" s="521"/>
      <c r="CA462" s="521"/>
      <c r="CB462" s="521"/>
      <c r="CC462" s="521"/>
      <c r="CD462" s="521"/>
      <c r="CE462" s="521"/>
      <c r="CF462" s="521"/>
      <c r="CG462" s="521"/>
      <c r="CH462" s="521"/>
      <c r="CI462" s="521"/>
      <c r="CJ462" s="521"/>
      <c r="CK462" s="521"/>
      <c r="CL462" s="518"/>
      <c r="CM462" s="523"/>
      <c r="CN462" s="523"/>
      <c r="CO462" s="524"/>
      <c r="CP462" s="524"/>
      <c r="CQ462" s="518"/>
      <c r="CR462" s="518"/>
      <c r="CS462" s="518"/>
      <c r="CT462" s="518"/>
      <c r="CU462" s="518"/>
      <c r="CV462" s="518"/>
      <c r="CW462" s="518"/>
      <c r="CX462" s="518"/>
      <c r="CY462" s="518"/>
      <c r="CZ462" s="519"/>
      <c r="DA462" s="527"/>
      <c r="DB462" s="520"/>
      <c r="DC462" s="525"/>
      <c r="DD462" s="531"/>
      <c r="DE462" s="593"/>
      <c r="DF462" s="518"/>
      <c r="DG462" s="518"/>
      <c r="DH462" s="518"/>
      <c r="DI462" s="519"/>
      <c r="DJ462" s="560"/>
      <c r="DK462" s="522"/>
      <c r="DL462" s="522"/>
      <c r="DM462" s="522"/>
      <c r="DN462" s="522"/>
      <c r="DO462" s="522"/>
      <c r="DP462" s="518"/>
      <c r="DQ462" s="518"/>
      <c r="DR462" s="518"/>
      <c r="DS462" s="518"/>
      <c r="DT462" s="518"/>
      <c r="DU462" s="519"/>
      <c r="DV462" s="527"/>
      <c r="DW462" s="518"/>
      <c r="DX462" s="518"/>
      <c r="DY462" s="520"/>
      <c r="DZ462" s="520"/>
      <c r="EA462" s="519"/>
      <c r="EB462" s="527"/>
      <c r="EC462" s="520"/>
      <c r="ED462" s="520"/>
      <c r="EE462" s="519"/>
      <c r="EF462" s="550"/>
      <c r="EG462" s="537"/>
      <c r="EH462" s="521"/>
      <c r="EI462" s="521"/>
      <c r="EJ462" s="521"/>
      <c r="EK462" s="521"/>
      <c r="EL462" s="521"/>
      <c r="EM462" s="521"/>
      <c r="EN462" s="521"/>
      <c r="EO462" s="521"/>
      <c r="EP462" s="521"/>
      <c r="EQ462" s="521"/>
      <c r="ER462" s="521"/>
      <c r="ES462" s="521"/>
      <c r="ET462" s="521"/>
      <c r="EU462" s="521"/>
      <c r="EV462" s="521"/>
      <c r="EW462" s="521"/>
      <c r="EX462" s="521"/>
      <c r="EY462" s="518"/>
      <c r="EZ462" s="523"/>
      <c r="FA462" s="523"/>
      <c r="FB462" s="524"/>
      <c r="FC462" s="524"/>
      <c r="FD462" s="518"/>
      <c r="FE462" s="518"/>
      <c r="FF462" s="518"/>
      <c r="FG462" s="518"/>
      <c r="FH462" s="518"/>
      <c r="FI462" s="518"/>
      <c r="FJ462" s="518"/>
      <c r="FK462" s="518"/>
      <c r="FL462" s="518"/>
      <c r="FM462" s="519"/>
    </row>
    <row r="463" spans="1:169" x14ac:dyDescent="0.25">
      <c r="A463" s="284"/>
      <c r="B463" s="317"/>
      <c r="C463" s="297"/>
      <c r="D463" s="298"/>
      <c r="E463" s="299"/>
      <c r="F463" s="340"/>
      <c r="G463" s="298"/>
      <c r="H463" s="299"/>
      <c r="I463" s="300"/>
      <c r="J463" s="370"/>
      <c r="K463" s="328"/>
      <c r="L463" s="300"/>
      <c r="M463" s="328"/>
      <c r="N463" s="331"/>
      <c r="O463" s="301"/>
      <c r="P463" s="301"/>
      <c r="Q463" s="328"/>
      <c r="R463" s="620"/>
      <c r="S463" s="512"/>
      <c r="T463" s="512"/>
      <c r="U463" s="513"/>
      <c r="V463" s="514"/>
      <c r="W463" s="512"/>
      <c r="X463" s="513"/>
      <c r="Y463" s="514"/>
      <c r="Z463" s="513"/>
      <c r="AA463" s="515"/>
      <c r="AB463" s="516"/>
      <c r="AC463" s="513"/>
      <c r="AD463" s="544"/>
      <c r="AE463" s="516"/>
      <c r="AF463" s="513"/>
      <c r="AG463" s="551"/>
      <c r="AH463" s="595"/>
      <c r="AI463" s="517"/>
      <c r="AJ463" s="518"/>
      <c r="AK463" s="518"/>
      <c r="AL463" s="518"/>
      <c r="AM463" s="519"/>
      <c r="AN463" s="517"/>
      <c r="AO463" s="520"/>
      <c r="AP463" s="525"/>
      <c r="AQ463" s="531"/>
      <c r="AR463" s="593"/>
      <c r="AS463" s="518"/>
      <c r="AT463" s="518"/>
      <c r="AU463" s="518"/>
      <c r="AV463" s="519"/>
      <c r="AW463" s="560"/>
      <c r="AX463" s="522"/>
      <c r="AY463" s="522"/>
      <c r="AZ463" s="522"/>
      <c r="BA463" s="522"/>
      <c r="BB463" s="522"/>
      <c r="BC463" s="518"/>
      <c r="BD463" s="518"/>
      <c r="BE463" s="518"/>
      <c r="BF463" s="518"/>
      <c r="BG463" s="518"/>
      <c r="BH463" s="519"/>
      <c r="BI463" s="527"/>
      <c r="BJ463" s="518"/>
      <c r="BK463" s="518"/>
      <c r="BL463" s="520"/>
      <c r="BM463" s="520"/>
      <c r="BN463" s="519"/>
      <c r="BO463" s="517"/>
      <c r="BP463" s="520"/>
      <c r="BQ463" s="520"/>
      <c r="BR463" s="519"/>
      <c r="BS463" s="548"/>
      <c r="BT463" s="537"/>
      <c r="BU463" s="521"/>
      <c r="BV463" s="521"/>
      <c r="BW463" s="521"/>
      <c r="BX463" s="521"/>
      <c r="BY463" s="521"/>
      <c r="BZ463" s="521"/>
      <c r="CA463" s="521"/>
      <c r="CB463" s="521"/>
      <c r="CC463" s="521"/>
      <c r="CD463" s="521"/>
      <c r="CE463" s="521"/>
      <c r="CF463" s="521"/>
      <c r="CG463" s="521"/>
      <c r="CH463" s="521"/>
      <c r="CI463" s="521"/>
      <c r="CJ463" s="521"/>
      <c r="CK463" s="521"/>
      <c r="CL463" s="518"/>
      <c r="CM463" s="523"/>
      <c r="CN463" s="523"/>
      <c r="CO463" s="524"/>
      <c r="CP463" s="524"/>
      <c r="CQ463" s="518"/>
      <c r="CR463" s="518"/>
      <c r="CS463" s="518"/>
      <c r="CT463" s="518"/>
      <c r="CU463" s="518"/>
      <c r="CV463" s="518"/>
      <c r="CW463" s="518"/>
      <c r="CX463" s="518"/>
      <c r="CY463" s="518"/>
      <c r="CZ463" s="519"/>
      <c r="DA463" s="527"/>
      <c r="DB463" s="520"/>
      <c r="DC463" s="525"/>
      <c r="DD463" s="531"/>
      <c r="DE463" s="593"/>
      <c r="DF463" s="518"/>
      <c r="DG463" s="518"/>
      <c r="DH463" s="518"/>
      <c r="DI463" s="519"/>
      <c r="DJ463" s="560"/>
      <c r="DK463" s="522"/>
      <c r="DL463" s="522"/>
      <c r="DM463" s="522"/>
      <c r="DN463" s="522"/>
      <c r="DO463" s="522"/>
      <c r="DP463" s="518"/>
      <c r="DQ463" s="518"/>
      <c r="DR463" s="518"/>
      <c r="DS463" s="518"/>
      <c r="DT463" s="518"/>
      <c r="DU463" s="519"/>
      <c r="DV463" s="527"/>
      <c r="DW463" s="518"/>
      <c r="DX463" s="518"/>
      <c r="DY463" s="520"/>
      <c r="DZ463" s="520"/>
      <c r="EA463" s="519"/>
      <c r="EB463" s="527"/>
      <c r="EC463" s="520"/>
      <c r="ED463" s="520"/>
      <c r="EE463" s="519"/>
      <c r="EF463" s="550"/>
      <c r="EG463" s="537"/>
      <c r="EH463" s="521"/>
      <c r="EI463" s="521"/>
      <c r="EJ463" s="521"/>
      <c r="EK463" s="521"/>
      <c r="EL463" s="521"/>
      <c r="EM463" s="521"/>
      <c r="EN463" s="521"/>
      <c r="EO463" s="521"/>
      <c r="EP463" s="521"/>
      <c r="EQ463" s="521"/>
      <c r="ER463" s="521"/>
      <c r="ES463" s="521"/>
      <c r="ET463" s="521"/>
      <c r="EU463" s="521"/>
      <c r="EV463" s="521"/>
      <c r="EW463" s="521"/>
      <c r="EX463" s="521"/>
      <c r="EY463" s="518"/>
      <c r="EZ463" s="523"/>
      <c r="FA463" s="523"/>
      <c r="FB463" s="524"/>
      <c r="FC463" s="524"/>
      <c r="FD463" s="518"/>
      <c r="FE463" s="518"/>
      <c r="FF463" s="518"/>
      <c r="FG463" s="518"/>
      <c r="FH463" s="518"/>
      <c r="FI463" s="518"/>
      <c r="FJ463" s="518"/>
      <c r="FK463" s="518"/>
      <c r="FL463" s="518"/>
      <c r="FM463" s="519"/>
    </row>
    <row r="464" spans="1:169" x14ac:dyDescent="0.25">
      <c r="A464" s="284"/>
      <c r="B464" s="317"/>
      <c r="C464" s="297"/>
      <c r="D464" s="298"/>
      <c r="E464" s="299"/>
      <c r="F464" s="340"/>
      <c r="G464" s="298"/>
      <c r="H464" s="299"/>
      <c r="I464" s="300"/>
      <c r="J464" s="370"/>
      <c r="K464" s="328"/>
      <c r="L464" s="300"/>
      <c r="M464" s="328"/>
      <c r="N464" s="331"/>
      <c r="O464" s="301"/>
      <c r="P464" s="301"/>
      <c r="Q464" s="328"/>
      <c r="R464" s="620"/>
      <c r="S464" s="512"/>
      <c r="T464" s="512"/>
      <c r="U464" s="513"/>
      <c r="V464" s="514"/>
      <c r="W464" s="512"/>
      <c r="X464" s="513"/>
      <c r="Y464" s="514"/>
      <c r="Z464" s="513"/>
      <c r="AA464" s="515"/>
      <c r="AB464" s="516"/>
      <c r="AC464" s="513"/>
      <c r="AD464" s="544"/>
      <c r="AE464" s="516"/>
      <c r="AF464" s="513"/>
      <c r="AG464" s="551"/>
      <c r="AH464" s="595"/>
      <c r="AI464" s="517"/>
      <c r="AJ464" s="518"/>
      <c r="AK464" s="518"/>
      <c r="AL464" s="518"/>
      <c r="AM464" s="519"/>
      <c r="AN464" s="517"/>
      <c r="AO464" s="520"/>
      <c r="AP464" s="525"/>
      <c r="AQ464" s="531"/>
      <c r="AR464" s="593"/>
      <c r="AS464" s="518"/>
      <c r="AT464" s="518"/>
      <c r="AU464" s="518"/>
      <c r="AV464" s="519"/>
      <c r="AW464" s="560"/>
      <c r="AX464" s="522"/>
      <c r="AY464" s="522"/>
      <c r="AZ464" s="522"/>
      <c r="BA464" s="522"/>
      <c r="BB464" s="522"/>
      <c r="BC464" s="518"/>
      <c r="BD464" s="518"/>
      <c r="BE464" s="518"/>
      <c r="BF464" s="518"/>
      <c r="BG464" s="518"/>
      <c r="BH464" s="519"/>
      <c r="BI464" s="527"/>
      <c r="BJ464" s="518"/>
      <c r="BK464" s="518"/>
      <c r="BL464" s="520"/>
      <c r="BM464" s="520"/>
      <c r="BN464" s="519"/>
      <c r="BO464" s="517"/>
      <c r="BP464" s="520"/>
      <c r="BQ464" s="520"/>
      <c r="BR464" s="519"/>
      <c r="BS464" s="548"/>
      <c r="BT464" s="537"/>
      <c r="BU464" s="521"/>
      <c r="BV464" s="521"/>
      <c r="BW464" s="521"/>
      <c r="BX464" s="521"/>
      <c r="BY464" s="521"/>
      <c r="BZ464" s="521"/>
      <c r="CA464" s="521"/>
      <c r="CB464" s="521"/>
      <c r="CC464" s="521"/>
      <c r="CD464" s="521"/>
      <c r="CE464" s="521"/>
      <c r="CF464" s="521"/>
      <c r="CG464" s="521"/>
      <c r="CH464" s="521"/>
      <c r="CI464" s="521"/>
      <c r="CJ464" s="521"/>
      <c r="CK464" s="521"/>
      <c r="CL464" s="518"/>
      <c r="CM464" s="523"/>
      <c r="CN464" s="523"/>
      <c r="CO464" s="524"/>
      <c r="CP464" s="524"/>
      <c r="CQ464" s="518"/>
      <c r="CR464" s="518"/>
      <c r="CS464" s="518"/>
      <c r="CT464" s="518"/>
      <c r="CU464" s="518"/>
      <c r="CV464" s="518"/>
      <c r="CW464" s="518"/>
      <c r="CX464" s="518"/>
      <c r="CY464" s="518"/>
      <c r="CZ464" s="519"/>
      <c r="DA464" s="527"/>
      <c r="DB464" s="520"/>
      <c r="DC464" s="525"/>
      <c r="DD464" s="531"/>
      <c r="DE464" s="593"/>
      <c r="DF464" s="518"/>
      <c r="DG464" s="518"/>
      <c r="DH464" s="518"/>
      <c r="DI464" s="519"/>
      <c r="DJ464" s="560"/>
      <c r="DK464" s="522"/>
      <c r="DL464" s="522"/>
      <c r="DM464" s="522"/>
      <c r="DN464" s="522"/>
      <c r="DO464" s="522"/>
      <c r="DP464" s="518"/>
      <c r="DQ464" s="518"/>
      <c r="DR464" s="518"/>
      <c r="DS464" s="518"/>
      <c r="DT464" s="518"/>
      <c r="DU464" s="519"/>
      <c r="DV464" s="527"/>
      <c r="DW464" s="518"/>
      <c r="DX464" s="518"/>
      <c r="DY464" s="520"/>
      <c r="DZ464" s="520"/>
      <c r="EA464" s="519"/>
      <c r="EB464" s="527"/>
      <c r="EC464" s="520"/>
      <c r="ED464" s="520"/>
      <c r="EE464" s="519"/>
      <c r="EF464" s="550"/>
      <c r="EG464" s="537"/>
      <c r="EH464" s="521"/>
      <c r="EI464" s="521"/>
      <c r="EJ464" s="521"/>
      <c r="EK464" s="521"/>
      <c r="EL464" s="521"/>
      <c r="EM464" s="521"/>
      <c r="EN464" s="521"/>
      <c r="EO464" s="521"/>
      <c r="EP464" s="521"/>
      <c r="EQ464" s="521"/>
      <c r="ER464" s="521"/>
      <c r="ES464" s="521"/>
      <c r="ET464" s="521"/>
      <c r="EU464" s="521"/>
      <c r="EV464" s="521"/>
      <c r="EW464" s="521"/>
      <c r="EX464" s="521"/>
      <c r="EY464" s="518"/>
      <c r="EZ464" s="523"/>
      <c r="FA464" s="523"/>
      <c r="FB464" s="524"/>
      <c r="FC464" s="524"/>
      <c r="FD464" s="518"/>
      <c r="FE464" s="518"/>
      <c r="FF464" s="518"/>
      <c r="FG464" s="518"/>
      <c r="FH464" s="518"/>
      <c r="FI464" s="518"/>
      <c r="FJ464" s="518"/>
      <c r="FK464" s="518"/>
      <c r="FL464" s="518"/>
      <c r="FM464" s="519"/>
    </row>
    <row r="465" spans="1:169" x14ac:dyDescent="0.25">
      <c r="A465" s="284"/>
      <c r="B465" s="317"/>
      <c r="C465" s="297"/>
      <c r="D465" s="298"/>
      <c r="E465" s="299"/>
      <c r="F465" s="340"/>
      <c r="G465" s="298"/>
      <c r="H465" s="299"/>
      <c r="I465" s="300"/>
      <c r="J465" s="370"/>
      <c r="K465" s="328"/>
      <c r="L465" s="300"/>
      <c r="M465" s="328"/>
      <c r="N465" s="331"/>
      <c r="O465" s="301"/>
      <c r="P465" s="301"/>
      <c r="Q465" s="328"/>
      <c r="R465" s="620"/>
      <c r="S465" s="512"/>
      <c r="T465" s="512"/>
      <c r="U465" s="513"/>
      <c r="V465" s="514"/>
      <c r="W465" s="512"/>
      <c r="X465" s="513"/>
      <c r="Y465" s="514"/>
      <c r="Z465" s="513"/>
      <c r="AA465" s="515"/>
      <c r="AB465" s="516"/>
      <c r="AC465" s="513"/>
      <c r="AD465" s="544"/>
      <c r="AE465" s="516"/>
      <c r="AF465" s="513"/>
      <c r="AG465" s="551"/>
      <c r="AH465" s="595"/>
      <c r="AI465" s="517"/>
      <c r="AJ465" s="518"/>
      <c r="AK465" s="518"/>
      <c r="AL465" s="518"/>
      <c r="AM465" s="519"/>
      <c r="AN465" s="517"/>
      <c r="AO465" s="520"/>
      <c r="AP465" s="525"/>
      <c r="AQ465" s="531"/>
      <c r="AR465" s="593"/>
      <c r="AS465" s="518"/>
      <c r="AT465" s="518"/>
      <c r="AU465" s="518"/>
      <c r="AV465" s="519"/>
      <c r="AW465" s="560"/>
      <c r="AX465" s="522"/>
      <c r="AY465" s="522"/>
      <c r="AZ465" s="522"/>
      <c r="BA465" s="522"/>
      <c r="BB465" s="522"/>
      <c r="BC465" s="518"/>
      <c r="BD465" s="518"/>
      <c r="BE465" s="518"/>
      <c r="BF465" s="518"/>
      <c r="BG465" s="518"/>
      <c r="BH465" s="519"/>
      <c r="BI465" s="527"/>
      <c r="BJ465" s="518"/>
      <c r="BK465" s="518"/>
      <c r="BL465" s="520"/>
      <c r="BM465" s="520"/>
      <c r="BN465" s="519"/>
      <c r="BO465" s="517"/>
      <c r="BP465" s="520"/>
      <c r="BQ465" s="520"/>
      <c r="BR465" s="519"/>
      <c r="BS465" s="548"/>
      <c r="BT465" s="537"/>
      <c r="BU465" s="521"/>
      <c r="BV465" s="521"/>
      <c r="BW465" s="521"/>
      <c r="BX465" s="521"/>
      <c r="BY465" s="521"/>
      <c r="BZ465" s="521"/>
      <c r="CA465" s="521"/>
      <c r="CB465" s="521"/>
      <c r="CC465" s="521"/>
      <c r="CD465" s="521"/>
      <c r="CE465" s="521"/>
      <c r="CF465" s="521"/>
      <c r="CG465" s="521"/>
      <c r="CH465" s="521"/>
      <c r="CI465" s="521"/>
      <c r="CJ465" s="521"/>
      <c r="CK465" s="521"/>
      <c r="CL465" s="518"/>
      <c r="CM465" s="523"/>
      <c r="CN465" s="523"/>
      <c r="CO465" s="524"/>
      <c r="CP465" s="524"/>
      <c r="CQ465" s="518"/>
      <c r="CR465" s="518"/>
      <c r="CS465" s="518"/>
      <c r="CT465" s="518"/>
      <c r="CU465" s="518"/>
      <c r="CV465" s="518"/>
      <c r="CW465" s="518"/>
      <c r="CX465" s="518"/>
      <c r="CY465" s="518"/>
      <c r="CZ465" s="519"/>
      <c r="DA465" s="527"/>
      <c r="DB465" s="520"/>
      <c r="DC465" s="525"/>
      <c r="DD465" s="531"/>
      <c r="DE465" s="593"/>
      <c r="DF465" s="518"/>
      <c r="DG465" s="518"/>
      <c r="DH465" s="518"/>
      <c r="DI465" s="519"/>
      <c r="DJ465" s="560"/>
      <c r="DK465" s="522"/>
      <c r="DL465" s="522"/>
      <c r="DM465" s="522"/>
      <c r="DN465" s="522"/>
      <c r="DO465" s="522"/>
      <c r="DP465" s="518"/>
      <c r="DQ465" s="518"/>
      <c r="DR465" s="518"/>
      <c r="DS465" s="518"/>
      <c r="DT465" s="518"/>
      <c r="DU465" s="519"/>
      <c r="DV465" s="527"/>
      <c r="DW465" s="518"/>
      <c r="DX465" s="518"/>
      <c r="DY465" s="520"/>
      <c r="DZ465" s="520"/>
      <c r="EA465" s="519"/>
      <c r="EB465" s="527"/>
      <c r="EC465" s="520"/>
      <c r="ED465" s="520"/>
      <c r="EE465" s="519"/>
      <c r="EF465" s="550"/>
      <c r="EG465" s="537"/>
      <c r="EH465" s="521"/>
      <c r="EI465" s="521"/>
      <c r="EJ465" s="521"/>
      <c r="EK465" s="521"/>
      <c r="EL465" s="521"/>
      <c r="EM465" s="521"/>
      <c r="EN465" s="521"/>
      <c r="EO465" s="521"/>
      <c r="EP465" s="521"/>
      <c r="EQ465" s="521"/>
      <c r="ER465" s="521"/>
      <c r="ES465" s="521"/>
      <c r="ET465" s="521"/>
      <c r="EU465" s="521"/>
      <c r="EV465" s="521"/>
      <c r="EW465" s="521"/>
      <c r="EX465" s="521"/>
      <c r="EY465" s="518"/>
      <c r="EZ465" s="523"/>
      <c r="FA465" s="523"/>
      <c r="FB465" s="524"/>
      <c r="FC465" s="524"/>
      <c r="FD465" s="518"/>
      <c r="FE465" s="518"/>
      <c r="FF465" s="518"/>
      <c r="FG465" s="518"/>
      <c r="FH465" s="518"/>
      <c r="FI465" s="518"/>
      <c r="FJ465" s="518"/>
      <c r="FK465" s="518"/>
      <c r="FL465" s="518"/>
      <c r="FM465" s="519"/>
    </row>
    <row r="466" spans="1:169" x14ac:dyDescent="0.25">
      <c r="A466" s="284"/>
      <c r="B466" s="317"/>
      <c r="C466" s="297"/>
      <c r="D466" s="298"/>
      <c r="E466" s="299"/>
      <c r="F466" s="340"/>
      <c r="G466" s="298"/>
      <c r="H466" s="299"/>
      <c r="I466" s="300"/>
      <c r="J466" s="370"/>
      <c r="K466" s="328"/>
      <c r="L466" s="300"/>
      <c r="M466" s="328"/>
      <c r="N466" s="331"/>
      <c r="O466" s="301"/>
      <c r="P466" s="301"/>
      <c r="Q466" s="328"/>
      <c r="R466" s="620"/>
      <c r="S466" s="512"/>
      <c r="T466" s="512"/>
      <c r="U466" s="513"/>
      <c r="V466" s="514"/>
      <c r="W466" s="512"/>
      <c r="X466" s="513"/>
      <c r="Y466" s="514"/>
      <c r="Z466" s="513"/>
      <c r="AA466" s="515"/>
      <c r="AB466" s="516"/>
      <c r="AC466" s="513"/>
      <c r="AD466" s="544"/>
      <c r="AE466" s="516"/>
      <c r="AF466" s="513"/>
      <c r="AG466" s="551"/>
      <c r="AH466" s="595"/>
      <c r="AI466" s="517"/>
      <c r="AJ466" s="518"/>
      <c r="AK466" s="518"/>
      <c r="AL466" s="518"/>
      <c r="AM466" s="519"/>
      <c r="AN466" s="517"/>
      <c r="AO466" s="520"/>
      <c r="AP466" s="525"/>
      <c r="AQ466" s="531"/>
      <c r="AR466" s="593"/>
      <c r="AS466" s="518"/>
      <c r="AT466" s="518"/>
      <c r="AU466" s="518"/>
      <c r="AV466" s="519"/>
      <c r="AW466" s="560"/>
      <c r="AX466" s="522"/>
      <c r="AY466" s="522"/>
      <c r="AZ466" s="522"/>
      <c r="BA466" s="522"/>
      <c r="BB466" s="522"/>
      <c r="BC466" s="518"/>
      <c r="BD466" s="518"/>
      <c r="BE466" s="518"/>
      <c r="BF466" s="518"/>
      <c r="BG466" s="518"/>
      <c r="BH466" s="519"/>
      <c r="BI466" s="527"/>
      <c r="BJ466" s="518"/>
      <c r="BK466" s="518"/>
      <c r="BL466" s="520"/>
      <c r="BM466" s="520"/>
      <c r="BN466" s="519"/>
      <c r="BO466" s="517"/>
      <c r="BP466" s="520"/>
      <c r="BQ466" s="520"/>
      <c r="BR466" s="519"/>
      <c r="BS466" s="548"/>
      <c r="BT466" s="537"/>
      <c r="BU466" s="521"/>
      <c r="BV466" s="521"/>
      <c r="BW466" s="521"/>
      <c r="BX466" s="521"/>
      <c r="BY466" s="521"/>
      <c r="BZ466" s="521"/>
      <c r="CA466" s="521"/>
      <c r="CB466" s="521"/>
      <c r="CC466" s="521"/>
      <c r="CD466" s="521"/>
      <c r="CE466" s="521"/>
      <c r="CF466" s="521"/>
      <c r="CG466" s="521"/>
      <c r="CH466" s="521"/>
      <c r="CI466" s="521"/>
      <c r="CJ466" s="521"/>
      <c r="CK466" s="521"/>
      <c r="CL466" s="518"/>
      <c r="CM466" s="523"/>
      <c r="CN466" s="523"/>
      <c r="CO466" s="524"/>
      <c r="CP466" s="524"/>
      <c r="CQ466" s="518"/>
      <c r="CR466" s="518"/>
      <c r="CS466" s="518"/>
      <c r="CT466" s="518"/>
      <c r="CU466" s="518"/>
      <c r="CV466" s="518"/>
      <c r="CW466" s="518"/>
      <c r="CX466" s="518"/>
      <c r="CY466" s="518"/>
      <c r="CZ466" s="519"/>
      <c r="DA466" s="527"/>
      <c r="DB466" s="520"/>
      <c r="DC466" s="525"/>
      <c r="DD466" s="531"/>
      <c r="DE466" s="593"/>
      <c r="DF466" s="518"/>
      <c r="DG466" s="518"/>
      <c r="DH466" s="518"/>
      <c r="DI466" s="519"/>
      <c r="DJ466" s="560"/>
      <c r="DK466" s="522"/>
      <c r="DL466" s="522"/>
      <c r="DM466" s="522"/>
      <c r="DN466" s="522"/>
      <c r="DO466" s="522"/>
      <c r="DP466" s="518"/>
      <c r="DQ466" s="518"/>
      <c r="DR466" s="518"/>
      <c r="DS466" s="518"/>
      <c r="DT466" s="518"/>
      <c r="DU466" s="519"/>
      <c r="DV466" s="527"/>
      <c r="DW466" s="518"/>
      <c r="DX466" s="518"/>
      <c r="DY466" s="520"/>
      <c r="DZ466" s="520"/>
      <c r="EA466" s="519"/>
      <c r="EB466" s="527"/>
      <c r="EC466" s="520"/>
      <c r="ED466" s="520"/>
      <c r="EE466" s="519"/>
      <c r="EF466" s="550"/>
      <c r="EG466" s="537"/>
      <c r="EH466" s="521"/>
      <c r="EI466" s="521"/>
      <c r="EJ466" s="521"/>
      <c r="EK466" s="521"/>
      <c r="EL466" s="521"/>
      <c r="EM466" s="521"/>
      <c r="EN466" s="521"/>
      <c r="EO466" s="521"/>
      <c r="EP466" s="521"/>
      <c r="EQ466" s="521"/>
      <c r="ER466" s="521"/>
      <c r="ES466" s="521"/>
      <c r="ET466" s="521"/>
      <c r="EU466" s="521"/>
      <c r="EV466" s="521"/>
      <c r="EW466" s="521"/>
      <c r="EX466" s="521"/>
      <c r="EY466" s="518"/>
      <c r="EZ466" s="523"/>
      <c r="FA466" s="523"/>
      <c r="FB466" s="524"/>
      <c r="FC466" s="524"/>
      <c r="FD466" s="518"/>
      <c r="FE466" s="518"/>
      <c r="FF466" s="518"/>
      <c r="FG466" s="518"/>
      <c r="FH466" s="518"/>
      <c r="FI466" s="518"/>
      <c r="FJ466" s="518"/>
      <c r="FK466" s="518"/>
      <c r="FL466" s="518"/>
      <c r="FM466" s="519"/>
    </row>
    <row r="467" spans="1:169" x14ac:dyDescent="0.25">
      <c r="A467" s="284"/>
      <c r="B467" s="317"/>
      <c r="C467" s="297"/>
      <c r="D467" s="298"/>
      <c r="E467" s="299"/>
      <c r="F467" s="340"/>
      <c r="G467" s="298"/>
      <c r="H467" s="299"/>
      <c r="I467" s="300"/>
      <c r="J467" s="370"/>
      <c r="K467" s="328"/>
      <c r="L467" s="300"/>
      <c r="M467" s="328"/>
      <c r="N467" s="331"/>
      <c r="O467" s="301"/>
      <c r="P467" s="301"/>
      <c r="Q467" s="328"/>
      <c r="R467" s="620"/>
      <c r="S467" s="512"/>
      <c r="T467" s="512"/>
      <c r="U467" s="513"/>
      <c r="V467" s="514"/>
      <c r="W467" s="512"/>
      <c r="X467" s="513"/>
      <c r="Y467" s="514"/>
      <c r="Z467" s="513"/>
      <c r="AA467" s="515"/>
      <c r="AB467" s="516"/>
      <c r="AC467" s="513"/>
      <c r="AD467" s="544"/>
      <c r="AE467" s="516"/>
      <c r="AF467" s="513"/>
      <c r="AG467" s="551"/>
      <c r="AH467" s="595"/>
      <c r="AI467" s="517"/>
      <c r="AJ467" s="518"/>
      <c r="AK467" s="518"/>
      <c r="AL467" s="518"/>
      <c r="AM467" s="519"/>
      <c r="AN467" s="517"/>
      <c r="AO467" s="520"/>
      <c r="AP467" s="525"/>
      <c r="AQ467" s="531"/>
      <c r="AR467" s="593"/>
      <c r="AS467" s="518"/>
      <c r="AT467" s="518"/>
      <c r="AU467" s="518"/>
      <c r="AV467" s="519"/>
      <c r="AW467" s="560"/>
      <c r="AX467" s="522"/>
      <c r="AY467" s="522"/>
      <c r="AZ467" s="522"/>
      <c r="BA467" s="522"/>
      <c r="BB467" s="522"/>
      <c r="BC467" s="518"/>
      <c r="BD467" s="518"/>
      <c r="BE467" s="518"/>
      <c r="BF467" s="518"/>
      <c r="BG467" s="518"/>
      <c r="BH467" s="519"/>
      <c r="BI467" s="527"/>
      <c r="BJ467" s="518"/>
      <c r="BK467" s="518"/>
      <c r="BL467" s="520"/>
      <c r="BM467" s="520"/>
      <c r="BN467" s="519"/>
      <c r="BO467" s="517"/>
      <c r="BP467" s="520"/>
      <c r="BQ467" s="520"/>
      <c r="BR467" s="519"/>
      <c r="BS467" s="548"/>
      <c r="BT467" s="537"/>
      <c r="BU467" s="521"/>
      <c r="BV467" s="521"/>
      <c r="BW467" s="521"/>
      <c r="BX467" s="521"/>
      <c r="BY467" s="521"/>
      <c r="BZ467" s="521"/>
      <c r="CA467" s="521"/>
      <c r="CB467" s="521"/>
      <c r="CC467" s="521"/>
      <c r="CD467" s="521"/>
      <c r="CE467" s="521"/>
      <c r="CF467" s="521"/>
      <c r="CG467" s="521"/>
      <c r="CH467" s="521"/>
      <c r="CI467" s="521"/>
      <c r="CJ467" s="521"/>
      <c r="CK467" s="521"/>
      <c r="CL467" s="518"/>
      <c r="CM467" s="523"/>
      <c r="CN467" s="523"/>
      <c r="CO467" s="524"/>
      <c r="CP467" s="524"/>
      <c r="CQ467" s="518"/>
      <c r="CR467" s="518"/>
      <c r="CS467" s="518"/>
      <c r="CT467" s="518"/>
      <c r="CU467" s="518"/>
      <c r="CV467" s="518"/>
      <c r="CW467" s="518"/>
      <c r="CX467" s="518"/>
      <c r="CY467" s="518"/>
      <c r="CZ467" s="519"/>
      <c r="DA467" s="527"/>
      <c r="DB467" s="520"/>
      <c r="DC467" s="525"/>
      <c r="DD467" s="531"/>
      <c r="DE467" s="593"/>
      <c r="DF467" s="518"/>
      <c r="DG467" s="518"/>
      <c r="DH467" s="518"/>
      <c r="DI467" s="519"/>
      <c r="DJ467" s="560"/>
      <c r="DK467" s="522"/>
      <c r="DL467" s="522"/>
      <c r="DM467" s="522"/>
      <c r="DN467" s="522"/>
      <c r="DO467" s="522"/>
      <c r="DP467" s="518"/>
      <c r="DQ467" s="518"/>
      <c r="DR467" s="518"/>
      <c r="DS467" s="518"/>
      <c r="DT467" s="518"/>
      <c r="DU467" s="519"/>
      <c r="DV467" s="527"/>
      <c r="DW467" s="518"/>
      <c r="DX467" s="518"/>
      <c r="DY467" s="520"/>
      <c r="DZ467" s="520"/>
      <c r="EA467" s="519"/>
      <c r="EB467" s="527"/>
      <c r="EC467" s="520"/>
      <c r="ED467" s="520"/>
      <c r="EE467" s="519"/>
      <c r="EF467" s="550"/>
      <c r="EG467" s="537"/>
      <c r="EH467" s="521"/>
      <c r="EI467" s="521"/>
      <c r="EJ467" s="521"/>
      <c r="EK467" s="521"/>
      <c r="EL467" s="521"/>
      <c r="EM467" s="521"/>
      <c r="EN467" s="521"/>
      <c r="EO467" s="521"/>
      <c r="EP467" s="521"/>
      <c r="EQ467" s="521"/>
      <c r="ER467" s="521"/>
      <c r="ES467" s="521"/>
      <c r="ET467" s="521"/>
      <c r="EU467" s="521"/>
      <c r="EV467" s="521"/>
      <c r="EW467" s="521"/>
      <c r="EX467" s="521"/>
      <c r="EY467" s="518"/>
      <c r="EZ467" s="523"/>
      <c r="FA467" s="523"/>
      <c r="FB467" s="524"/>
      <c r="FC467" s="524"/>
      <c r="FD467" s="518"/>
      <c r="FE467" s="518"/>
      <c r="FF467" s="518"/>
      <c r="FG467" s="518"/>
      <c r="FH467" s="518"/>
      <c r="FI467" s="518"/>
      <c r="FJ467" s="518"/>
      <c r="FK467" s="518"/>
      <c r="FL467" s="518"/>
      <c r="FM467" s="519"/>
    </row>
    <row r="468" spans="1:169" x14ac:dyDescent="0.25">
      <c r="A468" s="284"/>
      <c r="B468" s="317"/>
      <c r="C468" s="297"/>
      <c r="D468" s="298"/>
      <c r="E468" s="299"/>
      <c r="F468" s="340"/>
      <c r="G468" s="298"/>
      <c r="H468" s="299"/>
      <c r="I468" s="300"/>
      <c r="J468" s="370"/>
      <c r="K468" s="328"/>
      <c r="L468" s="300"/>
      <c r="M468" s="328"/>
      <c r="N468" s="331"/>
      <c r="O468" s="301"/>
      <c r="P468" s="301"/>
      <c r="Q468" s="328"/>
      <c r="R468" s="620"/>
      <c r="S468" s="512"/>
      <c r="T468" s="512"/>
      <c r="U468" s="513"/>
      <c r="V468" s="514"/>
      <c r="W468" s="512"/>
      <c r="X468" s="513"/>
      <c r="Y468" s="514"/>
      <c r="Z468" s="513"/>
      <c r="AA468" s="515"/>
      <c r="AB468" s="516"/>
      <c r="AC468" s="513"/>
      <c r="AD468" s="544"/>
      <c r="AE468" s="516"/>
      <c r="AF468" s="513"/>
      <c r="AG468" s="551"/>
      <c r="AH468" s="595"/>
      <c r="AI468" s="517"/>
      <c r="AJ468" s="518"/>
      <c r="AK468" s="518"/>
      <c r="AL468" s="518"/>
      <c r="AM468" s="519"/>
      <c r="AN468" s="517"/>
      <c r="AO468" s="520"/>
      <c r="AP468" s="525"/>
      <c r="AQ468" s="531"/>
      <c r="AR468" s="593"/>
      <c r="AS468" s="518"/>
      <c r="AT468" s="518"/>
      <c r="AU468" s="518"/>
      <c r="AV468" s="519"/>
      <c r="AW468" s="560"/>
      <c r="AX468" s="522"/>
      <c r="AY468" s="522"/>
      <c r="AZ468" s="522"/>
      <c r="BA468" s="522"/>
      <c r="BB468" s="522"/>
      <c r="BC468" s="518"/>
      <c r="BD468" s="518"/>
      <c r="BE468" s="518"/>
      <c r="BF468" s="518"/>
      <c r="BG468" s="518"/>
      <c r="BH468" s="519"/>
      <c r="BI468" s="527"/>
      <c r="BJ468" s="518"/>
      <c r="BK468" s="518"/>
      <c r="BL468" s="520"/>
      <c r="BM468" s="520"/>
      <c r="BN468" s="519"/>
      <c r="BO468" s="517"/>
      <c r="BP468" s="520"/>
      <c r="BQ468" s="520"/>
      <c r="BR468" s="519"/>
      <c r="BS468" s="548"/>
      <c r="BT468" s="537"/>
      <c r="BU468" s="521"/>
      <c r="BV468" s="521"/>
      <c r="BW468" s="521"/>
      <c r="BX468" s="521"/>
      <c r="BY468" s="521"/>
      <c r="BZ468" s="521"/>
      <c r="CA468" s="521"/>
      <c r="CB468" s="521"/>
      <c r="CC468" s="521"/>
      <c r="CD468" s="521"/>
      <c r="CE468" s="521"/>
      <c r="CF468" s="521"/>
      <c r="CG468" s="521"/>
      <c r="CH468" s="521"/>
      <c r="CI468" s="521"/>
      <c r="CJ468" s="521"/>
      <c r="CK468" s="521"/>
      <c r="CL468" s="518"/>
      <c r="CM468" s="523"/>
      <c r="CN468" s="523"/>
      <c r="CO468" s="524"/>
      <c r="CP468" s="524"/>
      <c r="CQ468" s="518"/>
      <c r="CR468" s="518"/>
      <c r="CS468" s="518"/>
      <c r="CT468" s="518"/>
      <c r="CU468" s="518"/>
      <c r="CV468" s="518"/>
      <c r="CW468" s="518"/>
      <c r="CX468" s="518"/>
      <c r="CY468" s="518"/>
      <c r="CZ468" s="519"/>
      <c r="DA468" s="527"/>
      <c r="DB468" s="520"/>
      <c r="DC468" s="525"/>
      <c r="DD468" s="531"/>
      <c r="DE468" s="593"/>
      <c r="DF468" s="518"/>
      <c r="DG468" s="518"/>
      <c r="DH468" s="518"/>
      <c r="DI468" s="519"/>
      <c r="DJ468" s="560"/>
      <c r="DK468" s="522"/>
      <c r="DL468" s="522"/>
      <c r="DM468" s="522"/>
      <c r="DN468" s="522"/>
      <c r="DO468" s="522"/>
      <c r="DP468" s="518"/>
      <c r="DQ468" s="518"/>
      <c r="DR468" s="518"/>
      <c r="DS468" s="518"/>
      <c r="DT468" s="518"/>
      <c r="DU468" s="519"/>
      <c r="DV468" s="527"/>
      <c r="DW468" s="518"/>
      <c r="DX468" s="518"/>
      <c r="DY468" s="520"/>
      <c r="DZ468" s="520"/>
      <c r="EA468" s="519"/>
      <c r="EB468" s="527"/>
      <c r="EC468" s="520"/>
      <c r="ED468" s="520"/>
      <c r="EE468" s="519"/>
      <c r="EF468" s="550"/>
      <c r="EG468" s="537"/>
      <c r="EH468" s="521"/>
      <c r="EI468" s="521"/>
      <c r="EJ468" s="521"/>
      <c r="EK468" s="521"/>
      <c r="EL468" s="521"/>
      <c r="EM468" s="521"/>
      <c r="EN468" s="521"/>
      <c r="EO468" s="521"/>
      <c r="EP468" s="521"/>
      <c r="EQ468" s="521"/>
      <c r="ER468" s="521"/>
      <c r="ES468" s="521"/>
      <c r="ET468" s="521"/>
      <c r="EU468" s="521"/>
      <c r="EV468" s="521"/>
      <c r="EW468" s="521"/>
      <c r="EX468" s="521"/>
      <c r="EY468" s="518"/>
      <c r="EZ468" s="523"/>
      <c r="FA468" s="523"/>
      <c r="FB468" s="524"/>
      <c r="FC468" s="524"/>
      <c r="FD468" s="518"/>
      <c r="FE468" s="518"/>
      <c r="FF468" s="518"/>
      <c r="FG468" s="518"/>
      <c r="FH468" s="518"/>
      <c r="FI468" s="518"/>
      <c r="FJ468" s="518"/>
      <c r="FK468" s="518"/>
      <c r="FL468" s="518"/>
      <c r="FM468" s="519"/>
    </row>
    <row r="469" spans="1:169" x14ac:dyDescent="0.25">
      <c r="A469" s="284"/>
      <c r="B469" s="317"/>
      <c r="C469" s="297"/>
      <c r="D469" s="298"/>
      <c r="E469" s="299"/>
      <c r="F469" s="340"/>
      <c r="G469" s="298"/>
      <c r="H469" s="299"/>
      <c r="I469" s="300"/>
      <c r="J469" s="370"/>
      <c r="K469" s="328"/>
      <c r="L469" s="300"/>
      <c r="M469" s="328"/>
      <c r="N469" s="331"/>
      <c r="O469" s="301"/>
      <c r="P469" s="301"/>
      <c r="Q469" s="328"/>
      <c r="R469" s="620"/>
      <c r="S469" s="512"/>
      <c r="T469" s="512"/>
      <c r="U469" s="513"/>
      <c r="V469" s="514"/>
      <c r="W469" s="512"/>
      <c r="X469" s="513"/>
      <c r="Y469" s="514"/>
      <c r="Z469" s="513"/>
      <c r="AA469" s="515"/>
      <c r="AB469" s="516"/>
      <c r="AC469" s="513"/>
      <c r="AD469" s="544"/>
      <c r="AE469" s="516"/>
      <c r="AF469" s="513"/>
      <c r="AG469" s="551"/>
      <c r="AH469" s="595"/>
      <c r="AI469" s="517"/>
      <c r="AJ469" s="518"/>
      <c r="AK469" s="518"/>
      <c r="AL469" s="518"/>
      <c r="AM469" s="519"/>
      <c r="AN469" s="517"/>
      <c r="AO469" s="520"/>
      <c r="AP469" s="525"/>
      <c r="AQ469" s="531"/>
      <c r="AR469" s="593"/>
      <c r="AS469" s="518"/>
      <c r="AT469" s="518"/>
      <c r="AU469" s="518"/>
      <c r="AV469" s="519"/>
      <c r="AW469" s="560"/>
      <c r="AX469" s="522"/>
      <c r="AY469" s="522"/>
      <c r="AZ469" s="522"/>
      <c r="BA469" s="522"/>
      <c r="BB469" s="522"/>
      <c r="BC469" s="518"/>
      <c r="BD469" s="518"/>
      <c r="BE469" s="518"/>
      <c r="BF469" s="518"/>
      <c r="BG469" s="518"/>
      <c r="BH469" s="519"/>
      <c r="BI469" s="527"/>
      <c r="BJ469" s="518"/>
      <c r="BK469" s="518"/>
      <c r="BL469" s="520"/>
      <c r="BM469" s="520"/>
      <c r="BN469" s="519"/>
      <c r="BO469" s="517"/>
      <c r="BP469" s="520"/>
      <c r="BQ469" s="520"/>
      <c r="BR469" s="519"/>
      <c r="BS469" s="548"/>
      <c r="BT469" s="537"/>
      <c r="BU469" s="521"/>
      <c r="BV469" s="521"/>
      <c r="BW469" s="521"/>
      <c r="BX469" s="521"/>
      <c r="BY469" s="521"/>
      <c r="BZ469" s="521"/>
      <c r="CA469" s="521"/>
      <c r="CB469" s="521"/>
      <c r="CC469" s="521"/>
      <c r="CD469" s="521"/>
      <c r="CE469" s="521"/>
      <c r="CF469" s="521"/>
      <c r="CG469" s="521"/>
      <c r="CH469" s="521"/>
      <c r="CI469" s="521"/>
      <c r="CJ469" s="521"/>
      <c r="CK469" s="521"/>
      <c r="CL469" s="518"/>
      <c r="CM469" s="523"/>
      <c r="CN469" s="523"/>
      <c r="CO469" s="524"/>
      <c r="CP469" s="524"/>
      <c r="CQ469" s="518"/>
      <c r="CR469" s="518"/>
      <c r="CS469" s="518"/>
      <c r="CT469" s="518"/>
      <c r="CU469" s="518"/>
      <c r="CV469" s="518"/>
      <c r="CW469" s="518"/>
      <c r="CX469" s="518"/>
      <c r="CY469" s="518"/>
      <c r="CZ469" s="519"/>
      <c r="DA469" s="527"/>
      <c r="DB469" s="520"/>
      <c r="DC469" s="525"/>
      <c r="DD469" s="531"/>
      <c r="DE469" s="593"/>
      <c r="DF469" s="518"/>
      <c r="DG469" s="518"/>
      <c r="DH469" s="518"/>
      <c r="DI469" s="519"/>
      <c r="DJ469" s="560"/>
      <c r="DK469" s="522"/>
      <c r="DL469" s="522"/>
      <c r="DM469" s="522"/>
      <c r="DN469" s="522"/>
      <c r="DO469" s="522"/>
      <c r="DP469" s="518"/>
      <c r="DQ469" s="518"/>
      <c r="DR469" s="518"/>
      <c r="DS469" s="518"/>
      <c r="DT469" s="518"/>
      <c r="DU469" s="519"/>
      <c r="DV469" s="527"/>
      <c r="DW469" s="518"/>
      <c r="DX469" s="518"/>
      <c r="DY469" s="520"/>
      <c r="DZ469" s="520"/>
      <c r="EA469" s="519"/>
      <c r="EB469" s="527"/>
      <c r="EC469" s="520"/>
      <c r="ED469" s="520"/>
      <c r="EE469" s="519"/>
      <c r="EF469" s="550"/>
      <c r="EG469" s="537"/>
      <c r="EH469" s="521"/>
      <c r="EI469" s="521"/>
      <c r="EJ469" s="521"/>
      <c r="EK469" s="521"/>
      <c r="EL469" s="521"/>
      <c r="EM469" s="521"/>
      <c r="EN469" s="521"/>
      <c r="EO469" s="521"/>
      <c r="EP469" s="521"/>
      <c r="EQ469" s="521"/>
      <c r="ER469" s="521"/>
      <c r="ES469" s="521"/>
      <c r="ET469" s="521"/>
      <c r="EU469" s="521"/>
      <c r="EV469" s="521"/>
      <c r="EW469" s="521"/>
      <c r="EX469" s="521"/>
      <c r="EY469" s="518"/>
      <c r="EZ469" s="523"/>
      <c r="FA469" s="523"/>
      <c r="FB469" s="524"/>
      <c r="FC469" s="524"/>
      <c r="FD469" s="518"/>
      <c r="FE469" s="518"/>
      <c r="FF469" s="518"/>
      <c r="FG469" s="518"/>
      <c r="FH469" s="518"/>
      <c r="FI469" s="518"/>
      <c r="FJ469" s="518"/>
      <c r="FK469" s="518"/>
      <c r="FL469" s="518"/>
      <c r="FM469" s="519"/>
    </row>
    <row r="470" spans="1:169" x14ac:dyDescent="0.25">
      <c r="A470" s="284"/>
      <c r="B470" s="317"/>
      <c r="C470" s="297"/>
      <c r="D470" s="298"/>
      <c r="E470" s="299"/>
      <c r="F470" s="340"/>
      <c r="G470" s="298"/>
      <c r="H470" s="299"/>
      <c r="I470" s="300"/>
      <c r="J470" s="370"/>
      <c r="K470" s="328"/>
      <c r="L470" s="300"/>
      <c r="M470" s="328"/>
      <c r="N470" s="331"/>
      <c r="O470" s="301"/>
      <c r="P470" s="301"/>
      <c r="Q470" s="328"/>
      <c r="R470" s="620"/>
      <c r="S470" s="512"/>
      <c r="T470" s="512"/>
      <c r="U470" s="513"/>
      <c r="V470" s="514"/>
      <c r="W470" s="512"/>
      <c r="X470" s="513"/>
      <c r="Y470" s="514"/>
      <c r="Z470" s="513"/>
      <c r="AA470" s="515"/>
      <c r="AB470" s="516"/>
      <c r="AC470" s="513"/>
      <c r="AD470" s="544"/>
      <c r="AE470" s="516"/>
      <c r="AF470" s="513"/>
      <c r="AG470" s="551"/>
      <c r="AH470" s="595"/>
      <c r="AI470" s="517"/>
      <c r="AJ470" s="518"/>
      <c r="AK470" s="518"/>
      <c r="AL470" s="518"/>
      <c r="AM470" s="519"/>
      <c r="AN470" s="517"/>
      <c r="AO470" s="520"/>
      <c r="AP470" s="525"/>
      <c r="AQ470" s="531"/>
      <c r="AR470" s="593"/>
      <c r="AS470" s="518"/>
      <c r="AT470" s="518"/>
      <c r="AU470" s="518"/>
      <c r="AV470" s="519"/>
      <c r="AW470" s="560"/>
      <c r="AX470" s="522"/>
      <c r="AY470" s="522"/>
      <c r="AZ470" s="522"/>
      <c r="BA470" s="522"/>
      <c r="BB470" s="522"/>
      <c r="BC470" s="518"/>
      <c r="BD470" s="518"/>
      <c r="BE470" s="518"/>
      <c r="BF470" s="518"/>
      <c r="BG470" s="518"/>
      <c r="BH470" s="519"/>
      <c r="BI470" s="527"/>
      <c r="BJ470" s="518"/>
      <c r="BK470" s="518"/>
      <c r="BL470" s="520"/>
      <c r="BM470" s="520"/>
      <c r="BN470" s="519"/>
      <c r="BO470" s="517"/>
      <c r="BP470" s="520"/>
      <c r="BQ470" s="520"/>
      <c r="BR470" s="519"/>
      <c r="BS470" s="548"/>
      <c r="BT470" s="537"/>
      <c r="BU470" s="521"/>
      <c r="BV470" s="521"/>
      <c r="BW470" s="521"/>
      <c r="BX470" s="521"/>
      <c r="BY470" s="521"/>
      <c r="BZ470" s="521"/>
      <c r="CA470" s="521"/>
      <c r="CB470" s="521"/>
      <c r="CC470" s="521"/>
      <c r="CD470" s="521"/>
      <c r="CE470" s="521"/>
      <c r="CF470" s="521"/>
      <c r="CG470" s="521"/>
      <c r="CH470" s="521"/>
      <c r="CI470" s="521"/>
      <c r="CJ470" s="521"/>
      <c r="CK470" s="521"/>
      <c r="CL470" s="518"/>
      <c r="CM470" s="523"/>
      <c r="CN470" s="523"/>
      <c r="CO470" s="524"/>
      <c r="CP470" s="524"/>
      <c r="CQ470" s="518"/>
      <c r="CR470" s="518"/>
      <c r="CS470" s="518"/>
      <c r="CT470" s="518"/>
      <c r="CU470" s="518"/>
      <c r="CV470" s="518"/>
      <c r="CW470" s="518"/>
      <c r="CX470" s="518"/>
      <c r="CY470" s="518"/>
      <c r="CZ470" s="519"/>
      <c r="DA470" s="527"/>
      <c r="DB470" s="520"/>
      <c r="DC470" s="525"/>
      <c r="DD470" s="531"/>
      <c r="DE470" s="593"/>
      <c r="DF470" s="518"/>
      <c r="DG470" s="518"/>
      <c r="DH470" s="518"/>
      <c r="DI470" s="519"/>
      <c r="DJ470" s="560"/>
      <c r="DK470" s="522"/>
      <c r="DL470" s="522"/>
      <c r="DM470" s="522"/>
      <c r="DN470" s="522"/>
      <c r="DO470" s="522"/>
      <c r="DP470" s="518"/>
      <c r="DQ470" s="518"/>
      <c r="DR470" s="518"/>
      <c r="DS470" s="518"/>
      <c r="DT470" s="518"/>
      <c r="DU470" s="519"/>
      <c r="DV470" s="527"/>
      <c r="DW470" s="518"/>
      <c r="DX470" s="518"/>
      <c r="DY470" s="520"/>
      <c r="DZ470" s="520"/>
      <c r="EA470" s="519"/>
      <c r="EB470" s="527"/>
      <c r="EC470" s="520"/>
      <c r="ED470" s="520"/>
      <c r="EE470" s="519"/>
      <c r="EF470" s="550"/>
      <c r="EG470" s="537"/>
      <c r="EH470" s="521"/>
      <c r="EI470" s="521"/>
      <c r="EJ470" s="521"/>
      <c r="EK470" s="521"/>
      <c r="EL470" s="521"/>
      <c r="EM470" s="521"/>
      <c r="EN470" s="521"/>
      <c r="EO470" s="521"/>
      <c r="EP470" s="521"/>
      <c r="EQ470" s="521"/>
      <c r="ER470" s="521"/>
      <c r="ES470" s="521"/>
      <c r="ET470" s="521"/>
      <c r="EU470" s="521"/>
      <c r="EV470" s="521"/>
      <c r="EW470" s="521"/>
      <c r="EX470" s="521"/>
      <c r="EY470" s="518"/>
      <c r="EZ470" s="523"/>
      <c r="FA470" s="523"/>
      <c r="FB470" s="524"/>
      <c r="FC470" s="524"/>
      <c r="FD470" s="518"/>
      <c r="FE470" s="518"/>
      <c r="FF470" s="518"/>
      <c r="FG470" s="518"/>
      <c r="FH470" s="518"/>
      <c r="FI470" s="518"/>
      <c r="FJ470" s="518"/>
      <c r="FK470" s="518"/>
      <c r="FL470" s="518"/>
      <c r="FM470" s="519"/>
    </row>
    <row r="471" spans="1:169" x14ac:dyDescent="0.25">
      <c r="A471" s="284"/>
      <c r="B471" s="317"/>
      <c r="C471" s="297"/>
      <c r="D471" s="298"/>
      <c r="E471" s="299"/>
      <c r="F471" s="340"/>
      <c r="G471" s="298"/>
      <c r="H471" s="299"/>
      <c r="I471" s="300"/>
      <c r="J471" s="370"/>
      <c r="K471" s="328"/>
      <c r="L471" s="300"/>
      <c r="M471" s="328"/>
      <c r="N471" s="331"/>
      <c r="O471" s="301"/>
      <c r="P471" s="301"/>
      <c r="Q471" s="328"/>
      <c r="R471" s="620"/>
      <c r="S471" s="512"/>
      <c r="T471" s="512"/>
      <c r="U471" s="513"/>
      <c r="V471" s="514"/>
      <c r="W471" s="512"/>
      <c r="X471" s="513"/>
      <c r="Y471" s="514"/>
      <c r="Z471" s="513"/>
      <c r="AA471" s="515"/>
      <c r="AB471" s="516"/>
      <c r="AC471" s="513"/>
      <c r="AD471" s="544"/>
      <c r="AE471" s="516"/>
      <c r="AF471" s="513"/>
      <c r="AG471" s="551"/>
      <c r="AH471" s="595"/>
      <c r="AI471" s="517"/>
      <c r="AJ471" s="518"/>
      <c r="AK471" s="518"/>
      <c r="AL471" s="518"/>
      <c r="AM471" s="519"/>
      <c r="AN471" s="517"/>
      <c r="AO471" s="520"/>
      <c r="AP471" s="525"/>
      <c r="AQ471" s="531"/>
      <c r="AR471" s="593"/>
      <c r="AS471" s="518"/>
      <c r="AT471" s="518"/>
      <c r="AU471" s="518"/>
      <c r="AV471" s="519"/>
      <c r="AW471" s="560"/>
      <c r="AX471" s="522"/>
      <c r="AY471" s="522"/>
      <c r="AZ471" s="522"/>
      <c r="BA471" s="522"/>
      <c r="BB471" s="522"/>
      <c r="BC471" s="518"/>
      <c r="BD471" s="518"/>
      <c r="BE471" s="518"/>
      <c r="BF471" s="518"/>
      <c r="BG471" s="518"/>
      <c r="BH471" s="519"/>
      <c r="BI471" s="527"/>
      <c r="BJ471" s="518"/>
      <c r="BK471" s="518"/>
      <c r="BL471" s="520"/>
      <c r="BM471" s="520"/>
      <c r="BN471" s="519"/>
      <c r="BO471" s="517"/>
      <c r="BP471" s="520"/>
      <c r="BQ471" s="520"/>
      <c r="BR471" s="519"/>
      <c r="BS471" s="548"/>
      <c r="BT471" s="537"/>
      <c r="BU471" s="521"/>
      <c r="BV471" s="521"/>
      <c r="BW471" s="521"/>
      <c r="BX471" s="521"/>
      <c r="BY471" s="521"/>
      <c r="BZ471" s="521"/>
      <c r="CA471" s="521"/>
      <c r="CB471" s="521"/>
      <c r="CC471" s="521"/>
      <c r="CD471" s="521"/>
      <c r="CE471" s="521"/>
      <c r="CF471" s="521"/>
      <c r="CG471" s="521"/>
      <c r="CH471" s="521"/>
      <c r="CI471" s="521"/>
      <c r="CJ471" s="521"/>
      <c r="CK471" s="521"/>
      <c r="CL471" s="518"/>
      <c r="CM471" s="523"/>
      <c r="CN471" s="523"/>
      <c r="CO471" s="524"/>
      <c r="CP471" s="524"/>
      <c r="CQ471" s="518"/>
      <c r="CR471" s="518"/>
      <c r="CS471" s="518"/>
      <c r="CT471" s="518"/>
      <c r="CU471" s="518"/>
      <c r="CV471" s="518"/>
      <c r="CW471" s="518"/>
      <c r="CX471" s="518"/>
      <c r="CY471" s="518"/>
      <c r="CZ471" s="519"/>
      <c r="DA471" s="527"/>
      <c r="DB471" s="520"/>
      <c r="DC471" s="525"/>
      <c r="DD471" s="531"/>
      <c r="DE471" s="593"/>
      <c r="DF471" s="518"/>
      <c r="DG471" s="518"/>
      <c r="DH471" s="518"/>
      <c r="DI471" s="519"/>
      <c r="DJ471" s="560"/>
      <c r="DK471" s="522"/>
      <c r="DL471" s="522"/>
      <c r="DM471" s="522"/>
      <c r="DN471" s="522"/>
      <c r="DO471" s="522"/>
      <c r="DP471" s="518"/>
      <c r="DQ471" s="518"/>
      <c r="DR471" s="518"/>
      <c r="DS471" s="518"/>
      <c r="DT471" s="518"/>
      <c r="DU471" s="519"/>
      <c r="DV471" s="527"/>
      <c r="DW471" s="518"/>
      <c r="DX471" s="518"/>
      <c r="DY471" s="520"/>
      <c r="DZ471" s="520"/>
      <c r="EA471" s="519"/>
      <c r="EB471" s="527"/>
      <c r="EC471" s="520"/>
      <c r="ED471" s="520"/>
      <c r="EE471" s="519"/>
      <c r="EF471" s="550"/>
      <c r="EG471" s="537"/>
      <c r="EH471" s="521"/>
      <c r="EI471" s="521"/>
      <c r="EJ471" s="521"/>
      <c r="EK471" s="521"/>
      <c r="EL471" s="521"/>
      <c r="EM471" s="521"/>
      <c r="EN471" s="521"/>
      <c r="EO471" s="521"/>
      <c r="EP471" s="521"/>
      <c r="EQ471" s="521"/>
      <c r="ER471" s="521"/>
      <c r="ES471" s="521"/>
      <c r="ET471" s="521"/>
      <c r="EU471" s="521"/>
      <c r="EV471" s="521"/>
      <c r="EW471" s="521"/>
      <c r="EX471" s="521"/>
      <c r="EY471" s="518"/>
      <c r="EZ471" s="523"/>
      <c r="FA471" s="523"/>
      <c r="FB471" s="524"/>
      <c r="FC471" s="524"/>
      <c r="FD471" s="518"/>
      <c r="FE471" s="518"/>
      <c r="FF471" s="518"/>
      <c r="FG471" s="518"/>
      <c r="FH471" s="518"/>
      <c r="FI471" s="518"/>
      <c r="FJ471" s="518"/>
      <c r="FK471" s="518"/>
      <c r="FL471" s="518"/>
      <c r="FM471" s="519"/>
    </row>
    <row r="472" spans="1:169" x14ac:dyDescent="0.25">
      <c r="A472" s="284"/>
      <c r="B472" s="317"/>
      <c r="C472" s="297"/>
      <c r="D472" s="298"/>
      <c r="E472" s="299"/>
      <c r="F472" s="340"/>
      <c r="G472" s="298"/>
      <c r="H472" s="299"/>
      <c r="I472" s="300"/>
      <c r="J472" s="370"/>
      <c r="K472" s="328"/>
      <c r="L472" s="300"/>
      <c r="M472" s="328"/>
      <c r="N472" s="331"/>
      <c r="O472" s="301"/>
      <c r="P472" s="301"/>
      <c r="Q472" s="328"/>
      <c r="R472" s="620"/>
      <c r="S472" s="512"/>
      <c r="T472" s="512"/>
      <c r="U472" s="513"/>
      <c r="V472" s="514"/>
      <c r="W472" s="512"/>
      <c r="X472" s="513"/>
      <c r="Y472" s="514"/>
      <c r="Z472" s="513"/>
      <c r="AA472" s="515"/>
      <c r="AB472" s="516"/>
      <c r="AC472" s="513"/>
      <c r="AD472" s="544"/>
      <c r="AE472" s="516"/>
      <c r="AF472" s="513"/>
      <c r="AG472" s="551"/>
      <c r="AH472" s="595"/>
      <c r="AI472" s="517"/>
      <c r="AJ472" s="518"/>
      <c r="AK472" s="518"/>
      <c r="AL472" s="518"/>
      <c r="AM472" s="519"/>
      <c r="AN472" s="517"/>
      <c r="AO472" s="520"/>
      <c r="AP472" s="525"/>
      <c r="AQ472" s="531"/>
      <c r="AR472" s="593"/>
      <c r="AS472" s="518"/>
      <c r="AT472" s="518"/>
      <c r="AU472" s="518"/>
      <c r="AV472" s="519"/>
      <c r="AW472" s="560"/>
      <c r="AX472" s="522"/>
      <c r="AY472" s="522"/>
      <c r="AZ472" s="522"/>
      <c r="BA472" s="522"/>
      <c r="BB472" s="522"/>
      <c r="BC472" s="518"/>
      <c r="BD472" s="518"/>
      <c r="BE472" s="518"/>
      <c r="BF472" s="518"/>
      <c r="BG472" s="518"/>
      <c r="BH472" s="519"/>
      <c r="BI472" s="527"/>
      <c r="BJ472" s="518"/>
      <c r="BK472" s="518"/>
      <c r="BL472" s="520"/>
      <c r="BM472" s="520"/>
      <c r="BN472" s="519"/>
      <c r="BO472" s="517"/>
      <c r="BP472" s="520"/>
      <c r="BQ472" s="520"/>
      <c r="BR472" s="519"/>
      <c r="BS472" s="548"/>
      <c r="BT472" s="537"/>
      <c r="BU472" s="521"/>
      <c r="BV472" s="521"/>
      <c r="BW472" s="521"/>
      <c r="BX472" s="521"/>
      <c r="BY472" s="521"/>
      <c r="BZ472" s="521"/>
      <c r="CA472" s="521"/>
      <c r="CB472" s="521"/>
      <c r="CC472" s="521"/>
      <c r="CD472" s="521"/>
      <c r="CE472" s="521"/>
      <c r="CF472" s="521"/>
      <c r="CG472" s="521"/>
      <c r="CH472" s="521"/>
      <c r="CI472" s="521"/>
      <c r="CJ472" s="521"/>
      <c r="CK472" s="521"/>
      <c r="CL472" s="518"/>
      <c r="CM472" s="523"/>
      <c r="CN472" s="523"/>
      <c r="CO472" s="524"/>
      <c r="CP472" s="524"/>
      <c r="CQ472" s="518"/>
      <c r="CR472" s="518"/>
      <c r="CS472" s="518"/>
      <c r="CT472" s="518"/>
      <c r="CU472" s="518"/>
      <c r="CV472" s="518"/>
      <c r="CW472" s="518"/>
      <c r="CX472" s="518"/>
      <c r="CY472" s="518"/>
      <c r="CZ472" s="519"/>
      <c r="DA472" s="527"/>
      <c r="DB472" s="520"/>
      <c r="DC472" s="525"/>
      <c r="DD472" s="531"/>
      <c r="DE472" s="593"/>
      <c r="DF472" s="518"/>
      <c r="DG472" s="518"/>
      <c r="DH472" s="518"/>
      <c r="DI472" s="519"/>
      <c r="DJ472" s="560"/>
      <c r="DK472" s="522"/>
      <c r="DL472" s="522"/>
      <c r="DM472" s="522"/>
      <c r="DN472" s="522"/>
      <c r="DO472" s="522"/>
      <c r="DP472" s="518"/>
      <c r="DQ472" s="518"/>
      <c r="DR472" s="518"/>
      <c r="DS472" s="518"/>
      <c r="DT472" s="518"/>
      <c r="DU472" s="519"/>
      <c r="DV472" s="527"/>
      <c r="DW472" s="518"/>
      <c r="DX472" s="518"/>
      <c r="DY472" s="520"/>
      <c r="DZ472" s="520"/>
      <c r="EA472" s="519"/>
      <c r="EB472" s="527"/>
      <c r="EC472" s="520"/>
      <c r="ED472" s="520"/>
      <c r="EE472" s="519"/>
      <c r="EF472" s="550"/>
      <c r="EG472" s="537"/>
      <c r="EH472" s="521"/>
      <c r="EI472" s="521"/>
      <c r="EJ472" s="521"/>
      <c r="EK472" s="521"/>
      <c r="EL472" s="521"/>
      <c r="EM472" s="521"/>
      <c r="EN472" s="521"/>
      <c r="EO472" s="521"/>
      <c r="EP472" s="521"/>
      <c r="EQ472" s="521"/>
      <c r="ER472" s="521"/>
      <c r="ES472" s="521"/>
      <c r="ET472" s="521"/>
      <c r="EU472" s="521"/>
      <c r="EV472" s="521"/>
      <c r="EW472" s="521"/>
      <c r="EX472" s="521"/>
      <c r="EY472" s="518"/>
      <c r="EZ472" s="523"/>
      <c r="FA472" s="523"/>
      <c r="FB472" s="524"/>
      <c r="FC472" s="524"/>
      <c r="FD472" s="518"/>
      <c r="FE472" s="518"/>
      <c r="FF472" s="518"/>
      <c r="FG472" s="518"/>
      <c r="FH472" s="518"/>
      <c r="FI472" s="518"/>
      <c r="FJ472" s="518"/>
      <c r="FK472" s="518"/>
      <c r="FL472" s="518"/>
      <c r="FM472" s="519"/>
    </row>
    <row r="473" spans="1:169" x14ac:dyDescent="0.25">
      <c r="A473" s="284"/>
      <c r="B473" s="317"/>
      <c r="C473" s="297"/>
      <c r="D473" s="298"/>
      <c r="E473" s="299"/>
      <c r="F473" s="340"/>
      <c r="G473" s="298"/>
      <c r="H473" s="299"/>
      <c r="I473" s="300"/>
      <c r="J473" s="370"/>
      <c r="K473" s="328"/>
      <c r="L473" s="300"/>
      <c r="M473" s="328"/>
      <c r="N473" s="331"/>
      <c r="O473" s="301"/>
      <c r="P473" s="301"/>
      <c r="Q473" s="328"/>
      <c r="R473" s="620"/>
      <c r="S473" s="512"/>
      <c r="T473" s="512"/>
      <c r="U473" s="513"/>
      <c r="V473" s="514"/>
      <c r="W473" s="512"/>
      <c r="X473" s="513"/>
      <c r="Y473" s="514"/>
      <c r="Z473" s="513"/>
      <c r="AA473" s="515"/>
      <c r="AB473" s="516"/>
      <c r="AC473" s="513"/>
      <c r="AD473" s="544"/>
      <c r="AE473" s="516"/>
      <c r="AF473" s="513"/>
      <c r="AG473" s="551"/>
      <c r="AH473" s="595"/>
      <c r="AI473" s="517"/>
      <c r="AJ473" s="518"/>
      <c r="AK473" s="518"/>
      <c r="AL473" s="518"/>
      <c r="AM473" s="519"/>
      <c r="AN473" s="517"/>
      <c r="AO473" s="520"/>
      <c r="AP473" s="525"/>
      <c r="AQ473" s="531"/>
      <c r="AR473" s="593"/>
      <c r="AS473" s="518"/>
      <c r="AT473" s="518"/>
      <c r="AU473" s="518"/>
      <c r="AV473" s="519"/>
      <c r="AW473" s="560"/>
      <c r="AX473" s="522"/>
      <c r="AY473" s="522"/>
      <c r="AZ473" s="522"/>
      <c r="BA473" s="522"/>
      <c r="BB473" s="522"/>
      <c r="BC473" s="518"/>
      <c r="BD473" s="518"/>
      <c r="BE473" s="518"/>
      <c r="BF473" s="518"/>
      <c r="BG473" s="518"/>
      <c r="BH473" s="519"/>
      <c r="BI473" s="527"/>
      <c r="BJ473" s="518"/>
      <c r="BK473" s="518"/>
      <c r="BL473" s="520"/>
      <c r="BM473" s="520"/>
      <c r="BN473" s="519"/>
      <c r="BO473" s="517"/>
      <c r="BP473" s="520"/>
      <c r="BQ473" s="520"/>
      <c r="BR473" s="519"/>
      <c r="BS473" s="548"/>
      <c r="BT473" s="537"/>
      <c r="BU473" s="521"/>
      <c r="BV473" s="521"/>
      <c r="BW473" s="521"/>
      <c r="BX473" s="521"/>
      <c r="BY473" s="521"/>
      <c r="BZ473" s="521"/>
      <c r="CA473" s="521"/>
      <c r="CB473" s="521"/>
      <c r="CC473" s="521"/>
      <c r="CD473" s="521"/>
      <c r="CE473" s="521"/>
      <c r="CF473" s="521"/>
      <c r="CG473" s="521"/>
      <c r="CH473" s="521"/>
      <c r="CI473" s="521"/>
      <c r="CJ473" s="521"/>
      <c r="CK473" s="521"/>
      <c r="CL473" s="518"/>
      <c r="CM473" s="523"/>
      <c r="CN473" s="523"/>
      <c r="CO473" s="524"/>
      <c r="CP473" s="524"/>
      <c r="CQ473" s="518"/>
      <c r="CR473" s="518"/>
      <c r="CS473" s="518"/>
      <c r="CT473" s="518"/>
      <c r="CU473" s="518"/>
      <c r="CV473" s="518"/>
      <c r="CW473" s="518"/>
      <c r="CX473" s="518"/>
      <c r="CY473" s="518"/>
      <c r="CZ473" s="519"/>
      <c r="DA473" s="527"/>
      <c r="DB473" s="520"/>
      <c r="DC473" s="525"/>
      <c r="DD473" s="531"/>
      <c r="DE473" s="593"/>
      <c r="DF473" s="518"/>
      <c r="DG473" s="518"/>
      <c r="DH473" s="518"/>
      <c r="DI473" s="519"/>
      <c r="DJ473" s="560"/>
      <c r="DK473" s="522"/>
      <c r="DL473" s="522"/>
      <c r="DM473" s="522"/>
      <c r="DN473" s="522"/>
      <c r="DO473" s="522"/>
      <c r="DP473" s="518"/>
      <c r="DQ473" s="518"/>
      <c r="DR473" s="518"/>
      <c r="DS473" s="518"/>
      <c r="DT473" s="518"/>
      <c r="DU473" s="519"/>
      <c r="DV473" s="527"/>
      <c r="DW473" s="518"/>
      <c r="DX473" s="518"/>
      <c r="DY473" s="520"/>
      <c r="DZ473" s="520"/>
      <c r="EA473" s="519"/>
      <c r="EB473" s="527"/>
      <c r="EC473" s="520"/>
      <c r="ED473" s="520"/>
      <c r="EE473" s="519"/>
      <c r="EF473" s="550"/>
      <c r="EG473" s="537"/>
      <c r="EH473" s="521"/>
      <c r="EI473" s="521"/>
      <c r="EJ473" s="521"/>
      <c r="EK473" s="521"/>
      <c r="EL473" s="521"/>
      <c r="EM473" s="521"/>
      <c r="EN473" s="521"/>
      <c r="EO473" s="521"/>
      <c r="EP473" s="521"/>
      <c r="EQ473" s="521"/>
      <c r="ER473" s="521"/>
      <c r="ES473" s="521"/>
      <c r="ET473" s="521"/>
      <c r="EU473" s="521"/>
      <c r="EV473" s="521"/>
      <c r="EW473" s="521"/>
      <c r="EX473" s="521"/>
      <c r="EY473" s="518"/>
      <c r="EZ473" s="523"/>
      <c r="FA473" s="523"/>
      <c r="FB473" s="524"/>
      <c r="FC473" s="524"/>
      <c r="FD473" s="518"/>
      <c r="FE473" s="518"/>
      <c r="FF473" s="518"/>
      <c r="FG473" s="518"/>
      <c r="FH473" s="518"/>
      <c r="FI473" s="518"/>
      <c r="FJ473" s="518"/>
      <c r="FK473" s="518"/>
      <c r="FL473" s="518"/>
      <c r="FM473" s="519"/>
    </row>
    <row r="474" spans="1:169" x14ac:dyDescent="0.25">
      <c r="A474" s="284"/>
      <c r="B474" s="317"/>
      <c r="C474" s="297"/>
      <c r="D474" s="298"/>
      <c r="E474" s="299"/>
      <c r="F474" s="340"/>
      <c r="G474" s="298"/>
      <c r="H474" s="299"/>
      <c r="I474" s="300"/>
      <c r="J474" s="370"/>
      <c r="K474" s="328"/>
      <c r="L474" s="300"/>
      <c r="M474" s="328"/>
      <c r="N474" s="331"/>
      <c r="O474" s="301"/>
      <c r="P474" s="301"/>
      <c r="Q474" s="328"/>
      <c r="R474" s="620"/>
      <c r="S474" s="512"/>
      <c r="T474" s="512"/>
      <c r="U474" s="513"/>
      <c r="V474" s="514"/>
      <c r="W474" s="512"/>
      <c r="X474" s="513"/>
      <c r="Y474" s="514"/>
      <c r="Z474" s="513"/>
      <c r="AA474" s="515"/>
      <c r="AB474" s="516"/>
      <c r="AC474" s="513"/>
      <c r="AD474" s="544"/>
      <c r="AE474" s="516"/>
      <c r="AF474" s="513"/>
      <c r="AG474" s="551"/>
      <c r="AH474" s="595"/>
      <c r="AI474" s="517"/>
      <c r="AJ474" s="518"/>
      <c r="AK474" s="518"/>
      <c r="AL474" s="518"/>
      <c r="AM474" s="519"/>
      <c r="AN474" s="517"/>
      <c r="AO474" s="520"/>
      <c r="AP474" s="525"/>
      <c r="AQ474" s="531"/>
      <c r="AR474" s="593"/>
      <c r="AS474" s="518"/>
      <c r="AT474" s="518"/>
      <c r="AU474" s="518"/>
      <c r="AV474" s="519"/>
      <c r="AW474" s="560"/>
      <c r="AX474" s="522"/>
      <c r="AY474" s="522"/>
      <c r="AZ474" s="522"/>
      <c r="BA474" s="522"/>
      <c r="BB474" s="522"/>
      <c r="BC474" s="518"/>
      <c r="BD474" s="518"/>
      <c r="BE474" s="518"/>
      <c r="BF474" s="518"/>
      <c r="BG474" s="518"/>
      <c r="BH474" s="519"/>
      <c r="BI474" s="527"/>
      <c r="BJ474" s="518"/>
      <c r="BK474" s="518"/>
      <c r="BL474" s="520"/>
      <c r="BM474" s="520"/>
      <c r="BN474" s="519"/>
      <c r="BO474" s="517"/>
      <c r="BP474" s="520"/>
      <c r="BQ474" s="520"/>
      <c r="BR474" s="519"/>
      <c r="BS474" s="548"/>
      <c r="BT474" s="537"/>
      <c r="BU474" s="521"/>
      <c r="BV474" s="521"/>
      <c r="BW474" s="521"/>
      <c r="BX474" s="521"/>
      <c r="BY474" s="521"/>
      <c r="BZ474" s="521"/>
      <c r="CA474" s="521"/>
      <c r="CB474" s="521"/>
      <c r="CC474" s="521"/>
      <c r="CD474" s="521"/>
      <c r="CE474" s="521"/>
      <c r="CF474" s="521"/>
      <c r="CG474" s="521"/>
      <c r="CH474" s="521"/>
      <c r="CI474" s="521"/>
      <c r="CJ474" s="521"/>
      <c r="CK474" s="521"/>
      <c r="CL474" s="518"/>
      <c r="CM474" s="523"/>
      <c r="CN474" s="523"/>
      <c r="CO474" s="524"/>
      <c r="CP474" s="524"/>
      <c r="CQ474" s="518"/>
      <c r="CR474" s="518"/>
      <c r="CS474" s="518"/>
      <c r="CT474" s="518"/>
      <c r="CU474" s="518"/>
      <c r="CV474" s="518"/>
      <c r="CW474" s="518"/>
      <c r="CX474" s="518"/>
      <c r="CY474" s="518"/>
      <c r="CZ474" s="519"/>
      <c r="DA474" s="527"/>
      <c r="DB474" s="520"/>
      <c r="DC474" s="525"/>
      <c r="DD474" s="531"/>
      <c r="DE474" s="593"/>
      <c r="DF474" s="518"/>
      <c r="DG474" s="518"/>
      <c r="DH474" s="518"/>
      <c r="DI474" s="519"/>
      <c r="DJ474" s="560"/>
      <c r="DK474" s="522"/>
      <c r="DL474" s="522"/>
      <c r="DM474" s="522"/>
      <c r="DN474" s="522"/>
      <c r="DO474" s="522"/>
      <c r="DP474" s="518"/>
      <c r="DQ474" s="518"/>
      <c r="DR474" s="518"/>
      <c r="DS474" s="518"/>
      <c r="DT474" s="518"/>
      <c r="DU474" s="519"/>
      <c r="DV474" s="527"/>
      <c r="DW474" s="518"/>
      <c r="DX474" s="518"/>
      <c r="DY474" s="520"/>
      <c r="DZ474" s="520"/>
      <c r="EA474" s="519"/>
      <c r="EB474" s="527"/>
      <c r="EC474" s="520"/>
      <c r="ED474" s="520"/>
      <c r="EE474" s="519"/>
      <c r="EF474" s="550"/>
      <c r="EG474" s="537"/>
      <c r="EH474" s="521"/>
      <c r="EI474" s="521"/>
      <c r="EJ474" s="521"/>
      <c r="EK474" s="521"/>
      <c r="EL474" s="521"/>
      <c r="EM474" s="521"/>
      <c r="EN474" s="521"/>
      <c r="EO474" s="521"/>
      <c r="EP474" s="521"/>
      <c r="EQ474" s="521"/>
      <c r="ER474" s="521"/>
      <c r="ES474" s="521"/>
      <c r="ET474" s="521"/>
      <c r="EU474" s="521"/>
      <c r="EV474" s="521"/>
      <c r="EW474" s="521"/>
      <c r="EX474" s="521"/>
      <c r="EY474" s="518"/>
      <c r="EZ474" s="523"/>
      <c r="FA474" s="523"/>
      <c r="FB474" s="524"/>
      <c r="FC474" s="524"/>
      <c r="FD474" s="518"/>
      <c r="FE474" s="518"/>
      <c r="FF474" s="518"/>
      <c r="FG474" s="518"/>
      <c r="FH474" s="518"/>
      <c r="FI474" s="518"/>
      <c r="FJ474" s="518"/>
      <c r="FK474" s="518"/>
      <c r="FL474" s="518"/>
      <c r="FM474" s="519"/>
    </row>
    <row r="475" spans="1:169" x14ac:dyDescent="0.25">
      <c r="A475" s="284"/>
      <c r="B475" s="317"/>
      <c r="C475" s="297"/>
      <c r="D475" s="298"/>
      <c r="E475" s="299"/>
      <c r="F475" s="340"/>
      <c r="G475" s="298"/>
      <c r="H475" s="299"/>
      <c r="I475" s="300"/>
      <c r="J475" s="370"/>
      <c r="K475" s="328"/>
      <c r="L475" s="300"/>
      <c r="M475" s="328"/>
      <c r="N475" s="331"/>
      <c r="O475" s="301"/>
      <c r="P475" s="301"/>
      <c r="Q475" s="328"/>
      <c r="R475" s="620"/>
      <c r="S475" s="512"/>
      <c r="T475" s="512"/>
      <c r="U475" s="513"/>
      <c r="V475" s="514"/>
      <c r="W475" s="512"/>
      <c r="X475" s="513"/>
      <c r="Y475" s="514"/>
      <c r="Z475" s="513"/>
      <c r="AA475" s="515"/>
      <c r="AB475" s="516"/>
      <c r="AC475" s="513"/>
      <c r="AD475" s="544"/>
      <c r="AE475" s="516"/>
      <c r="AF475" s="513"/>
      <c r="AG475" s="551"/>
      <c r="AH475" s="595"/>
      <c r="AI475" s="517"/>
      <c r="AJ475" s="518"/>
      <c r="AK475" s="518"/>
      <c r="AL475" s="518"/>
      <c r="AM475" s="519"/>
      <c r="AN475" s="517"/>
      <c r="AO475" s="520"/>
      <c r="AP475" s="525"/>
      <c r="AQ475" s="531"/>
      <c r="AR475" s="593"/>
      <c r="AS475" s="518"/>
      <c r="AT475" s="518"/>
      <c r="AU475" s="518"/>
      <c r="AV475" s="519"/>
      <c r="AW475" s="560"/>
      <c r="AX475" s="522"/>
      <c r="AY475" s="522"/>
      <c r="AZ475" s="522"/>
      <c r="BA475" s="522"/>
      <c r="BB475" s="522"/>
      <c r="BC475" s="518"/>
      <c r="BD475" s="518"/>
      <c r="BE475" s="518"/>
      <c r="BF475" s="518"/>
      <c r="BG475" s="518"/>
      <c r="BH475" s="519"/>
      <c r="BI475" s="527"/>
      <c r="BJ475" s="518"/>
      <c r="BK475" s="518"/>
      <c r="BL475" s="520"/>
      <c r="BM475" s="520"/>
      <c r="BN475" s="519"/>
      <c r="BO475" s="517"/>
      <c r="BP475" s="520"/>
      <c r="BQ475" s="520"/>
      <c r="BR475" s="519"/>
      <c r="BS475" s="548"/>
      <c r="BT475" s="537"/>
      <c r="BU475" s="521"/>
      <c r="BV475" s="521"/>
      <c r="BW475" s="521"/>
      <c r="BX475" s="521"/>
      <c r="BY475" s="521"/>
      <c r="BZ475" s="521"/>
      <c r="CA475" s="521"/>
      <c r="CB475" s="521"/>
      <c r="CC475" s="521"/>
      <c r="CD475" s="521"/>
      <c r="CE475" s="521"/>
      <c r="CF475" s="521"/>
      <c r="CG475" s="521"/>
      <c r="CH475" s="521"/>
      <c r="CI475" s="521"/>
      <c r="CJ475" s="521"/>
      <c r="CK475" s="521"/>
      <c r="CL475" s="518"/>
      <c r="CM475" s="523"/>
      <c r="CN475" s="523"/>
      <c r="CO475" s="524"/>
      <c r="CP475" s="524"/>
      <c r="CQ475" s="518"/>
      <c r="CR475" s="518"/>
      <c r="CS475" s="518"/>
      <c r="CT475" s="518"/>
      <c r="CU475" s="518"/>
      <c r="CV475" s="518"/>
      <c r="CW475" s="518"/>
      <c r="CX475" s="518"/>
      <c r="CY475" s="518"/>
      <c r="CZ475" s="519"/>
      <c r="DA475" s="527"/>
      <c r="DB475" s="520"/>
      <c r="DC475" s="525"/>
      <c r="DD475" s="531"/>
      <c r="DE475" s="593"/>
      <c r="DF475" s="518"/>
      <c r="DG475" s="518"/>
      <c r="DH475" s="518"/>
      <c r="DI475" s="519"/>
      <c r="DJ475" s="560"/>
      <c r="DK475" s="522"/>
      <c r="DL475" s="522"/>
      <c r="DM475" s="522"/>
      <c r="DN475" s="522"/>
      <c r="DO475" s="522"/>
      <c r="DP475" s="518"/>
      <c r="DQ475" s="518"/>
      <c r="DR475" s="518"/>
      <c r="DS475" s="518"/>
      <c r="DT475" s="518"/>
      <c r="DU475" s="519"/>
      <c r="DV475" s="527"/>
      <c r="DW475" s="518"/>
      <c r="DX475" s="518"/>
      <c r="DY475" s="520"/>
      <c r="DZ475" s="520"/>
      <c r="EA475" s="519"/>
      <c r="EB475" s="527"/>
      <c r="EC475" s="520"/>
      <c r="ED475" s="520"/>
      <c r="EE475" s="519"/>
      <c r="EF475" s="550"/>
      <c r="EG475" s="537"/>
      <c r="EH475" s="521"/>
      <c r="EI475" s="521"/>
      <c r="EJ475" s="521"/>
      <c r="EK475" s="521"/>
      <c r="EL475" s="521"/>
      <c r="EM475" s="521"/>
      <c r="EN475" s="521"/>
      <c r="EO475" s="521"/>
      <c r="EP475" s="521"/>
      <c r="EQ475" s="521"/>
      <c r="ER475" s="521"/>
      <c r="ES475" s="521"/>
      <c r="ET475" s="521"/>
      <c r="EU475" s="521"/>
      <c r="EV475" s="521"/>
      <c r="EW475" s="521"/>
      <c r="EX475" s="521"/>
      <c r="EY475" s="518"/>
      <c r="EZ475" s="523"/>
      <c r="FA475" s="523"/>
      <c r="FB475" s="524"/>
      <c r="FC475" s="524"/>
      <c r="FD475" s="518"/>
      <c r="FE475" s="518"/>
      <c r="FF475" s="518"/>
      <c r="FG475" s="518"/>
      <c r="FH475" s="518"/>
      <c r="FI475" s="518"/>
      <c r="FJ475" s="518"/>
      <c r="FK475" s="518"/>
      <c r="FL475" s="518"/>
      <c r="FM475" s="519"/>
    </row>
    <row r="476" spans="1:169" x14ac:dyDescent="0.25">
      <c r="A476" s="284"/>
      <c r="B476" s="317"/>
      <c r="C476" s="297"/>
      <c r="D476" s="298"/>
      <c r="E476" s="299"/>
      <c r="F476" s="340"/>
      <c r="G476" s="298"/>
      <c r="H476" s="299"/>
      <c r="I476" s="300"/>
      <c r="J476" s="370"/>
      <c r="K476" s="328"/>
      <c r="L476" s="300"/>
      <c r="M476" s="328"/>
      <c r="N476" s="331"/>
      <c r="O476" s="301"/>
      <c r="P476" s="301"/>
      <c r="Q476" s="328"/>
      <c r="R476" s="620"/>
      <c r="S476" s="512"/>
      <c r="T476" s="512"/>
      <c r="U476" s="513"/>
      <c r="V476" s="514"/>
      <c r="W476" s="512"/>
      <c r="X476" s="513"/>
      <c r="Y476" s="514"/>
      <c r="Z476" s="513"/>
      <c r="AA476" s="515"/>
      <c r="AB476" s="516"/>
      <c r="AC476" s="513"/>
      <c r="AD476" s="544"/>
      <c r="AE476" s="516"/>
      <c r="AF476" s="513"/>
      <c r="AG476" s="551"/>
      <c r="AH476" s="595"/>
      <c r="AI476" s="517"/>
      <c r="AJ476" s="518"/>
      <c r="AK476" s="518"/>
      <c r="AL476" s="518"/>
      <c r="AM476" s="519"/>
      <c r="AN476" s="517"/>
      <c r="AO476" s="520"/>
      <c r="AP476" s="525"/>
      <c r="AQ476" s="531"/>
      <c r="AR476" s="593"/>
      <c r="AS476" s="518"/>
      <c r="AT476" s="518"/>
      <c r="AU476" s="518"/>
      <c r="AV476" s="519"/>
      <c r="AW476" s="560"/>
      <c r="AX476" s="522"/>
      <c r="AY476" s="522"/>
      <c r="AZ476" s="522"/>
      <c r="BA476" s="522"/>
      <c r="BB476" s="522"/>
      <c r="BC476" s="518"/>
      <c r="BD476" s="518"/>
      <c r="BE476" s="518"/>
      <c r="BF476" s="518"/>
      <c r="BG476" s="518"/>
      <c r="BH476" s="519"/>
      <c r="BI476" s="527"/>
      <c r="BJ476" s="518"/>
      <c r="BK476" s="518"/>
      <c r="BL476" s="520"/>
      <c r="BM476" s="520"/>
      <c r="BN476" s="519"/>
      <c r="BO476" s="517"/>
      <c r="BP476" s="520"/>
      <c r="BQ476" s="520"/>
      <c r="BR476" s="519"/>
      <c r="BS476" s="548"/>
      <c r="BT476" s="537"/>
      <c r="BU476" s="521"/>
      <c r="BV476" s="521"/>
      <c r="BW476" s="521"/>
      <c r="BX476" s="521"/>
      <c r="BY476" s="521"/>
      <c r="BZ476" s="521"/>
      <c r="CA476" s="521"/>
      <c r="CB476" s="521"/>
      <c r="CC476" s="521"/>
      <c r="CD476" s="521"/>
      <c r="CE476" s="521"/>
      <c r="CF476" s="521"/>
      <c r="CG476" s="521"/>
      <c r="CH476" s="521"/>
      <c r="CI476" s="521"/>
      <c r="CJ476" s="521"/>
      <c r="CK476" s="521"/>
      <c r="CL476" s="518"/>
      <c r="CM476" s="523"/>
      <c r="CN476" s="523"/>
      <c r="CO476" s="524"/>
      <c r="CP476" s="524"/>
      <c r="CQ476" s="518"/>
      <c r="CR476" s="518"/>
      <c r="CS476" s="518"/>
      <c r="CT476" s="518"/>
      <c r="CU476" s="518"/>
      <c r="CV476" s="518"/>
      <c r="CW476" s="518"/>
      <c r="CX476" s="518"/>
      <c r="CY476" s="518"/>
      <c r="CZ476" s="519"/>
      <c r="DA476" s="527"/>
      <c r="DB476" s="520"/>
      <c r="DC476" s="525"/>
      <c r="DD476" s="531"/>
      <c r="DE476" s="593"/>
      <c r="DF476" s="518"/>
      <c r="DG476" s="518"/>
      <c r="DH476" s="518"/>
      <c r="DI476" s="519"/>
      <c r="DJ476" s="560"/>
      <c r="DK476" s="522"/>
      <c r="DL476" s="522"/>
      <c r="DM476" s="522"/>
      <c r="DN476" s="522"/>
      <c r="DO476" s="522"/>
      <c r="DP476" s="518"/>
      <c r="DQ476" s="518"/>
      <c r="DR476" s="518"/>
      <c r="DS476" s="518"/>
      <c r="DT476" s="518"/>
      <c r="DU476" s="519"/>
      <c r="DV476" s="527"/>
      <c r="DW476" s="518"/>
      <c r="DX476" s="518"/>
      <c r="DY476" s="520"/>
      <c r="DZ476" s="520"/>
      <c r="EA476" s="519"/>
      <c r="EB476" s="527"/>
      <c r="EC476" s="520"/>
      <c r="ED476" s="520"/>
      <c r="EE476" s="519"/>
      <c r="EF476" s="550"/>
      <c r="EG476" s="537"/>
      <c r="EH476" s="521"/>
      <c r="EI476" s="521"/>
      <c r="EJ476" s="521"/>
      <c r="EK476" s="521"/>
      <c r="EL476" s="521"/>
      <c r="EM476" s="521"/>
      <c r="EN476" s="521"/>
      <c r="EO476" s="521"/>
      <c r="EP476" s="521"/>
      <c r="EQ476" s="521"/>
      <c r="ER476" s="521"/>
      <c r="ES476" s="521"/>
      <c r="ET476" s="521"/>
      <c r="EU476" s="521"/>
      <c r="EV476" s="521"/>
      <c r="EW476" s="521"/>
      <c r="EX476" s="521"/>
      <c r="EY476" s="518"/>
      <c r="EZ476" s="523"/>
      <c r="FA476" s="523"/>
      <c r="FB476" s="524"/>
      <c r="FC476" s="524"/>
      <c r="FD476" s="518"/>
      <c r="FE476" s="518"/>
      <c r="FF476" s="518"/>
      <c r="FG476" s="518"/>
      <c r="FH476" s="518"/>
      <c r="FI476" s="518"/>
      <c r="FJ476" s="518"/>
      <c r="FK476" s="518"/>
      <c r="FL476" s="518"/>
      <c r="FM476" s="519"/>
    </row>
    <row r="477" spans="1:169" x14ac:dyDescent="0.25">
      <c r="A477" s="284"/>
      <c r="B477" s="317"/>
      <c r="C477" s="297"/>
      <c r="D477" s="298"/>
      <c r="E477" s="299"/>
      <c r="F477" s="340"/>
      <c r="G477" s="298"/>
      <c r="H477" s="299"/>
      <c r="I477" s="300"/>
      <c r="J477" s="370"/>
      <c r="K477" s="328"/>
      <c r="L477" s="300"/>
      <c r="M477" s="328"/>
      <c r="N477" s="331"/>
      <c r="O477" s="301"/>
      <c r="P477" s="301"/>
      <c r="Q477" s="328"/>
      <c r="R477" s="620"/>
      <c r="S477" s="512"/>
      <c r="T477" s="512"/>
      <c r="U477" s="513"/>
      <c r="V477" s="514"/>
      <c r="W477" s="512"/>
      <c r="X477" s="513"/>
      <c r="Y477" s="514"/>
      <c r="Z477" s="513"/>
      <c r="AA477" s="515"/>
      <c r="AB477" s="516"/>
      <c r="AC477" s="513"/>
      <c r="AD477" s="544"/>
      <c r="AE477" s="516"/>
      <c r="AF477" s="513"/>
      <c r="AG477" s="551"/>
      <c r="AH477" s="595"/>
      <c r="AI477" s="517"/>
      <c r="AJ477" s="518"/>
      <c r="AK477" s="518"/>
      <c r="AL477" s="518"/>
      <c r="AM477" s="519"/>
      <c r="AN477" s="517"/>
      <c r="AO477" s="520"/>
      <c r="AP477" s="525"/>
      <c r="AQ477" s="531"/>
      <c r="AR477" s="593"/>
      <c r="AS477" s="518"/>
      <c r="AT477" s="518"/>
      <c r="AU477" s="518"/>
      <c r="AV477" s="519"/>
      <c r="AW477" s="560"/>
      <c r="AX477" s="522"/>
      <c r="AY477" s="522"/>
      <c r="AZ477" s="522"/>
      <c r="BA477" s="522"/>
      <c r="BB477" s="522"/>
      <c r="BC477" s="518"/>
      <c r="BD477" s="518"/>
      <c r="BE477" s="518"/>
      <c r="BF477" s="518"/>
      <c r="BG477" s="518"/>
      <c r="BH477" s="519"/>
      <c r="BI477" s="527"/>
      <c r="BJ477" s="518"/>
      <c r="BK477" s="518"/>
      <c r="BL477" s="520"/>
      <c r="BM477" s="520"/>
      <c r="BN477" s="519"/>
      <c r="BO477" s="517"/>
      <c r="BP477" s="520"/>
      <c r="BQ477" s="520"/>
      <c r="BR477" s="519"/>
      <c r="BS477" s="548"/>
      <c r="BT477" s="537"/>
      <c r="BU477" s="521"/>
      <c r="BV477" s="521"/>
      <c r="BW477" s="521"/>
      <c r="BX477" s="521"/>
      <c r="BY477" s="521"/>
      <c r="BZ477" s="521"/>
      <c r="CA477" s="521"/>
      <c r="CB477" s="521"/>
      <c r="CC477" s="521"/>
      <c r="CD477" s="521"/>
      <c r="CE477" s="521"/>
      <c r="CF477" s="521"/>
      <c r="CG477" s="521"/>
      <c r="CH477" s="521"/>
      <c r="CI477" s="521"/>
      <c r="CJ477" s="521"/>
      <c r="CK477" s="521"/>
      <c r="CL477" s="518"/>
      <c r="CM477" s="523"/>
      <c r="CN477" s="523"/>
      <c r="CO477" s="524"/>
      <c r="CP477" s="524"/>
      <c r="CQ477" s="518"/>
      <c r="CR477" s="518"/>
      <c r="CS477" s="518"/>
      <c r="CT477" s="518"/>
      <c r="CU477" s="518"/>
      <c r="CV477" s="518"/>
      <c r="CW477" s="518"/>
      <c r="CX477" s="518"/>
      <c r="CY477" s="518"/>
      <c r="CZ477" s="519"/>
      <c r="DA477" s="527"/>
      <c r="DB477" s="520"/>
      <c r="DC477" s="525"/>
      <c r="DD477" s="531"/>
      <c r="DE477" s="593"/>
      <c r="DF477" s="518"/>
      <c r="DG477" s="518"/>
      <c r="DH477" s="518"/>
      <c r="DI477" s="519"/>
      <c r="DJ477" s="560"/>
      <c r="DK477" s="522"/>
      <c r="DL477" s="522"/>
      <c r="DM477" s="522"/>
      <c r="DN477" s="522"/>
      <c r="DO477" s="522"/>
      <c r="DP477" s="518"/>
      <c r="DQ477" s="518"/>
      <c r="DR477" s="518"/>
      <c r="DS477" s="518"/>
      <c r="DT477" s="518"/>
      <c r="DU477" s="519"/>
      <c r="DV477" s="527"/>
      <c r="DW477" s="518"/>
      <c r="DX477" s="518"/>
      <c r="DY477" s="520"/>
      <c r="DZ477" s="520"/>
      <c r="EA477" s="519"/>
      <c r="EB477" s="527"/>
      <c r="EC477" s="520"/>
      <c r="ED477" s="520"/>
      <c r="EE477" s="519"/>
      <c r="EF477" s="550"/>
      <c r="EG477" s="537"/>
      <c r="EH477" s="521"/>
      <c r="EI477" s="521"/>
      <c r="EJ477" s="521"/>
      <c r="EK477" s="521"/>
      <c r="EL477" s="521"/>
      <c r="EM477" s="521"/>
      <c r="EN477" s="521"/>
      <c r="EO477" s="521"/>
      <c r="EP477" s="521"/>
      <c r="EQ477" s="521"/>
      <c r="ER477" s="521"/>
      <c r="ES477" s="521"/>
      <c r="ET477" s="521"/>
      <c r="EU477" s="521"/>
      <c r="EV477" s="521"/>
      <c r="EW477" s="521"/>
      <c r="EX477" s="521"/>
      <c r="EY477" s="518"/>
      <c r="EZ477" s="523"/>
      <c r="FA477" s="523"/>
      <c r="FB477" s="524"/>
      <c r="FC477" s="524"/>
      <c r="FD477" s="518"/>
      <c r="FE477" s="518"/>
      <c r="FF477" s="518"/>
      <c r="FG477" s="518"/>
      <c r="FH477" s="518"/>
      <c r="FI477" s="518"/>
      <c r="FJ477" s="518"/>
      <c r="FK477" s="518"/>
      <c r="FL477" s="518"/>
      <c r="FM477" s="519"/>
    </row>
    <row r="478" spans="1:169" x14ac:dyDescent="0.25">
      <c r="A478" s="284"/>
      <c r="B478" s="317"/>
      <c r="C478" s="297"/>
      <c r="D478" s="298"/>
      <c r="E478" s="299"/>
      <c r="F478" s="340"/>
      <c r="G478" s="298"/>
      <c r="H478" s="299"/>
      <c r="I478" s="300"/>
      <c r="J478" s="370"/>
      <c r="K478" s="328"/>
      <c r="L478" s="300"/>
      <c r="M478" s="328"/>
      <c r="N478" s="331"/>
      <c r="O478" s="301"/>
      <c r="P478" s="301"/>
      <c r="Q478" s="328"/>
      <c r="R478" s="620"/>
      <c r="S478" s="512"/>
      <c r="T478" s="512"/>
      <c r="U478" s="513"/>
      <c r="V478" s="514"/>
      <c r="W478" s="512"/>
      <c r="X478" s="513"/>
      <c r="Y478" s="514"/>
      <c r="Z478" s="513"/>
      <c r="AA478" s="515"/>
      <c r="AB478" s="516"/>
      <c r="AC478" s="513"/>
      <c r="AD478" s="544"/>
      <c r="AE478" s="516"/>
      <c r="AF478" s="513"/>
      <c r="AG478" s="551"/>
      <c r="AH478" s="595"/>
      <c r="AI478" s="517"/>
      <c r="AJ478" s="518"/>
      <c r="AK478" s="518"/>
      <c r="AL478" s="518"/>
      <c r="AM478" s="519"/>
      <c r="AN478" s="517"/>
      <c r="AO478" s="520"/>
      <c r="AP478" s="525"/>
      <c r="AQ478" s="531"/>
      <c r="AR478" s="593"/>
      <c r="AS478" s="518"/>
      <c r="AT478" s="518"/>
      <c r="AU478" s="518"/>
      <c r="AV478" s="519"/>
      <c r="AW478" s="560"/>
      <c r="AX478" s="522"/>
      <c r="AY478" s="522"/>
      <c r="AZ478" s="522"/>
      <c r="BA478" s="522"/>
      <c r="BB478" s="522"/>
      <c r="BC478" s="518"/>
      <c r="BD478" s="518"/>
      <c r="BE478" s="518"/>
      <c r="BF478" s="518"/>
      <c r="BG478" s="518"/>
      <c r="BH478" s="519"/>
      <c r="BI478" s="527"/>
      <c r="BJ478" s="518"/>
      <c r="BK478" s="518"/>
      <c r="BL478" s="520"/>
      <c r="BM478" s="520"/>
      <c r="BN478" s="519"/>
      <c r="BO478" s="517"/>
      <c r="BP478" s="520"/>
      <c r="BQ478" s="520"/>
      <c r="BR478" s="519"/>
      <c r="BS478" s="548"/>
      <c r="BT478" s="537"/>
      <c r="BU478" s="521"/>
      <c r="BV478" s="521"/>
      <c r="BW478" s="521"/>
      <c r="BX478" s="521"/>
      <c r="BY478" s="521"/>
      <c r="BZ478" s="521"/>
      <c r="CA478" s="521"/>
      <c r="CB478" s="521"/>
      <c r="CC478" s="521"/>
      <c r="CD478" s="521"/>
      <c r="CE478" s="521"/>
      <c r="CF478" s="521"/>
      <c r="CG478" s="521"/>
      <c r="CH478" s="521"/>
      <c r="CI478" s="521"/>
      <c r="CJ478" s="521"/>
      <c r="CK478" s="521"/>
      <c r="CL478" s="518"/>
      <c r="CM478" s="523"/>
      <c r="CN478" s="523"/>
      <c r="CO478" s="524"/>
      <c r="CP478" s="524"/>
      <c r="CQ478" s="518"/>
      <c r="CR478" s="518"/>
      <c r="CS478" s="518"/>
      <c r="CT478" s="518"/>
      <c r="CU478" s="518"/>
      <c r="CV478" s="518"/>
      <c r="CW478" s="518"/>
      <c r="CX478" s="518"/>
      <c r="CY478" s="518"/>
      <c r="CZ478" s="519"/>
      <c r="DA478" s="527"/>
      <c r="DB478" s="520"/>
      <c r="DC478" s="525"/>
      <c r="DD478" s="531"/>
      <c r="DE478" s="593"/>
      <c r="DF478" s="518"/>
      <c r="DG478" s="518"/>
      <c r="DH478" s="518"/>
      <c r="DI478" s="519"/>
      <c r="DJ478" s="560"/>
      <c r="DK478" s="522"/>
      <c r="DL478" s="522"/>
      <c r="DM478" s="522"/>
      <c r="DN478" s="522"/>
      <c r="DO478" s="522"/>
      <c r="DP478" s="518"/>
      <c r="DQ478" s="518"/>
      <c r="DR478" s="518"/>
      <c r="DS478" s="518"/>
      <c r="DT478" s="518"/>
      <c r="DU478" s="519"/>
      <c r="DV478" s="527"/>
      <c r="DW478" s="518"/>
      <c r="DX478" s="518"/>
      <c r="DY478" s="520"/>
      <c r="DZ478" s="520"/>
      <c r="EA478" s="519"/>
      <c r="EB478" s="527"/>
      <c r="EC478" s="520"/>
      <c r="ED478" s="520"/>
      <c r="EE478" s="519"/>
      <c r="EF478" s="550"/>
      <c r="EG478" s="537"/>
      <c r="EH478" s="521"/>
      <c r="EI478" s="521"/>
      <c r="EJ478" s="521"/>
      <c r="EK478" s="521"/>
      <c r="EL478" s="521"/>
      <c r="EM478" s="521"/>
      <c r="EN478" s="521"/>
      <c r="EO478" s="521"/>
      <c r="EP478" s="521"/>
      <c r="EQ478" s="521"/>
      <c r="ER478" s="521"/>
      <c r="ES478" s="521"/>
      <c r="ET478" s="521"/>
      <c r="EU478" s="521"/>
      <c r="EV478" s="521"/>
      <c r="EW478" s="521"/>
      <c r="EX478" s="521"/>
      <c r="EY478" s="518"/>
      <c r="EZ478" s="523"/>
      <c r="FA478" s="523"/>
      <c r="FB478" s="524"/>
      <c r="FC478" s="524"/>
      <c r="FD478" s="518"/>
      <c r="FE478" s="518"/>
      <c r="FF478" s="518"/>
      <c r="FG478" s="518"/>
      <c r="FH478" s="518"/>
      <c r="FI478" s="518"/>
      <c r="FJ478" s="518"/>
      <c r="FK478" s="518"/>
      <c r="FL478" s="518"/>
      <c r="FM478" s="519"/>
    </row>
    <row r="479" spans="1:169" x14ac:dyDescent="0.25">
      <c r="A479" s="284"/>
      <c r="B479" s="317"/>
      <c r="C479" s="297"/>
      <c r="D479" s="298"/>
      <c r="E479" s="299"/>
      <c r="F479" s="340"/>
      <c r="G479" s="298"/>
      <c r="H479" s="299"/>
      <c r="I479" s="300"/>
      <c r="J479" s="370"/>
      <c r="K479" s="328"/>
      <c r="L479" s="300"/>
      <c r="M479" s="328"/>
      <c r="N479" s="331"/>
      <c r="O479" s="301"/>
      <c r="P479" s="301"/>
      <c r="Q479" s="328"/>
      <c r="R479" s="620"/>
      <c r="S479" s="512"/>
      <c r="T479" s="512"/>
      <c r="U479" s="513"/>
      <c r="V479" s="514"/>
      <c r="W479" s="512"/>
      <c r="X479" s="513"/>
      <c r="Y479" s="514"/>
      <c r="Z479" s="513"/>
      <c r="AA479" s="515"/>
      <c r="AB479" s="516"/>
      <c r="AC479" s="513"/>
      <c r="AD479" s="544"/>
      <c r="AE479" s="516"/>
      <c r="AF479" s="513"/>
      <c r="AG479" s="551"/>
      <c r="AH479" s="595"/>
      <c r="AI479" s="517"/>
      <c r="AJ479" s="518"/>
      <c r="AK479" s="518"/>
      <c r="AL479" s="518"/>
      <c r="AM479" s="519"/>
      <c r="AN479" s="517"/>
      <c r="AO479" s="520"/>
      <c r="AP479" s="525"/>
      <c r="AQ479" s="531"/>
      <c r="AR479" s="593"/>
      <c r="AS479" s="518"/>
      <c r="AT479" s="518"/>
      <c r="AU479" s="518"/>
      <c r="AV479" s="519"/>
      <c r="AW479" s="560"/>
      <c r="AX479" s="522"/>
      <c r="AY479" s="522"/>
      <c r="AZ479" s="522"/>
      <c r="BA479" s="522"/>
      <c r="BB479" s="522"/>
      <c r="BC479" s="518"/>
      <c r="BD479" s="518"/>
      <c r="BE479" s="518"/>
      <c r="BF479" s="518"/>
      <c r="BG479" s="518"/>
      <c r="BH479" s="519"/>
      <c r="BI479" s="527"/>
      <c r="BJ479" s="518"/>
      <c r="BK479" s="518"/>
      <c r="BL479" s="520"/>
      <c r="BM479" s="520"/>
      <c r="BN479" s="519"/>
      <c r="BO479" s="517"/>
      <c r="BP479" s="520"/>
      <c r="BQ479" s="520"/>
      <c r="BR479" s="519"/>
      <c r="BS479" s="548"/>
      <c r="BT479" s="537"/>
      <c r="BU479" s="521"/>
      <c r="BV479" s="521"/>
      <c r="BW479" s="521"/>
      <c r="BX479" s="521"/>
      <c r="BY479" s="521"/>
      <c r="BZ479" s="521"/>
      <c r="CA479" s="521"/>
      <c r="CB479" s="521"/>
      <c r="CC479" s="521"/>
      <c r="CD479" s="521"/>
      <c r="CE479" s="521"/>
      <c r="CF479" s="521"/>
      <c r="CG479" s="521"/>
      <c r="CH479" s="521"/>
      <c r="CI479" s="521"/>
      <c r="CJ479" s="521"/>
      <c r="CK479" s="521"/>
      <c r="CL479" s="518"/>
      <c r="CM479" s="523"/>
      <c r="CN479" s="523"/>
      <c r="CO479" s="524"/>
      <c r="CP479" s="524"/>
      <c r="CQ479" s="518"/>
      <c r="CR479" s="518"/>
      <c r="CS479" s="518"/>
      <c r="CT479" s="518"/>
      <c r="CU479" s="518"/>
      <c r="CV479" s="518"/>
      <c r="CW479" s="518"/>
      <c r="CX479" s="518"/>
      <c r="CY479" s="518"/>
      <c r="CZ479" s="519"/>
      <c r="DA479" s="527"/>
      <c r="DB479" s="520"/>
      <c r="DC479" s="525"/>
      <c r="DD479" s="531"/>
      <c r="DE479" s="593"/>
      <c r="DF479" s="518"/>
      <c r="DG479" s="518"/>
      <c r="DH479" s="518"/>
      <c r="DI479" s="519"/>
      <c r="DJ479" s="560"/>
      <c r="DK479" s="522"/>
      <c r="DL479" s="522"/>
      <c r="DM479" s="522"/>
      <c r="DN479" s="522"/>
      <c r="DO479" s="522"/>
      <c r="DP479" s="518"/>
      <c r="DQ479" s="518"/>
      <c r="DR479" s="518"/>
      <c r="DS479" s="518"/>
      <c r="DT479" s="518"/>
      <c r="DU479" s="519"/>
      <c r="DV479" s="527"/>
      <c r="DW479" s="518"/>
      <c r="DX479" s="518"/>
      <c r="DY479" s="520"/>
      <c r="DZ479" s="520"/>
      <c r="EA479" s="519"/>
      <c r="EB479" s="527"/>
      <c r="EC479" s="520"/>
      <c r="ED479" s="520"/>
      <c r="EE479" s="519"/>
      <c r="EF479" s="550"/>
      <c r="EG479" s="537"/>
      <c r="EH479" s="521"/>
      <c r="EI479" s="521"/>
      <c r="EJ479" s="521"/>
      <c r="EK479" s="521"/>
      <c r="EL479" s="521"/>
      <c r="EM479" s="521"/>
      <c r="EN479" s="521"/>
      <c r="EO479" s="521"/>
      <c r="EP479" s="521"/>
      <c r="EQ479" s="521"/>
      <c r="ER479" s="521"/>
      <c r="ES479" s="521"/>
      <c r="ET479" s="521"/>
      <c r="EU479" s="521"/>
      <c r="EV479" s="521"/>
      <c r="EW479" s="521"/>
      <c r="EX479" s="521"/>
      <c r="EY479" s="518"/>
      <c r="EZ479" s="523"/>
      <c r="FA479" s="523"/>
      <c r="FB479" s="524"/>
      <c r="FC479" s="524"/>
      <c r="FD479" s="518"/>
      <c r="FE479" s="518"/>
      <c r="FF479" s="518"/>
      <c r="FG479" s="518"/>
      <c r="FH479" s="518"/>
      <c r="FI479" s="518"/>
      <c r="FJ479" s="518"/>
      <c r="FK479" s="518"/>
      <c r="FL479" s="518"/>
      <c r="FM479" s="519"/>
    </row>
    <row r="480" spans="1:169" x14ac:dyDescent="0.25">
      <c r="A480" s="284"/>
      <c r="B480" s="317"/>
      <c r="C480" s="297"/>
      <c r="D480" s="298"/>
      <c r="E480" s="299"/>
      <c r="F480" s="340"/>
      <c r="G480" s="298"/>
      <c r="H480" s="299"/>
      <c r="I480" s="300"/>
      <c r="J480" s="370"/>
      <c r="K480" s="328"/>
      <c r="L480" s="300"/>
      <c r="M480" s="328"/>
      <c r="N480" s="331"/>
      <c r="O480" s="301"/>
      <c r="P480" s="301"/>
      <c r="Q480" s="328"/>
      <c r="R480" s="620"/>
      <c r="S480" s="512"/>
      <c r="T480" s="512"/>
      <c r="U480" s="513"/>
      <c r="V480" s="514"/>
      <c r="W480" s="512"/>
      <c r="X480" s="513"/>
      <c r="Y480" s="514"/>
      <c r="Z480" s="513"/>
      <c r="AA480" s="515"/>
      <c r="AB480" s="516"/>
      <c r="AC480" s="513"/>
      <c r="AD480" s="544"/>
      <c r="AE480" s="516"/>
      <c r="AF480" s="513"/>
      <c r="AG480" s="551"/>
      <c r="AH480" s="595"/>
      <c r="AI480" s="517"/>
      <c r="AJ480" s="518"/>
      <c r="AK480" s="518"/>
      <c r="AL480" s="518"/>
      <c r="AM480" s="519"/>
      <c r="AN480" s="517"/>
      <c r="AO480" s="520"/>
      <c r="AP480" s="525"/>
      <c r="AQ480" s="531"/>
      <c r="AR480" s="593"/>
      <c r="AS480" s="518"/>
      <c r="AT480" s="518"/>
      <c r="AU480" s="518"/>
      <c r="AV480" s="519"/>
      <c r="AW480" s="560"/>
      <c r="AX480" s="522"/>
      <c r="AY480" s="522"/>
      <c r="AZ480" s="522"/>
      <c r="BA480" s="522"/>
      <c r="BB480" s="522"/>
      <c r="BC480" s="518"/>
      <c r="BD480" s="518"/>
      <c r="BE480" s="518"/>
      <c r="BF480" s="518"/>
      <c r="BG480" s="518"/>
      <c r="BH480" s="519"/>
      <c r="BI480" s="527"/>
      <c r="BJ480" s="518"/>
      <c r="BK480" s="518"/>
      <c r="BL480" s="520"/>
      <c r="BM480" s="520"/>
      <c r="BN480" s="519"/>
      <c r="BO480" s="517"/>
      <c r="BP480" s="520"/>
      <c r="BQ480" s="520"/>
      <c r="BR480" s="519"/>
      <c r="BS480" s="548"/>
      <c r="BT480" s="537"/>
      <c r="BU480" s="521"/>
      <c r="BV480" s="521"/>
      <c r="BW480" s="521"/>
      <c r="BX480" s="521"/>
      <c r="BY480" s="521"/>
      <c r="BZ480" s="521"/>
      <c r="CA480" s="521"/>
      <c r="CB480" s="521"/>
      <c r="CC480" s="521"/>
      <c r="CD480" s="521"/>
      <c r="CE480" s="521"/>
      <c r="CF480" s="521"/>
      <c r="CG480" s="521"/>
      <c r="CH480" s="521"/>
      <c r="CI480" s="521"/>
      <c r="CJ480" s="521"/>
      <c r="CK480" s="521"/>
      <c r="CL480" s="518"/>
      <c r="CM480" s="523"/>
      <c r="CN480" s="523"/>
      <c r="CO480" s="524"/>
      <c r="CP480" s="524"/>
      <c r="CQ480" s="518"/>
      <c r="CR480" s="518"/>
      <c r="CS480" s="518"/>
      <c r="CT480" s="518"/>
      <c r="CU480" s="518"/>
      <c r="CV480" s="518"/>
      <c r="CW480" s="518"/>
      <c r="CX480" s="518"/>
      <c r="CY480" s="518"/>
      <c r="CZ480" s="519"/>
      <c r="DA480" s="527"/>
      <c r="DB480" s="520"/>
      <c r="DC480" s="525"/>
      <c r="DD480" s="531"/>
      <c r="DE480" s="593"/>
      <c r="DF480" s="518"/>
      <c r="DG480" s="518"/>
      <c r="DH480" s="518"/>
      <c r="DI480" s="519"/>
      <c r="DJ480" s="560"/>
      <c r="DK480" s="522"/>
      <c r="DL480" s="522"/>
      <c r="DM480" s="522"/>
      <c r="DN480" s="522"/>
      <c r="DO480" s="522"/>
      <c r="DP480" s="518"/>
      <c r="DQ480" s="518"/>
      <c r="DR480" s="518"/>
      <c r="DS480" s="518"/>
      <c r="DT480" s="518"/>
      <c r="DU480" s="519"/>
      <c r="DV480" s="527"/>
      <c r="DW480" s="518"/>
      <c r="DX480" s="518"/>
      <c r="DY480" s="520"/>
      <c r="DZ480" s="520"/>
      <c r="EA480" s="519"/>
      <c r="EB480" s="527"/>
      <c r="EC480" s="520"/>
      <c r="ED480" s="520"/>
      <c r="EE480" s="519"/>
      <c r="EF480" s="550"/>
      <c r="EG480" s="537"/>
      <c r="EH480" s="521"/>
      <c r="EI480" s="521"/>
      <c r="EJ480" s="521"/>
      <c r="EK480" s="521"/>
      <c r="EL480" s="521"/>
      <c r="EM480" s="521"/>
      <c r="EN480" s="521"/>
      <c r="EO480" s="521"/>
      <c r="EP480" s="521"/>
      <c r="EQ480" s="521"/>
      <c r="ER480" s="521"/>
      <c r="ES480" s="521"/>
      <c r="ET480" s="521"/>
      <c r="EU480" s="521"/>
      <c r="EV480" s="521"/>
      <c r="EW480" s="521"/>
      <c r="EX480" s="521"/>
      <c r="EY480" s="518"/>
      <c r="EZ480" s="523"/>
      <c r="FA480" s="523"/>
      <c r="FB480" s="524"/>
      <c r="FC480" s="524"/>
      <c r="FD480" s="518"/>
      <c r="FE480" s="518"/>
      <c r="FF480" s="518"/>
      <c r="FG480" s="518"/>
      <c r="FH480" s="518"/>
      <c r="FI480" s="518"/>
      <c r="FJ480" s="518"/>
      <c r="FK480" s="518"/>
      <c r="FL480" s="518"/>
      <c r="FM480" s="519"/>
    </row>
    <row r="481" spans="1:169" x14ac:dyDescent="0.25">
      <c r="A481" s="284"/>
      <c r="B481" s="317"/>
      <c r="C481" s="297"/>
      <c r="D481" s="298"/>
      <c r="E481" s="299"/>
      <c r="F481" s="340"/>
      <c r="G481" s="298"/>
      <c r="H481" s="299"/>
      <c r="I481" s="300"/>
      <c r="J481" s="370"/>
      <c r="K481" s="328"/>
      <c r="L481" s="300"/>
      <c r="M481" s="328"/>
      <c r="N481" s="331"/>
      <c r="O481" s="301"/>
      <c r="P481" s="301"/>
      <c r="Q481" s="328"/>
      <c r="R481" s="620"/>
      <c r="S481" s="512"/>
      <c r="T481" s="512"/>
      <c r="U481" s="513"/>
      <c r="V481" s="514"/>
      <c r="W481" s="512"/>
      <c r="X481" s="513"/>
      <c r="Y481" s="514"/>
      <c r="Z481" s="513"/>
      <c r="AA481" s="515"/>
      <c r="AB481" s="516"/>
      <c r="AC481" s="513"/>
      <c r="AD481" s="544"/>
      <c r="AE481" s="516"/>
      <c r="AF481" s="513"/>
      <c r="AG481" s="551"/>
      <c r="AH481" s="595"/>
      <c r="AI481" s="517"/>
      <c r="AJ481" s="518"/>
      <c r="AK481" s="518"/>
      <c r="AL481" s="518"/>
      <c r="AM481" s="519"/>
      <c r="AN481" s="517"/>
      <c r="AO481" s="520"/>
      <c r="AP481" s="525"/>
      <c r="AQ481" s="531"/>
      <c r="AR481" s="593"/>
      <c r="AS481" s="518"/>
      <c r="AT481" s="518"/>
      <c r="AU481" s="518"/>
      <c r="AV481" s="519"/>
      <c r="AW481" s="560"/>
      <c r="AX481" s="522"/>
      <c r="AY481" s="522"/>
      <c r="AZ481" s="522"/>
      <c r="BA481" s="522"/>
      <c r="BB481" s="522"/>
      <c r="BC481" s="518"/>
      <c r="BD481" s="518"/>
      <c r="BE481" s="518"/>
      <c r="BF481" s="518"/>
      <c r="BG481" s="518"/>
      <c r="BH481" s="519"/>
      <c r="BI481" s="527"/>
      <c r="BJ481" s="518"/>
      <c r="BK481" s="518"/>
      <c r="BL481" s="520"/>
      <c r="BM481" s="520"/>
      <c r="BN481" s="519"/>
      <c r="BO481" s="517"/>
      <c r="BP481" s="520"/>
      <c r="BQ481" s="520"/>
      <c r="BR481" s="519"/>
      <c r="BS481" s="548"/>
      <c r="BT481" s="537"/>
      <c r="BU481" s="521"/>
      <c r="BV481" s="521"/>
      <c r="BW481" s="521"/>
      <c r="BX481" s="521"/>
      <c r="BY481" s="521"/>
      <c r="BZ481" s="521"/>
      <c r="CA481" s="521"/>
      <c r="CB481" s="521"/>
      <c r="CC481" s="521"/>
      <c r="CD481" s="521"/>
      <c r="CE481" s="521"/>
      <c r="CF481" s="521"/>
      <c r="CG481" s="521"/>
      <c r="CH481" s="521"/>
      <c r="CI481" s="521"/>
      <c r="CJ481" s="521"/>
      <c r="CK481" s="521"/>
      <c r="CL481" s="518"/>
      <c r="CM481" s="523"/>
      <c r="CN481" s="523"/>
      <c r="CO481" s="524"/>
      <c r="CP481" s="524"/>
      <c r="CQ481" s="518"/>
      <c r="CR481" s="518"/>
      <c r="CS481" s="518"/>
      <c r="CT481" s="518"/>
      <c r="CU481" s="518"/>
      <c r="CV481" s="518"/>
      <c r="CW481" s="518"/>
      <c r="CX481" s="518"/>
      <c r="CY481" s="518"/>
      <c r="CZ481" s="519"/>
      <c r="DA481" s="527"/>
      <c r="DB481" s="520"/>
      <c r="DC481" s="525"/>
      <c r="DD481" s="531"/>
      <c r="DE481" s="593"/>
      <c r="DF481" s="518"/>
      <c r="DG481" s="518"/>
      <c r="DH481" s="518"/>
      <c r="DI481" s="519"/>
      <c r="DJ481" s="560"/>
      <c r="DK481" s="522"/>
      <c r="DL481" s="522"/>
      <c r="DM481" s="522"/>
      <c r="DN481" s="522"/>
      <c r="DO481" s="522"/>
      <c r="DP481" s="518"/>
      <c r="DQ481" s="518"/>
      <c r="DR481" s="518"/>
      <c r="DS481" s="518"/>
      <c r="DT481" s="518"/>
      <c r="DU481" s="519"/>
      <c r="DV481" s="527"/>
      <c r="DW481" s="518"/>
      <c r="DX481" s="518"/>
      <c r="DY481" s="520"/>
      <c r="DZ481" s="520"/>
      <c r="EA481" s="519"/>
      <c r="EB481" s="527"/>
      <c r="EC481" s="520"/>
      <c r="ED481" s="520"/>
      <c r="EE481" s="519"/>
      <c r="EF481" s="550"/>
      <c r="EG481" s="537"/>
      <c r="EH481" s="521"/>
      <c r="EI481" s="521"/>
      <c r="EJ481" s="521"/>
      <c r="EK481" s="521"/>
      <c r="EL481" s="521"/>
      <c r="EM481" s="521"/>
      <c r="EN481" s="521"/>
      <c r="EO481" s="521"/>
      <c r="EP481" s="521"/>
      <c r="EQ481" s="521"/>
      <c r="ER481" s="521"/>
      <c r="ES481" s="521"/>
      <c r="ET481" s="521"/>
      <c r="EU481" s="521"/>
      <c r="EV481" s="521"/>
      <c r="EW481" s="521"/>
      <c r="EX481" s="521"/>
      <c r="EY481" s="518"/>
      <c r="EZ481" s="523"/>
      <c r="FA481" s="523"/>
      <c r="FB481" s="524"/>
      <c r="FC481" s="524"/>
      <c r="FD481" s="518"/>
      <c r="FE481" s="518"/>
      <c r="FF481" s="518"/>
      <c r="FG481" s="518"/>
      <c r="FH481" s="518"/>
      <c r="FI481" s="518"/>
      <c r="FJ481" s="518"/>
      <c r="FK481" s="518"/>
      <c r="FL481" s="518"/>
      <c r="FM481" s="519"/>
    </row>
    <row r="482" spans="1:169" x14ac:dyDescent="0.25">
      <c r="A482" s="284"/>
      <c r="B482" s="317"/>
      <c r="C482" s="297"/>
      <c r="D482" s="298"/>
      <c r="E482" s="299"/>
      <c r="F482" s="340"/>
      <c r="G482" s="298"/>
      <c r="H482" s="299"/>
      <c r="I482" s="300"/>
      <c r="J482" s="370"/>
      <c r="K482" s="328"/>
      <c r="L482" s="300"/>
      <c r="M482" s="328"/>
      <c r="N482" s="331"/>
      <c r="O482" s="301"/>
      <c r="P482" s="301"/>
      <c r="Q482" s="328"/>
      <c r="R482" s="620"/>
      <c r="S482" s="512"/>
      <c r="T482" s="512"/>
      <c r="U482" s="513"/>
      <c r="V482" s="514"/>
      <c r="W482" s="512"/>
      <c r="X482" s="513"/>
      <c r="Y482" s="514"/>
      <c r="Z482" s="513"/>
      <c r="AA482" s="515"/>
      <c r="AB482" s="516"/>
      <c r="AC482" s="513"/>
      <c r="AD482" s="544"/>
      <c r="AE482" s="516"/>
      <c r="AF482" s="513"/>
      <c r="AG482" s="551"/>
      <c r="AH482" s="595"/>
      <c r="AI482" s="517"/>
      <c r="AJ482" s="518"/>
      <c r="AK482" s="518"/>
      <c r="AL482" s="518"/>
      <c r="AM482" s="519"/>
      <c r="AN482" s="517"/>
      <c r="AO482" s="520"/>
      <c r="AP482" s="525"/>
      <c r="AQ482" s="531"/>
      <c r="AR482" s="593"/>
      <c r="AS482" s="518"/>
      <c r="AT482" s="518"/>
      <c r="AU482" s="518"/>
      <c r="AV482" s="519"/>
      <c r="AW482" s="560"/>
      <c r="AX482" s="522"/>
      <c r="AY482" s="522"/>
      <c r="AZ482" s="522"/>
      <c r="BA482" s="522"/>
      <c r="BB482" s="522"/>
      <c r="BC482" s="518"/>
      <c r="BD482" s="518"/>
      <c r="BE482" s="518"/>
      <c r="BF482" s="518"/>
      <c r="BG482" s="518"/>
      <c r="BH482" s="519"/>
      <c r="BI482" s="527"/>
      <c r="BJ482" s="518"/>
      <c r="BK482" s="518"/>
      <c r="BL482" s="520"/>
      <c r="BM482" s="520"/>
      <c r="BN482" s="519"/>
      <c r="BO482" s="517"/>
      <c r="BP482" s="520"/>
      <c r="BQ482" s="520"/>
      <c r="BR482" s="519"/>
      <c r="BS482" s="548"/>
      <c r="BT482" s="537"/>
      <c r="BU482" s="521"/>
      <c r="BV482" s="521"/>
      <c r="BW482" s="521"/>
      <c r="BX482" s="521"/>
      <c r="BY482" s="521"/>
      <c r="BZ482" s="521"/>
      <c r="CA482" s="521"/>
      <c r="CB482" s="521"/>
      <c r="CC482" s="521"/>
      <c r="CD482" s="521"/>
      <c r="CE482" s="521"/>
      <c r="CF482" s="521"/>
      <c r="CG482" s="521"/>
      <c r="CH482" s="521"/>
      <c r="CI482" s="521"/>
      <c r="CJ482" s="521"/>
      <c r="CK482" s="521"/>
      <c r="CL482" s="518"/>
      <c r="CM482" s="523"/>
      <c r="CN482" s="523"/>
      <c r="CO482" s="524"/>
      <c r="CP482" s="524"/>
      <c r="CQ482" s="518"/>
      <c r="CR482" s="518"/>
      <c r="CS482" s="518"/>
      <c r="CT482" s="518"/>
      <c r="CU482" s="518"/>
      <c r="CV482" s="518"/>
      <c r="CW482" s="518"/>
      <c r="CX482" s="518"/>
      <c r="CY482" s="518"/>
      <c r="CZ482" s="519"/>
      <c r="DA482" s="527"/>
      <c r="DB482" s="520"/>
      <c r="DC482" s="525"/>
      <c r="DD482" s="531"/>
      <c r="DE482" s="593"/>
      <c r="DF482" s="518"/>
      <c r="DG482" s="518"/>
      <c r="DH482" s="518"/>
      <c r="DI482" s="519"/>
      <c r="DJ482" s="560"/>
      <c r="DK482" s="522"/>
      <c r="DL482" s="522"/>
      <c r="DM482" s="522"/>
      <c r="DN482" s="522"/>
      <c r="DO482" s="522"/>
      <c r="DP482" s="518"/>
      <c r="DQ482" s="518"/>
      <c r="DR482" s="518"/>
      <c r="DS482" s="518"/>
      <c r="DT482" s="518"/>
      <c r="DU482" s="519"/>
      <c r="DV482" s="527"/>
      <c r="DW482" s="518"/>
      <c r="DX482" s="518"/>
      <c r="DY482" s="520"/>
      <c r="DZ482" s="520"/>
      <c r="EA482" s="519"/>
      <c r="EB482" s="527"/>
      <c r="EC482" s="520"/>
      <c r="ED482" s="520"/>
      <c r="EE482" s="519"/>
      <c r="EF482" s="550"/>
      <c r="EG482" s="537"/>
      <c r="EH482" s="521"/>
      <c r="EI482" s="521"/>
      <c r="EJ482" s="521"/>
      <c r="EK482" s="521"/>
      <c r="EL482" s="521"/>
      <c r="EM482" s="521"/>
      <c r="EN482" s="521"/>
      <c r="EO482" s="521"/>
      <c r="EP482" s="521"/>
      <c r="EQ482" s="521"/>
      <c r="ER482" s="521"/>
      <c r="ES482" s="521"/>
      <c r="ET482" s="521"/>
      <c r="EU482" s="521"/>
      <c r="EV482" s="521"/>
      <c r="EW482" s="521"/>
      <c r="EX482" s="521"/>
      <c r="EY482" s="518"/>
      <c r="EZ482" s="523"/>
      <c r="FA482" s="523"/>
      <c r="FB482" s="524"/>
      <c r="FC482" s="524"/>
      <c r="FD482" s="518"/>
      <c r="FE482" s="518"/>
      <c r="FF482" s="518"/>
      <c r="FG482" s="518"/>
      <c r="FH482" s="518"/>
      <c r="FI482" s="518"/>
      <c r="FJ482" s="518"/>
      <c r="FK482" s="518"/>
      <c r="FL482" s="518"/>
      <c r="FM482" s="519"/>
    </row>
    <row r="483" spans="1:169" x14ac:dyDescent="0.25">
      <c r="A483" s="284"/>
      <c r="B483" s="317"/>
      <c r="C483" s="297"/>
      <c r="D483" s="298"/>
      <c r="E483" s="299"/>
      <c r="F483" s="340"/>
      <c r="G483" s="298"/>
      <c r="H483" s="299"/>
      <c r="I483" s="300"/>
      <c r="J483" s="370"/>
      <c r="K483" s="328"/>
      <c r="L483" s="300"/>
      <c r="M483" s="328"/>
      <c r="N483" s="331"/>
      <c r="O483" s="301"/>
      <c r="P483" s="301"/>
      <c r="Q483" s="328"/>
      <c r="R483" s="620"/>
      <c r="S483" s="512"/>
      <c r="T483" s="512"/>
      <c r="U483" s="513"/>
      <c r="V483" s="514"/>
      <c r="W483" s="512"/>
      <c r="X483" s="513"/>
      <c r="Y483" s="514"/>
      <c r="Z483" s="513"/>
      <c r="AA483" s="515"/>
      <c r="AB483" s="516"/>
      <c r="AC483" s="513"/>
      <c r="AD483" s="544"/>
      <c r="AE483" s="516"/>
      <c r="AF483" s="513"/>
      <c r="AG483" s="551"/>
      <c r="AH483" s="595"/>
      <c r="AI483" s="517"/>
      <c r="AJ483" s="518"/>
      <c r="AK483" s="518"/>
      <c r="AL483" s="518"/>
      <c r="AM483" s="519"/>
      <c r="AN483" s="517"/>
      <c r="AO483" s="520"/>
      <c r="AP483" s="525"/>
      <c r="AQ483" s="531"/>
      <c r="AR483" s="593"/>
      <c r="AS483" s="518"/>
      <c r="AT483" s="518"/>
      <c r="AU483" s="518"/>
      <c r="AV483" s="519"/>
      <c r="AW483" s="560"/>
      <c r="AX483" s="522"/>
      <c r="AY483" s="522"/>
      <c r="AZ483" s="522"/>
      <c r="BA483" s="522"/>
      <c r="BB483" s="522"/>
      <c r="BC483" s="518"/>
      <c r="BD483" s="518"/>
      <c r="BE483" s="518"/>
      <c r="BF483" s="518"/>
      <c r="BG483" s="518"/>
      <c r="BH483" s="519"/>
      <c r="BI483" s="527"/>
      <c r="BJ483" s="518"/>
      <c r="BK483" s="518"/>
      <c r="BL483" s="520"/>
      <c r="BM483" s="520"/>
      <c r="BN483" s="519"/>
      <c r="BO483" s="517"/>
      <c r="BP483" s="520"/>
      <c r="BQ483" s="520"/>
      <c r="BR483" s="519"/>
      <c r="BS483" s="548"/>
      <c r="BT483" s="537"/>
      <c r="BU483" s="521"/>
      <c r="BV483" s="521"/>
      <c r="BW483" s="521"/>
      <c r="BX483" s="521"/>
      <c r="BY483" s="521"/>
      <c r="BZ483" s="521"/>
      <c r="CA483" s="521"/>
      <c r="CB483" s="521"/>
      <c r="CC483" s="521"/>
      <c r="CD483" s="521"/>
      <c r="CE483" s="521"/>
      <c r="CF483" s="521"/>
      <c r="CG483" s="521"/>
      <c r="CH483" s="521"/>
      <c r="CI483" s="521"/>
      <c r="CJ483" s="521"/>
      <c r="CK483" s="521"/>
      <c r="CL483" s="518"/>
      <c r="CM483" s="523"/>
      <c r="CN483" s="523"/>
      <c r="CO483" s="524"/>
      <c r="CP483" s="524"/>
      <c r="CQ483" s="518"/>
      <c r="CR483" s="518"/>
      <c r="CS483" s="518"/>
      <c r="CT483" s="518"/>
      <c r="CU483" s="518"/>
      <c r="CV483" s="518"/>
      <c r="CW483" s="518"/>
      <c r="CX483" s="518"/>
      <c r="CY483" s="518"/>
      <c r="CZ483" s="519"/>
      <c r="DA483" s="527"/>
      <c r="DB483" s="520"/>
      <c r="DC483" s="525"/>
      <c r="DD483" s="531"/>
      <c r="DE483" s="593"/>
      <c r="DF483" s="518"/>
      <c r="DG483" s="518"/>
      <c r="DH483" s="518"/>
      <c r="DI483" s="519"/>
      <c r="DJ483" s="560"/>
      <c r="DK483" s="522"/>
      <c r="DL483" s="522"/>
      <c r="DM483" s="522"/>
      <c r="DN483" s="522"/>
      <c r="DO483" s="522"/>
      <c r="DP483" s="518"/>
      <c r="DQ483" s="518"/>
      <c r="DR483" s="518"/>
      <c r="DS483" s="518"/>
      <c r="DT483" s="518"/>
      <c r="DU483" s="519"/>
      <c r="DV483" s="527"/>
      <c r="DW483" s="518"/>
      <c r="DX483" s="518"/>
      <c r="DY483" s="520"/>
      <c r="DZ483" s="520"/>
      <c r="EA483" s="519"/>
      <c r="EB483" s="527"/>
      <c r="EC483" s="520"/>
      <c r="ED483" s="520"/>
      <c r="EE483" s="519"/>
      <c r="EF483" s="550"/>
      <c r="EG483" s="537"/>
      <c r="EH483" s="521"/>
      <c r="EI483" s="521"/>
      <c r="EJ483" s="521"/>
      <c r="EK483" s="521"/>
      <c r="EL483" s="521"/>
      <c r="EM483" s="521"/>
      <c r="EN483" s="521"/>
      <c r="EO483" s="521"/>
      <c r="EP483" s="521"/>
      <c r="EQ483" s="521"/>
      <c r="ER483" s="521"/>
      <c r="ES483" s="521"/>
      <c r="ET483" s="521"/>
      <c r="EU483" s="521"/>
      <c r="EV483" s="521"/>
      <c r="EW483" s="521"/>
      <c r="EX483" s="521"/>
      <c r="EY483" s="518"/>
      <c r="EZ483" s="523"/>
      <c r="FA483" s="523"/>
      <c r="FB483" s="524"/>
      <c r="FC483" s="524"/>
      <c r="FD483" s="518"/>
      <c r="FE483" s="518"/>
      <c r="FF483" s="518"/>
      <c r="FG483" s="518"/>
      <c r="FH483" s="518"/>
      <c r="FI483" s="518"/>
      <c r="FJ483" s="518"/>
      <c r="FK483" s="518"/>
      <c r="FL483" s="518"/>
      <c r="FM483" s="519"/>
    </row>
    <row r="484" spans="1:169" x14ac:dyDescent="0.25">
      <c r="A484" s="284"/>
      <c r="B484" s="317"/>
      <c r="C484" s="297"/>
      <c r="D484" s="298"/>
      <c r="E484" s="299"/>
      <c r="F484" s="340"/>
      <c r="G484" s="298"/>
      <c r="H484" s="299"/>
      <c r="I484" s="300"/>
      <c r="J484" s="370"/>
      <c r="K484" s="328"/>
      <c r="L484" s="300"/>
      <c r="M484" s="328"/>
      <c r="N484" s="331"/>
      <c r="O484" s="301"/>
      <c r="P484" s="301"/>
      <c r="Q484" s="328"/>
      <c r="R484" s="620"/>
      <c r="S484" s="512"/>
      <c r="T484" s="512"/>
      <c r="U484" s="513"/>
      <c r="V484" s="514"/>
      <c r="W484" s="512"/>
      <c r="X484" s="513"/>
      <c r="Y484" s="514"/>
      <c r="Z484" s="513"/>
      <c r="AA484" s="515"/>
      <c r="AB484" s="516"/>
      <c r="AC484" s="513"/>
      <c r="AD484" s="544"/>
      <c r="AE484" s="516"/>
      <c r="AF484" s="513"/>
      <c r="AG484" s="551"/>
      <c r="AH484" s="595"/>
      <c r="AI484" s="517"/>
      <c r="AJ484" s="518"/>
      <c r="AK484" s="518"/>
      <c r="AL484" s="518"/>
      <c r="AM484" s="519"/>
      <c r="AN484" s="517"/>
      <c r="AO484" s="520"/>
      <c r="AP484" s="525"/>
      <c r="AQ484" s="531"/>
      <c r="AR484" s="593"/>
      <c r="AS484" s="518"/>
      <c r="AT484" s="518"/>
      <c r="AU484" s="518"/>
      <c r="AV484" s="519"/>
      <c r="AW484" s="560"/>
      <c r="AX484" s="522"/>
      <c r="AY484" s="522"/>
      <c r="AZ484" s="522"/>
      <c r="BA484" s="522"/>
      <c r="BB484" s="522"/>
      <c r="BC484" s="518"/>
      <c r="BD484" s="518"/>
      <c r="BE484" s="518"/>
      <c r="BF484" s="518"/>
      <c r="BG484" s="518"/>
      <c r="BH484" s="519"/>
      <c r="BI484" s="527"/>
      <c r="BJ484" s="518"/>
      <c r="BK484" s="518"/>
      <c r="BL484" s="520"/>
      <c r="BM484" s="520"/>
      <c r="BN484" s="519"/>
      <c r="BO484" s="517"/>
      <c r="BP484" s="520"/>
      <c r="BQ484" s="520"/>
      <c r="BR484" s="519"/>
      <c r="BS484" s="548"/>
      <c r="BT484" s="537"/>
      <c r="BU484" s="521"/>
      <c r="BV484" s="521"/>
      <c r="BW484" s="521"/>
      <c r="BX484" s="521"/>
      <c r="BY484" s="521"/>
      <c r="BZ484" s="521"/>
      <c r="CA484" s="521"/>
      <c r="CB484" s="521"/>
      <c r="CC484" s="521"/>
      <c r="CD484" s="521"/>
      <c r="CE484" s="521"/>
      <c r="CF484" s="521"/>
      <c r="CG484" s="521"/>
      <c r="CH484" s="521"/>
      <c r="CI484" s="521"/>
      <c r="CJ484" s="521"/>
      <c r="CK484" s="521"/>
      <c r="CL484" s="518"/>
      <c r="CM484" s="523"/>
      <c r="CN484" s="523"/>
      <c r="CO484" s="524"/>
      <c r="CP484" s="524"/>
      <c r="CQ484" s="518"/>
      <c r="CR484" s="518"/>
      <c r="CS484" s="518"/>
      <c r="CT484" s="518"/>
      <c r="CU484" s="518"/>
      <c r="CV484" s="518"/>
      <c r="CW484" s="518"/>
      <c r="CX484" s="518"/>
      <c r="CY484" s="518"/>
      <c r="CZ484" s="519"/>
      <c r="DA484" s="527"/>
      <c r="DB484" s="520"/>
      <c r="DC484" s="525"/>
      <c r="DD484" s="531"/>
      <c r="DE484" s="593"/>
      <c r="DF484" s="518"/>
      <c r="DG484" s="518"/>
      <c r="DH484" s="518"/>
      <c r="DI484" s="519"/>
      <c r="DJ484" s="560"/>
      <c r="DK484" s="522"/>
      <c r="DL484" s="522"/>
      <c r="DM484" s="522"/>
      <c r="DN484" s="522"/>
      <c r="DO484" s="522"/>
      <c r="DP484" s="518"/>
      <c r="DQ484" s="518"/>
      <c r="DR484" s="518"/>
      <c r="DS484" s="518"/>
      <c r="DT484" s="518"/>
      <c r="DU484" s="519"/>
      <c r="DV484" s="527"/>
      <c r="DW484" s="518"/>
      <c r="DX484" s="518"/>
      <c r="DY484" s="520"/>
      <c r="DZ484" s="520"/>
      <c r="EA484" s="519"/>
      <c r="EB484" s="527"/>
      <c r="EC484" s="520"/>
      <c r="ED484" s="520"/>
      <c r="EE484" s="519"/>
      <c r="EF484" s="550"/>
      <c r="EG484" s="537"/>
      <c r="EH484" s="521"/>
      <c r="EI484" s="521"/>
      <c r="EJ484" s="521"/>
      <c r="EK484" s="521"/>
      <c r="EL484" s="521"/>
      <c r="EM484" s="521"/>
      <c r="EN484" s="521"/>
      <c r="EO484" s="521"/>
      <c r="EP484" s="521"/>
      <c r="EQ484" s="521"/>
      <c r="ER484" s="521"/>
      <c r="ES484" s="521"/>
      <c r="ET484" s="521"/>
      <c r="EU484" s="521"/>
      <c r="EV484" s="521"/>
      <c r="EW484" s="521"/>
      <c r="EX484" s="521"/>
      <c r="EY484" s="518"/>
      <c r="EZ484" s="523"/>
      <c r="FA484" s="523"/>
      <c r="FB484" s="524"/>
      <c r="FC484" s="524"/>
      <c r="FD484" s="518"/>
      <c r="FE484" s="518"/>
      <c r="FF484" s="518"/>
      <c r="FG484" s="518"/>
      <c r="FH484" s="518"/>
      <c r="FI484" s="518"/>
      <c r="FJ484" s="518"/>
      <c r="FK484" s="518"/>
      <c r="FL484" s="518"/>
      <c r="FM484" s="519"/>
    </row>
    <row r="485" spans="1:169" x14ac:dyDescent="0.25">
      <c r="A485" s="284"/>
      <c r="B485" s="317"/>
      <c r="C485" s="297"/>
      <c r="D485" s="298"/>
      <c r="E485" s="299"/>
      <c r="F485" s="340"/>
      <c r="G485" s="298"/>
      <c r="H485" s="299"/>
      <c r="I485" s="300"/>
      <c r="J485" s="370"/>
      <c r="K485" s="328"/>
      <c r="L485" s="300"/>
      <c r="M485" s="328"/>
      <c r="N485" s="331"/>
      <c r="O485" s="301"/>
      <c r="P485" s="301"/>
      <c r="Q485" s="328"/>
      <c r="R485" s="620"/>
      <c r="S485" s="512"/>
      <c r="T485" s="512"/>
      <c r="U485" s="513"/>
      <c r="V485" s="514"/>
      <c r="W485" s="512"/>
      <c r="X485" s="513"/>
      <c r="Y485" s="514"/>
      <c r="Z485" s="513"/>
      <c r="AA485" s="515"/>
      <c r="AB485" s="516"/>
      <c r="AC485" s="513"/>
      <c r="AD485" s="544"/>
      <c r="AE485" s="516"/>
      <c r="AF485" s="513"/>
      <c r="AG485" s="551"/>
      <c r="AH485" s="595"/>
      <c r="AI485" s="517"/>
      <c r="AJ485" s="518"/>
      <c r="AK485" s="518"/>
      <c r="AL485" s="518"/>
      <c r="AM485" s="519"/>
      <c r="AN485" s="517"/>
      <c r="AO485" s="520"/>
      <c r="AP485" s="525"/>
      <c r="AQ485" s="531"/>
      <c r="AR485" s="593"/>
      <c r="AS485" s="518"/>
      <c r="AT485" s="518"/>
      <c r="AU485" s="518"/>
      <c r="AV485" s="519"/>
      <c r="AW485" s="560"/>
      <c r="AX485" s="522"/>
      <c r="AY485" s="522"/>
      <c r="AZ485" s="522"/>
      <c r="BA485" s="522"/>
      <c r="BB485" s="522"/>
      <c r="BC485" s="518"/>
      <c r="BD485" s="518"/>
      <c r="BE485" s="518"/>
      <c r="BF485" s="518"/>
      <c r="BG485" s="518"/>
      <c r="BH485" s="519"/>
      <c r="BI485" s="527"/>
      <c r="BJ485" s="518"/>
      <c r="BK485" s="518"/>
      <c r="BL485" s="520"/>
      <c r="BM485" s="520"/>
      <c r="BN485" s="519"/>
      <c r="BO485" s="517"/>
      <c r="BP485" s="520"/>
      <c r="BQ485" s="520"/>
      <c r="BR485" s="519"/>
      <c r="BS485" s="548"/>
      <c r="BT485" s="537"/>
      <c r="BU485" s="521"/>
      <c r="BV485" s="521"/>
      <c r="BW485" s="521"/>
      <c r="BX485" s="521"/>
      <c r="BY485" s="521"/>
      <c r="BZ485" s="521"/>
      <c r="CA485" s="521"/>
      <c r="CB485" s="521"/>
      <c r="CC485" s="521"/>
      <c r="CD485" s="521"/>
      <c r="CE485" s="521"/>
      <c r="CF485" s="521"/>
      <c r="CG485" s="521"/>
      <c r="CH485" s="521"/>
      <c r="CI485" s="521"/>
      <c r="CJ485" s="521"/>
      <c r="CK485" s="521"/>
      <c r="CL485" s="518"/>
      <c r="CM485" s="523"/>
      <c r="CN485" s="523"/>
      <c r="CO485" s="524"/>
      <c r="CP485" s="524"/>
      <c r="CQ485" s="518"/>
      <c r="CR485" s="518"/>
      <c r="CS485" s="518"/>
      <c r="CT485" s="518"/>
      <c r="CU485" s="518"/>
      <c r="CV485" s="518"/>
      <c r="CW485" s="518"/>
      <c r="CX485" s="518"/>
      <c r="CY485" s="518"/>
      <c r="CZ485" s="519"/>
      <c r="DA485" s="527"/>
      <c r="DB485" s="520"/>
      <c r="DC485" s="525"/>
      <c r="DD485" s="531"/>
      <c r="DE485" s="593"/>
      <c r="DF485" s="518"/>
      <c r="DG485" s="518"/>
      <c r="DH485" s="518"/>
      <c r="DI485" s="519"/>
      <c r="DJ485" s="560"/>
      <c r="DK485" s="522"/>
      <c r="DL485" s="522"/>
      <c r="DM485" s="522"/>
      <c r="DN485" s="522"/>
      <c r="DO485" s="522"/>
      <c r="DP485" s="518"/>
      <c r="DQ485" s="518"/>
      <c r="DR485" s="518"/>
      <c r="DS485" s="518"/>
      <c r="DT485" s="518"/>
      <c r="DU485" s="519"/>
      <c r="DV485" s="527"/>
      <c r="DW485" s="518"/>
      <c r="DX485" s="518"/>
      <c r="DY485" s="520"/>
      <c r="DZ485" s="520"/>
      <c r="EA485" s="519"/>
      <c r="EB485" s="527"/>
      <c r="EC485" s="520"/>
      <c r="ED485" s="520"/>
      <c r="EE485" s="519"/>
      <c r="EF485" s="550"/>
      <c r="EG485" s="537"/>
      <c r="EH485" s="521"/>
      <c r="EI485" s="521"/>
      <c r="EJ485" s="521"/>
      <c r="EK485" s="521"/>
      <c r="EL485" s="521"/>
      <c r="EM485" s="521"/>
      <c r="EN485" s="521"/>
      <c r="EO485" s="521"/>
      <c r="EP485" s="521"/>
      <c r="EQ485" s="521"/>
      <c r="ER485" s="521"/>
      <c r="ES485" s="521"/>
      <c r="ET485" s="521"/>
      <c r="EU485" s="521"/>
      <c r="EV485" s="521"/>
      <c r="EW485" s="521"/>
      <c r="EX485" s="521"/>
      <c r="EY485" s="518"/>
      <c r="EZ485" s="523"/>
      <c r="FA485" s="523"/>
      <c r="FB485" s="524"/>
      <c r="FC485" s="524"/>
      <c r="FD485" s="518"/>
      <c r="FE485" s="518"/>
      <c r="FF485" s="518"/>
      <c r="FG485" s="518"/>
      <c r="FH485" s="518"/>
      <c r="FI485" s="518"/>
      <c r="FJ485" s="518"/>
      <c r="FK485" s="518"/>
      <c r="FL485" s="518"/>
      <c r="FM485" s="519"/>
    </row>
    <row r="486" spans="1:169" x14ac:dyDescent="0.25">
      <c r="A486" s="284"/>
      <c r="B486" s="317"/>
      <c r="C486" s="297"/>
      <c r="D486" s="298"/>
      <c r="E486" s="299"/>
      <c r="F486" s="340"/>
      <c r="G486" s="298"/>
      <c r="H486" s="299"/>
      <c r="I486" s="300"/>
      <c r="J486" s="370"/>
      <c r="K486" s="328"/>
      <c r="L486" s="300"/>
      <c r="M486" s="328"/>
      <c r="N486" s="331"/>
      <c r="O486" s="301"/>
      <c r="P486" s="301"/>
      <c r="Q486" s="328"/>
      <c r="R486" s="620"/>
      <c r="S486" s="512"/>
      <c r="T486" s="512"/>
      <c r="U486" s="513"/>
      <c r="V486" s="514"/>
      <c r="W486" s="512"/>
      <c r="X486" s="513"/>
      <c r="Y486" s="514"/>
      <c r="Z486" s="513"/>
      <c r="AA486" s="515"/>
      <c r="AB486" s="516"/>
      <c r="AC486" s="513"/>
      <c r="AD486" s="544"/>
      <c r="AE486" s="516"/>
      <c r="AF486" s="513"/>
      <c r="AG486" s="551"/>
      <c r="AH486" s="595"/>
      <c r="AI486" s="517"/>
      <c r="AJ486" s="518"/>
      <c r="AK486" s="518"/>
      <c r="AL486" s="518"/>
      <c r="AM486" s="519"/>
      <c r="AN486" s="517"/>
      <c r="AO486" s="520"/>
      <c r="AP486" s="525"/>
      <c r="AQ486" s="531"/>
      <c r="AR486" s="593"/>
      <c r="AS486" s="518"/>
      <c r="AT486" s="518"/>
      <c r="AU486" s="518"/>
      <c r="AV486" s="519"/>
      <c r="AW486" s="560"/>
      <c r="AX486" s="522"/>
      <c r="AY486" s="522"/>
      <c r="AZ486" s="522"/>
      <c r="BA486" s="522"/>
      <c r="BB486" s="522"/>
      <c r="BC486" s="518"/>
      <c r="BD486" s="518"/>
      <c r="BE486" s="518"/>
      <c r="BF486" s="518"/>
      <c r="BG486" s="518"/>
      <c r="BH486" s="519"/>
      <c r="BI486" s="527"/>
      <c r="BJ486" s="518"/>
      <c r="BK486" s="518"/>
      <c r="BL486" s="520"/>
      <c r="BM486" s="520"/>
      <c r="BN486" s="519"/>
      <c r="BO486" s="517"/>
      <c r="BP486" s="520"/>
      <c r="BQ486" s="520"/>
      <c r="BR486" s="519"/>
      <c r="BS486" s="548"/>
      <c r="BT486" s="537"/>
      <c r="BU486" s="521"/>
      <c r="BV486" s="521"/>
      <c r="BW486" s="521"/>
      <c r="BX486" s="521"/>
      <c r="BY486" s="521"/>
      <c r="BZ486" s="521"/>
      <c r="CA486" s="521"/>
      <c r="CB486" s="521"/>
      <c r="CC486" s="521"/>
      <c r="CD486" s="521"/>
      <c r="CE486" s="521"/>
      <c r="CF486" s="521"/>
      <c r="CG486" s="521"/>
      <c r="CH486" s="521"/>
      <c r="CI486" s="521"/>
      <c r="CJ486" s="521"/>
      <c r="CK486" s="521"/>
      <c r="CL486" s="518"/>
      <c r="CM486" s="523"/>
      <c r="CN486" s="523"/>
      <c r="CO486" s="524"/>
      <c r="CP486" s="524"/>
      <c r="CQ486" s="518"/>
      <c r="CR486" s="518"/>
      <c r="CS486" s="518"/>
      <c r="CT486" s="518"/>
      <c r="CU486" s="518"/>
      <c r="CV486" s="518"/>
      <c r="CW486" s="518"/>
      <c r="CX486" s="518"/>
      <c r="CY486" s="518"/>
      <c r="CZ486" s="519"/>
      <c r="DA486" s="527"/>
      <c r="DB486" s="520"/>
      <c r="DC486" s="525"/>
      <c r="DD486" s="531"/>
      <c r="DE486" s="593"/>
      <c r="DF486" s="518"/>
      <c r="DG486" s="518"/>
      <c r="DH486" s="518"/>
      <c r="DI486" s="519"/>
      <c r="DJ486" s="560"/>
      <c r="DK486" s="522"/>
      <c r="DL486" s="522"/>
      <c r="DM486" s="522"/>
      <c r="DN486" s="522"/>
      <c r="DO486" s="522"/>
      <c r="DP486" s="518"/>
      <c r="DQ486" s="518"/>
      <c r="DR486" s="518"/>
      <c r="DS486" s="518"/>
      <c r="DT486" s="518"/>
      <c r="DU486" s="519"/>
      <c r="DV486" s="527"/>
      <c r="DW486" s="518"/>
      <c r="DX486" s="518"/>
      <c r="DY486" s="520"/>
      <c r="DZ486" s="520"/>
      <c r="EA486" s="519"/>
      <c r="EB486" s="527"/>
      <c r="EC486" s="520"/>
      <c r="ED486" s="520"/>
      <c r="EE486" s="519"/>
      <c r="EF486" s="550"/>
      <c r="EG486" s="537"/>
      <c r="EH486" s="521"/>
      <c r="EI486" s="521"/>
      <c r="EJ486" s="521"/>
      <c r="EK486" s="521"/>
      <c r="EL486" s="521"/>
      <c r="EM486" s="521"/>
      <c r="EN486" s="521"/>
      <c r="EO486" s="521"/>
      <c r="EP486" s="521"/>
      <c r="EQ486" s="521"/>
      <c r="ER486" s="521"/>
      <c r="ES486" s="521"/>
      <c r="ET486" s="521"/>
      <c r="EU486" s="521"/>
      <c r="EV486" s="521"/>
      <c r="EW486" s="521"/>
      <c r="EX486" s="521"/>
      <c r="EY486" s="518"/>
      <c r="EZ486" s="523"/>
      <c r="FA486" s="523"/>
      <c r="FB486" s="524"/>
      <c r="FC486" s="524"/>
      <c r="FD486" s="518"/>
      <c r="FE486" s="518"/>
      <c r="FF486" s="518"/>
      <c r="FG486" s="518"/>
      <c r="FH486" s="518"/>
      <c r="FI486" s="518"/>
      <c r="FJ486" s="518"/>
      <c r="FK486" s="518"/>
      <c r="FL486" s="518"/>
      <c r="FM486" s="519"/>
    </row>
    <row r="487" spans="1:169" x14ac:dyDescent="0.25">
      <c r="A487" s="284"/>
      <c r="B487" s="317"/>
      <c r="C487" s="297"/>
      <c r="D487" s="298"/>
      <c r="E487" s="299"/>
      <c r="F487" s="340"/>
      <c r="G487" s="298"/>
      <c r="H487" s="299"/>
      <c r="I487" s="300"/>
      <c r="J487" s="370"/>
      <c r="K487" s="328"/>
      <c r="L487" s="300"/>
      <c r="M487" s="328"/>
      <c r="N487" s="331"/>
      <c r="O487" s="301"/>
      <c r="P487" s="301"/>
      <c r="Q487" s="328"/>
      <c r="R487" s="620"/>
      <c r="S487" s="512"/>
      <c r="T487" s="512"/>
      <c r="U487" s="513"/>
      <c r="V487" s="514"/>
      <c r="W487" s="512"/>
      <c r="X487" s="513"/>
      <c r="Y487" s="514"/>
      <c r="Z487" s="513"/>
      <c r="AA487" s="515"/>
      <c r="AB487" s="516"/>
      <c r="AC487" s="513"/>
      <c r="AD487" s="544"/>
      <c r="AE487" s="516"/>
      <c r="AF487" s="513"/>
      <c r="AG487" s="551"/>
      <c r="AH487" s="595"/>
      <c r="AI487" s="517"/>
      <c r="AJ487" s="518"/>
      <c r="AK487" s="518"/>
      <c r="AL487" s="518"/>
      <c r="AM487" s="519"/>
      <c r="AN487" s="517"/>
      <c r="AO487" s="520"/>
      <c r="AP487" s="525"/>
      <c r="AQ487" s="531"/>
      <c r="AR487" s="593"/>
      <c r="AS487" s="518"/>
      <c r="AT487" s="518"/>
      <c r="AU487" s="518"/>
      <c r="AV487" s="519"/>
      <c r="AW487" s="560"/>
      <c r="AX487" s="522"/>
      <c r="AY487" s="522"/>
      <c r="AZ487" s="522"/>
      <c r="BA487" s="522"/>
      <c r="BB487" s="522"/>
      <c r="BC487" s="518"/>
      <c r="BD487" s="518"/>
      <c r="BE487" s="518"/>
      <c r="BF487" s="518"/>
      <c r="BG487" s="518"/>
      <c r="BH487" s="519"/>
      <c r="BI487" s="527"/>
      <c r="BJ487" s="518"/>
      <c r="BK487" s="518"/>
      <c r="BL487" s="520"/>
      <c r="BM487" s="520"/>
      <c r="BN487" s="519"/>
      <c r="BO487" s="517"/>
      <c r="BP487" s="520"/>
      <c r="BQ487" s="520"/>
      <c r="BR487" s="519"/>
      <c r="BS487" s="548"/>
      <c r="BT487" s="537"/>
      <c r="BU487" s="521"/>
      <c r="BV487" s="521"/>
      <c r="BW487" s="521"/>
      <c r="BX487" s="521"/>
      <c r="BY487" s="521"/>
      <c r="BZ487" s="521"/>
      <c r="CA487" s="521"/>
      <c r="CB487" s="521"/>
      <c r="CC487" s="521"/>
      <c r="CD487" s="521"/>
      <c r="CE487" s="521"/>
      <c r="CF487" s="521"/>
      <c r="CG487" s="521"/>
      <c r="CH487" s="521"/>
      <c r="CI487" s="521"/>
      <c r="CJ487" s="521"/>
      <c r="CK487" s="521"/>
      <c r="CL487" s="518"/>
      <c r="CM487" s="523"/>
      <c r="CN487" s="523"/>
      <c r="CO487" s="524"/>
      <c r="CP487" s="524"/>
      <c r="CQ487" s="518"/>
      <c r="CR487" s="518"/>
      <c r="CS487" s="518"/>
      <c r="CT487" s="518"/>
      <c r="CU487" s="518"/>
      <c r="CV487" s="518"/>
      <c r="CW487" s="518"/>
      <c r="CX487" s="518"/>
      <c r="CY487" s="518"/>
      <c r="CZ487" s="519"/>
      <c r="DA487" s="527"/>
      <c r="DB487" s="520"/>
      <c r="DC487" s="525"/>
      <c r="DD487" s="531"/>
      <c r="DE487" s="593"/>
      <c r="DF487" s="518"/>
      <c r="DG487" s="518"/>
      <c r="DH487" s="518"/>
      <c r="DI487" s="519"/>
      <c r="DJ487" s="560"/>
      <c r="DK487" s="522"/>
      <c r="DL487" s="522"/>
      <c r="DM487" s="522"/>
      <c r="DN487" s="522"/>
      <c r="DO487" s="522"/>
      <c r="DP487" s="518"/>
      <c r="DQ487" s="518"/>
      <c r="DR487" s="518"/>
      <c r="DS487" s="518"/>
      <c r="DT487" s="518"/>
      <c r="DU487" s="519"/>
      <c r="DV487" s="527"/>
      <c r="DW487" s="518"/>
      <c r="DX487" s="518"/>
      <c r="DY487" s="520"/>
      <c r="DZ487" s="520"/>
      <c r="EA487" s="519"/>
      <c r="EB487" s="527"/>
      <c r="EC487" s="520"/>
      <c r="ED487" s="520"/>
      <c r="EE487" s="519"/>
      <c r="EF487" s="550"/>
      <c r="EG487" s="537"/>
      <c r="EH487" s="521"/>
      <c r="EI487" s="521"/>
      <c r="EJ487" s="521"/>
      <c r="EK487" s="521"/>
      <c r="EL487" s="521"/>
      <c r="EM487" s="521"/>
      <c r="EN487" s="521"/>
      <c r="EO487" s="521"/>
      <c r="EP487" s="521"/>
      <c r="EQ487" s="521"/>
      <c r="ER487" s="521"/>
      <c r="ES487" s="521"/>
      <c r="ET487" s="521"/>
      <c r="EU487" s="521"/>
      <c r="EV487" s="521"/>
      <c r="EW487" s="521"/>
      <c r="EX487" s="521"/>
      <c r="EY487" s="518"/>
      <c r="EZ487" s="523"/>
      <c r="FA487" s="523"/>
      <c r="FB487" s="524"/>
      <c r="FC487" s="524"/>
      <c r="FD487" s="518"/>
      <c r="FE487" s="518"/>
      <c r="FF487" s="518"/>
      <c r="FG487" s="518"/>
      <c r="FH487" s="518"/>
      <c r="FI487" s="518"/>
      <c r="FJ487" s="518"/>
      <c r="FK487" s="518"/>
      <c r="FL487" s="518"/>
      <c r="FM487" s="519"/>
    </row>
    <row r="488" spans="1:169" x14ac:dyDescent="0.25">
      <c r="A488" s="284"/>
      <c r="B488" s="317"/>
      <c r="C488" s="297"/>
      <c r="D488" s="298"/>
      <c r="E488" s="299"/>
      <c r="F488" s="340"/>
      <c r="G488" s="298"/>
      <c r="H488" s="299"/>
      <c r="I488" s="300"/>
      <c r="J488" s="370"/>
      <c r="K488" s="328"/>
      <c r="L488" s="300"/>
      <c r="M488" s="328"/>
      <c r="N488" s="331"/>
      <c r="O488" s="301"/>
      <c r="P488" s="301"/>
      <c r="Q488" s="328"/>
      <c r="R488" s="620"/>
      <c r="S488" s="512"/>
      <c r="T488" s="512"/>
      <c r="U488" s="513"/>
      <c r="V488" s="514"/>
      <c r="W488" s="512"/>
      <c r="X488" s="513"/>
      <c r="Y488" s="514"/>
      <c r="Z488" s="513"/>
      <c r="AA488" s="515"/>
      <c r="AB488" s="516"/>
      <c r="AC488" s="513"/>
      <c r="AD488" s="544"/>
      <c r="AE488" s="516"/>
      <c r="AF488" s="513"/>
      <c r="AG488" s="551"/>
      <c r="AH488" s="595"/>
      <c r="AI488" s="517"/>
      <c r="AJ488" s="518"/>
      <c r="AK488" s="518"/>
      <c r="AL488" s="518"/>
      <c r="AM488" s="519"/>
      <c r="AN488" s="517"/>
      <c r="AO488" s="520"/>
      <c r="AP488" s="525"/>
      <c r="AQ488" s="531"/>
      <c r="AR488" s="593"/>
      <c r="AS488" s="518"/>
      <c r="AT488" s="518"/>
      <c r="AU488" s="518"/>
      <c r="AV488" s="519"/>
      <c r="AW488" s="560"/>
      <c r="AX488" s="522"/>
      <c r="AY488" s="522"/>
      <c r="AZ488" s="522"/>
      <c r="BA488" s="522"/>
      <c r="BB488" s="522"/>
      <c r="BC488" s="518"/>
      <c r="BD488" s="518"/>
      <c r="BE488" s="518"/>
      <c r="BF488" s="518"/>
      <c r="BG488" s="518"/>
      <c r="BH488" s="519"/>
      <c r="BI488" s="527"/>
      <c r="BJ488" s="518"/>
      <c r="BK488" s="518"/>
      <c r="BL488" s="520"/>
      <c r="BM488" s="520"/>
      <c r="BN488" s="519"/>
      <c r="BO488" s="517"/>
      <c r="BP488" s="520"/>
      <c r="BQ488" s="520"/>
      <c r="BR488" s="519"/>
      <c r="BS488" s="548"/>
      <c r="BT488" s="537"/>
      <c r="BU488" s="521"/>
      <c r="BV488" s="521"/>
      <c r="BW488" s="521"/>
      <c r="BX488" s="521"/>
      <c r="BY488" s="521"/>
      <c r="BZ488" s="521"/>
      <c r="CA488" s="521"/>
      <c r="CB488" s="521"/>
      <c r="CC488" s="521"/>
      <c r="CD488" s="521"/>
      <c r="CE488" s="521"/>
      <c r="CF488" s="521"/>
      <c r="CG488" s="521"/>
      <c r="CH488" s="521"/>
      <c r="CI488" s="521"/>
      <c r="CJ488" s="521"/>
      <c r="CK488" s="521"/>
      <c r="CL488" s="518"/>
      <c r="CM488" s="523"/>
      <c r="CN488" s="523"/>
      <c r="CO488" s="524"/>
      <c r="CP488" s="524"/>
      <c r="CQ488" s="518"/>
      <c r="CR488" s="518"/>
      <c r="CS488" s="518"/>
      <c r="CT488" s="518"/>
      <c r="CU488" s="518"/>
      <c r="CV488" s="518"/>
      <c r="CW488" s="518"/>
      <c r="CX488" s="518"/>
      <c r="CY488" s="518"/>
      <c r="CZ488" s="519"/>
      <c r="DA488" s="527"/>
      <c r="DB488" s="520"/>
      <c r="DC488" s="525"/>
      <c r="DD488" s="531"/>
      <c r="DE488" s="593"/>
      <c r="DF488" s="518"/>
      <c r="DG488" s="518"/>
      <c r="DH488" s="518"/>
      <c r="DI488" s="519"/>
      <c r="DJ488" s="560"/>
      <c r="DK488" s="522"/>
      <c r="DL488" s="522"/>
      <c r="DM488" s="522"/>
      <c r="DN488" s="522"/>
      <c r="DO488" s="522"/>
      <c r="DP488" s="518"/>
      <c r="DQ488" s="518"/>
      <c r="DR488" s="518"/>
      <c r="DS488" s="518"/>
      <c r="DT488" s="518"/>
      <c r="DU488" s="519"/>
      <c r="DV488" s="527"/>
      <c r="DW488" s="518"/>
      <c r="DX488" s="518"/>
      <c r="DY488" s="520"/>
      <c r="DZ488" s="520"/>
      <c r="EA488" s="519"/>
      <c r="EB488" s="527"/>
      <c r="EC488" s="520"/>
      <c r="ED488" s="520"/>
      <c r="EE488" s="519"/>
      <c r="EF488" s="550"/>
      <c r="EG488" s="537"/>
      <c r="EH488" s="521"/>
      <c r="EI488" s="521"/>
      <c r="EJ488" s="521"/>
      <c r="EK488" s="521"/>
      <c r="EL488" s="521"/>
      <c r="EM488" s="521"/>
      <c r="EN488" s="521"/>
      <c r="EO488" s="521"/>
      <c r="EP488" s="521"/>
      <c r="EQ488" s="521"/>
      <c r="ER488" s="521"/>
      <c r="ES488" s="521"/>
      <c r="ET488" s="521"/>
      <c r="EU488" s="521"/>
      <c r="EV488" s="521"/>
      <c r="EW488" s="521"/>
      <c r="EX488" s="521"/>
      <c r="EY488" s="518"/>
      <c r="EZ488" s="523"/>
      <c r="FA488" s="523"/>
      <c r="FB488" s="524"/>
      <c r="FC488" s="524"/>
      <c r="FD488" s="518"/>
      <c r="FE488" s="518"/>
      <c r="FF488" s="518"/>
      <c r="FG488" s="518"/>
      <c r="FH488" s="518"/>
      <c r="FI488" s="518"/>
      <c r="FJ488" s="518"/>
      <c r="FK488" s="518"/>
      <c r="FL488" s="518"/>
      <c r="FM488" s="519"/>
    </row>
    <row r="489" spans="1:169" x14ac:dyDescent="0.25">
      <c r="A489" s="284"/>
      <c r="B489" s="317"/>
      <c r="C489" s="297"/>
      <c r="D489" s="298"/>
      <c r="E489" s="299"/>
      <c r="F489" s="340"/>
      <c r="G489" s="298"/>
      <c r="H489" s="299"/>
      <c r="I489" s="300"/>
      <c r="J489" s="370"/>
      <c r="K489" s="328"/>
      <c r="L489" s="300"/>
      <c r="M489" s="328"/>
      <c r="N489" s="331"/>
      <c r="O489" s="301"/>
      <c r="P489" s="301"/>
      <c r="Q489" s="328"/>
      <c r="R489" s="620"/>
      <c r="S489" s="512"/>
      <c r="T489" s="512"/>
      <c r="U489" s="513"/>
      <c r="V489" s="514"/>
      <c r="W489" s="512"/>
      <c r="X489" s="513"/>
      <c r="Y489" s="514"/>
      <c r="Z489" s="513"/>
      <c r="AA489" s="515"/>
      <c r="AB489" s="516"/>
      <c r="AC489" s="513"/>
      <c r="AD489" s="544"/>
      <c r="AE489" s="516"/>
      <c r="AF489" s="513"/>
      <c r="AG489" s="551"/>
      <c r="AH489" s="595"/>
      <c r="AI489" s="517"/>
      <c r="AJ489" s="518"/>
      <c r="AK489" s="518"/>
      <c r="AL489" s="518"/>
      <c r="AM489" s="519"/>
      <c r="AN489" s="517"/>
      <c r="AO489" s="520"/>
      <c r="AP489" s="525"/>
      <c r="AQ489" s="531"/>
      <c r="AR489" s="593"/>
      <c r="AS489" s="518"/>
      <c r="AT489" s="518"/>
      <c r="AU489" s="518"/>
      <c r="AV489" s="519"/>
      <c r="AW489" s="560"/>
      <c r="AX489" s="522"/>
      <c r="AY489" s="522"/>
      <c r="AZ489" s="522"/>
      <c r="BA489" s="522"/>
      <c r="BB489" s="522"/>
      <c r="BC489" s="518"/>
      <c r="BD489" s="518"/>
      <c r="BE489" s="518"/>
      <c r="BF489" s="518"/>
      <c r="BG489" s="518"/>
      <c r="BH489" s="519"/>
      <c r="BI489" s="527"/>
      <c r="BJ489" s="518"/>
      <c r="BK489" s="518"/>
      <c r="BL489" s="520"/>
      <c r="BM489" s="520"/>
      <c r="BN489" s="519"/>
      <c r="BO489" s="517"/>
      <c r="BP489" s="520"/>
      <c r="BQ489" s="520"/>
      <c r="BR489" s="519"/>
      <c r="BS489" s="548"/>
      <c r="BT489" s="537"/>
      <c r="BU489" s="521"/>
      <c r="BV489" s="521"/>
      <c r="BW489" s="521"/>
      <c r="BX489" s="521"/>
      <c r="BY489" s="521"/>
      <c r="BZ489" s="521"/>
      <c r="CA489" s="521"/>
      <c r="CB489" s="521"/>
      <c r="CC489" s="521"/>
      <c r="CD489" s="521"/>
      <c r="CE489" s="521"/>
      <c r="CF489" s="521"/>
      <c r="CG489" s="521"/>
      <c r="CH489" s="521"/>
      <c r="CI489" s="521"/>
      <c r="CJ489" s="521"/>
      <c r="CK489" s="521"/>
      <c r="CL489" s="518"/>
      <c r="CM489" s="523"/>
      <c r="CN489" s="523"/>
      <c r="CO489" s="524"/>
      <c r="CP489" s="524"/>
      <c r="CQ489" s="518"/>
      <c r="CR489" s="518"/>
      <c r="CS489" s="518"/>
      <c r="CT489" s="518"/>
      <c r="CU489" s="518"/>
      <c r="CV489" s="518"/>
      <c r="CW489" s="518"/>
      <c r="CX489" s="518"/>
      <c r="CY489" s="518"/>
      <c r="CZ489" s="519"/>
      <c r="DA489" s="527"/>
      <c r="DB489" s="520"/>
      <c r="DC489" s="525"/>
      <c r="DD489" s="531"/>
      <c r="DE489" s="593"/>
      <c r="DF489" s="518"/>
      <c r="DG489" s="518"/>
      <c r="DH489" s="518"/>
      <c r="DI489" s="519"/>
      <c r="DJ489" s="560"/>
      <c r="DK489" s="522"/>
      <c r="DL489" s="522"/>
      <c r="DM489" s="522"/>
      <c r="DN489" s="522"/>
      <c r="DO489" s="522"/>
      <c r="DP489" s="518"/>
      <c r="DQ489" s="518"/>
      <c r="DR489" s="518"/>
      <c r="DS489" s="518"/>
      <c r="DT489" s="518"/>
      <c r="DU489" s="519"/>
      <c r="DV489" s="527"/>
      <c r="DW489" s="518"/>
      <c r="DX489" s="518"/>
      <c r="DY489" s="520"/>
      <c r="DZ489" s="520"/>
      <c r="EA489" s="519"/>
      <c r="EB489" s="527"/>
      <c r="EC489" s="520"/>
      <c r="ED489" s="520"/>
      <c r="EE489" s="519"/>
      <c r="EF489" s="550"/>
      <c r="EG489" s="537"/>
      <c r="EH489" s="521"/>
      <c r="EI489" s="521"/>
      <c r="EJ489" s="521"/>
      <c r="EK489" s="521"/>
      <c r="EL489" s="521"/>
      <c r="EM489" s="521"/>
      <c r="EN489" s="521"/>
      <c r="EO489" s="521"/>
      <c r="EP489" s="521"/>
      <c r="EQ489" s="521"/>
      <c r="ER489" s="521"/>
      <c r="ES489" s="521"/>
      <c r="ET489" s="521"/>
      <c r="EU489" s="521"/>
      <c r="EV489" s="521"/>
      <c r="EW489" s="521"/>
      <c r="EX489" s="521"/>
      <c r="EY489" s="518"/>
      <c r="EZ489" s="523"/>
      <c r="FA489" s="523"/>
      <c r="FB489" s="524"/>
      <c r="FC489" s="524"/>
      <c r="FD489" s="518"/>
      <c r="FE489" s="518"/>
      <c r="FF489" s="518"/>
      <c r="FG489" s="518"/>
      <c r="FH489" s="518"/>
      <c r="FI489" s="518"/>
      <c r="FJ489" s="518"/>
      <c r="FK489" s="518"/>
      <c r="FL489" s="518"/>
      <c r="FM489" s="519"/>
    </row>
    <row r="490" spans="1:169" x14ac:dyDescent="0.25">
      <c r="A490" s="284"/>
      <c r="B490" s="317"/>
      <c r="C490" s="297"/>
      <c r="D490" s="298"/>
      <c r="E490" s="299"/>
      <c r="F490" s="340"/>
      <c r="G490" s="298"/>
      <c r="H490" s="299"/>
      <c r="I490" s="300"/>
      <c r="J490" s="370"/>
      <c r="K490" s="328"/>
      <c r="L490" s="300"/>
      <c r="M490" s="328"/>
      <c r="N490" s="331"/>
      <c r="O490" s="301"/>
      <c r="P490" s="301"/>
      <c r="Q490" s="328"/>
      <c r="R490" s="620"/>
      <c r="S490" s="512"/>
      <c r="T490" s="512"/>
      <c r="U490" s="513"/>
      <c r="V490" s="514"/>
      <c r="W490" s="512"/>
      <c r="X490" s="513"/>
      <c r="Y490" s="514"/>
      <c r="Z490" s="513"/>
      <c r="AA490" s="515"/>
      <c r="AB490" s="516"/>
      <c r="AC490" s="513"/>
      <c r="AD490" s="544"/>
      <c r="AE490" s="516"/>
      <c r="AF490" s="513"/>
      <c r="AG490" s="551"/>
      <c r="AH490" s="595"/>
      <c r="AI490" s="517"/>
      <c r="AJ490" s="518"/>
      <c r="AK490" s="518"/>
      <c r="AL490" s="518"/>
      <c r="AM490" s="519"/>
      <c r="AN490" s="517"/>
      <c r="AO490" s="520"/>
      <c r="AP490" s="525"/>
      <c r="AQ490" s="531"/>
      <c r="AR490" s="593"/>
      <c r="AS490" s="518"/>
      <c r="AT490" s="518"/>
      <c r="AU490" s="518"/>
      <c r="AV490" s="519"/>
      <c r="AW490" s="560"/>
      <c r="AX490" s="522"/>
      <c r="AY490" s="522"/>
      <c r="AZ490" s="522"/>
      <c r="BA490" s="522"/>
      <c r="BB490" s="522"/>
      <c r="BC490" s="518"/>
      <c r="BD490" s="518"/>
      <c r="BE490" s="518"/>
      <c r="BF490" s="518"/>
      <c r="BG490" s="518"/>
      <c r="BH490" s="519"/>
      <c r="BI490" s="527"/>
      <c r="BJ490" s="518"/>
      <c r="BK490" s="518"/>
      <c r="BL490" s="520"/>
      <c r="BM490" s="520"/>
      <c r="BN490" s="519"/>
      <c r="BO490" s="517"/>
      <c r="BP490" s="520"/>
      <c r="BQ490" s="520"/>
      <c r="BR490" s="519"/>
      <c r="BS490" s="548"/>
      <c r="BT490" s="537"/>
      <c r="BU490" s="521"/>
      <c r="BV490" s="521"/>
      <c r="BW490" s="521"/>
      <c r="BX490" s="521"/>
      <c r="BY490" s="521"/>
      <c r="BZ490" s="521"/>
      <c r="CA490" s="521"/>
      <c r="CB490" s="521"/>
      <c r="CC490" s="521"/>
      <c r="CD490" s="521"/>
      <c r="CE490" s="521"/>
      <c r="CF490" s="521"/>
      <c r="CG490" s="521"/>
      <c r="CH490" s="521"/>
      <c r="CI490" s="521"/>
      <c r="CJ490" s="521"/>
      <c r="CK490" s="521"/>
      <c r="CL490" s="518"/>
      <c r="CM490" s="523"/>
      <c r="CN490" s="523"/>
      <c r="CO490" s="524"/>
      <c r="CP490" s="524"/>
      <c r="CQ490" s="518"/>
      <c r="CR490" s="518"/>
      <c r="CS490" s="518"/>
      <c r="CT490" s="518"/>
      <c r="CU490" s="518"/>
      <c r="CV490" s="518"/>
      <c r="CW490" s="518"/>
      <c r="CX490" s="518"/>
      <c r="CY490" s="518"/>
      <c r="CZ490" s="519"/>
      <c r="DA490" s="527"/>
      <c r="DB490" s="520"/>
      <c r="DC490" s="525"/>
      <c r="DD490" s="531"/>
      <c r="DE490" s="593"/>
      <c r="DF490" s="518"/>
      <c r="DG490" s="518"/>
      <c r="DH490" s="518"/>
      <c r="DI490" s="519"/>
      <c r="DJ490" s="560"/>
      <c r="DK490" s="522"/>
      <c r="DL490" s="522"/>
      <c r="DM490" s="522"/>
      <c r="DN490" s="522"/>
      <c r="DO490" s="522"/>
      <c r="DP490" s="518"/>
      <c r="DQ490" s="518"/>
      <c r="DR490" s="518"/>
      <c r="DS490" s="518"/>
      <c r="DT490" s="518"/>
      <c r="DU490" s="519"/>
      <c r="DV490" s="527"/>
      <c r="DW490" s="518"/>
      <c r="DX490" s="518"/>
      <c r="DY490" s="520"/>
      <c r="DZ490" s="520"/>
      <c r="EA490" s="519"/>
      <c r="EB490" s="527"/>
      <c r="EC490" s="520"/>
      <c r="ED490" s="520"/>
      <c r="EE490" s="519"/>
      <c r="EF490" s="550"/>
      <c r="EG490" s="537"/>
      <c r="EH490" s="521"/>
      <c r="EI490" s="521"/>
      <c r="EJ490" s="521"/>
      <c r="EK490" s="521"/>
      <c r="EL490" s="521"/>
      <c r="EM490" s="521"/>
      <c r="EN490" s="521"/>
      <c r="EO490" s="521"/>
      <c r="EP490" s="521"/>
      <c r="EQ490" s="521"/>
      <c r="ER490" s="521"/>
      <c r="ES490" s="521"/>
      <c r="ET490" s="521"/>
      <c r="EU490" s="521"/>
      <c r="EV490" s="521"/>
      <c r="EW490" s="521"/>
      <c r="EX490" s="521"/>
      <c r="EY490" s="518"/>
      <c r="EZ490" s="523"/>
      <c r="FA490" s="523"/>
      <c r="FB490" s="524"/>
      <c r="FC490" s="524"/>
      <c r="FD490" s="518"/>
      <c r="FE490" s="518"/>
      <c r="FF490" s="518"/>
      <c r="FG490" s="518"/>
      <c r="FH490" s="518"/>
      <c r="FI490" s="518"/>
      <c r="FJ490" s="518"/>
      <c r="FK490" s="518"/>
      <c r="FL490" s="518"/>
      <c r="FM490" s="519"/>
    </row>
    <row r="491" spans="1:169" x14ac:dyDescent="0.25">
      <c r="A491" s="284"/>
      <c r="B491" s="317"/>
      <c r="C491" s="297"/>
      <c r="D491" s="298"/>
      <c r="E491" s="299"/>
      <c r="F491" s="340"/>
      <c r="G491" s="298"/>
      <c r="H491" s="299"/>
      <c r="I491" s="300"/>
      <c r="J491" s="370"/>
      <c r="K491" s="328"/>
      <c r="L491" s="300"/>
      <c r="M491" s="328"/>
      <c r="N491" s="331"/>
      <c r="O491" s="301"/>
      <c r="P491" s="301"/>
      <c r="Q491" s="328"/>
      <c r="R491" s="620"/>
      <c r="S491" s="512"/>
      <c r="T491" s="512"/>
      <c r="U491" s="513"/>
      <c r="V491" s="514"/>
      <c r="W491" s="512"/>
      <c r="X491" s="513"/>
      <c r="Y491" s="514"/>
      <c r="Z491" s="513"/>
      <c r="AA491" s="515"/>
      <c r="AB491" s="516"/>
      <c r="AC491" s="513"/>
      <c r="AD491" s="544"/>
      <c r="AE491" s="516"/>
      <c r="AF491" s="513"/>
      <c r="AG491" s="551"/>
      <c r="AH491" s="595"/>
      <c r="AI491" s="517"/>
      <c r="AJ491" s="518"/>
      <c r="AK491" s="518"/>
      <c r="AL491" s="518"/>
      <c r="AM491" s="519"/>
      <c r="AN491" s="517"/>
      <c r="AO491" s="520"/>
      <c r="AP491" s="525"/>
      <c r="AQ491" s="531"/>
      <c r="AR491" s="593"/>
      <c r="AS491" s="518"/>
      <c r="AT491" s="518"/>
      <c r="AU491" s="518"/>
      <c r="AV491" s="519"/>
      <c r="AW491" s="560"/>
      <c r="AX491" s="522"/>
      <c r="AY491" s="522"/>
      <c r="AZ491" s="522"/>
      <c r="BA491" s="522"/>
      <c r="BB491" s="522"/>
      <c r="BC491" s="518"/>
      <c r="BD491" s="518"/>
      <c r="BE491" s="518"/>
      <c r="BF491" s="518"/>
      <c r="BG491" s="518"/>
      <c r="BH491" s="519"/>
      <c r="BI491" s="527"/>
      <c r="BJ491" s="518"/>
      <c r="BK491" s="518"/>
      <c r="BL491" s="520"/>
      <c r="BM491" s="520"/>
      <c r="BN491" s="519"/>
      <c r="BO491" s="517"/>
      <c r="BP491" s="520"/>
      <c r="BQ491" s="520"/>
      <c r="BR491" s="519"/>
      <c r="BS491" s="548"/>
      <c r="BT491" s="537"/>
      <c r="BU491" s="521"/>
      <c r="BV491" s="521"/>
      <c r="BW491" s="521"/>
      <c r="BX491" s="521"/>
      <c r="BY491" s="521"/>
      <c r="BZ491" s="521"/>
      <c r="CA491" s="521"/>
      <c r="CB491" s="521"/>
      <c r="CC491" s="521"/>
      <c r="CD491" s="521"/>
      <c r="CE491" s="521"/>
      <c r="CF491" s="521"/>
      <c r="CG491" s="521"/>
      <c r="CH491" s="521"/>
      <c r="CI491" s="521"/>
      <c r="CJ491" s="521"/>
      <c r="CK491" s="521"/>
      <c r="CL491" s="518"/>
      <c r="CM491" s="523"/>
      <c r="CN491" s="523"/>
      <c r="CO491" s="524"/>
      <c r="CP491" s="524"/>
      <c r="CQ491" s="518"/>
      <c r="CR491" s="518"/>
      <c r="CS491" s="518"/>
      <c r="CT491" s="518"/>
      <c r="CU491" s="518"/>
      <c r="CV491" s="518"/>
      <c r="CW491" s="518"/>
      <c r="CX491" s="518"/>
      <c r="CY491" s="518"/>
      <c r="CZ491" s="519"/>
      <c r="DA491" s="527"/>
      <c r="DB491" s="520"/>
      <c r="DC491" s="525"/>
      <c r="DD491" s="531"/>
      <c r="DE491" s="593"/>
      <c r="DF491" s="518"/>
      <c r="DG491" s="518"/>
      <c r="DH491" s="518"/>
      <c r="DI491" s="519"/>
      <c r="DJ491" s="560"/>
      <c r="DK491" s="522"/>
      <c r="DL491" s="522"/>
      <c r="DM491" s="522"/>
      <c r="DN491" s="522"/>
      <c r="DO491" s="522"/>
      <c r="DP491" s="518"/>
      <c r="DQ491" s="518"/>
      <c r="DR491" s="518"/>
      <c r="DS491" s="518"/>
      <c r="DT491" s="518"/>
      <c r="DU491" s="519"/>
      <c r="DV491" s="527"/>
      <c r="DW491" s="518"/>
      <c r="DX491" s="518"/>
      <c r="DY491" s="520"/>
      <c r="DZ491" s="520"/>
      <c r="EA491" s="519"/>
      <c r="EB491" s="527"/>
      <c r="EC491" s="520"/>
      <c r="ED491" s="520"/>
      <c r="EE491" s="519"/>
      <c r="EF491" s="550"/>
      <c r="EG491" s="537"/>
      <c r="EH491" s="521"/>
      <c r="EI491" s="521"/>
      <c r="EJ491" s="521"/>
      <c r="EK491" s="521"/>
      <c r="EL491" s="521"/>
      <c r="EM491" s="521"/>
      <c r="EN491" s="521"/>
      <c r="EO491" s="521"/>
      <c r="EP491" s="521"/>
      <c r="EQ491" s="521"/>
      <c r="ER491" s="521"/>
      <c r="ES491" s="521"/>
      <c r="ET491" s="521"/>
      <c r="EU491" s="521"/>
      <c r="EV491" s="521"/>
      <c r="EW491" s="521"/>
      <c r="EX491" s="521"/>
      <c r="EY491" s="518"/>
      <c r="EZ491" s="523"/>
      <c r="FA491" s="523"/>
      <c r="FB491" s="524"/>
      <c r="FC491" s="524"/>
      <c r="FD491" s="518"/>
      <c r="FE491" s="518"/>
      <c r="FF491" s="518"/>
      <c r="FG491" s="518"/>
      <c r="FH491" s="518"/>
      <c r="FI491" s="518"/>
      <c r="FJ491" s="518"/>
      <c r="FK491" s="518"/>
      <c r="FL491" s="518"/>
      <c r="FM491" s="519"/>
    </row>
    <row r="492" spans="1:169" x14ac:dyDescent="0.25">
      <c r="A492" s="284"/>
      <c r="B492" s="317"/>
      <c r="C492" s="297"/>
      <c r="D492" s="298"/>
      <c r="E492" s="299"/>
      <c r="F492" s="340"/>
      <c r="G492" s="298"/>
      <c r="H492" s="299"/>
      <c r="I492" s="300"/>
      <c r="J492" s="370"/>
      <c r="K492" s="328"/>
      <c r="L492" s="300"/>
      <c r="M492" s="328"/>
      <c r="N492" s="331"/>
      <c r="O492" s="301"/>
      <c r="P492" s="301"/>
      <c r="Q492" s="328"/>
      <c r="R492" s="620"/>
      <c r="S492" s="512"/>
      <c r="T492" s="512"/>
      <c r="U492" s="513"/>
      <c r="V492" s="514"/>
      <c r="W492" s="512"/>
      <c r="X492" s="513"/>
      <c r="Y492" s="514"/>
      <c r="Z492" s="513"/>
      <c r="AA492" s="515"/>
      <c r="AB492" s="516"/>
      <c r="AC492" s="513"/>
      <c r="AD492" s="544"/>
      <c r="AE492" s="516"/>
      <c r="AF492" s="513"/>
      <c r="AG492" s="551"/>
      <c r="AH492" s="595"/>
      <c r="AI492" s="517"/>
      <c r="AJ492" s="518"/>
      <c r="AK492" s="518"/>
      <c r="AL492" s="518"/>
      <c r="AM492" s="519"/>
      <c r="AN492" s="517"/>
      <c r="AO492" s="520"/>
      <c r="AP492" s="525"/>
      <c r="AQ492" s="531"/>
      <c r="AR492" s="593"/>
      <c r="AS492" s="518"/>
      <c r="AT492" s="518"/>
      <c r="AU492" s="518"/>
      <c r="AV492" s="519"/>
      <c r="AW492" s="560"/>
      <c r="AX492" s="522"/>
      <c r="AY492" s="522"/>
      <c r="AZ492" s="522"/>
      <c r="BA492" s="522"/>
      <c r="BB492" s="522"/>
      <c r="BC492" s="518"/>
      <c r="BD492" s="518"/>
      <c r="BE492" s="518"/>
      <c r="BF492" s="518"/>
      <c r="BG492" s="518"/>
      <c r="BH492" s="519"/>
      <c r="BI492" s="527"/>
      <c r="BJ492" s="518"/>
      <c r="BK492" s="518"/>
      <c r="BL492" s="520"/>
      <c r="BM492" s="520"/>
      <c r="BN492" s="519"/>
      <c r="BO492" s="517"/>
      <c r="BP492" s="520"/>
      <c r="BQ492" s="520"/>
      <c r="BR492" s="519"/>
      <c r="BS492" s="548"/>
      <c r="BT492" s="537"/>
      <c r="BU492" s="521"/>
      <c r="BV492" s="521"/>
      <c r="BW492" s="521"/>
      <c r="BX492" s="521"/>
      <c r="BY492" s="521"/>
      <c r="BZ492" s="521"/>
      <c r="CA492" s="521"/>
      <c r="CB492" s="521"/>
      <c r="CC492" s="521"/>
      <c r="CD492" s="521"/>
      <c r="CE492" s="521"/>
      <c r="CF492" s="521"/>
      <c r="CG492" s="521"/>
      <c r="CH492" s="521"/>
      <c r="CI492" s="521"/>
      <c r="CJ492" s="521"/>
      <c r="CK492" s="521"/>
      <c r="CL492" s="518"/>
      <c r="CM492" s="523"/>
      <c r="CN492" s="523"/>
      <c r="CO492" s="524"/>
      <c r="CP492" s="524"/>
      <c r="CQ492" s="518"/>
      <c r="CR492" s="518"/>
      <c r="CS492" s="518"/>
      <c r="CT492" s="518"/>
      <c r="CU492" s="518"/>
      <c r="CV492" s="518"/>
      <c r="CW492" s="518"/>
      <c r="CX492" s="518"/>
      <c r="CY492" s="518"/>
      <c r="CZ492" s="519"/>
      <c r="DA492" s="527"/>
      <c r="DB492" s="520"/>
      <c r="DC492" s="525"/>
      <c r="DD492" s="531"/>
      <c r="DE492" s="593"/>
      <c r="DF492" s="518"/>
      <c r="DG492" s="518"/>
      <c r="DH492" s="518"/>
      <c r="DI492" s="519"/>
      <c r="DJ492" s="560"/>
      <c r="DK492" s="522"/>
      <c r="DL492" s="522"/>
      <c r="DM492" s="522"/>
      <c r="DN492" s="522"/>
      <c r="DO492" s="522"/>
      <c r="DP492" s="518"/>
      <c r="DQ492" s="518"/>
      <c r="DR492" s="518"/>
      <c r="DS492" s="518"/>
      <c r="DT492" s="518"/>
      <c r="DU492" s="519"/>
      <c r="DV492" s="527"/>
      <c r="DW492" s="518"/>
      <c r="DX492" s="518"/>
      <c r="DY492" s="520"/>
      <c r="DZ492" s="520"/>
      <c r="EA492" s="519"/>
      <c r="EB492" s="527"/>
      <c r="EC492" s="520"/>
      <c r="ED492" s="520"/>
      <c r="EE492" s="519"/>
      <c r="EF492" s="550"/>
      <c r="EG492" s="537"/>
      <c r="EH492" s="521"/>
      <c r="EI492" s="521"/>
      <c r="EJ492" s="521"/>
      <c r="EK492" s="521"/>
      <c r="EL492" s="521"/>
      <c r="EM492" s="521"/>
      <c r="EN492" s="521"/>
      <c r="EO492" s="521"/>
      <c r="EP492" s="521"/>
      <c r="EQ492" s="521"/>
      <c r="ER492" s="521"/>
      <c r="ES492" s="521"/>
      <c r="ET492" s="521"/>
      <c r="EU492" s="521"/>
      <c r="EV492" s="521"/>
      <c r="EW492" s="521"/>
      <c r="EX492" s="521"/>
      <c r="EY492" s="518"/>
      <c r="EZ492" s="523"/>
      <c r="FA492" s="523"/>
      <c r="FB492" s="524"/>
      <c r="FC492" s="524"/>
      <c r="FD492" s="518"/>
      <c r="FE492" s="518"/>
      <c r="FF492" s="518"/>
      <c r="FG492" s="518"/>
      <c r="FH492" s="518"/>
      <c r="FI492" s="518"/>
      <c r="FJ492" s="518"/>
      <c r="FK492" s="518"/>
      <c r="FL492" s="518"/>
      <c r="FM492" s="519"/>
    </row>
    <row r="493" spans="1:169" x14ac:dyDescent="0.25">
      <c r="A493" s="284"/>
      <c r="B493" s="317"/>
      <c r="C493" s="297"/>
      <c r="D493" s="298"/>
      <c r="E493" s="299"/>
      <c r="F493" s="340"/>
      <c r="G493" s="298"/>
      <c r="H493" s="299"/>
      <c r="I493" s="300"/>
      <c r="J493" s="370"/>
      <c r="K493" s="328"/>
      <c r="L493" s="300"/>
      <c r="M493" s="328"/>
      <c r="N493" s="331"/>
      <c r="O493" s="301"/>
      <c r="P493" s="301"/>
      <c r="Q493" s="328"/>
      <c r="R493" s="620"/>
      <c r="S493" s="512"/>
      <c r="T493" s="512"/>
      <c r="U493" s="513"/>
      <c r="V493" s="514"/>
      <c r="W493" s="512"/>
      <c r="X493" s="513"/>
      <c r="Y493" s="514"/>
      <c r="Z493" s="513"/>
      <c r="AA493" s="515"/>
      <c r="AB493" s="516"/>
      <c r="AC493" s="513"/>
      <c r="AD493" s="544"/>
      <c r="AE493" s="516"/>
      <c r="AF493" s="513"/>
      <c r="AG493" s="551"/>
      <c r="AH493" s="595"/>
      <c r="AI493" s="517"/>
      <c r="AJ493" s="518"/>
      <c r="AK493" s="518"/>
      <c r="AL493" s="518"/>
      <c r="AM493" s="519"/>
      <c r="AN493" s="517"/>
      <c r="AO493" s="520"/>
      <c r="AP493" s="525"/>
      <c r="AQ493" s="531"/>
      <c r="AR493" s="593"/>
      <c r="AS493" s="518"/>
      <c r="AT493" s="518"/>
      <c r="AU493" s="518"/>
      <c r="AV493" s="519"/>
      <c r="AW493" s="560"/>
      <c r="AX493" s="522"/>
      <c r="AY493" s="522"/>
      <c r="AZ493" s="522"/>
      <c r="BA493" s="522"/>
      <c r="BB493" s="522"/>
      <c r="BC493" s="518"/>
      <c r="BD493" s="518"/>
      <c r="BE493" s="518"/>
      <c r="BF493" s="518"/>
      <c r="BG493" s="518"/>
      <c r="BH493" s="519"/>
      <c r="BI493" s="527"/>
      <c r="BJ493" s="518"/>
      <c r="BK493" s="518"/>
      <c r="BL493" s="520"/>
      <c r="BM493" s="520"/>
      <c r="BN493" s="519"/>
      <c r="BO493" s="517"/>
      <c r="BP493" s="520"/>
      <c r="BQ493" s="520"/>
      <c r="BR493" s="519"/>
      <c r="BS493" s="548"/>
      <c r="BT493" s="537"/>
      <c r="BU493" s="521"/>
      <c r="BV493" s="521"/>
      <c r="BW493" s="521"/>
      <c r="BX493" s="521"/>
      <c r="BY493" s="521"/>
      <c r="BZ493" s="521"/>
      <c r="CA493" s="521"/>
      <c r="CB493" s="521"/>
      <c r="CC493" s="521"/>
      <c r="CD493" s="521"/>
      <c r="CE493" s="521"/>
      <c r="CF493" s="521"/>
      <c r="CG493" s="521"/>
      <c r="CH493" s="521"/>
      <c r="CI493" s="521"/>
      <c r="CJ493" s="521"/>
      <c r="CK493" s="521"/>
      <c r="CL493" s="518"/>
      <c r="CM493" s="523"/>
      <c r="CN493" s="523"/>
      <c r="CO493" s="524"/>
      <c r="CP493" s="524"/>
      <c r="CQ493" s="518"/>
      <c r="CR493" s="518"/>
      <c r="CS493" s="518"/>
      <c r="CT493" s="518"/>
      <c r="CU493" s="518"/>
      <c r="CV493" s="518"/>
      <c r="CW493" s="518"/>
      <c r="CX493" s="518"/>
      <c r="CY493" s="518"/>
      <c r="CZ493" s="519"/>
      <c r="DA493" s="527"/>
      <c r="DB493" s="520"/>
      <c r="DC493" s="525"/>
      <c r="DD493" s="531"/>
      <c r="DE493" s="593"/>
      <c r="DF493" s="518"/>
      <c r="DG493" s="518"/>
      <c r="DH493" s="518"/>
      <c r="DI493" s="519"/>
      <c r="DJ493" s="560"/>
      <c r="DK493" s="522"/>
      <c r="DL493" s="522"/>
      <c r="DM493" s="522"/>
      <c r="DN493" s="522"/>
      <c r="DO493" s="522"/>
      <c r="DP493" s="518"/>
      <c r="DQ493" s="518"/>
      <c r="DR493" s="518"/>
      <c r="DS493" s="518"/>
      <c r="DT493" s="518"/>
      <c r="DU493" s="519"/>
      <c r="DV493" s="527"/>
      <c r="DW493" s="518"/>
      <c r="DX493" s="518"/>
      <c r="DY493" s="520"/>
      <c r="DZ493" s="520"/>
      <c r="EA493" s="519"/>
      <c r="EB493" s="527"/>
      <c r="EC493" s="520"/>
      <c r="ED493" s="520"/>
      <c r="EE493" s="519"/>
      <c r="EF493" s="550"/>
      <c r="EG493" s="537"/>
      <c r="EH493" s="521"/>
      <c r="EI493" s="521"/>
      <c r="EJ493" s="521"/>
      <c r="EK493" s="521"/>
      <c r="EL493" s="521"/>
      <c r="EM493" s="521"/>
      <c r="EN493" s="521"/>
      <c r="EO493" s="521"/>
      <c r="EP493" s="521"/>
      <c r="EQ493" s="521"/>
      <c r="ER493" s="521"/>
      <c r="ES493" s="521"/>
      <c r="ET493" s="521"/>
      <c r="EU493" s="521"/>
      <c r="EV493" s="521"/>
      <c r="EW493" s="521"/>
      <c r="EX493" s="521"/>
      <c r="EY493" s="518"/>
      <c r="EZ493" s="523"/>
      <c r="FA493" s="523"/>
      <c r="FB493" s="524"/>
      <c r="FC493" s="524"/>
      <c r="FD493" s="518"/>
      <c r="FE493" s="518"/>
      <c r="FF493" s="518"/>
      <c r="FG493" s="518"/>
      <c r="FH493" s="518"/>
      <c r="FI493" s="518"/>
      <c r="FJ493" s="518"/>
      <c r="FK493" s="518"/>
      <c r="FL493" s="518"/>
      <c r="FM493" s="519"/>
    </row>
    <row r="494" spans="1:169" x14ac:dyDescent="0.25">
      <c r="A494" s="284"/>
      <c r="B494" s="317"/>
      <c r="C494" s="297"/>
      <c r="D494" s="298"/>
      <c r="E494" s="299"/>
      <c r="F494" s="340"/>
      <c r="G494" s="298"/>
      <c r="H494" s="299"/>
      <c r="I494" s="300"/>
      <c r="J494" s="370"/>
      <c r="K494" s="328"/>
      <c r="L494" s="300"/>
      <c r="M494" s="328"/>
      <c r="N494" s="331"/>
      <c r="O494" s="301"/>
      <c r="P494" s="301"/>
      <c r="Q494" s="328"/>
      <c r="R494" s="620"/>
      <c r="S494" s="512"/>
      <c r="T494" s="512"/>
      <c r="U494" s="513"/>
      <c r="V494" s="514"/>
      <c r="W494" s="512"/>
      <c r="X494" s="513"/>
      <c r="Y494" s="514"/>
      <c r="Z494" s="513"/>
      <c r="AA494" s="515"/>
      <c r="AB494" s="516"/>
      <c r="AC494" s="513"/>
      <c r="AD494" s="544"/>
      <c r="AE494" s="516"/>
      <c r="AF494" s="513"/>
      <c r="AG494" s="551"/>
      <c r="AH494" s="595"/>
      <c r="AI494" s="517"/>
      <c r="AJ494" s="518"/>
      <c r="AK494" s="518"/>
      <c r="AL494" s="518"/>
      <c r="AM494" s="519"/>
      <c r="AN494" s="517"/>
      <c r="AO494" s="520"/>
      <c r="AP494" s="525"/>
      <c r="AQ494" s="531"/>
      <c r="AR494" s="593"/>
      <c r="AS494" s="518"/>
      <c r="AT494" s="518"/>
      <c r="AU494" s="518"/>
      <c r="AV494" s="519"/>
      <c r="AW494" s="560"/>
      <c r="AX494" s="522"/>
      <c r="AY494" s="522"/>
      <c r="AZ494" s="522"/>
      <c r="BA494" s="522"/>
      <c r="BB494" s="522"/>
      <c r="BC494" s="518"/>
      <c r="BD494" s="518"/>
      <c r="BE494" s="518"/>
      <c r="BF494" s="518"/>
      <c r="BG494" s="518"/>
      <c r="BH494" s="519"/>
      <c r="BI494" s="527"/>
      <c r="BJ494" s="518"/>
      <c r="BK494" s="518"/>
      <c r="BL494" s="520"/>
      <c r="BM494" s="520"/>
      <c r="BN494" s="519"/>
      <c r="BO494" s="517"/>
      <c r="BP494" s="520"/>
      <c r="BQ494" s="520"/>
      <c r="BR494" s="519"/>
      <c r="BS494" s="548"/>
      <c r="BT494" s="537"/>
      <c r="BU494" s="521"/>
      <c r="BV494" s="521"/>
      <c r="BW494" s="521"/>
      <c r="BX494" s="521"/>
      <c r="BY494" s="521"/>
      <c r="BZ494" s="521"/>
      <c r="CA494" s="521"/>
      <c r="CB494" s="521"/>
      <c r="CC494" s="521"/>
      <c r="CD494" s="521"/>
      <c r="CE494" s="521"/>
      <c r="CF494" s="521"/>
      <c r="CG494" s="521"/>
      <c r="CH494" s="521"/>
      <c r="CI494" s="521"/>
      <c r="CJ494" s="521"/>
      <c r="CK494" s="521"/>
      <c r="CL494" s="518"/>
      <c r="CM494" s="523"/>
      <c r="CN494" s="523"/>
      <c r="CO494" s="524"/>
      <c r="CP494" s="524"/>
      <c r="CQ494" s="518"/>
      <c r="CR494" s="518"/>
      <c r="CS494" s="518"/>
      <c r="CT494" s="518"/>
      <c r="CU494" s="518"/>
      <c r="CV494" s="518"/>
      <c r="CW494" s="518"/>
      <c r="CX494" s="518"/>
      <c r="CY494" s="518"/>
      <c r="CZ494" s="519"/>
      <c r="DA494" s="527"/>
      <c r="DB494" s="520"/>
      <c r="DC494" s="525"/>
      <c r="DD494" s="531"/>
      <c r="DE494" s="593"/>
      <c r="DF494" s="518"/>
      <c r="DG494" s="518"/>
      <c r="DH494" s="518"/>
      <c r="DI494" s="519"/>
      <c r="DJ494" s="560"/>
      <c r="DK494" s="522"/>
      <c r="DL494" s="522"/>
      <c r="DM494" s="522"/>
      <c r="DN494" s="522"/>
      <c r="DO494" s="522"/>
      <c r="DP494" s="518"/>
      <c r="DQ494" s="518"/>
      <c r="DR494" s="518"/>
      <c r="DS494" s="518"/>
      <c r="DT494" s="518"/>
      <c r="DU494" s="519"/>
      <c r="DV494" s="527"/>
      <c r="DW494" s="518"/>
      <c r="DX494" s="518"/>
      <c r="DY494" s="520"/>
      <c r="DZ494" s="520"/>
      <c r="EA494" s="519"/>
      <c r="EB494" s="527"/>
      <c r="EC494" s="520"/>
      <c r="ED494" s="520"/>
      <c r="EE494" s="519"/>
      <c r="EF494" s="550"/>
      <c r="EG494" s="537"/>
      <c r="EH494" s="521"/>
      <c r="EI494" s="521"/>
      <c r="EJ494" s="521"/>
      <c r="EK494" s="521"/>
      <c r="EL494" s="521"/>
      <c r="EM494" s="521"/>
      <c r="EN494" s="521"/>
      <c r="EO494" s="521"/>
      <c r="EP494" s="521"/>
      <c r="EQ494" s="521"/>
      <c r="ER494" s="521"/>
      <c r="ES494" s="521"/>
      <c r="ET494" s="521"/>
      <c r="EU494" s="521"/>
      <c r="EV494" s="521"/>
      <c r="EW494" s="521"/>
      <c r="EX494" s="521"/>
      <c r="EY494" s="518"/>
      <c r="EZ494" s="523"/>
      <c r="FA494" s="523"/>
      <c r="FB494" s="524"/>
      <c r="FC494" s="524"/>
      <c r="FD494" s="518"/>
      <c r="FE494" s="518"/>
      <c r="FF494" s="518"/>
      <c r="FG494" s="518"/>
      <c r="FH494" s="518"/>
      <c r="FI494" s="518"/>
      <c r="FJ494" s="518"/>
      <c r="FK494" s="518"/>
      <c r="FL494" s="518"/>
      <c r="FM494" s="519"/>
    </row>
    <row r="495" spans="1:169" x14ac:dyDescent="0.25">
      <c r="A495" s="284"/>
      <c r="B495" s="317"/>
      <c r="C495" s="297"/>
      <c r="D495" s="298"/>
      <c r="E495" s="299"/>
      <c r="F495" s="340"/>
      <c r="G495" s="298"/>
      <c r="H495" s="299"/>
      <c r="I495" s="300"/>
      <c r="J495" s="370"/>
      <c r="K495" s="328"/>
      <c r="L495" s="300"/>
      <c r="M495" s="328"/>
      <c r="N495" s="331"/>
      <c r="O495" s="301"/>
      <c r="P495" s="301"/>
      <c r="Q495" s="328"/>
      <c r="R495" s="620"/>
      <c r="S495" s="512"/>
      <c r="T495" s="512"/>
      <c r="U495" s="513"/>
      <c r="V495" s="514"/>
      <c r="W495" s="512"/>
      <c r="X495" s="513"/>
      <c r="Y495" s="514"/>
      <c r="Z495" s="513"/>
      <c r="AA495" s="515"/>
      <c r="AB495" s="516"/>
      <c r="AC495" s="513"/>
      <c r="AD495" s="544"/>
      <c r="AE495" s="516"/>
      <c r="AF495" s="513"/>
      <c r="AG495" s="551"/>
      <c r="AH495" s="595"/>
      <c r="AI495" s="517"/>
      <c r="AJ495" s="518"/>
      <c r="AK495" s="518"/>
      <c r="AL495" s="518"/>
      <c r="AM495" s="519"/>
      <c r="AN495" s="517"/>
      <c r="AO495" s="520"/>
      <c r="AP495" s="525"/>
      <c r="AQ495" s="531"/>
      <c r="AR495" s="593"/>
      <c r="AS495" s="518"/>
      <c r="AT495" s="518"/>
      <c r="AU495" s="518"/>
      <c r="AV495" s="519"/>
      <c r="AW495" s="560"/>
      <c r="AX495" s="522"/>
      <c r="AY495" s="522"/>
      <c r="AZ495" s="522"/>
      <c r="BA495" s="522"/>
      <c r="BB495" s="522"/>
      <c r="BC495" s="518"/>
      <c r="BD495" s="518"/>
      <c r="BE495" s="518"/>
      <c r="BF495" s="518"/>
      <c r="BG495" s="518"/>
      <c r="BH495" s="519"/>
      <c r="BI495" s="527"/>
      <c r="BJ495" s="518"/>
      <c r="BK495" s="518"/>
      <c r="BL495" s="520"/>
      <c r="BM495" s="520"/>
      <c r="BN495" s="519"/>
      <c r="BO495" s="517"/>
      <c r="BP495" s="520"/>
      <c r="BQ495" s="520"/>
      <c r="BR495" s="519"/>
      <c r="BS495" s="548"/>
      <c r="BT495" s="537"/>
      <c r="BU495" s="521"/>
      <c r="BV495" s="521"/>
      <c r="BW495" s="521"/>
      <c r="BX495" s="521"/>
      <c r="BY495" s="521"/>
      <c r="BZ495" s="521"/>
      <c r="CA495" s="521"/>
      <c r="CB495" s="521"/>
      <c r="CC495" s="521"/>
      <c r="CD495" s="521"/>
      <c r="CE495" s="521"/>
      <c r="CF495" s="521"/>
      <c r="CG495" s="521"/>
      <c r="CH495" s="521"/>
      <c r="CI495" s="521"/>
      <c r="CJ495" s="521"/>
      <c r="CK495" s="521"/>
      <c r="CL495" s="518"/>
      <c r="CM495" s="523"/>
      <c r="CN495" s="523"/>
      <c r="CO495" s="524"/>
      <c r="CP495" s="524"/>
      <c r="CQ495" s="518"/>
      <c r="CR495" s="518"/>
      <c r="CS495" s="518"/>
      <c r="CT495" s="518"/>
      <c r="CU495" s="518"/>
      <c r="CV495" s="518"/>
      <c r="CW495" s="518"/>
      <c r="CX495" s="518"/>
      <c r="CY495" s="518"/>
      <c r="CZ495" s="519"/>
      <c r="DA495" s="527"/>
      <c r="DB495" s="520"/>
      <c r="DC495" s="525"/>
      <c r="DD495" s="531"/>
      <c r="DE495" s="593"/>
      <c r="DF495" s="518"/>
      <c r="DG495" s="518"/>
      <c r="DH495" s="518"/>
      <c r="DI495" s="519"/>
      <c r="DJ495" s="560"/>
      <c r="DK495" s="522"/>
      <c r="DL495" s="522"/>
      <c r="DM495" s="522"/>
      <c r="DN495" s="522"/>
      <c r="DO495" s="522"/>
      <c r="DP495" s="518"/>
      <c r="DQ495" s="518"/>
      <c r="DR495" s="518"/>
      <c r="DS495" s="518"/>
      <c r="DT495" s="518"/>
      <c r="DU495" s="519"/>
      <c r="DV495" s="527"/>
      <c r="DW495" s="518"/>
      <c r="DX495" s="518"/>
      <c r="DY495" s="520"/>
      <c r="DZ495" s="520"/>
      <c r="EA495" s="519"/>
      <c r="EB495" s="527"/>
      <c r="EC495" s="520"/>
      <c r="ED495" s="520"/>
      <c r="EE495" s="519"/>
      <c r="EF495" s="550"/>
      <c r="EG495" s="537"/>
      <c r="EH495" s="521"/>
      <c r="EI495" s="521"/>
      <c r="EJ495" s="521"/>
      <c r="EK495" s="521"/>
      <c r="EL495" s="521"/>
      <c r="EM495" s="521"/>
      <c r="EN495" s="521"/>
      <c r="EO495" s="521"/>
      <c r="EP495" s="521"/>
      <c r="EQ495" s="521"/>
      <c r="ER495" s="521"/>
      <c r="ES495" s="521"/>
      <c r="ET495" s="521"/>
      <c r="EU495" s="521"/>
      <c r="EV495" s="521"/>
      <c r="EW495" s="521"/>
      <c r="EX495" s="521"/>
      <c r="EY495" s="518"/>
      <c r="EZ495" s="523"/>
      <c r="FA495" s="523"/>
      <c r="FB495" s="524"/>
      <c r="FC495" s="524"/>
      <c r="FD495" s="518"/>
      <c r="FE495" s="518"/>
      <c r="FF495" s="518"/>
      <c r="FG495" s="518"/>
      <c r="FH495" s="518"/>
      <c r="FI495" s="518"/>
      <c r="FJ495" s="518"/>
      <c r="FK495" s="518"/>
      <c r="FL495" s="518"/>
      <c r="FM495" s="519"/>
    </row>
    <row r="496" spans="1:169" x14ac:dyDescent="0.25">
      <c r="A496" s="284"/>
      <c r="B496" s="317"/>
      <c r="C496" s="297"/>
      <c r="D496" s="298"/>
      <c r="E496" s="299"/>
      <c r="F496" s="340"/>
      <c r="G496" s="298"/>
      <c r="H496" s="299"/>
      <c r="I496" s="300"/>
      <c r="J496" s="370"/>
      <c r="K496" s="328"/>
      <c r="L496" s="300"/>
      <c r="M496" s="328"/>
      <c r="N496" s="331"/>
      <c r="O496" s="301"/>
      <c r="P496" s="301"/>
      <c r="Q496" s="328"/>
      <c r="R496" s="620"/>
      <c r="S496" s="512"/>
      <c r="T496" s="512"/>
      <c r="U496" s="513"/>
      <c r="V496" s="514"/>
      <c r="W496" s="512"/>
      <c r="X496" s="513"/>
      <c r="Y496" s="514"/>
      <c r="Z496" s="513"/>
      <c r="AA496" s="515"/>
      <c r="AB496" s="516"/>
      <c r="AC496" s="513"/>
      <c r="AD496" s="544"/>
      <c r="AE496" s="516"/>
      <c r="AF496" s="513"/>
      <c r="AG496" s="551"/>
      <c r="AH496" s="595"/>
      <c r="AI496" s="517"/>
      <c r="AJ496" s="518"/>
      <c r="AK496" s="518"/>
      <c r="AL496" s="518"/>
      <c r="AM496" s="519"/>
      <c r="AN496" s="517"/>
      <c r="AO496" s="520"/>
      <c r="AP496" s="525"/>
      <c r="AQ496" s="531"/>
      <c r="AR496" s="593"/>
      <c r="AS496" s="518"/>
      <c r="AT496" s="518"/>
      <c r="AU496" s="518"/>
      <c r="AV496" s="519"/>
      <c r="AW496" s="560"/>
      <c r="AX496" s="522"/>
      <c r="AY496" s="522"/>
      <c r="AZ496" s="522"/>
      <c r="BA496" s="522"/>
      <c r="BB496" s="522"/>
      <c r="BC496" s="518"/>
      <c r="BD496" s="518"/>
      <c r="BE496" s="518"/>
      <c r="BF496" s="518"/>
      <c r="BG496" s="518"/>
      <c r="BH496" s="519"/>
      <c r="BI496" s="527"/>
      <c r="BJ496" s="518"/>
      <c r="BK496" s="518"/>
      <c r="BL496" s="520"/>
      <c r="BM496" s="520"/>
      <c r="BN496" s="519"/>
      <c r="BO496" s="517"/>
      <c r="BP496" s="520"/>
      <c r="BQ496" s="520"/>
      <c r="BR496" s="519"/>
      <c r="BS496" s="548"/>
      <c r="BT496" s="537"/>
      <c r="BU496" s="521"/>
      <c r="BV496" s="521"/>
      <c r="BW496" s="521"/>
      <c r="BX496" s="521"/>
      <c r="BY496" s="521"/>
      <c r="BZ496" s="521"/>
      <c r="CA496" s="521"/>
      <c r="CB496" s="521"/>
      <c r="CC496" s="521"/>
      <c r="CD496" s="521"/>
      <c r="CE496" s="521"/>
      <c r="CF496" s="521"/>
      <c r="CG496" s="521"/>
      <c r="CH496" s="521"/>
      <c r="CI496" s="521"/>
      <c r="CJ496" s="521"/>
      <c r="CK496" s="521"/>
      <c r="CL496" s="518"/>
      <c r="CM496" s="523"/>
      <c r="CN496" s="523"/>
      <c r="CO496" s="524"/>
      <c r="CP496" s="524"/>
      <c r="CQ496" s="518"/>
      <c r="CR496" s="518"/>
      <c r="CS496" s="518"/>
      <c r="CT496" s="518"/>
      <c r="CU496" s="518"/>
      <c r="CV496" s="518"/>
      <c r="CW496" s="518"/>
      <c r="CX496" s="518"/>
      <c r="CY496" s="518"/>
      <c r="CZ496" s="519"/>
      <c r="DA496" s="527"/>
      <c r="DB496" s="520"/>
      <c r="DC496" s="525"/>
      <c r="DD496" s="531"/>
      <c r="DE496" s="593"/>
      <c r="DF496" s="518"/>
      <c r="DG496" s="518"/>
      <c r="DH496" s="518"/>
      <c r="DI496" s="519"/>
      <c r="DJ496" s="560"/>
      <c r="DK496" s="522"/>
      <c r="DL496" s="522"/>
      <c r="DM496" s="522"/>
      <c r="DN496" s="522"/>
      <c r="DO496" s="522"/>
      <c r="DP496" s="518"/>
      <c r="DQ496" s="518"/>
      <c r="DR496" s="518"/>
      <c r="DS496" s="518"/>
      <c r="DT496" s="518"/>
      <c r="DU496" s="519"/>
      <c r="DV496" s="527"/>
      <c r="DW496" s="518"/>
      <c r="DX496" s="518"/>
      <c r="DY496" s="520"/>
      <c r="DZ496" s="520"/>
      <c r="EA496" s="519"/>
      <c r="EB496" s="527"/>
      <c r="EC496" s="520"/>
      <c r="ED496" s="520"/>
      <c r="EE496" s="519"/>
      <c r="EF496" s="550"/>
      <c r="EG496" s="537"/>
      <c r="EH496" s="521"/>
      <c r="EI496" s="521"/>
      <c r="EJ496" s="521"/>
      <c r="EK496" s="521"/>
      <c r="EL496" s="521"/>
      <c r="EM496" s="521"/>
      <c r="EN496" s="521"/>
      <c r="EO496" s="521"/>
      <c r="EP496" s="521"/>
      <c r="EQ496" s="521"/>
      <c r="ER496" s="521"/>
      <c r="ES496" s="521"/>
      <c r="ET496" s="521"/>
      <c r="EU496" s="521"/>
      <c r="EV496" s="521"/>
      <c r="EW496" s="521"/>
      <c r="EX496" s="521"/>
      <c r="EY496" s="518"/>
      <c r="EZ496" s="523"/>
      <c r="FA496" s="523"/>
      <c r="FB496" s="524"/>
      <c r="FC496" s="524"/>
      <c r="FD496" s="518"/>
      <c r="FE496" s="518"/>
      <c r="FF496" s="518"/>
      <c r="FG496" s="518"/>
      <c r="FH496" s="518"/>
      <c r="FI496" s="518"/>
      <c r="FJ496" s="518"/>
      <c r="FK496" s="518"/>
      <c r="FL496" s="518"/>
      <c r="FM496" s="519"/>
    </row>
    <row r="497" spans="1:169" x14ac:dyDescent="0.25">
      <c r="A497" s="284"/>
      <c r="B497" s="317"/>
      <c r="C497" s="297"/>
      <c r="D497" s="298"/>
      <c r="E497" s="299"/>
      <c r="F497" s="340"/>
      <c r="G497" s="298"/>
      <c r="H497" s="299"/>
      <c r="I497" s="300"/>
      <c r="J497" s="370"/>
      <c r="K497" s="328"/>
      <c r="L497" s="300"/>
      <c r="M497" s="328"/>
      <c r="N497" s="331"/>
      <c r="O497" s="301"/>
      <c r="P497" s="301"/>
      <c r="Q497" s="328"/>
      <c r="R497" s="620"/>
      <c r="S497" s="512"/>
      <c r="T497" s="512"/>
      <c r="U497" s="513"/>
      <c r="V497" s="514"/>
      <c r="W497" s="512"/>
      <c r="X497" s="513"/>
      <c r="Y497" s="514"/>
      <c r="Z497" s="513"/>
      <c r="AA497" s="515"/>
      <c r="AB497" s="516"/>
      <c r="AC497" s="513"/>
      <c r="AD497" s="544"/>
      <c r="AE497" s="516"/>
      <c r="AF497" s="513"/>
      <c r="AG497" s="551"/>
      <c r="AH497" s="595"/>
      <c r="AI497" s="517"/>
      <c r="AJ497" s="518"/>
      <c r="AK497" s="518"/>
      <c r="AL497" s="518"/>
      <c r="AM497" s="519"/>
      <c r="AN497" s="517"/>
      <c r="AO497" s="520"/>
      <c r="AP497" s="525"/>
      <c r="AQ497" s="531"/>
      <c r="AR497" s="593"/>
      <c r="AS497" s="518"/>
      <c r="AT497" s="518"/>
      <c r="AU497" s="518"/>
      <c r="AV497" s="519"/>
      <c r="AW497" s="560"/>
      <c r="AX497" s="522"/>
      <c r="AY497" s="522"/>
      <c r="AZ497" s="522"/>
      <c r="BA497" s="522"/>
      <c r="BB497" s="522"/>
      <c r="BC497" s="518"/>
      <c r="BD497" s="518"/>
      <c r="BE497" s="518"/>
      <c r="BF497" s="518"/>
      <c r="BG497" s="518"/>
      <c r="BH497" s="519"/>
      <c r="BI497" s="527"/>
      <c r="BJ497" s="518"/>
      <c r="BK497" s="518"/>
      <c r="BL497" s="520"/>
      <c r="BM497" s="520"/>
      <c r="BN497" s="519"/>
      <c r="BO497" s="517"/>
      <c r="BP497" s="520"/>
      <c r="BQ497" s="520"/>
      <c r="BR497" s="519"/>
      <c r="BS497" s="548"/>
      <c r="BT497" s="537"/>
      <c r="BU497" s="521"/>
      <c r="BV497" s="521"/>
      <c r="BW497" s="521"/>
      <c r="BX497" s="521"/>
      <c r="BY497" s="521"/>
      <c r="BZ497" s="521"/>
      <c r="CA497" s="521"/>
      <c r="CB497" s="521"/>
      <c r="CC497" s="521"/>
      <c r="CD497" s="521"/>
      <c r="CE497" s="521"/>
      <c r="CF497" s="521"/>
      <c r="CG497" s="521"/>
      <c r="CH497" s="521"/>
      <c r="CI497" s="521"/>
      <c r="CJ497" s="521"/>
      <c r="CK497" s="521"/>
      <c r="CL497" s="518"/>
      <c r="CM497" s="523"/>
      <c r="CN497" s="523"/>
      <c r="CO497" s="524"/>
      <c r="CP497" s="524"/>
      <c r="CQ497" s="518"/>
      <c r="CR497" s="518"/>
      <c r="CS497" s="518"/>
      <c r="CT497" s="518"/>
      <c r="CU497" s="518"/>
      <c r="CV497" s="518"/>
      <c r="CW497" s="518"/>
      <c r="CX497" s="518"/>
      <c r="CY497" s="518"/>
      <c r="CZ497" s="519"/>
      <c r="DA497" s="527"/>
      <c r="DB497" s="520"/>
      <c r="DC497" s="525"/>
      <c r="DD497" s="531"/>
      <c r="DE497" s="593"/>
      <c r="DF497" s="518"/>
      <c r="DG497" s="518"/>
      <c r="DH497" s="518"/>
      <c r="DI497" s="519"/>
      <c r="DJ497" s="560"/>
      <c r="DK497" s="522"/>
      <c r="DL497" s="522"/>
      <c r="DM497" s="522"/>
      <c r="DN497" s="522"/>
      <c r="DO497" s="522"/>
      <c r="DP497" s="518"/>
      <c r="DQ497" s="518"/>
      <c r="DR497" s="518"/>
      <c r="DS497" s="518"/>
      <c r="DT497" s="518"/>
      <c r="DU497" s="519"/>
      <c r="DV497" s="527"/>
      <c r="DW497" s="518"/>
      <c r="DX497" s="518"/>
      <c r="DY497" s="520"/>
      <c r="DZ497" s="520"/>
      <c r="EA497" s="519"/>
      <c r="EB497" s="527"/>
      <c r="EC497" s="520"/>
      <c r="ED497" s="520"/>
      <c r="EE497" s="519"/>
      <c r="EF497" s="550"/>
      <c r="EG497" s="537"/>
      <c r="EH497" s="521"/>
      <c r="EI497" s="521"/>
      <c r="EJ497" s="521"/>
      <c r="EK497" s="521"/>
      <c r="EL497" s="521"/>
      <c r="EM497" s="521"/>
      <c r="EN497" s="521"/>
      <c r="EO497" s="521"/>
      <c r="EP497" s="521"/>
      <c r="EQ497" s="521"/>
      <c r="ER497" s="521"/>
      <c r="ES497" s="521"/>
      <c r="ET497" s="521"/>
      <c r="EU497" s="521"/>
      <c r="EV497" s="521"/>
      <c r="EW497" s="521"/>
      <c r="EX497" s="521"/>
      <c r="EY497" s="518"/>
      <c r="EZ497" s="523"/>
      <c r="FA497" s="523"/>
      <c r="FB497" s="524"/>
      <c r="FC497" s="524"/>
      <c r="FD497" s="518"/>
      <c r="FE497" s="518"/>
      <c r="FF497" s="518"/>
      <c r="FG497" s="518"/>
      <c r="FH497" s="518"/>
      <c r="FI497" s="518"/>
      <c r="FJ497" s="518"/>
      <c r="FK497" s="518"/>
      <c r="FL497" s="518"/>
      <c r="FM497" s="519"/>
    </row>
    <row r="498" spans="1:169" x14ac:dyDescent="0.25">
      <c r="A498" s="284"/>
      <c r="B498" s="317"/>
      <c r="C498" s="297"/>
      <c r="D498" s="298"/>
      <c r="E498" s="299"/>
      <c r="F498" s="340"/>
      <c r="G498" s="298"/>
      <c r="H498" s="299"/>
      <c r="I498" s="300"/>
      <c r="J498" s="370"/>
      <c r="K498" s="328"/>
      <c r="L498" s="300"/>
      <c r="M498" s="328"/>
      <c r="N498" s="331"/>
      <c r="O498" s="301"/>
      <c r="P498" s="301"/>
      <c r="Q498" s="328"/>
      <c r="R498" s="620"/>
      <c r="S498" s="512"/>
      <c r="T498" s="512"/>
      <c r="U498" s="513"/>
      <c r="V498" s="514"/>
      <c r="W498" s="512"/>
      <c r="X498" s="513"/>
      <c r="Y498" s="514"/>
      <c r="Z498" s="513"/>
      <c r="AA498" s="515"/>
      <c r="AB498" s="516"/>
      <c r="AC498" s="513"/>
      <c r="AD498" s="544"/>
      <c r="AE498" s="516"/>
      <c r="AF498" s="513"/>
      <c r="AG498" s="551"/>
      <c r="AH498" s="595"/>
      <c r="AI498" s="517"/>
      <c r="AJ498" s="518"/>
      <c r="AK498" s="518"/>
      <c r="AL498" s="518"/>
      <c r="AM498" s="519"/>
      <c r="AN498" s="517"/>
      <c r="AO498" s="520"/>
      <c r="AP498" s="525"/>
      <c r="AQ498" s="531"/>
      <c r="AR498" s="593"/>
      <c r="AS498" s="518"/>
      <c r="AT498" s="518"/>
      <c r="AU498" s="518"/>
      <c r="AV498" s="519"/>
      <c r="AW498" s="560"/>
      <c r="AX498" s="522"/>
      <c r="AY498" s="522"/>
      <c r="AZ498" s="522"/>
      <c r="BA498" s="522"/>
      <c r="BB498" s="522"/>
      <c r="BC498" s="518"/>
      <c r="BD498" s="518"/>
      <c r="BE498" s="518"/>
      <c r="BF498" s="518"/>
      <c r="BG498" s="518"/>
      <c r="BH498" s="519"/>
      <c r="BI498" s="527"/>
      <c r="BJ498" s="518"/>
      <c r="BK498" s="518"/>
      <c r="BL498" s="520"/>
      <c r="BM498" s="520"/>
      <c r="BN498" s="519"/>
      <c r="BO498" s="517"/>
      <c r="BP498" s="520"/>
      <c r="BQ498" s="520"/>
      <c r="BR498" s="519"/>
      <c r="BS498" s="548"/>
      <c r="BT498" s="537"/>
      <c r="BU498" s="521"/>
      <c r="BV498" s="521"/>
      <c r="BW498" s="521"/>
      <c r="BX498" s="521"/>
      <c r="BY498" s="521"/>
      <c r="BZ498" s="521"/>
      <c r="CA498" s="521"/>
      <c r="CB498" s="521"/>
      <c r="CC498" s="521"/>
      <c r="CD498" s="521"/>
      <c r="CE498" s="521"/>
      <c r="CF498" s="521"/>
      <c r="CG498" s="521"/>
      <c r="CH498" s="521"/>
      <c r="CI498" s="521"/>
      <c r="CJ498" s="521"/>
      <c r="CK498" s="521"/>
      <c r="CL498" s="518"/>
      <c r="CM498" s="523"/>
      <c r="CN498" s="523"/>
      <c r="CO498" s="524"/>
      <c r="CP498" s="524"/>
      <c r="CQ498" s="518"/>
      <c r="CR498" s="518"/>
      <c r="CS498" s="518"/>
      <c r="CT498" s="518"/>
      <c r="CU498" s="518"/>
      <c r="CV498" s="518"/>
      <c r="CW498" s="518"/>
      <c r="CX498" s="518"/>
      <c r="CY498" s="518"/>
      <c r="CZ498" s="519"/>
      <c r="DA498" s="527"/>
      <c r="DB498" s="520"/>
      <c r="DC498" s="525"/>
      <c r="DD498" s="531"/>
      <c r="DE498" s="593"/>
      <c r="DF498" s="518"/>
      <c r="DG498" s="518"/>
      <c r="DH498" s="518"/>
      <c r="DI498" s="519"/>
      <c r="DJ498" s="560"/>
      <c r="DK498" s="522"/>
      <c r="DL498" s="522"/>
      <c r="DM498" s="522"/>
      <c r="DN498" s="522"/>
      <c r="DO498" s="522"/>
      <c r="DP498" s="518"/>
      <c r="DQ498" s="518"/>
      <c r="DR498" s="518"/>
      <c r="DS498" s="518"/>
      <c r="DT498" s="518"/>
      <c r="DU498" s="519"/>
      <c r="DV498" s="527"/>
      <c r="DW498" s="518"/>
      <c r="DX498" s="518"/>
      <c r="DY498" s="520"/>
      <c r="DZ498" s="520"/>
      <c r="EA498" s="519"/>
      <c r="EB498" s="527"/>
      <c r="EC498" s="520"/>
      <c r="ED498" s="520"/>
      <c r="EE498" s="519"/>
      <c r="EF498" s="550"/>
      <c r="EG498" s="537"/>
      <c r="EH498" s="521"/>
      <c r="EI498" s="521"/>
      <c r="EJ498" s="521"/>
      <c r="EK498" s="521"/>
      <c r="EL498" s="521"/>
      <c r="EM498" s="521"/>
      <c r="EN498" s="521"/>
      <c r="EO498" s="521"/>
      <c r="EP498" s="521"/>
      <c r="EQ498" s="521"/>
      <c r="ER498" s="521"/>
      <c r="ES498" s="521"/>
      <c r="ET498" s="521"/>
      <c r="EU498" s="521"/>
      <c r="EV498" s="521"/>
      <c r="EW498" s="521"/>
      <c r="EX498" s="521"/>
      <c r="EY498" s="518"/>
      <c r="EZ498" s="523"/>
      <c r="FA498" s="523"/>
      <c r="FB498" s="524"/>
      <c r="FC498" s="524"/>
      <c r="FD498" s="518"/>
      <c r="FE498" s="518"/>
      <c r="FF498" s="518"/>
      <c r="FG498" s="518"/>
      <c r="FH498" s="518"/>
      <c r="FI498" s="518"/>
      <c r="FJ498" s="518"/>
      <c r="FK498" s="518"/>
      <c r="FL498" s="518"/>
      <c r="FM498" s="519"/>
    </row>
    <row r="499" spans="1:169" x14ac:dyDescent="0.25">
      <c r="A499" s="284"/>
      <c r="B499" s="317"/>
      <c r="C499" s="297"/>
      <c r="D499" s="298"/>
      <c r="E499" s="299"/>
      <c r="F499" s="340"/>
      <c r="G499" s="298"/>
      <c r="H499" s="299"/>
      <c r="I499" s="300"/>
      <c r="J499" s="370"/>
      <c r="K499" s="328"/>
      <c r="L499" s="300"/>
      <c r="M499" s="328"/>
      <c r="N499" s="331"/>
      <c r="O499" s="301"/>
      <c r="P499" s="301"/>
      <c r="Q499" s="328"/>
      <c r="R499" s="620"/>
      <c r="S499" s="512"/>
      <c r="T499" s="512"/>
      <c r="U499" s="513"/>
      <c r="V499" s="514"/>
      <c r="W499" s="512"/>
      <c r="X499" s="513"/>
      <c r="Y499" s="514"/>
      <c r="Z499" s="513"/>
      <c r="AA499" s="515"/>
      <c r="AB499" s="516"/>
      <c r="AC499" s="513"/>
      <c r="AD499" s="544"/>
      <c r="AE499" s="516"/>
      <c r="AF499" s="513"/>
      <c r="AG499" s="551"/>
      <c r="AH499" s="595"/>
      <c r="AI499" s="517"/>
      <c r="AJ499" s="518"/>
      <c r="AK499" s="518"/>
      <c r="AL499" s="518"/>
      <c r="AM499" s="519"/>
      <c r="AN499" s="517"/>
      <c r="AO499" s="520"/>
      <c r="AP499" s="525"/>
      <c r="AQ499" s="531"/>
      <c r="AR499" s="593"/>
      <c r="AS499" s="518"/>
      <c r="AT499" s="518"/>
      <c r="AU499" s="518"/>
      <c r="AV499" s="519"/>
      <c r="AW499" s="560"/>
      <c r="AX499" s="522"/>
      <c r="AY499" s="522"/>
      <c r="AZ499" s="522"/>
      <c r="BA499" s="522"/>
      <c r="BB499" s="522"/>
      <c r="BC499" s="518"/>
      <c r="BD499" s="518"/>
      <c r="BE499" s="518"/>
      <c r="BF499" s="518"/>
      <c r="BG499" s="518"/>
      <c r="BH499" s="519"/>
      <c r="BI499" s="527"/>
      <c r="BJ499" s="518"/>
      <c r="BK499" s="518"/>
      <c r="BL499" s="520"/>
      <c r="BM499" s="520"/>
      <c r="BN499" s="519"/>
      <c r="BO499" s="517"/>
      <c r="BP499" s="520"/>
      <c r="BQ499" s="520"/>
      <c r="BR499" s="519"/>
      <c r="BS499" s="548"/>
      <c r="BT499" s="537"/>
      <c r="BU499" s="521"/>
      <c r="BV499" s="521"/>
      <c r="BW499" s="521"/>
      <c r="BX499" s="521"/>
      <c r="BY499" s="521"/>
      <c r="BZ499" s="521"/>
      <c r="CA499" s="521"/>
      <c r="CB499" s="521"/>
      <c r="CC499" s="521"/>
      <c r="CD499" s="521"/>
      <c r="CE499" s="521"/>
      <c r="CF499" s="521"/>
      <c r="CG499" s="521"/>
      <c r="CH499" s="521"/>
      <c r="CI499" s="521"/>
      <c r="CJ499" s="521"/>
      <c r="CK499" s="521"/>
      <c r="CL499" s="518"/>
      <c r="CM499" s="523"/>
      <c r="CN499" s="523"/>
      <c r="CO499" s="524"/>
      <c r="CP499" s="524"/>
      <c r="CQ499" s="518"/>
      <c r="CR499" s="518"/>
      <c r="CS499" s="518"/>
      <c r="CT499" s="518"/>
      <c r="CU499" s="518"/>
      <c r="CV499" s="518"/>
      <c r="CW499" s="518"/>
      <c r="CX499" s="518"/>
      <c r="CY499" s="518"/>
      <c r="CZ499" s="519"/>
      <c r="DA499" s="527"/>
      <c r="DB499" s="520"/>
      <c r="DC499" s="525"/>
      <c r="DD499" s="531"/>
      <c r="DE499" s="593"/>
      <c r="DF499" s="518"/>
      <c r="DG499" s="518"/>
      <c r="DH499" s="518"/>
      <c r="DI499" s="519"/>
      <c r="DJ499" s="560"/>
      <c r="DK499" s="522"/>
      <c r="DL499" s="522"/>
      <c r="DM499" s="522"/>
      <c r="DN499" s="522"/>
      <c r="DO499" s="522"/>
      <c r="DP499" s="518"/>
      <c r="DQ499" s="518"/>
      <c r="DR499" s="518"/>
      <c r="DS499" s="518"/>
      <c r="DT499" s="518"/>
      <c r="DU499" s="519"/>
      <c r="DV499" s="527"/>
      <c r="DW499" s="518"/>
      <c r="DX499" s="518"/>
      <c r="DY499" s="520"/>
      <c r="DZ499" s="520"/>
      <c r="EA499" s="519"/>
      <c r="EB499" s="527"/>
      <c r="EC499" s="520"/>
      <c r="ED499" s="520"/>
      <c r="EE499" s="519"/>
      <c r="EF499" s="550"/>
      <c r="EG499" s="537"/>
      <c r="EH499" s="521"/>
      <c r="EI499" s="521"/>
      <c r="EJ499" s="521"/>
      <c r="EK499" s="521"/>
      <c r="EL499" s="521"/>
      <c r="EM499" s="521"/>
      <c r="EN499" s="521"/>
      <c r="EO499" s="521"/>
      <c r="EP499" s="521"/>
      <c r="EQ499" s="521"/>
      <c r="ER499" s="521"/>
      <c r="ES499" s="521"/>
      <c r="ET499" s="521"/>
      <c r="EU499" s="521"/>
      <c r="EV499" s="521"/>
      <c r="EW499" s="521"/>
      <c r="EX499" s="521"/>
      <c r="EY499" s="518"/>
      <c r="EZ499" s="523"/>
      <c r="FA499" s="523"/>
      <c r="FB499" s="524"/>
      <c r="FC499" s="524"/>
      <c r="FD499" s="518"/>
      <c r="FE499" s="518"/>
      <c r="FF499" s="518"/>
      <c r="FG499" s="518"/>
      <c r="FH499" s="518"/>
      <c r="FI499" s="518"/>
      <c r="FJ499" s="518"/>
      <c r="FK499" s="518"/>
      <c r="FL499" s="518"/>
      <c r="FM499" s="519"/>
    </row>
    <row r="500" spans="1:169" x14ac:dyDescent="0.25">
      <c r="A500" s="284"/>
      <c r="B500" s="317"/>
      <c r="C500" s="297"/>
      <c r="D500" s="298"/>
      <c r="E500" s="299"/>
      <c r="F500" s="340"/>
      <c r="G500" s="298"/>
      <c r="H500" s="299"/>
      <c r="I500" s="300"/>
      <c r="J500" s="370"/>
      <c r="K500" s="328"/>
      <c r="L500" s="300"/>
      <c r="M500" s="328"/>
      <c r="N500" s="331"/>
      <c r="O500" s="301"/>
      <c r="P500" s="301"/>
      <c r="Q500" s="328"/>
      <c r="R500" s="620"/>
      <c r="S500" s="512"/>
      <c r="T500" s="512"/>
      <c r="U500" s="513"/>
      <c r="V500" s="514"/>
      <c r="W500" s="512"/>
      <c r="X500" s="513"/>
      <c r="Y500" s="514"/>
      <c r="Z500" s="513"/>
      <c r="AA500" s="515"/>
      <c r="AB500" s="516"/>
      <c r="AC500" s="513"/>
      <c r="AD500" s="544"/>
      <c r="AE500" s="516"/>
      <c r="AF500" s="513"/>
      <c r="AG500" s="551"/>
      <c r="AH500" s="595"/>
      <c r="AI500" s="517"/>
      <c r="AJ500" s="518"/>
      <c r="AK500" s="518"/>
      <c r="AL500" s="518"/>
      <c r="AM500" s="519"/>
      <c r="AN500" s="517"/>
      <c r="AO500" s="520"/>
      <c r="AP500" s="525"/>
      <c r="AQ500" s="531"/>
      <c r="AR500" s="593"/>
      <c r="AS500" s="518"/>
      <c r="AT500" s="518"/>
      <c r="AU500" s="518"/>
      <c r="AV500" s="519"/>
      <c r="AW500" s="560"/>
      <c r="AX500" s="522"/>
      <c r="AY500" s="522"/>
      <c r="AZ500" s="522"/>
      <c r="BA500" s="522"/>
      <c r="BB500" s="522"/>
      <c r="BC500" s="518"/>
      <c r="BD500" s="518"/>
      <c r="BE500" s="518"/>
      <c r="BF500" s="518"/>
      <c r="BG500" s="518"/>
      <c r="BH500" s="519"/>
      <c r="BI500" s="527"/>
      <c r="BJ500" s="518"/>
      <c r="BK500" s="518"/>
      <c r="BL500" s="520"/>
      <c r="BM500" s="520"/>
      <c r="BN500" s="519"/>
      <c r="BO500" s="517"/>
      <c r="BP500" s="520"/>
      <c r="BQ500" s="520"/>
      <c r="BR500" s="519"/>
      <c r="BS500" s="548"/>
      <c r="BT500" s="537"/>
      <c r="BU500" s="521"/>
      <c r="BV500" s="521"/>
      <c r="BW500" s="521"/>
      <c r="BX500" s="521"/>
      <c r="BY500" s="521"/>
      <c r="BZ500" s="521"/>
      <c r="CA500" s="521"/>
      <c r="CB500" s="521"/>
      <c r="CC500" s="521"/>
      <c r="CD500" s="521"/>
      <c r="CE500" s="521"/>
      <c r="CF500" s="521"/>
      <c r="CG500" s="521"/>
      <c r="CH500" s="521"/>
      <c r="CI500" s="521"/>
      <c r="CJ500" s="521"/>
      <c r="CK500" s="521"/>
      <c r="CL500" s="518"/>
      <c r="CM500" s="523"/>
      <c r="CN500" s="523"/>
      <c r="CO500" s="524"/>
      <c r="CP500" s="524"/>
      <c r="CQ500" s="518"/>
      <c r="CR500" s="518"/>
      <c r="CS500" s="518"/>
      <c r="CT500" s="518"/>
      <c r="CU500" s="518"/>
      <c r="CV500" s="518"/>
      <c r="CW500" s="518"/>
      <c r="CX500" s="518"/>
      <c r="CY500" s="518"/>
      <c r="CZ500" s="519"/>
      <c r="DA500" s="527"/>
      <c r="DB500" s="520"/>
      <c r="DC500" s="525"/>
      <c r="DD500" s="531"/>
      <c r="DE500" s="593"/>
      <c r="DF500" s="518"/>
      <c r="DG500" s="518"/>
      <c r="DH500" s="518"/>
      <c r="DI500" s="519"/>
      <c r="DJ500" s="560"/>
      <c r="DK500" s="522"/>
      <c r="DL500" s="522"/>
      <c r="DM500" s="522"/>
      <c r="DN500" s="522"/>
      <c r="DO500" s="522"/>
      <c r="DP500" s="518"/>
      <c r="DQ500" s="518"/>
      <c r="DR500" s="518"/>
      <c r="DS500" s="518"/>
      <c r="DT500" s="518"/>
      <c r="DU500" s="519"/>
      <c r="DV500" s="527"/>
      <c r="DW500" s="518"/>
      <c r="DX500" s="518"/>
      <c r="DY500" s="520"/>
      <c r="DZ500" s="520"/>
      <c r="EA500" s="519"/>
      <c r="EB500" s="527"/>
      <c r="EC500" s="520"/>
      <c r="ED500" s="520"/>
      <c r="EE500" s="519"/>
      <c r="EF500" s="550"/>
      <c r="EG500" s="537"/>
      <c r="EH500" s="521"/>
      <c r="EI500" s="521"/>
      <c r="EJ500" s="521"/>
      <c r="EK500" s="521"/>
      <c r="EL500" s="521"/>
      <c r="EM500" s="521"/>
      <c r="EN500" s="521"/>
      <c r="EO500" s="521"/>
      <c r="EP500" s="521"/>
      <c r="EQ500" s="521"/>
      <c r="ER500" s="521"/>
      <c r="ES500" s="521"/>
      <c r="ET500" s="521"/>
      <c r="EU500" s="521"/>
      <c r="EV500" s="521"/>
      <c r="EW500" s="521"/>
      <c r="EX500" s="521"/>
      <c r="EY500" s="518"/>
      <c r="EZ500" s="523"/>
      <c r="FA500" s="523"/>
      <c r="FB500" s="524"/>
      <c r="FC500" s="524"/>
      <c r="FD500" s="518"/>
      <c r="FE500" s="518"/>
      <c r="FF500" s="518"/>
      <c r="FG500" s="518"/>
      <c r="FH500" s="518"/>
      <c r="FI500" s="518"/>
      <c r="FJ500" s="518"/>
      <c r="FK500" s="518"/>
      <c r="FL500" s="518"/>
      <c r="FM500" s="519"/>
    </row>
    <row r="501" spans="1:169" x14ac:dyDescent="0.25">
      <c r="A501" s="284"/>
      <c r="B501" s="317"/>
      <c r="C501" s="297"/>
      <c r="D501" s="298"/>
      <c r="E501" s="299"/>
      <c r="F501" s="340"/>
      <c r="G501" s="298"/>
      <c r="H501" s="299"/>
      <c r="I501" s="300"/>
      <c r="J501" s="370"/>
      <c r="K501" s="328"/>
      <c r="L501" s="300"/>
      <c r="M501" s="328"/>
      <c r="N501" s="331"/>
      <c r="O501" s="301"/>
      <c r="P501" s="301"/>
      <c r="Q501" s="328"/>
      <c r="R501" s="620"/>
      <c r="S501" s="512"/>
      <c r="T501" s="512"/>
      <c r="U501" s="513"/>
      <c r="V501" s="514"/>
      <c r="W501" s="512"/>
      <c r="X501" s="513"/>
      <c r="Y501" s="514"/>
      <c r="Z501" s="513"/>
      <c r="AA501" s="515"/>
      <c r="AB501" s="516"/>
      <c r="AC501" s="513"/>
      <c r="AD501" s="544"/>
      <c r="AE501" s="516"/>
      <c r="AF501" s="513"/>
      <c r="AG501" s="551"/>
      <c r="AH501" s="595"/>
      <c r="AI501" s="517"/>
      <c r="AJ501" s="518"/>
      <c r="AK501" s="518"/>
      <c r="AL501" s="518"/>
      <c r="AM501" s="519"/>
      <c r="AN501" s="517"/>
      <c r="AO501" s="520"/>
      <c r="AP501" s="525"/>
      <c r="AQ501" s="531"/>
      <c r="AR501" s="593"/>
      <c r="AS501" s="518"/>
      <c r="AT501" s="518"/>
      <c r="AU501" s="518"/>
      <c r="AV501" s="519"/>
      <c r="AW501" s="560"/>
      <c r="AX501" s="522"/>
      <c r="AY501" s="522"/>
      <c r="AZ501" s="522"/>
      <c r="BA501" s="522"/>
      <c r="BB501" s="522"/>
      <c r="BC501" s="518"/>
      <c r="BD501" s="518"/>
      <c r="BE501" s="518"/>
      <c r="BF501" s="518"/>
      <c r="BG501" s="518"/>
      <c r="BH501" s="519"/>
      <c r="BI501" s="527"/>
      <c r="BJ501" s="518"/>
      <c r="BK501" s="518"/>
      <c r="BL501" s="520"/>
      <c r="BM501" s="520"/>
      <c r="BN501" s="519"/>
      <c r="BO501" s="517"/>
      <c r="BP501" s="520"/>
      <c r="BQ501" s="520"/>
      <c r="BR501" s="519"/>
      <c r="BS501" s="548"/>
      <c r="BT501" s="537"/>
      <c r="BU501" s="521"/>
      <c r="BV501" s="521"/>
      <c r="BW501" s="521"/>
      <c r="BX501" s="521"/>
      <c r="BY501" s="521"/>
      <c r="BZ501" s="521"/>
      <c r="CA501" s="521"/>
      <c r="CB501" s="521"/>
      <c r="CC501" s="521"/>
      <c r="CD501" s="521"/>
      <c r="CE501" s="521"/>
      <c r="CF501" s="521"/>
      <c r="CG501" s="521"/>
      <c r="CH501" s="521"/>
      <c r="CI501" s="521"/>
      <c r="CJ501" s="521"/>
      <c r="CK501" s="521"/>
      <c r="CL501" s="518"/>
      <c r="CM501" s="523"/>
      <c r="CN501" s="523"/>
      <c r="CO501" s="524"/>
      <c r="CP501" s="524"/>
      <c r="CQ501" s="518"/>
      <c r="CR501" s="518"/>
      <c r="CS501" s="518"/>
      <c r="CT501" s="518"/>
      <c r="CU501" s="518"/>
      <c r="CV501" s="518"/>
      <c r="CW501" s="518"/>
      <c r="CX501" s="518"/>
      <c r="CY501" s="518"/>
      <c r="CZ501" s="519"/>
      <c r="DA501" s="527"/>
      <c r="DB501" s="520"/>
      <c r="DC501" s="525"/>
      <c r="DD501" s="531"/>
      <c r="DE501" s="593"/>
      <c r="DF501" s="518"/>
      <c r="DG501" s="518"/>
      <c r="DH501" s="518"/>
      <c r="DI501" s="519"/>
      <c r="DJ501" s="560"/>
      <c r="DK501" s="522"/>
      <c r="DL501" s="522"/>
      <c r="DM501" s="522"/>
      <c r="DN501" s="522"/>
      <c r="DO501" s="522"/>
      <c r="DP501" s="518"/>
      <c r="DQ501" s="518"/>
      <c r="DR501" s="518"/>
      <c r="DS501" s="518"/>
      <c r="DT501" s="518"/>
      <c r="DU501" s="519"/>
      <c r="DV501" s="527"/>
      <c r="DW501" s="518"/>
      <c r="DX501" s="518"/>
      <c r="DY501" s="520"/>
      <c r="DZ501" s="520"/>
      <c r="EA501" s="519"/>
      <c r="EB501" s="527"/>
      <c r="EC501" s="520"/>
      <c r="ED501" s="520"/>
      <c r="EE501" s="519"/>
      <c r="EF501" s="550"/>
      <c r="EG501" s="537"/>
      <c r="EH501" s="521"/>
      <c r="EI501" s="521"/>
      <c r="EJ501" s="521"/>
      <c r="EK501" s="521"/>
      <c r="EL501" s="521"/>
      <c r="EM501" s="521"/>
      <c r="EN501" s="521"/>
      <c r="EO501" s="521"/>
      <c r="EP501" s="521"/>
      <c r="EQ501" s="521"/>
      <c r="ER501" s="521"/>
      <c r="ES501" s="521"/>
      <c r="ET501" s="521"/>
      <c r="EU501" s="521"/>
      <c r="EV501" s="521"/>
      <c r="EW501" s="521"/>
      <c r="EX501" s="521"/>
      <c r="EY501" s="518"/>
      <c r="EZ501" s="523"/>
      <c r="FA501" s="523"/>
      <c r="FB501" s="524"/>
      <c r="FC501" s="524"/>
      <c r="FD501" s="518"/>
      <c r="FE501" s="518"/>
      <c r="FF501" s="518"/>
      <c r="FG501" s="518"/>
      <c r="FH501" s="518"/>
      <c r="FI501" s="518"/>
      <c r="FJ501" s="518"/>
      <c r="FK501" s="518"/>
      <c r="FL501" s="518"/>
      <c r="FM501" s="519"/>
    </row>
    <row r="502" spans="1:169" x14ac:dyDescent="0.25">
      <c r="A502" s="284"/>
      <c r="B502" s="317"/>
      <c r="C502" s="297"/>
      <c r="D502" s="298"/>
      <c r="E502" s="299"/>
      <c r="F502" s="340"/>
      <c r="G502" s="298"/>
      <c r="H502" s="299"/>
      <c r="I502" s="300"/>
      <c r="J502" s="370"/>
      <c r="K502" s="328"/>
      <c r="L502" s="300"/>
      <c r="M502" s="328"/>
      <c r="N502" s="331"/>
      <c r="O502" s="301"/>
      <c r="P502" s="301"/>
      <c r="Q502" s="328"/>
      <c r="R502" s="620"/>
      <c r="S502" s="512"/>
      <c r="T502" s="512"/>
      <c r="U502" s="513"/>
      <c r="V502" s="514"/>
      <c r="W502" s="512"/>
      <c r="X502" s="513"/>
      <c r="Y502" s="514"/>
      <c r="Z502" s="513"/>
      <c r="AA502" s="515"/>
      <c r="AB502" s="516"/>
      <c r="AC502" s="513"/>
      <c r="AD502" s="544"/>
      <c r="AE502" s="516"/>
      <c r="AF502" s="513"/>
      <c r="AG502" s="551"/>
      <c r="AH502" s="595"/>
      <c r="AI502" s="517"/>
      <c r="AJ502" s="518"/>
      <c r="AK502" s="518"/>
      <c r="AL502" s="518"/>
      <c r="AM502" s="519"/>
      <c r="AN502" s="517"/>
      <c r="AO502" s="520"/>
      <c r="AP502" s="525"/>
      <c r="AQ502" s="531"/>
      <c r="AR502" s="593"/>
      <c r="AS502" s="518"/>
      <c r="AT502" s="518"/>
      <c r="AU502" s="518"/>
      <c r="AV502" s="519"/>
      <c r="AW502" s="560"/>
      <c r="AX502" s="522"/>
      <c r="AY502" s="522"/>
      <c r="AZ502" s="522"/>
      <c r="BA502" s="522"/>
      <c r="BB502" s="522"/>
      <c r="BC502" s="518"/>
      <c r="BD502" s="518"/>
      <c r="BE502" s="518"/>
      <c r="BF502" s="518"/>
      <c r="BG502" s="518"/>
      <c r="BH502" s="519"/>
      <c r="BI502" s="527"/>
      <c r="BJ502" s="518"/>
      <c r="BK502" s="518"/>
      <c r="BL502" s="520"/>
      <c r="BM502" s="520"/>
      <c r="BN502" s="519"/>
      <c r="BO502" s="517"/>
      <c r="BP502" s="520"/>
      <c r="BQ502" s="520"/>
      <c r="BR502" s="519"/>
      <c r="BS502" s="548"/>
      <c r="BT502" s="537"/>
      <c r="BU502" s="521"/>
      <c r="BV502" s="521"/>
      <c r="BW502" s="521"/>
      <c r="BX502" s="521"/>
      <c r="BY502" s="521"/>
      <c r="BZ502" s="521"/>
      <c r="CA502" s="521"/>
      <c r="CB502" s="521"/>
      <c r="CC502" s="521"/>
      <c r="CD502" s="521"/>
      <c r="CE502" s="521"/>
      <c r="CF502" s="521"/>
      <c r="CG502" s="521"/>
      <c r="CH502" s="521"/>
      <c r="CI502" s="521"/>
      <c r="CJ502" s="521"/>
      <c r="CK502" s="521"/>
      <c r="CL502" s="518"/>
      <c r="CM502" s="523"/>
      <c r="CN502" s="523"/>
      <c r="CO502" s="524"/>
      <c r="CP502" s="524"/>
      <c r="CQ502" s="518"/>
      <c r="CR502" s="518"/>
      <c r="CS502" s="518"/>
      <c r="CT502" s="518"/>
      <c r="CU502" s="518"/>
      <c r="CV502" s="518"/>
      <c r="CW502" s="518"/>
      <c r="CX502" s="518"/>
      <c r="CY502" s="518"/>
      <c r="CZ502" s="519"/>
      <c r="DA502" s="527"/>
      <c r="DB502" s="520"/>
      <c r="DC502" s="525"/>
      <c r="DD502" s="531"/>
      <c r="DE502" s="593"/>
      <c r="DF502" s="518"/>
      <c r="DG502" s="518"/>
      <c r="DH502" s="518"/>
      <c r="DI502" s="519"/>
      <c r="DJ502" s="560"/>
      <c r="DK502" s="522"/>
      <c r="DL502" s="522"/>
      <c r="DM502" s="522"/>
      <c r="DN502" s="522"/>
      <c r="DO502" s="522"/>
      <c r="DP502" s="518"/>
      <c r="DQ502" s="518"/>
      <c r="DR502" s="518"/>
      <c r="DS502" s="518"/>
      <c r="DT502" s="518"/>
      <c r="DU502" s="519"/>
      <c r="DV502" s="527"/>
      <c r="DW502" s="518"/>
      <c r="DX502" s="518"/>
      <c r="DY502" s="520"/>
      <c r="DZ502" s="520"/>
      <c r="EA502" s="519"/>
      <c r="EB502" s="527"/>
      <c r="EC502" s="520"/>
      <c r="ED502" s="520"/>
      <c r="EE502" s="519"/>
      <c r="EF502" s="550"/>
      <c r="EG502" s="537"/>
      <c r="EH502" s="521"/>
      <c r="EI502" s="521"/>
      <c r="EJ502" s="521"/>
      <c r="EK502" s="521"/>
      <c r="EL502" s="521"/>
      <c r="EM502" s="521"/>
      <c r="EN502" s="521"/>
      <c r="EO502" s="521"/>
      <c r="EP502" s="521"/>
      <c r="EQ502" s="521"/>
      <c r="ER502" s="521"/>
      <c r="ES502" s="521"/>
      <c r="ET502" s="521"/>
      <c r="EU502" s="521"/>
      <c r="EV502" s="521"/>
      <c r="EW502" s="521"/>
      <c r="EX502" s="521"/>
      <c r="EY502" s="518"/>
      <c r="EZ502" s="523"/>
      <c r="FA502" s="523"/>
      <c r="FB502" s="524"/>
      <c r="FC502" s="524"/>
      <c r="FD502" s="518"/>
      <c r="FE502" s="518"/>
      <c r="FF502" s="518"/>
      <c r="FG502" s="518"/>
      <c r="FH502" s="518"/>
      <c r="FI502" s="518"/>
      <c r="FJ502" s="518"/>
      <c r="FK502" s="518"/>
      <c r="FL502" s="518"/>
      <c r="FM502" s="519"/>
    </row>
    <row r="503" spans="1:169" x14ac:dyDescent="0.25">
      <c r="A503" s="284"/>
      <c r="B503" s="317"/>
      <c r="C503" s="297"/>
      <c r="D503" s="298"/>
      <c r="E503" s="299"/>
      <c r="F503" s="340"/>
      <c r="G503" s="298"/>
      <c r="H503" s="299"/>
      <c r="I503" s="300"/>
      <c r="J503" s="370"/>
      <c r="K503" s="328"/>
      <c r="L503" s="300"/>
      <c r="M503" s="328"/>
      <c r="N503" s="331"/>
      <c r="O503" s="301"/>
      <c r="P503" s="301"/>
      <c r="Q503" s="328"/>
      <c r="R503" s="620"/>
      <c r="S503" s="512"/>
      <c r="T503" s="512"/>
      <c r="U503" s="513"/>
      <c r="V503" s="514"/>
      <c r="W503" s="512"/>
      <c r="X503" s="513"/>
      <c r="Y503" s="514"/>
      <c r="Z503" s="513"/>
      <c r="AA503" s="515"/>
      <c r="AB503" s="516"/>
      <c r="AC503" s="513"/>
      <c r="AD503" s="544"/>
      <c r="AE503" s="516"/>
      <c r="AF503" s="513"/>
      <c r="AG503" s="551"/>
      <c r="AH503" s="595"/>
      <c r="AI503" s="517"/>
      <c r="AJ503" s="518"/>
      <c r="AK503" s="518"/>
      <c r="AL503" s="518"/>
      <c r="AM503" s="519"/>
      <c r="AN503" s="517"/>
      <c r="AO503" s="520"/>
      <c r="AP503" s="525"/>
      <c r="AQ503" s="531"/>
      <c r="AR503" s="593"/>
      <c r="AS503" s="518"/>
      <c r="AT503" s="518"/>
      <c r="AU503" s="518"/>
      <c r="AV503" s="519"/>
      <c r="AW503" s="560"/>
      <c r="AX503" s="522"/>
      <c r="AY503" s="522"/>
      <c r="AZ503" s="522"/>
      <c r="BA503" s="522"/>
      <c r="BB503" s="522"/>
      <c r="BC503" s="518"/>
      <c r="BD503" s="518"/>
      <c r="BE503" s="518"/>
      <c r="BF503" s="518"/>
      <c r="BG503" s="518"/>
      <c r="BH503" s="519"/>
      <c r="BI503" s="527"/>
      <c r="BJ503" s="518"/>
      <c r="BK503" s="518"/>
      <c r="BL503" s="520"/>
      <c r="BM503" s="520"/>
      <c r="BN503" s="519"/>
      <c r="BO503" s="517"/>
      <c r="BP503" s="520"/>
      <c r="BQ503" s="520"/>
      <c r="BR503" s="519"/>
      <c r="BS503" s="548"/>
      <c r="BT503" s="537"/>
      <c r="BU503" s="521"/>
      <c r="BV503" s="521"/>
      <c r="BW503" s="521"/>
      <c r="BX503" s="521"/>
      <c r="BY503" s="521"/>
      <c r="BZ503" s="521"/>
      <c r="CA503" s="521"/>
      <c r="CB503" s="521"/>
      <c r="CC503" s="521"/>
      <c r="CD503" s="521"/>
      <c r="CE503" s="521"/>
      <c r="CF503" s="521"/>
      <c r="CG503" s="521"/>
      <c r="CH503" s="521"/>
      <c r="CI503" s="521"/>
      <c r="CJ503" s="521"/>
      <c r="CK503" s="521"/>
      <c r="CL503" s="518"/>
      <c r="CM503" s="523"/>
      <c r="CN503" s="523"/>
      <c r="CO503" s="524"/>
      <c r="CP503" s="524"/>
      <c r="CQ503" s="518"/>
      <c r="CR503" s="518"/>
      <c r="CS503" s="518"/>
      <c r="CT503" s="518"/>
      <c r="CU503" s="518"/>
      <c r="CV503" s="518"/>
      <c r="CW503" s="518"/>
      <c r="CX503" s="518"/>
      <c r="CY503" s="518"/>
      <c r="CZ503" s="519"/>
      <c r="DA503" s="527"/>
      <c r="DB503" s="520"/>
      <c r="DC503" s="525"/>
      <c r="DD503" s="531"/>
      <c r="DE503" s="593"/>
      <c r="DF503" s="518"/>
      <c r="DG503" s="518"/>
      <c r="DH503" s="518"/>
      <c r="DI503" s="519"/>
      <c r="DJ503" s="560"/>
      <c r="DK503" s="522"/>
      <c r="DL503" s="522"/>
      <c r="DM503" s="522"/>
      <c r="DN503" s="522"/>
      <c r="DO503" s="522"/>
      <c r="DP503" s="518"/>
      <c r="DQ503" s="518"/>
      <c r="DR503" s="518"/>
      <c r="DS503" s="518"/>
      <c r="DT503" s="518"/>
      <c r="DU503" s="519"/>
      <c r="DV503" s="527"/>
      <c r="DW503" s="518"/>
      <c r="DX503" s="518"/>
      <c r="DY503" s="520"/>
      <c r="DZ503" s="520"/>
      <c r="EA503" s="519"/>
      <c r="EB503" s="527"/>
      <c r="EC503" s="520"/>
      <c r="ED503" s="520"/>
      <c r="EE503" s="519"/>
      <c r="EF503" s="550"/>
      <c r="EG503" s="537"/>
      <c r="EH503" s="521"/>
      <c r="EI503" s="521"/>
      <c r="EJ503" s="521"/>
      <c r="EK503" s="521"/>
      <c r="EL503" s="521"/>
      <c r="EM503" s="521"/>
      <c r="EN503" s="521"/>
      <c r="EO503" s="521"/>
      <c r="EP503" s="521"/>
      <c r="EQ503" s="521"/>
      <c r="ER503" s="521"/>
      <c r="ES503" s="521"/>
      <c r="ET503" s="521"/>
      <c r="EU503" s="521"/>
      <c r="EV503" s="521"/>
      <c r="EW503" s="521"/>
      <c r="EX503" s="521"/>
      <c r="EY503" s="518"/>
      <c r="EZ503" s="523"/>
      <c r="FA503" s="523"/>
      <c r="FB503" s="524"/>
      <c r="FC503" s="524"/>
      <c r="FD503" s="518"/>
      <c r="FE503" s="518"/>
      <c r="FF503" s="518"/>
      <c r="FG503" s="518"/>
      <c r="FH503" s="518"/>
      <c r="FI503" s="518"/>
      <c r="FJ503" s="518"/>
      <c r="FK503" s="518"/>
      <c r="FL503" s="518"/>
      <c r="FM503" s="519"/>
    </row>
    <row r="504" spans="1:169" x14ac:dyDescent="0.25">
      <c r="A504" s="284"/>
      <c r="B504" s="317"/>
      <c r="C504" s="297"/>
      <c r="D504" s="298"/>
      <c r="E504" s="299"/>
      <c r="F504" s="340"/>
      <c r="G504" s="298"/>
      <c r="H504" s="299"/>
      <c r="I504" s="300"/>
      <c r="J504" s="370"/>
      <c r="K504" s="328"/>
      <c r="L504" s="300"/>
      <c r="M504" s="328"/>
      <c r="N504" s="331"/>
      <c r="O504" s="301"/>
      <c r="P504" s="301"/>
      <c r="Q504" s="328"/>
      <c r="R504" s="620"/>
      <c r="S504" s="512"/>
      <c r="T504" s="512"/>
      <c r="U504" s="513"/>
      <c r="V504" s="514"/>
      <c r="W504" s="512"/>
      <c r="X504" s="513"/>
      <c r="Y504" s="514"/>
      <c r="Z504" s="513"/>
      <c r="AA504" s="515"/>
      <c r="AB504" s="516"/>
      <c r="AC504" s="513"/>
      <c r="AD504" s="544"/>
      <c r="AE504" s="516"/>
      <c r="AF504" s="513"/>
      <c r="AG504" s="551"/>
      <c r="AH504" s="595"/>
      <c r="AI504" s="517"/>
      <c r="AJ504" s="518"/>
      <c r="AK504" s="518"/>
      <c r="AL504" s="518"/>
      <c r="AM504" s="519"/>
      <c r="AN504" s="517"/>
      <c r="AO504" s="520"/>
      <c r="AP504" s="525"/>
      <c r="AQ504" s="531"/>
      <c r="AR504" s="593"/>
      <c r="AS504" s="518"/>
      <c r="AT504" s="518"/>
      <c r="AU504" s="518"/>
      <c r="AV504" s="519"/>
      <c r="AW504" s="560"/>
      <c r="AX504" s="522"/>
      <c r="AY504" s="522"/>
      <c r="AZ504" s="522"/>
      <c r="BA504" s="522"/>
      <c r="BB504" s="522"/>
      <c r="BC504" s="518"/>
      <c r="BD504" s="518"/>
      <c r="BE504" s="518"/>
      <c r="BF504" s="518"/>
      <c r="BG504" s="518"/>
      <c r="BH504" s="519"/>
      <c r="BI504" s="527"/>
      <c r="BJ504" s="518"/>
      <c r="BK504" s="518"/>
      <c r="BL504" s="520"/>
      <c r="BM504" s="520"/>
      <c r="BN504" s="519"/>
      <c r="BO504" s="517"/>
      <c r="BP504" s="520"/>
      <c r="BQ504" s="520"/>
      <c r="BR504" s="519"/>
      <c r="BS504" s="548"/>
      <c r="BT504" s="537"/>
      <c r="BU504" s="521"/>
      <c r="BV504" s="521"/>
      <c r="BW504" s="521"/>
      <c r="BX504" s="521"/>
      <c r="BY504" s="521"/>
      <c r="BZ504" s="521"/>
      <c r="CA504" s="521"/>
      <c r="CB504" s="521"/>
      <c r="CC504" s="521"/>
      <c r="CD504" s="521"/>
      <c r="CE504" s="521"/>
      <c r="CF504" s="521"/>
      <c r="CG504" s="521"/>
      <c r="CH504" s="521"/>
      <c r="CI504" s="521"/>
      <c r="CJ504" s="521"/>
      <c r="CK504" s="521"/>
      <c r="CL504" s="518"/>
      <c r="CM504" s="523"/>
      <c r="CN504" s="523"/>
      <c r="CO504" s="524"/>
      <c r="CP504" s="524"/>
      <c r="CQ504" s="518"/>
      <c r="CR504" s="518"/>
      <c r="CS504" s="518"/>
      <c r="CT504" s="518"/>
      <c r="CU504" s="518"/>
      <c r="CV504" s="518"/>
      <c r="CW504" s="518"/>
      <c r="CX504" s="518"/>
      <c r="CY504" s="518"/>
      <c r="CZ504" s="519"/>
      <c r="DA504" s="527"/>
      <c r="DB504" s="520"/>
      <c r="DC504" s="525"/>
      <c r="DD504" s="531"/>
      <c r="DE504" s="593"/>
      <c r="DF504" s="518"/>
      <c r="DG504" s="518"/>
      <c r="DH504" s="518"/>
      <c r="DI504" s="519"/>
      <c r="DJ504" s="560"/>
      <c r="DK504" s="522"/>
      <c r="DL504" s="522"/>
      <c r="DM504" s="522"/>
      <c r="DN504" s="522"/>
      <c r="DO504" s="522"/>
      <c r="DP504" s="518"/>
      <c r="DQ504" s="518"/>
      <c r="DR504" s="518"/>
      <c r="DS504" s="518"/>
      <c r="DT504" s="518"/>
      <c r="DU504" s="519"/>
      <c r="DV504" s="527"/>
      <c r="DW504" s="518"/>
      <c r="DX504" s="518"/>
      <c r="DY504" s="520"/>
      <c r="DZ504" s="520"/>
      <c r="EA504" s="519"/>
      <c r="EB504" s="527"/>
      <c r="EC504" s="520"/>
      <c r="ED504" s="520"/>
      <c r="EE504" s="519"/>
      <c r="EF504" s="550"/>
      <c r="EG504" s="537"/>
      <c r="EH504" s="521"/>
      <c r="EI504" s="521"/>
      <c r="EJ504" s="521"/>
      <c r="EK504" s="521"/>
      <c r="EL504" s="521"/>
      <c r="EM504" s="521"/>
      <c r="EN504" s="521"/>
      <c r="EO504" s="521"/>
      <c r="EP504" s="521"/>
      <c r="EQ504" s="521"/>
      <c r="ER504" s="521"/>
      <c r="ES504" s="521"/>
      <c r="ET504" s="521"/>
      <c r="EU504" s="521"/>
      <c r="EV504" s="521"/>
      <c r="EW504" s="521"/>
      <c r="EX504" s="521"/>
      <c r="EY504" s="518"/>
      <c r="EZ504" s="523"/>
      <c r="FA504" s="523"/>
      <c r="FB504" s="524"/>
      <c r="FC504" s="524"/>
      <c r="FD504" s="518"/>
      <c r="FE504" s="518"/>
      <c r="FF504" s="518"/>
      <c r="FG504" s="518"/>
      <c r="FH504" s="518"/>
      <c r="FI504" s="518"/>
      <c r="FJ504" s="518"/>
      <c r="FK504" s="518"/>
      <c r="FL504" s="518"/>
      <c r="FM504" s="519"/>
    </row>
    <row r="505" spans="1:169" x14ac:dyDescent="0.25">
      <c r="A505" s="284"/>
      <c r="B505" s="317"/>
      <c r="C505" s="297"/>
      <c r="D505" s="298"/>
      <c r="E505" s="299"/>
      <c r="F505" s="340"/>
      <c r="G505" s="298"/>
      <c r="H505" s="299"/>
      <c r="I505" s="300"/>
      <c r="J505" s="370"/>
      <c r="K505" s="328"/>
      <c r="L505" s="300"/>
      <c r="M505" s="328"/>
      <c r="N505" s="331"/>
      <c r="O505" s="301"/>
      <c r="P505" s="301"/>
      <c r="Q505" s="328"/>
      <c r="R505" s="620"/>
      <c r="S505" s="512"/>
      <c r="T505" s="512"/>
      <c r="U505" s="513"/>
      <c r="V505" s="514"/>
      <c r="W505" s="512"/>
      <c r="X505" s="513"/>
      <c r="Y505" s="514"/>
      <c r="Z505" s="513"/>
      <c r="AA505" s="515"/>
      <c r="AB505" s="516"/>
      <c r="AC505" s="513"/>
      <c r="AD505" s="544"/>
      <c r="AE505" s="516"/>
      <c r="AF505" s="513"/>
      <c r="AG505" s="551"/>
      <c r="AH505" s="595"/>
      <c r="AI505" s="517"/>
      <c r="AJ505" s="518"/>
      <c r="AK505" s="518"/>
      <c r="AL505" s="518"/>
      <c r="AM505" s="519"/>
      <c r="AN505" s="517"/>
      <c r="AO505" s="520"/>
      <c r="AP505" s="525"/>
      <c r="AQ505" s="531"/>
      <c r="AR505" s="593"/>
      <c r="AS505" s="518"/>
      <c r="AT505" s="518"/>
      <c r="AU505" s="518"/>
      <c r="AV505" s="519"/>
      <c r="AW505" s="560"/>
      <c r="AX505" s="522"/>
      <c r="AY505" s="522"/>
      <c r="AZ505" s="522"/>
      <c r="BA505" s="522"/>
      <c r="BB505" s="522"/>
      <c r="BC505" s="518"/>
      <c r="BD505" s="518"/>
      <c r="BE505" s="518"/>
      <c r="BF505" s="518"/>
      <c r="BG505" s="518"/>
      <c r="BH505" s="519"/>
      <c r="BI505" s="527"/>
      <c r="BJ505" s="518"/>
      <c r="BK505" s="518"/>
      <c r="BL505" s="520"/>
      <c r="BM505" s="520"/>
      <c r="BN505" s="519"/>
      <c r="BO505" s="517"/>
      <c r="BP505" s="520"/>
      <c r="BQ505" s="520"/>
      <c r="BR505" s="519"/>
      <c r="BS505" s="548"/>
      <c r="BT505" s="537"/>
      <c r="BU505" s="521"/>
      <c r="BV505" s="521"/>
      <c r="BW505" s="521"/>
      <c r="BX505" s="521"/>
      <c r="BY505" s="521"/>
      <c r="BZ505" s="521"/>
      <c r="CA505" s="521"/>
      <c r="CB505" s="521"/>
      <c r="CC505" s="521"/>
      <c r="CD505" s="521"/>
      <c r="CE505" s="521"/>
      <c r="CF505" s="521"/>
      <c r="CG505" s="521"/>
      <c r="CH505" s="521"/>
      <c r="CI505" s="521"/>
      <c r="CJ505" s="521"/>
      <c r="CK505" s="521"/>
      <c r="CL505" s="518"/>
      <c r="CM505" s="523"/>
      <c r="CN505" s="523"/>
      <c r="CO505" s="524"/>
      <c r="CP505" s="524"/>
      <c r="CQ505" s="518"/>
      <c r="CR505" s="518"/>
      <c r="CS505" s="518"/>
      <c r="CT505" s="518"/>
      <c r="CU505" s="518"/>
      <c r="CV505" s="518"/>
      <c r="CW505" s="518"/>
      <c r="CX505" s="518"/>
      <c r="CY505" s="518"/>
      <c r="CZ505" s="519"/>
      <c r="DA505" s="527"/>
      <c r="DB505" s="520"/>
      <c r="DC505" s="525"/>
      <c r="DD505" s="531"/>
      <c r="DE505" s="593"/>
      <c r="DF505" s="518"/>
      <c r="DG505" s="518"/>
      <c r="DH505" s="518"/>
      <c r="DI505" s="519"/>
      <c r="DJ505" s="560"/>
      <c r="DK505" s="522"/>
      <c r="DL505" s="522"/>
      <c r="DM505" s="522"/>
      <c r="DN505" s="522"/>
      <c r="DO505" s="522"/>
      <c r="DP505" s="518"/>
      <c r="DQ505" s="518"/>
      <c r="DR505" s="518"/>
      <c r="DS505" s="518"/>
      <c r="DT505" s="518"/>
      <c r="DU505" s="519"/>
      <c r="DV505" s="527"/>
      <c r="DW505" s="518"/>
      <c r="DX505" s="518"/>
      <c r="DY505" s="520"/>
      <c r="DZ505" s="520"/>
      <c r="EA505" s="519"/>
      <c r="EB505" s="527"/>
      <c r="EC505" s="520"/>
      <c r="ED505" s="520"/>
      <c r="EE505" s="519"/>
      <c r="EF505" s="550"/>
      <c r="EG505" s="537"/>
      <c r="EH505" s="521"/>
      <c r="EI505" s="521"/>
      <c r="EJ505" s="521"/>
      <c r="EK505" s="521"/>
      <c r="EL505" s="521"/>
      <c r="EM505" s="521"/>
      <c r="EN505" s="521"/>
      <c r="EO505" s="521"/>
      <c r="EP505" s="521"/>
      <c r="EQ505" s="521"/>
      <c r="ER505" s="521"/>
      <c r="ES505" s="521"/>
      <c r="ET505" s="521"/>
      <c r="EU505" s="521"/>
      <c r="EV505" s="521"/>
      <c r="EW505" s="521"/>
      <c r="EX505" s="521"/>
      <c r="EY505" s="518"/>
      <c r="EZ505" s="523"/>
      <c r="FA505" s="523"/>
      <c r="FB505" s="524"/>
      <c r="FC505" s="524"/>
      <c r="FD505" s="518"/>
      <c r="FE505" s="518"/>
      <c r="FF505" s="518"/>
      <c r="FG505" s="518"/>
      <c r="FH505" s="518"/>
      <c r="FI505" s="518"/>
      <c r="FJ505" s="518"/>
      <c r="FK505" s="518"/>
      <c r="FL505" s="518"/>
      <c r="FM505" s="519"/>
    </row>
    <row r="506" spans="1:169" x14ac:dyDescent="0.25">
      <c r="A506" s="284"/>
      <c r="B506" s="317"/>
      <c r="C506" s="297"/>
      <c r="D506" s="298"/>
      <c r="E506" s="299"/>
      <c r="F506" s="340"/>
      <c r="G506" s="298"/>
      <c r="H506" s="299"/>
      <c r="I506" s="300"/>
      <c r="J506" s="370"/>
      <c r="K506" s="328"/>
      <c r="L506" s="300"/>
      <c r="M506" s="328"/>
      <c r="N506" s="331"/>
      <c r="O506" s="301"/>
      <c r="P506" s="301"/>
      <c r="Q506" s="328"/>
      <c r="R506" s="620"/>
      <c r="S506" s="512"/>
      <c r="T506" s="512"/>
      <c r="U506" s="513"/>
      <c r="V506" s="514"/>
      <c r="W506" s="512"/>
      <c r="X506" s="513"/>
      <c r="Y506" s="514"/>
      <c r="Z506" s="513"/>
      <c r="AA506" s="515"/>
      <c r="AB506" s="516"/>
      <c r="AC506" s="513"/>
      <c r="AD506" s="544"/>
      <c r="AE506" s="516"/>
      <c r="AF506" s="513"/>
      <c r="AG506" s="551"/>
      <c r="AH506" s="595"/>
      <c r="AI506" s="517"/>
      <c r="AJ506" s="518"/>
      <c r="AK506" s="518"/>
      <c r="AL506" s="518"/>
      <c r="AM506" s="519"/>
      <c r="AN506" s="517"/>
      <c r="AO506" s="520"/>
      <c r="AP506" s="525"/>
      <c r="AQ506" s="531"/>
      <c r="AR506" s="593"/>
      <c r="AS506" s="518"/>
      <c r="AT506" s="518"/>
      <c r="AU506" s="518"/>
      <c r="AV506" s="519"/>
      <c r="AW506" s="560"/>
      <c r="AX506" s="522"/>
      <c r="AY506" s="522"/>
      <c r="AZ506" s="522"/>
      <c r="BA506" s="522"/>
      <c r="BB506" s="522"/>
      <c r="BC506" s="518"/>
      <c r="BD506" s="518"/>
      <c r="BE506" s="518"/>
      <c r="BF506" s="518"/>
      <c r="BG506" s="518"/>
      <c r="BH506" s="519"/>
      <c r="BI506" s="527"/>
      <c r="BJ506" s="518"/>
      <c r="BK506" s="518"/>
      <c r="BL506" s="520"/>
      <c r="BM506" s="520"/>
      <c r="BN506" s="519"/>
      <c r="BO506" s="517"/>
      <c r="BP506" s="520"/>
      <c r="BQ506" s="520"/>
      <c r="BR506" s="519"/>
      <c r="BS506" s="548"/>
      <c r="BT506" s="537"/>
      <c r="BU506" s="521"/>
      <c r="BV506" s="521"/>
      <c r="BW506" s="521"/>
      <c r="BX506" s="521"/>
      <c r="BY506" s="521"/>
      <c r="BZ506" s="521"/>
      <c r="CA506" s="521"/>
      <c r="CB506" s="521"/>
      <c r="CC506" s="521"/>
      <c r="CD506" s="521"/>
      <c r="CE506" s="521"/>
      <c r="CF506" s="521"/>
      <c r="CG506" s="521"/>
      <c r="CH506" s="521"/>
      <c r="CI506" s="521"/>
      <c r="CJ506" s="521"/>
      <c r="CK506" s="521"/>
      <c r="CL506" s="518"/>
      <c r="CM506" s="523"/>
      <c r="CN506" s="523"/>
      <c r="CO506" s="524"/>
      <c r="CP506" s="524"/>
      <c r="CQ506" s="518"/>
      <c r="CR506" s="518"/>
      <c r="CS506" s="518"/>
      <c r="CT506" s="518"/>
      <c r="CU506" s="518"/>
      <c r="CV506" s="518"/>
      <c r="CW506" s="518"/>
      <c r="CX506" s="518"/>
      <c r="CY506" s="518"/>
      <c r="CZ506" s="519"/>
      <c r="DA506" s="527"/>
      <c r="DB506" s="520"/>
      <c r="DC506" s="525"/>
      <c r="DD506" s="531"/>
      <c r="DE506" s="593"/>
      <c r="DF506" s="518"/>
      <c r="DG506" s="518"/>
      <c r="DH506" s="518"/>
      <c r="DI506" s="519"/>
      <c r="DJ506" s="560"/>
      <c r="DK506" s="522"/>
      <c r="DL506" s="522"/>
      <c r="DM506" s="522"/>
      <c r="DN506" s="522"/>
      <c r="DO506" s="522"/>
      <c r="DP506" s="518"/>
      <c r="DQ506" s="518"/>
      <c r="DR506" s="518"/>
      <c r="DS506" s="518"/>
      <c r="DT506" s="518"/>
      <c r="DU506" s="519"/>
      <c r="DV506" s="527"/>
      <c r="DW506" s="518"/>
      <c r="DX506" s="518"/>
      <c r="DY506" s="520"/>
      <c r="DZ506" s="520"/>
      <c r="EA506" s="519"/>
      <c r="EB506" s="527"/>
      <c r="EC506" s="520"/>
      <c r="ED506" s="520"/>
      <c r="EE506" s="519"/>
      <c r="EF506" s="550"/>
      <c r="EG506" s="537"/>
      <c r="EH506" s="521"/>
      <c r="EI506" s="521"/>
      <c r="EJ506" s="521"/>
      <c r="EK506" s="521"/>
      <c r="EL506" s="521"/>
      <c r="EM506" s="521"/>
      <c r="EN506" s="521"/>
      <c r="EO506" s="521"/>
      <c r="EP506" s="521"/>
      <c r="EQ506" s="521"/>
      <c r="ER506" s="521"/>
      <c r="ES506" s="521"/>
      <c r="ET506" s="521"/>
      <c r="EU506" s="521"/>
      <c r="EV506" s="521"/>
      <c r="EW506" s="521"/>
      <c r="EX506" s="521"/>
      <c r="EY506" s="518"/>
      <c r="EZ506" s="523"/>
      <c r="FA506" s="523"/>
      <c r="FB506" s="524"/>
      <c r="FC506" s="524"/>
      <c r="FD506" s="518"/>
      <c r="FE506" s="518"/>
      <c r="FF506" s="518"/>
      <c r="FG506" s="518"/>
      <c r="FH506" s="518"/>
      <c r="FI506" s="518"/>
      <c r="FJ506" s="518"/>
      <c r="FK506" s="518"/>
      <c r="FL506" s="518"/>
      <c r="FM506" s="519"/>
    </row>
    <row r="507" spans="1:169" x14ac:dyDescent="0.25">
      <c r="A507" s="284"/>
      <c r="B507" s="317"/>
      <c r="C507" s="297"/>
      <c r="D507" s="298"/>
      <c r="E507" s="299"/>
      <c r="F507" s="340"/>
      <c r="G507" s="298"/>
      <c r="H507" s="299"/>
      <c r="I507" s="300"/>
      <c r="J507" s="370"/>
      <c r="K507" s="328"/>
      <c r="L507" s="300"/>
      <c r="M507" s="328"/>
      <c r="N507" s="331"/>
      <c r="O507" s="301"/>
      <c r="P507" s="301"/>
      <c r="Q507" s="328"/>
      <c r="R507" s="620"/>
      <c r="S507" s="512"/>
      <c r="T507" s="512"/>
      <c r="U507" s="513"/>
      <c r="V507" s="514"/>
      <c r="W507" s="512"/>
      <c r="X507" s="513"/>
      <c r="Y507" s="514"/>
      <c r="Z507" s="513"/>
      <c r="AA507" s="515"/>
      <c r="AB507" s="516"/>
      <c r="AC507" s="513"/>
      <c r="AD507" s="544"/>
      <c r="AE507" s="516"/>
      <c r="AF507" s="513"/>
      <c r="AG507" s="551"/>
      <c r="AH507" s="595"/>
      <c r="AI507" s="517"/>
      <c r="AJ507" s="518"/>
      <c r="AK507" s="518"/>
      <c r="AL507" s="518"/>
      <c r="AM507" s="519"/>
      <c r="AN507" s="517"/>
      <c r="AO507" s="520"/>
      <c r="AP507" s="525"/>
      <c r="AQ507" s="531"/>
      <c r="AR507" s="593"/>
      <c r="AS507" s="518"/>
      <c r="AT507" s="518"/>
      <c r="AU507" s="518"/>
      <c r="AV507" s="519"/>
      <c r="AW507" s="560"/>
      <c r="AX507" s="522"/>
      <c r="AY507" s="522"/>
      <c r="AZ507" s="522"/>
      <c r="BA507" s="522"/>
      <c r="BB507" s="522"/>
      <c r="BC507" s="518"/>
      <c r="BD507" s="518"/>
      <c r="BE507" s="518"/>
      <c r="BF507" s="518"/>
      <c r="BG507" s="518"/>
      <c r="BH507" s="519"/>
      <c r="BI507" s="527"/>
      <c r="BJ507" s="518"/>
      <c r="BK507" s="518"/>
      <c r="BL507" s="520"/>
      <c r="BM507" s="520"/>
      <c r="BN507" s="519"/>
      <c r="BO507" s="517"/>
      <c r="BP507" s="520"/>
      <c r="BQ507" s="520"/>
      <c r="BR507" s="519"/>
      <c r="BS507" s="548"/>
      <c r="BT507" s="537"/>
      <c r="BU507" s="521"/>
      <c r="BV507" s="521"/>
      <c r="BW507" s="521"/>
      <c r="BX507" s="521"/>
      <c r="BY507" s="521"/>
      <c r="BZ507" s="521"/>
      <c r="CA507" s="521"/>
      <c r="CB507" s="521"/>
      <c r="CC507" s="521"/>
      <c r="CD507" s="521"/>
      <c r="CE507" s="521"/>
      <c r="CF507" s="521"/>
      <c r="CG507" s="521"/>
      <c r="CH507" s="521"/>
      <c r="CI507" s="521"/>
      <c r="CJ507" s="521"/>
      <c r="CK507" s="521"/>
      <c r="CL507" s="518"/>
      <c r="CM507" s="523"/>
      <c r="CN507" s="523"/>
      <c r="CO507" s="524"/>
      <c r="CP507" s="524"/>
      <c r="CQ507" s="518"/>
      <c r="CR507" s="518"/>
      <c r="CS507" s="518"/>
      <c r="CT507" s="518"/>
      <c r="CU507" s="518"/>
      <c r="CV507" s="518"/>
      <c r="CW507" s="518"/>
      <c r="CX507" s="518"/>
      <c r="CY507" s="518"/>
      <c r="CZ507" s="519"/>
      <c r="DA507" s="527"/>
      <c r="DB507" s="520"/>
      <c r="DC507" s="525"/>
      <c r="DD507" s="531"/>
      <c r="DE507" s="593"/>
      <c r="DF507" s="518"/>
      <c r="DG507" s="518"/>
      <c r="DH507" s="518"/>
      <c r="DI507" s="519"/>
      <c r="DJ507" s="560"/>
      <c r="DK507" s="522"/>
      <c r="DL507" s="522"/>
      <c r="DM507" s="522"/>
      <c r="DN507" s="522"/>
      <c r="DO507" s="522"/>
      <c r="DP507" s="518"/>
      <c r="DQ507" s="518"/>
      <c r="DR507" s="518"/>
      <c r="DS507" s="518"/>
      <c r="DT507" s="518"/>
      <c r="DU507" s="519"/>
      <c r="DV507" s="527"/>
      <c r="DW507" s="518"/>
      <c r="DX507" s="518"/>
      <c r="DY507" s="520"/>
      <c r="DZ507" s="520"/>
      <c r="EA507" s="519"/>
      <c r="EB507" s="527"/>
      <c r="EC507" s="520"/>
      <c r="ED507" s="520"/>
      <c r="EE507" s="519"/>
      <c r="EF507" s="550"/>
      <c r="EG507" s="537"/>
      <c r="EH507" s="521"/>
      <c r="EI507" s="521"/>
      <c r="EJ507" s="521"/>
      <c r="EK507" s="521"/>
      <c r="EL507" s="521"/>
      <c r="EM507" s="521"/>
      <c r="EN507" s="521"/>
      <c r="EO507" s="521"/>
      <c r="EP507" s="521"/>
      <c r="EQ507" s="521"/>
      <c r="ER507" s="521"/>
      <c r="ES507" s="521"/>
      <c r="ET507" s="521"/>
      <c r="EU507" s="521"/>
      <c r="EV507" s="521"/>
      <c r="EW507" s="521"/>
      <c r="EX507" s="521"/>
      <c r="EY507" s="518"/>
      <c r="EZ507" s="523"/>
      <c r="FA507" s="523"/>
      <c r="FB507" s="524"/>
      <c r="FC507" s="524"/>
      <c r="FD507" s="518"/>
      <c r="FE507" s="518"/>
      <c r="FF507" s="518"/>
      <c r="FG507" s="518"/>
      <c r="FH507" s="518"/>
      <c r="FI507" s="518"/>
      <c r="FJ507" s="518"/>
      <c r="FK507" s="518"/>
      <c r="FL507" s="518"/>
      <c r="FM507" s="519"/>
    </row>
    <row r="508" spans="1:169" x14ac:dyDescent="0.25">
      <c r="A508" s="284"/>
      <c r="B508" s="317"/>
      <c r="C508" s="297"/>
      <c r="D508" s="298"/>
      <c r="E508" s="299"/>
      <c r="F508" s="340"/>
      <c r="G508" s="298"/>
      <c r="H508" s="299"/>
      <c r="I508" s="300"/>
      <c r="J508" s="370"/>
      <c r="K508" s="328"/>
      <c r="L508" s="300"/>
      <c r="M508" s="328"/>
      <c r="N508" s="331"/>
      <c r="O508" s="301"/>
      <c r="P508" s="301"/>
      <c r="Q508" s="328"/>
      <c r="R508" s="620"/>
      <c r="S508" s="512"/>
      <c r="T508" s="512"/>
      <c r="U508" s="513"/>
      <c r="V508" s="514"/>
      <c r="W508" s="512"/>
      <c r="X508" s="513"/>
      <c r="Y508" s="514"/>
      <c r="Z508" s="513"/>
      <c r="AA508" s="515"/>
      <c r="AB508" s="516"/>
      <c r="AC508" s="513"/>
      <c r="AD508" s="544"/>
      <c r="AE508" s="516"/>
      <c r="AF508" s="513"/>
      <c r="AG508" s="551"/>
      <c r="AH508" s="595"/>
      <c r="AI508" s="517"/>
      <c r="AJ508" s="518"/>
      <c r="AK508" s="518"/>
      <c r="AL508" s="518"/>
      <c r="AM508" s="519"/>
      <c r="AN508" s="517"/>
      <c r="AO508" s="520"/>
      <c r="AP508" s="525"/>
      <c r="AQ508" s="531"/>
      <c r="AR508" s="593"/>
      <c r="AS508" s="518"/>
      <c r="AT508" s="518"/>
      <c r="AU508" s="518"/>
      <c r="AV508" s="519"/>
      <c r="AW508" s="560"/>
      <c r="AX508" s="522"/>
      <c r="AY508" s="522"/>
      <c r="AZ508" s="522"/>
      <c r="BA508" s="522"/>
      <c r="BB508" s="522"/>
      <c r="BC508" s="518"/>
      <c r="BD508" s="518"/>
      <c r="BE508" s="518"/>
      <c r="BF508" s="518"/>
      <c r="BG508" s="518"/>
      <c r="BH508" s="519"/>
      <c r="BI508" s="527"/>
      <c r="BJ508" s="518"/>
      <c r="BK508" s="518"/>
      <c r="BL508" s="520"/>
      <c r="BM508" s="520"/>
      <c r="BN508" s="519"/>
      <c r="BO508" s="517"/>
      <c r="BP508" s="520"/>
      <c r="BQ508" s="520"/>
      <c r="BR508" s="519"/>
      <c r="BS508" s="548"/>
      <c r="BT508" s="537"/>
      <c r="BU508" s="521"/>
      <c r="BV508" s="521"/>
      <c r="BW508" s="521"/>
      <c r="BX508" s="521"/>
      <c r="BY508" s="521"/>
      <c r="BZ508" s="521"/>
      <c r="CA508" s="521"/>
      <c r="CB508" s="521"/>
      <c r="CC508" s="521"/>
      <c r="CD508" s="521"/>
      <c r="CE508" s="521"/>
      <c r="CF508" s="521"/>
      <c r="CG508" s="521"/>
      <c r="CH508" s="521"/>
      <c r="CI508" s="521"/>
      <c r="CJ508" s="521"/>
      <c r="CK508" s="521"/>
      <c r="CL508" s="518"/>
      <c r="CM508" s="523"/>
      <c r="CN508" s="523"/>
      <c r="CO508" s="524"/>
      <c r="CP508" s="524"/>
      <c r="CQ508" s="518"/>
      <c r="CR508" s="518"/>
      <c r="CS508" s="518"/>
      <c r="CT508" s="518"/>
      <c r="CU508" s="518"/>
      <c r="CV508" s="518"/>
      <c r="CW508" s="518"/>
      <c r="CX508" s="518"/>
      <c r="CY508" s="518"/>
      <c r="CZ508" s="519"/>
      <c r="DA508" s="527"/>
      <c r="DB508" s="520"/>
      <c r="DC508" s="525"/>
      <c r="DD508" s="531"/>
      <c r="DE508" s="593"/>
      <c r="DF508" s="518"/>
      <c r="DG508" s="518"/>
      <c r="DH508" s="518"/>
      <c r="DI508" s="519"/>
      <c r="DJ508" s="560"/>
      <c r="DK508" s="522"/>
      <c r="DL508" s="522"/>
      <c r="DM508" s="522"/>
      <c r="DN508" s="522"/>
      <c r="DO508" s="522"/>
      <c r="DP508" s="518"/>
      <c r="DQ508" s="518"/>
      <c r="DR508" s="518"/>
      <c r="DS508" s="518"/>
      <c r="DT508" s="518"/>
      <c r="DU508" s="519"/>
      <c r="DV508" s="527"/>
      <c r="DW508" s="518"/>
      <c r="DX508" s="518"/>
      <c r="DY508" s="520"/>
      <c r="DZ508" s="520"/>
      <c r="EA508" s="519"/>
      <c r="EB508" s="527"/>
      <c r="EC508" s="520"/>
      <c r="ED508" s="520"/>
      <c r="EE508" s="519"/>
      <c r="EF508" s="550"/>
      <c r="EG508" s="537"/>
      <c r="EH508" s="521"/>
      <c r="EI508" s="521"/>
      <c r="EJ508" s="521"/>
      <c r="EK508" s="521"/>
      <c r="EL508" s="521"/>
      <c r="EM508" s="521"/>
      <c r="EN508" s="521"/>
      <c r="EO508" s="521"/>
      <c r="EP508" s="521"/>
      <c r="EQ508" s="521"/>
      <c r="ER508" s="521"/>
      <c r="ES508" s="521"/>
      <c r="ET508" s="521"/>
      <c r="EU508" s="521"/>
      <c r="EV508" s="521"/>
      <c r="EW508" s="521"/>
      <c r="EX508" s="521"/>
      <c r="EY508" s="518"/>
      <c r="EZ508" s="523"/>
      <c r="FA508" s="523"/>
      <c r="FB508" s="524"/>
      <c r="FC508" s="524"/>
      <c r="FD508" s="518"/>
      <c r="FE508" s="518"/>
      <c r="FF508" s="518"/>
      <c r="FG508" s="518"/>
      <c r="FH508" s="518"/>
      <c r="FI508" s="518"/>
      <c r="FJ508" s="518"/>
      <c r="FK508" s="518"/>
      <c r="FL508" s="518"/>
      <c r="FM508" s="519"/>
    </row>
    <row r="509" spans="1:169" x14ac:dyDescent="0.25">
      <c r="A509" s="284"/>
      <c r="B509" s="317"/>
      <c r="C509" s="297"/>
      <c r="D509" s="298"/>
      <c r="E509" s="299"/>
      <c r="F509" s="340"/>
      <c r="G509" s="298"/>
      <c r="H509" s="299"/>
      <c r="I509" s="300"/>
      <c r="J509" s="370"/>
      <c r="K509" s="328"/>
      <c r="L509" s="300"/>
      <c r="M509" s="328"/>
      <c r="N509" s="331"/>
      <c r="O509" s="301"/>
      <c r="P509" s="301"/>
      <c r="Q509" s="328"/>
      <c r="R509" s="620"/>
      <c r="S509" s="512"/>
      <c r="T509" s="512"/>
      <c r="U509" s="513"/>
      <c r="V509" s="514"/>
      <c r="W509" s="512"/>
      <c r="X509" s="513"/>
      <c r="Y509" s="514"/>
      <c r="Z509" s="513"/>
      <c r="AA509" s="515"/>
      <c r="AB509" s="516"/>
      <c r="AC509" s="513"/>
      <c r="AD509" s="544"/>
      <c r="AE509" s="516"/>
      <c r="AF509" s="513"/>
      <c r="AG509" s="551"/>
      <c r="AH509" s="595"/>
      <c r="AI509" s="517"/>
      <c r="AJ509" s="518"/>
      <c r="AK509" s="518"/>
      <c r="AL509" s="518"/>
      <c r="AM509" s="519"/>
      <c r="AN509" s="517"/>
      <c r="AO509" s="520"/>
      <c r="AP509" s="525"/>
      <c r="AQ509" s="531"/>
      <c r="AR509" s="593"/>
      <c r="AS509" s="518"/>
      <c r="AT509" s="518"/>
      <c r="AU509" s="518"/>
      <c r="AV509" s="519"/>
      <c r="AW509" s="560"/>
      <c r="AX509" s="522"/>
      <c r="AY509" s="522"/>
      <c r="AZ509" s="522"/>
      <c r="BA509" s="522"/>
      <c r="BB509" s="522"/>
      <c r="BC509" s="518"/>
      <c r="BD509" s="518"/>
      <c r="BE509" s="518"/>
      <c r="BF509" s="518"/>
      <c r="BG509" s="518"/>
      <c r="BH509" s="519"/>
      <c r="BI509" s="527"/>
      <c r="BJ509" s="518"/>
      <c r="BK509" s="518"/>
      <c r="BL509" s="520"/>
      <c r="BM509" s="520"/>
      <c r="BN509" s="519"/>
      <c r="BO509" s="517"/>
      <c r="BP509" s="520"/>
      <c r="BQ509" s="520"/>
      <c r="BR509" s="519"/>
      <c r="BS509" s="548"/>
      <c r="BT509" s="537"/>
      <c r="BU509" s="521"/>
      <c r="BV509" s="521"/>
      <c r="BW509" s="521"/>
      <c r="BX509" s="521"/>
      <c r="BY509" s="521"/>
      <c r="BZ509" s="521"/>
      <c r="CA509" s="521"/>
      <c r="CB509" s="521"/>
      <c r="CC509" s="521"/>
      <c r="CD509" s="521"/>
      <c r="CE509" s="521"/>
      <c r="CF509" s="521"/>
      <c r="CG509" s="521"/>
      <c r="CH509" s="521"/>
      <c r="CI509" s="521"/>
      <c r="CJ509" s="521"/>
      <c r="CK509" s="521"/>
      <c r="CL509" s="518"/>
      <c r="CM509" s="523"/>
      <c r="CN509" s="523"/>
      <c r="CO509" s="524"/>
      <c r="CP509" s="524"/>
      <c r="CQ509" s="518"/>
      <c r="CR509" s="518"/>
      <c r="CS509" s="518"/>
      <c r="CT509" s="518"/>
      <c r="CU509" s="518"/>
      <c r="CV509" s="518"/>
      <c r="CW509" s="518"/>
      <c r="CX509" s="518"/>
      <c r="CY509" s="518"/>
      <c r="CZ509" s="519"/>
      <c r="DA509" s="527"/>
      <c r="DB509" s="520"/>
      <c r="DC509" s="525"/>
      <c r="DD509" s="531"/>
      <c r="DE509" s="593"/>
      <c r="DF509" s="518"/>
      <c r="DG509" s="518"/>
      <c r="DH509" s="518"/>
      <c r="DI509" s="519"/>
      <c r="DJ509" s="560"/>
      <c r="DK509" s="522"/>
      <c r="DL509" s="522"/>
      <c r="DM509" s="522"/>
      <c r="DN509" s="522"/>
      <c r="DO509" s="522"/>
      <c r="DP509" s="518"/>
      <c r="DQ509" s="518"/>
      <c r="DR509" s="518"/>
      <c r="DS509" s="518"/>
      <c r="DT509" s="518"/>
      <c r="DU509" s="519"/>
      <c r="DV509" s="527"/>
      <c r="DW509" s="518"/>
      <c r="DX509" s="518"/>
      <c r="DY509" s="520"/>
      <c r="DZ509" s="520"/>
      <c r="EA509" s="519"/>
      <c r="EB509" s="527"/>
      <c r="EC509" s="520"/>
      <c r="ED509" s="520"/>
      <c r="EE509" s="519"/>
      <c r="EF509" s="550"/>
      <c r="EG509" s="537"/>
      <c r="EH509" s="521"/>
      <c r="EI509" s="521"/>
      <c r="EJ509" s="521"/>
      <c r="EK509" s="521"/>
      <c r="EL509" s="521"/>
      <c r="EM509" s="521"/>
      <c r="EN509" s="521"/>
      <c r="EO509" s="521"/>
      <c r="EP509" s="521"/>
      <c r="EQ509" s="521"/>
      <c r="ER509" s="521"/>
      <c r="ES509" s="521"/>
      <c r="ET509" s="521"/>
      <c r="EU509" s="521"/>
      <c r="EV509" s="521"/>
      <c r="EW509" s="521"/>
      <c r="EX509" s="521"/>
      <c r="EY509" s="518"/>
      <c r="EZ509" s="523"/>
      <c r="FA509" s="523"/>
      <c r="FB509" s="524"/>
      <c r="FC509" s="524"/>
      <c r="FD509" s="518"/>
      <c r="FE509" s="518"/>
      <c r="FF509" s="518"/>
      <c r="FG509" s="518"/>
      <c r="FH509" s="518"/>
      <c r="FI509" s="518"/>
      <c r="FJ509" s="518"/>
      <c r="FK509" s="518"/>
      <c r="FL509" s="518"/>
      <c r="FM509" s="519"/>
    </row>
    <row r="510" spans="1:169" x14ac:dyDescent="0.25">
      <c r="A510" s="284"/>
      <c r="B510" s="317"/>
      <c r="C510" s="297"/>
      <c r="D510" s="298"/>
      <c r="E510" s="299"/>
      <c r="F510" s="340"/>
      <c r="G510" s="298"/>
      <c r="H510" s="299"/>
      <c r="I510" s="300"/>
      <c r="J510" s="370"/>
      <c r="K510" s="328"/>
      <c r="L510" s="300"/>
      <c r="M510" s="328"/>
      <c r="N510" s="331"/>
      <c r="O510" s="301"/>
      <c r="P510" s="301"/>
      <c r="Q510" s="328"/>
      <c r="R510" s="620"/>
      <c r="S510" s="512"/>
      <c r="T510" s="512"/>
      <c r="U510" s="513"/>
      <c r="V510" s="514"/>
      <c r="W510" s="512"/>
      <c r="X510" s="513"/>
      <c r="Y510" s="514"/>
      <c r="Z510" s="513"/>
      <c r="AA510" s="515"/>
      <c r="AB510" s="516"/>
      <c r="AC510" s="513"/>
      <c r="AD510" s="544"/>
      <c r="AE510" s="516"/>
      <c r="AF510" s="513"/>
      <c r="AG510" s="551"/>
      <c r="AH510" s="595"/>
      <c r="AI510" s="517"/>
      <c r="AJ510" s="518"/>
      <c r="AK510" s="518"/>
      <c r="AL510" s="518"/>
      <c r="AM510" s="519"/>
      <c r="AN510" s="517"/>
      <c r="AO510" s="520"/>
      <c r="AP510" s="525"/>
      <c r="AQ510" s="531"/>
      <c r="AR510" s="593"/>
      <c r="AS510" s="518"/>
      <c r="AT510" s="518"/>
      <c r="AU510" s="518"/>
      <c r="AV510" s="519"/>
      <c r="AW510" s="560"/>
      <c r="AX510" s="522"/>
      <c r="AY510" s="522"/>
      <c r="AZ510" s="522"/>
      <c r="BA510" s="522"/>
      <c r="BB510" s="522"/>
      <c r="BC510" s="518"/>
      <c r="BD510" s="518"/>
      <c r="BE510" s="518"/>
      <c r="BF510" s="518"/>
      <c r="BG510" s="518"/>
      <c r="BH510" s="519"/>
      <c r="BI510" s="527"/>
      <c r="BJ510" s="518"/>
      <c r="BK510" s="518"/>
      <c r="BL510" s="520"/>
      <c r="BM510" s="520"/>
      <c r="BN510" s="519"/>
      <c r="BO510" s="517"/>
      <c r="BP510" s="520"/>
      <c r="BQ510" s="520"/>
      <c r="BR510" s="519"/>
      <c r="BS510" s="548"/>
      <c r="BT510" s="537"/>
      <c r="BU510" s="521"/>
      <c r="BV510" s="521"/>
      <c r="BW510" s="521"/>
      <c r="BX510" s="521"/>
      <c r="BY510" s="521"/>
      <c r="BZ510" s="521"/>
      <c r="CA510" s="521"/>
      <c r="CB510" s="521"/>
      <c r="CC510" s="521"/>
      <c r="CD510" s="521"/>
      <c r="CE510" s="521"/>
      <c r="CF510" s="521"/>
      <c r="CG510" s="521"/>
      <c r="CH510" s="521"/>
      <c r="CI510" s="521"/>
      <c r="CJ510" s="521"/>
      <c r="CK510" s="521"/>
      <c r="CL510" s="518"/>
      <c r="CM510" s="523"/>
      <c r="CN510" s="523"/>
      <c r="CO510" s="524"/>
      <c r="CP510" s="524"/>
      <c r="CQ510" s="518"/>
      <c r="CR510" s="518"/>
      <c r="CS510" s="518"/>
      <c r="CT510" s="518"/>
      <c r="CU510" s="518"/>
      <c r="CV510" s="518"/>
      <c r="CW510" s="518"/>
      <c r="CX510" s="518"/>
      <c r="CY510" s="518"/>
      <c r="CZ510" s="519"/>
      <c r="DA510" s="527"/>
      <c r="DB510" s="520"/>
      <c r="DC510" s="525"/>
      <c r="DD510" s="531"/>
      <c r="DE510" s="593"/>
      <c r="DF510" s="518"/>
      <c r="DG510" s="518"/>
      <c r="DH510" s="518"/>
      <c r="DI510" s="519"/>
      <c r="DJ510" s="560"/>
      <c r="DK510" s="522"/>
      <c r="DL510" s="522"/>
      <c r="DM510" s="522"/>
      <c r="DN510" s="522"/>
      <c r="DO510" s="522"/>
      <c r="DP510" s="518"/>
      <c r="DQ510" s="518"/>
      <c r="DR510" s="518"/>
      <c r="DS510" s="518"/>
      <c r="DT510" s="518"/>
      <c r="DU510" s="519"/>
      <c r="DV510" s="527"/>
      <c r="DW510" s="518"/>
      <c r="DX510" s="518"/>
      <c r="DY510" s="520"/>
      <c r="DZ510" s="520"/>
      <c r="EA510" s="519"/>
      <c r="EB510" s="527"/>
      <c r="EC510" s="520"/>
      <c r="ED510" s="520"/>
      <c r="EE510" s="519"/>
      <c r="EF510" s="550"/>
      <c r="EG510" s="537"/>
      <c r="EH510" s="521"/>
      <c r="EI510" s="521"/>
      <c r="EJ510" s="521"/>
      <c r="EK510" s="521"/>
      <c r="EL510" s="521"/>
      <c r="EM510" s="521"/>
      <c r="EN510" s="521"/>
      <c r="EO510" s="521"/>
      <c r="EP510" s="521"/>
      <c r="EQ510" s="521"/>
      <c r="ER510" s="521"/>
      <c r="ES510" s="521"/>
      <c r="ET510" s="521"/>
      <c r="EU510" s="521"/>
      <c r="EV510" s="521"/>
      <c r="EW510" s="521"/>
      <c r="EX510" s="521"/>
      <c r="EY510" s="518"/>
      <c r="EZ510" s="523"/>
      <c r="FA510" s="523"/>
      <c r="FB510" s="524"/>
      <c r="FC510" s="524"/>
      <c r="FD510" s="518"/>
      <c r="FE510" s="518"/>
      <c r="FF510" s="518"/>
      <c r="FG510" s="518"/>
      <c r="FH510" s="518"/>
      <c r="FI510" s="518"/>
      <c r="FJ510" s="518"/>
      <c r="FK510" s="518"/>
      <c r="FL510" s="518"/>
      <c r="FM510" s="519"/>
    </row>
    <row r="511" spans="1:169" x14ac:dyDescent="0.25">
      <c r="A511" s="284"/>
      <c r="B511" s="317"/>
      <c r="C511" s="297"/>
      <c r="D511" s="298"/>
      <c r="E511" s="299"/>
      <c r="F511" s="340"/>
      <c r="G511" s="298"/>
      <c r="H511" s="299"/>
      <c r="I511" s="300"/>
      <c r="J511" s="370"/>
      <c r="K511" s="328"/>
      <c r="L511" s="300"/>
      <c r="M511" s="328"/>
      <c r="N511" s="331"/>
      <c r="O511" s="301"/>
      <c r="P511" s="301"/>
      <c r="Q511" s="328"/>
      <c r="R511" s="620"/>
      <c r="S511" s="512"/>
      <c r="T511" s="512"/>
      <c r="U511" s="513"/>
      <c r="V511" s="514"/>
      <c r="W511" s="512"/>
      <c r="X511" s="513"/>
      <c r="Y511" s="514"/>
      <c r="Z511" s="513"/>
      <c r="AA511" s="515"/>
      <c r="AB511" s="516"/>
      <c r="AC511" s="513"/>
      <c r="AD511" s="544"/>
      <c r="AE511" s="516"/>
      <c r="AF511" s="513"/>
      <c r="AG511" s="551"/>
      <c r="AH511" s="595"/>
      <c r="AI511" s="517"/>
      <c r="AJ511" s="518"/>
      <c r="AK511" s="518"/>
      <c r="AL511" s="518"/>
      <c r="AM511" s="519"/>
      <c r="AN511" s="517"/>
      <c r="AO511" s="520"/>
      <c r="AP511" s="525"/>
      <c r="AQ511" s="531"/>
      <c r="AR511" s="593"/>
      <c r="AS511" s="518"/>
      <c r="AT511" s="518"/>
      <c r="AU511" s="518"/>
      <c r="AV511" s="519"/>
      <c r="AW511" s="560"/>
      <c r="AX511" s="522"/>
      <c r="AY511" s="522"/>
      <c r="AZ511" s="522"/>
      <c r="BA511" s="522"/>
      <c r="BB511" s="522"/>
      <c r="BC511" s="518"/>
      <c r="BD511" s="518"/>
      <c r="BE511" s="518"/>
      <c r="BF511" s="518"/>
      <c r="BG511" s="518"/>
      <c r="BH511" s="519"/>
      <c r="BI511" s="527"/>
      <c r="BJ511" s="518"/>
      <c r="BK511" s="518"/>
      <c r="BL511" s="520"/>
      <c r="BM511" s="520"/>
      <c r="BN511" s="519"/>
      <c r="BO511" s="517"/>
      <c r="BP511" s="520"/>
      <c r="BQ511" s="520"/>
      <c r="BR511" s="519"/>
      <c r="BS511" s="548"/>
      <c r="BT511" s="537"/>
      <c r="BU511" s="521"/>
      <c r="BV511" s="521"/>
      <c r="BW511" s="521"/>
      <c r="BX511" s="521"/>
      <c r="BY511" s="521"/>
      <c r="BZ511" s="521"/>
      <c r="CA511" s="521"/>
      <c r="CB511" s="521"/>
      <c r="CC511" s="521"/>
      <c r="CD511" s="521"/>
      <c r="CE511" s="521"/>
      <c r="CF511" s="521"/>
      <c r="CG511" s="521"/>
      <c r="CH511" s="521"/>
      <c r="CI511" s="521"/>
      <c r="CJ511" s="521"/>
      <c r="CK511" s="521"/>
      <c r="CL511" s="518"/>
      <c r="CM511" s="523"/>
      <c r="CN511" s="523"/>
      <c r="CO511" s="524"/>
      <c r="CP511" s="524"/>
      <c r="CQ511" s="518"/>
      <c r="CR511" s="518"/>
      <c r="CS511" s="518"/>
      <c r="CT511" s="518"/>
      <c r="CU511" s="518"/>
      <c r="CV511" s="518"/>
      <c r="CW511" s="518"/>
      <c r="CX511" s="518"/>
      <c r="CY511" s="518"/>
      <c r="CZ511" s="519"/>
      <c r="DA511" s="527"/>
      <c r="DB511" s="520"/>
      <c r="DC511" s="525"/>
      <c r="DD511" s="531"/>
      <c r="DE511" s="593"/>
      <c r="DF511" s="518"/>
      <c r="DG511" s="518"/>
      <c r="DH511" s="518"/>
      <c r="DI511" s="519"/>
      <c r="DJ511" s="560"/>
      <c r="DK511" s="522"/>
      <c r="DL511" s="522"/>
      <c r="DM511" s="522"/>
      <c r="DN511" s="522"/>
      <c r="DO511" s="522"/>
      <c r="DP511" s="518"/>
      <c r="DQ511" s="518"/>
      <c r="DR511" s="518"/>
      <c r="DS511" s="518"/>
      <c r="DT511" s="518"/>
      <c r="DU511" s="519"/>
      <c r="DV511" s="527"/>
      <c r="DW511" s="518"/>
      <c r="DX511" s="518"/>
      <c r="DY511" s="520"/>
      <c r="DZ511" s="520"/>
      <c r="EA511" s="519"/>
      <c r="EB511" s="527"/>
      <c r="EC511" s="520"/>
      <c r="ED511" s="520"/>
      <c r="EE511" s="519"/>
      <c r="EF511" s="550"/>
      <c r="EG511" s="537"/>
      <c r="EH511" s="521"/>
      <c r="EI511" s="521"/>
      <c r="EJ511" s="521"/>
      <c r="EK511" s="521"/>
      <c r="EL511" s="521"/>
      <c r="EM511" s="521"/>
      <c r="EN511" s="521"/>
      <c r="EO511" s="521"/>
      <c r="EP511" s="521"/>
      <c r="EQ511" s="521"/>
      <c r="ER511" s="521"/>
      <c r="ES511" s="521"/>
      <c r="ET511" s="521"/>
      <c r="EU511" s="521"/>
      <c r="EV511" s="521"/>
      <c r="EW511" s="521"/>
      <c r="EX511" s="521"/>
      <c r="EY511" s="518"/>
      <c r="EZ511" s="523"/>
      <c r="FA511" s="523"/>
      <c r="FB511" s="524"/>
      <c r="FC511" s="524"/>
      <c r="FD511" s="518"/>
      <c r="FE511" s="518"/>
      <c r="FF511" s="518"/>
      <c r="FG511" s="518"/>
      <c r="FH511" s="518"/>
      <c r="FI511" s="518"/>
      <c r="FJ511" s="518"/>
      <c r="FK511" s="518"/>
      <c r="FL511" s="518"/>
      <c r="FM511" s="519"/>
    </row>
    <row r="512" spans="1:169" x14ac:dyDescent="0.25">
      <c r="A512" s="284"/>
      <c r="B512" s="317"/>
      <c r="C512" s="297"/>
      <c r="D512" s="298"/>
      <c r="E512" s="299"/>
      <c r="F512" s="340"/>
      <c r="G512" s="298"/>
      <c r="H512" s="299"/>
      <c r="I512" s="300"/>
      <c r="J512" s="370"/>
      <c r="K512" s="328"/>
      <c r="L512" s="300"/>
      <c r="M512" s="328"/>
      <c r="N512" s="331"/>
      <c r="O512" s="301"/>
      <c r="P512" s="301"/>
      <c r="Q512" s="328"/>
      <c r="R512" s="620"/>
      <c r="S512" s="512"/>
      <c r="T512" s="512"/>
      <c r="U512" s="513"/>
      <c r="V512" s="514"/>
      <c r="W512" s="512"/>
      <c r="X512" s="513"/>
      <c r="Y512" s="514"/>
      <c r="Z512" s="513"/>
      <c r="AA512" s="515"/>
      <c r="AB512" s="516"/>
      <c r="AC512" s="513"/>
      <c r="AD512" s="544"/>
      <c r="AE512" s="516"/>
      <c r="AF512" s="513"/>
      <c r="AG512" s="551"/>
      <c r="AH512" s="595"/>
      <c r="AI512" s="517"/>
      <c r="AJ512" s="518"/>
      <c r="AK512" s="518"/>
      <c r="AL512" s="518"/>
      <c r="AM512" s="519"/>
      <c r="AN512" s="517"/>
      <c r="AO512" s="520"/>
      <c r="AP512" s="525"/>
      <c r="AQ512" s="531"/>
      <c r="AR512" s="593"/>
      <c r="AS512" s="518"/>
      <c r="AT512" s="518"/>
      <c r="AU512" s="518"/>
      <c r="AV512" s="519"/>
      <c r="AW512" s="560"/>
      <c r="AX512" s="522"/>
      <c r="AY512" s="522"/>
      <c r="AZ512" s="522"/>
      <c r="BA512" s="522"/>
      <c r="BB512" s="522"/>
      <c r="BC512" s="518"/>
      <c r="BD512" s="518"/>
      <c r="BE512" s="518"/>
      <c r="BF512" s="518"/>
      <c r="BG512" s="518"/>
      <c r="BH512" s="519"/>
      <c r="BI512" s="527"/>
      <c r="BJ512" s="518"/>
      <c r="BK512" s="518"/>
      <c r="BL512" s="520"/>
      <c r="BM512" s="520"/>
      <c r="BN512" s="519"/>
      <c r="BO512" s="517"/>
      <c r="BP512" s="520"/>
      <c r="BQ512" s="520"/>
      <c r="BR512" s="519"/>
      <c r="BS512" s="548"/>
      <c r="BT512" s="537"/>
      <c r="BU512" s="521"/>
      <c r="BV512" s="521"/>
      <c r="BW512" s="521"/>
      <c r="BX512" s="521"/>
      <c r="BY512" s="521"/>
      <c r="BZ512" s="521"/>
      <c r="CA512" s="521"/>
      <c r="CB512" s="521"/>
      <c r="CC512" s="521"/>
      <c r="CD512" s="521"/>
      <c r="CE512" s="521"/>
      <c r="CF512" s="521"/>
      <c r="CG512" s="521"/>
      <c r="CH512" s="521"/>
      <c r="CI512" s="521"/>
      <c r="CJ512" s="521"/>
      <c r="CK512" s="521"/>
      <c r="CL512" s="518"/>
      <c r="CM512" s="523"/>
      <c r="CN512" s="523"/>
      <c r="CO512" s="524"/>
      <c r="CP512" s="524"/>
      <c r="CQ512" s="518"/>
      <c r="CR512" s="518"/>
      <c r="CS512" s="518"/>
      <c r="CT512" s="518"/>
      <c r="CU512" s="518"/>
      <c r="CV512" s="518"/>
      <c r="CW512" s="518"/>
      <c r="CX512" s="518"/>
      <c r="CY512" s="518"/>
      <c r="CZ512" s="519"/>
      <c r="DA512" s="527"/>
      <c r="DB512" s="520"/>
      <c r="DC512" s="525"/>
      <c r="DD512" s="531"/>
      <c r="DE512" s="593"/>
      <c r="DF512" s="518"/>
      <c r="DG512" s="518"/>
      <c r="DH512" s="518"/>
      <c r="DI512" s="519"/>
      <c r="DJ512" s="560"/>
      <c r="DK512" s="522"/>
      <c r="DL512" s="522"/>
      <c r="DM512" s="522"/>
      <c r="DN512" s="522"/>
      <c r="DO512" s="522"/>
      <c r="DP512" s="518"/>
      <c r="DQ512" s="518"/>
      <c r="DR512" s="518"/>
      <c r="DS512" s="518"/>
      <c r="DT512" s="518"/>
      <c r="DU512" s="519"/>
      <c r="DV512" s="527"/>
      <c r="DW512" s="518"/>
      <c r="DX512" s="518"/>
      <c r="DY512" s="520"/>
      <c r="DZ512" s="520"/>
      <c r="EA512" s="519"/>
      <c r="EB512" s="527"/>
      <c r="EC512" s="520"/>
      <c r="ED512" s="520"/>
      <c r="EE512" s="519"/>
      <c r="EF512" s="550"/>
      <c r="EG512" s="537"/>
      <c r="EH512" s="521"/>
      <c r="EI512" s="521"/>
      <c r="EJ512" s="521"/>
      <c r="EK512" s="521"/>
      <c r="EL512" s="521"/>
      <c r="EM512" s="521"/>
      <c r="EN512" s="521"/>
      <c r="EO512" s="521"/>
      <c r="EP512" s="521"/>
      <c r="EQ512" s="521"/>
      <c r="ER512" s="521"/>
      <c r="ES512" s="521"/>
      <c r="ET512" s="521"/>
      <c r="EU512" s="521"/>
      <c r="EV512" s="521"/>
      <c r="EW512" s="521"/>
      <c r="EX512" s="521"/>
      <c r="EY512" s="518"/>
      <c r="EZ512" s="523"/>
      <c r="FA512" s="523"/>
      <c r="FB512" s="524"/>
      <c r="FC512" s="524"/>
      <c r="FD512" s="518"/>
      <c r="FE512" s="518"/>
      <c r="FF512" s="518"/>
      <c r="FG512" s="518"/>
      <c r="FH512" s="518"/>
      <c r="FI512" s="518"/>
      <c r="FJ512" s="518"/>
      <c r="FK512" s="518"/>
      <c r="FL512" s="518"/>
      <c r="FM512" s="519"/>
    </row>
    <row r="513" spans="1:169" x14ac:dyDescent="0.25">
      <c r="A513" s="284"/>
      <c r="B513" s="317"/>
      <c r="C513" s="297"/>
      <c r="D513" s="298"/>
      <c r="E513" s="299"/>
      <c r="F513" s="340"/>
      <c r="G513" s="298"/>
      <c r="H513" s="299"/>
      <c r="I513" s="300"/>
      <c r="J513" s="370"/>
      <c r="K513" s="328"/>
      <c r="L513" s="300"/>
      <c r="M513" s="328"/>
      <c r="N513" s="331"/>
      <c r="O513" s="301"/>
      <c r="P513" s="301"/>
      <c r="Q513" s="328"/>
      <c r="R513" s="620"/>
      <c r="S513" s="512"/>
      <c r="T513" s="512"/>
      <c r="U513" s="513"/>
      <c r="V513" s="514"/>
      <c r="W513" s="512"/>
      <c r="X513" s="513"/>
      <c r="Y513" s="514"/>
      <c r="Z513" s="513"/>
      <c r="AA513" s="515"/>
      <c r="AB513" s="516"/>
      <c r="AC513" s="513"/>
      <c r="AD513" s="544"/>
      <c r="AE513" s="516"/>
      <c r="AF513" s="513"/>
      <c r="AG513" s="551"/>
      <c r="AH513" s="595"/>
      <c r="AI513" s="517"/>
      <c r="AJ513" s="518"/>
      <c r="AK513" s="518"/>
      <c r="AL513" s="518"/>
      <c r="AM513" s="519"/>
      <c r="AN513" s="517"/>
      <c r="AO513" s="520"/>
      <c r="AP513" s="525"/>
      <c r="AQ513" s="531"/>
      <c r="AR513" s="593"/>
      <c r="AS513" s="518"/>
      <c r="AT513" s="518"/>
      <c r="AU513" s="518"/>
      <c r="AV513" s="519"/>
      <c r="AW513" s="560"/>
      <c r="AX513" s="522"/>
      <c r="AY513" s="522"/>
      <c r="AZ513" s="522"/>
      <c r="BA513" s="522"/>
      <c r="BB513" s="522"/>
      <c r="BC513" s="518"/>
      <c r="BD513" s="518"/>
      <c r="BE513" s="518"/>
      <c r="BF513" s="518"/>
      <c r="BG513" s="518"/>
      <c r="BH513" s="519"/>
      <c r="BI513" s="527"/>
      <c r="BJ513" s="518"/>
      <c r="BK513" s="518"/>
      <c r="BL513" s="520"/>
      <c r="BM513" s="520"/>
      <c r="BN513" s="519"/>
      <c r="BO513" s="517"/>
      <c r="BP513" s="520"/>
      <c r="BQ513" s="520"/>
      <c r="BR513" s="519"/>
      <c r="BS513" s="548"/>
      <c r="BT513" s="537"/>
      <c r="BU513" s="521"/>
      <c r="BV513" s="521"/>
      <c r="BW513" s="521"/>
      <c r="BX513" s="521"/>
      <c r="BY513" s="521"/>
      <c r="BZ513" s="521"/>
      <c r="CA513" s="521"/>
      <c r="CB513" s="521"/>
      <c r="CC513" s="521"/>
      <c r="CD513" s="521"/>
      <c r="CE513" s="521"/>
      <c r="CF513" s="521"/>
      <c r="CG513" s="521"/>
      <c r="CH513" s="521"/>
      <c r="CI513" s="521"/>
      <c r="CJ513" s="521"/>
      <c r="CK513" s="521"/>
      <c r="CL513" s="518"/>
      <c r="CM513" s="523"/>
      <c r="CN513" s="523"/>
      <c r="CO513" s="524"/>
      <c r="CP513" s="524"/>
      <c r="CQ513" s="518"/>
      <c r="CR513" s="518"/>
      <c r="CS513" s="518"/>
      <c r="CT513" s="518"/>
      <c r="CU513" s="518"/>
      <c r="CV513" s="518"/>
      <c r="CW513" s="518"/>
      <c r="CX513" s="518"/>
      <c r="CY513" s="518"/>
      <c r="CZ513" s="519"/>
      <c r="DA513" s="527"/>
      <c r="DB513" s="520"/>
      <c r="DC513" s="525"/>
      <c r="DD513" s="531"/>
      <c r="DE513" s="593"/>
      <c r="DF513" s="518"/>
      <c r="DG513" s="518"/>
      <c r="DH513" s="518"/>
      <c r="DI513" s="519"/>
      <c r="DJ513" s="560"/>
      <c r="DK513" s="522"/>
      <c r="DL513" s="522"/>
      <c r="DM513" s="522"/>
      <c r="DN513" s="522"/>
      <c r="DO513" s="522"/>
      <c r="DP513" s="518"/>
      <c r="DQ513" s="518"/>
      <c r="DR513" s="518"/>
      <c r="DS513" s="518"/>
      <c r="DT513" s="518"/>
      <c r="DU513" s="519"/>
      <c r="DV513" s="527"/>
      <c r="DW513" s="518"/>
      <c r="DX513" s="518"/>
      <c r="DY513" s="520"/>
      <c r="DZ513" s="520"/>
      <c r="EA513" s="519"/>
      <c r="EB513" s="527"/>
      <c r="EC513" s="520"/>
      <c r="ED513" s="520"/>
      <c r="EE513" s="519"/>
      <c r="EF513" s="550"/>
      <c r="EG513" s="537"/>
      <c r="EH513" s="521"/>
      <c r="EI513" s="521"/>
      <c r="EJ513" s="521"/>
      <c r="EK513" s="521"/>
      <c r="EL513" s="521"/>
      <c r="EM513" s="521"/>
      <c r="EN513" s="521"/>
      <c r="EO513" s="521"/>
      <c r="EP513" s="521"/>
      <c r="EQ513" s="521"/>
      <c r="ER513" s="521"/>
      <c r="ES513" s="521"/>
      <c r="ET513" s="521"/>
      <c r="EU513" s="521"/>
      <c r="EV513" s="521"/>
      <c r="EW513" s="521"/>
      <c r="EX513" s="521"/>
      <c r="EY513" s="518"/>
      <c r="EZ513" s="523"/>
      <c r="FA513" s="523"/>
      <c r="FB513" s="524"/>
      <c r="FC513" s="524"/>
      <c r="FD513" s="518"/>
      <c r="FE513" s="518"/>
      <c r="FF513" s="518"/>
      <c r="FG513" s="518"/>
      <c r="FH513" s="518"/>
      <c r="FI513" s="518"/>
      <c r="FJ513" s="518"/>
      <c r="FK513" s="518"/>
      <c r="FL513" s="518"/>
      <c r="FM513" s="519"/>
    </row>
    <row r="514" spans="1:169" x14ac:dyDescent="0.25">
      <c r="A514" s="284"/>
      <c r="B514" s="317"/>
      <c r="C514" s="297"/>
      <c r="D514" s="298"/>
      <c r="E514" s="299"/>
      <c r="F514" s="340"/>
      <c r="G514" s="298"/>
      <c r="H514" s="299"/>
      <c r="I514" s="300"/>
      <c r="J514" s="370"/>
      <c r="K514" s="328"/>
      <c r="L514" s="300"/>
      <c r="M514" s="328"/>
      <c r="N514" s="331"/>
      <c r="O514" s="301"/>
      <c r="P514" s="301"/>
      <c r="Q514" s="328"/>
      <c r="R514" s="620"/>
      <c r="S514" s="512"/>
      <c r="T514" s="512"/>
      <c r="U514" s="513"/>
      <c r="V514" s="514"/>
      <c r="W514" s="512"/>
      <c r="X514" s="513"/>
      <c r="Y514" s="514"/>
      <c r="Z514" s="513"/>
      <c r="AA514" s="515"/>
      <c r="AB514" s="516"/>
      <c r="AC514" s="513"/>
      <c r="AD514" s="544"/>
      <c r="AE514" s="516"/>
      <c r="AF514" s="513"/>
      <c r="AG514" s="551"/>
      <c r="AH514" s="595"/>
      <c r="AI514" s="517"/>
      <c r="AJ514" s="518"/>
      <c r="AK514" s="518"/>
      <c r="AL514" s="518"/>
      <c r="AM514" s="519"/>
      <c r="AN514" s="517"/>
      <c r="AO514" s="520"/>
      <c r="AP514" s="525"/>
      <c r="AQ514" s="531"/>
      <c r="AR514" s="593"/>
      <c r="AS514" s="518"/>
      <c r="AT514" s="518"/>
      <c r="AU514" s="518"/>
      <c r="AV514" s="519"/>
      <c r="AW514" s="560"/>
      <c r="AX514" s="522"/>
      <c r="AY514" s="522"/>
      <c r="AZ514" s="522"/>
      <c r="BA514" s="522"/>
      <c r="BB514" s="522"/>
      <c r="BC514" s="518"/>
      <c r="BD514" s="518"/>
      <c r="BE514" s="518"/>
      <c r="BF514" s="518"/>
      <c r="BG514" s="518"/>
      <c r="BH514" s="519"/>
      <c r="BI514" s="527"/>
      <c r="BJ514" s="518"/>
      <c r="BK514" s="518"/>
      <c r="BL514" s="520"/>
      <c r="BM514" s="520"/>
      <c r="BN514" s="519"/>
      <c r="BO514" s="517"/>
      <c r="BP514" s="520"/>
      <c r="BQ514" s="520"/>
      <c r="BR514" s="519"/>
      <c r="BS514" s="548"/>
      <c r="BT514" s="537"/>
      <c r="BU514" s="521"/>
      <c r="BV514" s="521"/>
      <c r="BW514" s="521"/>
      <c r="BX514" s="521"/>
      <c r="BY514" s="521"/>
      <c r="BZ514" s="521"/>
      <c r="CA514" s="521"/>
      <c r="CB514" s="521"/>
      <c r="CC514" s="521"/>
      <c r="CD514" s="521"/>
      <c r="CE514" s="521"/>
      <c r="CF514" s="521"/>
      <c r="CG514" s="521"/>
      <c r="CH514" s="521"/>
      <c r="CI514" s="521"/>
      <c r="CJ514" s="521"/>
      <c r="CK514" s="521"/>
      <c r="CL514" s="518"/>
      <c r="CM514" s="523"/>
      <c r="CN514" s="523"/>
      <c r="CO514" s="524"/>
      <c r="CP514" s="524"/>
      <c r="CQ514" s="518"/>
      <c r="CR514" s="518"/>
      <c r="CS514" s="518"/>
      <c r="CT514" s="518"/>
      <c r="CU514" s="518"/>
      <c r="CV514" s="518"/>
      <c r="CW514" s="518"/>
      <c r="CX514" s="518"/>
      <c r="CY514" s="518"/>
      <c r="CZ514" s="519"/>
      <c r="DA514" s="527"/>
      <c r="DB514" s="520"/>
      <c r="DC514" s="525"/>
      <c r="DD514" s="531"/>
      <c r="DE514" s="593"/>
      <c r="DF514" s="518"/>
      <c r="DG514" s="518"/>
      <c r="DH514" s="518"/>
      <c r="DI514" s="519"/>
      <c r="DJ514" s="560"/>
      <c r="DK514" s="522"/>
      <c r="DL514" s="522"/>
      <c r="DM514" s="522"/>
      <c r="DN514" s="522"/>
      <c r="DO514" s="522"/>
      <c r="DP514" s="518"/>
      <c r="DQ514" s="518"/>
      <c r="DR514" s="518"/>
      <c r="DS514" s="518"/>
      <c r="DT514" s="518"/>
      <c r="DU514" s="519"/>
      <c r="DV514" s="527"/>
      <c r="DW514" s="518"/>
      <c r="DX514" s="518"/>
      <c r="DY514" s="520"/>
      <c r="DZ514" s="520"/>
      <c r="EA514" s="519"/>
      <c r="EB514" s="527"/>
      <c r="EC514" s="520"/>
      <c r="ED514" s="520"/>
      <c r="EE514" s="519"/>
      <c r="EF514" s="550"/>
      <c r="EG514" s="537"/>
      <c r="EH514" s="521"/>
      <c r="EI514" s="521"/>
      <c r="EJ514" s="521"/>
      <c r="EK514" s="521"/>
      <c r="EL514" s="521"/>
      <c r="EM514" s="521"/>
      <c r="EN514" s="521"/>
      <c r="EO514" s="521"/>
      <c r="EP514" s="521"/>
      <c r="EQ514" s="521"/>
      <c r="ER514" s="521"/>
      <c r="ES514" s="521"/>
      <c r="ET514" s="521"/>
      <c r="EU514" s="521"/>
      <c r="EV514" s="521"/>
      <c r="EW514" s="521"/>
      <c r="EX514" s="521"/>
      <c r="EY514" s="518"/>
      <c r="EZ514" s="523"/>
      <c r="FA514" s="523"/>
      <c r="FB514" s="524"/>
      <c r="FC514" s="524"/>
      <c r="FD514" s="518"/>
      <c r="FE514" s="518"/>
      <c r="FF514" s="518"/>
      <c r="FG514" s="518"/>
      <c r="FH514" s="518"/>
      <c r="FI514" s="518"/>
      <c r="FJ514" s="518"/>
      <c r="FK514" s="518"/>
      <c r="FL514" s="518"/>
      <c r="FM514" s="519"/>
    </row>
    <row r="515" spans="1:169" x14ac:dyDescent="0.25">
      <c r="A515" s="284"/>
      <c r="B515" s="317"/>
      <c r="C515" s="297"/>
      <c r="D515" s="298"/>
      <c r="E515" s="299"/>
      <c r="F515" s="340"/>
      <c r="G515" s="298"/>
      <c r="H515" s="299"/>
      <c r="I515" s="300"/>
      <c r="J515" s="370"/>
      <c r="K515" s="328"/>
      <c r="L515" s="300"/>
      <c r="M515" s="328"/>
      <c r="N515" s="331"/>
      <c r="O515" s="301"/>
      <c r="P515" s="301"/>
      <c r="Q515" s="328"/>
      <c r="R515" s="620"/>
      <c r="S515" s="512"/>
      <c r="T515" s="512"/>
      <c r="U515" s="513"/>
      <c r="V515" s="514"/>
      <c r="W515" s="512"/>
      <c r="X515" s="513"/>
      <c r="Y515" s="514"/>
      <c r="Z515" s="513"/>
      <c r="AA515" s="515"/>
      <c r="AB515" s="516"/>
      <c r="AC515" s="513"/>
      <c r="AD515" s="544"/>
      <c r="AE515" s="516"/>
      <c r="AF515" s="513"/>
      <c r="AG515" s="551"/>
      <c r="AH515" s="595"/>
      <c r="AI515" s="517"/>
      <c r="AJ515" s="518"/>
      <c r="AK515" s="518"/>
      <c r="AL515" s="518"/>
      <c r="AM515" s="519"/>
      <c r="AN515" s="517"/>
      <c r="AO515" s="520"/>
      <c r="AP515" s="525"/>
      <c r="AQ515" s="531"/>
      <c r="AR515" s="593"/>
      <c r="AS515" s="518"/>
      <c r="AT515" s="518"/>
      <c r="AU515" s="518"/>
      <c r="AV515" s="519"/>
      <c r="AW515" s="560"/>
      <c r="AX515" s="522"/>
      <c r="AY515" s="522"/>
      <c r="AZ515" s="522"/>
      <c r="BA515" s="522"/>
      <c r="BB515" s="522"/>
      <c r="BC515" s="518"/>
      <c r="BD515" s="518"/>
      <c r="BE515" s="518"/>
      <c r="BF515" s="518"/>
      <c r="BG515" s="518"/>
      <c r="BH515" s="519"/>
      <c r="BI515" s="527"/>
      <c r="BJ515" s="518"/>
      <c r="BK515" s="518"/>
      <c r="BL515" s="520"/>
      <c r="BM515" s="520"/>
      <c r="BN515" s="519"/>
      <c r="BO515" s="517"/>
      <c r="BP515" s="520"/>
      <c r="BQ515" s="520"/>
      <c r="BR515" s="519"/>
      <c r="BS515" s="548"/>
      <c r="BT515" s="537"/>
      <c r="BU515" s="521"/>
      <c r="BV515" s="521"/>
      <c r="BW515" s="521"/>
      <c r="BX515" s="521"/>
      <c r="BY515" s="521"/>
      <c r="BZ515" s="521"/>
      <c r="CA515" s="521"/>
      <c r="CB515" s="521"/>
      <c r="CC515" s="521"/>
      <c r="CD515" s="521"/>
      <c r="CE515" s="521"/>
      <c r="CF515" s="521"/>
      <c r="CG515" s="521"/>
      <c r="CH515" s="521"/>
      <c r="CI515" s="521"/>
      <c r="CJ515" s="521"/>
      <c r="CK515" s="521"/>
      <c r="CL515" s="518"/>
      <c r="CM515" s="523"/>
      <c r="CN515" s="523"/>
      <c r="CO515" s="524"/>
      <c r="CP515" s="524"/>
      <c r="CQ515" s="518"/>
      <c r="CR515" s="518"/>
      <c r="CS515" s="518"/>
      <c r="CT515" s="518"/>
      <c r="CU515" s="518"/>
      <c r="CV515" s="518"/>
      <c r="CW515" s="518"/>
      <c r="CX515" s="518"/>
      <c r="CY515" s="518"/>
      <c r="CZ515" s="519"/>
      <c r="DA515" s="527"/>
      <c r="DB515" s="520"/>
      <c r="DC515" s="525"/>
      <c r="DD515" s="531"/>
      <c r="DE515" s="593"/>
      <c r="DF515" s="518"/>
      <c r="DG515" s="518"/>
      <c r="DH515" s="518"/>
      <c r="DI515" s="519"/>
      <c r="DJ515" s="560"/>
      <c r="DK515" s="522"/>
      <c r="DL515" s="522"/>
      <c r="DM515" s="522"/>
      <c r="DN515" s="522"/>
      <c r="DO515" s="522"/>
      <c r="DP515" s="518"/>
      <c r="DQ515" s="518"/>
      <c r="DR515" s="518"/>
      <c r="DS515" s="518"/>
      <c r="DT515" s="518"/>
      <c r="DU515" s="519"/>
      <c r="DV515" s="527"/>
      <c r="DW515" s="518"/>
      <c r="DX515" s="518"/>
      <c r="DY515" s="520"/>
      <c r="DZ515" s="520"/>
      <c r="EA515" s="519"/>
      <c r="EB515" s="527"/>
      <c r="EC515" s="520"/>
      <c r="ED515" s="520"/>
      <c r="EE515" s="519"/>
      <c r="EF515" s="550"/>
      <c r="EG515" s="537"/>
      <c r="EH515" s="521"/>
      <c r="EI515" s="521"/>
      <c r="EJ515" s="521"/>
      <c r="EK515" s="521"/>
      <c r="EL515" s="521"/>
      <c r="EM515" s="521"/>
      <c r="EN515" s="521"/>
      <c r="EO515" s="521"/>
      <c r="EP515" s="521"/>
      <c r="EQ515" s="521"/>
      <c r="ER515" s="521"/>
      <c r="ES515" s="521"/>
      <c r="ET515" s="521"/>
      <c r="EU515" s="521"/>
      <c r="EV515" s="521"/>
      <c r="EW515" s="521"/>
      <c r="EX515" s="521"/>
      <c r="EY515" s="518"/>
      <c r="EZ515" s="523"/>
      <c r="FA515" s="523"/>
      <c r="FB515" s="524"/>
      <c r="FC515" s="524"/>
      <c r="FD515" s="518"/>
      <c r="FE515" s="518"/>
      <c r="FF515" s="518"/>
      <c r="FG515" s="518"/>
      <c r="FH515" s="518"/>
      <c r="FI515" s="518"/>
      <c r="FJ515" s="518"/>
      <c r="FK515" s="518"/>
      <c r="FL515" s="518"/>
      <c r="FM515" s="519"/>
    </row>
    <row r="516" spans="1:169" x14ac:dyDescent="0.25">
      <c r="A516" s="284"/>
      <c r="B516" s="317"/>
      <c r="C516" s="297"/>
      <c r="D516" s="298"/>
      <c r="E516" s="299"/>
      <c r="F516" s="340"/>
      <c r="G516" s="298"/>
      <c r="H516" s="299"/>
      <c r="I516" s="300"/>
      <c r="J516" s="370"/>
      <c r="K516" s="328"/>
      <c r="L516" s="300"/>
      <c r="M516" s="328"/>
      <c r="N516" s="331"/>
      <c r="O516" s="301"/>
      <c r="P516" s="301"/>
      <c r="Q516" s="328"/>
      <c r="R516" s="620"/>
      <c r="S516" s="512"/>
      <c r="T516" s="512"/>
      <c r="U516" s="513"/>
      <c r="V516" s="514"/>
      <c r="W516" s="512"/>
      <c r="X516" s="513"/>
      <c r="Y516" s="514"/>
      <c r="Z516" s="513"/>
      <c r="AA516" s="515"/>
      <c r="AB516" s="516"/>
      <c r="AC516" s="513"/>
      <c r="AD516" s="544"/>
      <c r="AE516" s="516"/>
      <c r="AF516" s="513"/>
      <c r="AG516" s="551"/>
      <c r="AH516" s="595"/>
      <c r="AI516" s="517"/>
      <c r="AJ516" s="518"/>
      <c r="AK516" s="518"/>
      <c r="AL516" s="518"/>
      <c r="AM516" s="519"/>
      <c r="AN516" s="517"/>
      <c r="AO516" s="520"/>
      <c r="AP516" s="525"/>
      <c r="AQ516" s="531"/>
      <c r="AR516" s="593"/>
      <c r="AS516" s="518"/>
      <c r="AT516" s="518"/>
      <c r="AU516" s="518"/>
      <c r="AV516" s="519"/>
      <c r="AW516" s="560"/>
      <c r="AX516" s="522"/>
      <c r="AY516" s="522"/>
      <c r="AZ516" s="522"/>
      <c r="BA516" s="522"/>
      <c r="BB516" s="522"/>
      <c r="BC516" s="518"/>
      <c r="BD516" s="518"/>
      <c r="BE516" s="518"/>
      <c r="BF516" s="518"/>
      <c r="BG516" s="518"/>
      <c r="BH516" s="519"/>
      <c r="BI516" s="527"/>
      <c r="BJ516" s="518"/>
      <c r="BK516" s="518"/>
      <c r="BL516" s="520"/>
      <c r="BM516" s="520"/>
      <c r="BN516" s="519"/>
      <c r="BO516" s="517"/>
      <c r="BP516" s="520"/>
      <c r="BQ516" s="520"/>
      <c r="BR516" s="519"/>
      <c r="BS516" s="548"/>
      <c r="BT516" s="537"/>
      <c r="BU516" s="521"/>
      <c r="BV516" s="521"/>
      <c r="BW516" s="521"/>
      <c r="BX516" s="521"/>
      <c r="BY516" s="521"/>
      <c r="BZ516" s="521"/>
      <c r="CA516" s="521"/>
      <c r="CB516" s="521"/>
      <c r="CC516" s="521"/>
      <c r="CD516" s="521"/>
      <c r="CE516" s="521"/>
      <c r="CF516" s="521"/>
      <c r="CG516" s="521"/>
      <c r="CH516" s="521"/>
      <c r="CI516" s="521"/>
      <c r="CJ516" s="521"/>
      <c r="CK516" s="521"/>
      <c r="CL516" s="518"/>
      <c r="CM516" s="523"/>
      <c r="CN516" s="523"/>
      <c r="CO516" s="524"/>
      <c r="CP516" s="524"/>
      <c r="CQ516" s="518"/>
      <c r="CR516" s="518"/>
      <c r="CS516" s="518"/>
      <c r="CT516" s="518"/>
      <c r="CU516" s="518"/>
      <c r="CV516" s="518"/>
      <c r="CW516" s="518"/>
      <c r="CX516" s="518"/>
      <c r="CY516" s="518"/>
      <c r="CZ516" s="519"/>
      <c r="DA516" s="527"/>
      <c r="DB516" s="520"/>
      <c r="DC516" s="525"/>
      <c r="DD516" s="531"/>
      <c r="DE516" s="593"/>
      <c r="DF516" s="518"/>
      <c r="DG516" s="518"/>
      <c r="DH516" s="518"/>
      <c r="DI516" s="519"/>
      <c r="DJ516" s="560"/>
      <c r="DK516" s="522"/>
      <c r="DL516" s="522"/>
      <c r="DM516" s="522"/>
      <c r="DN516" s="522"/>
      <c r="DO516" s="522"/>
      <c r="DP516" s="518"/>
      <c r="DQ516" s="518"/>
      <c r="DR516" s="518"/>
      <c r="DS516" s="518"/>
      <c r="DT516" s="518"/>
      <c r="DU516" s="519"/>
      <c r="DV516" s="527"/>
      <c r="DW516" s="518"/>
      <c r="DX516" s="518"/>
      <c r="DY516" s="520"/>
      <c r="DZ516" s="520"/>
      <c r="EA516" s="519"/>
      <c r="EB516" s="527"/>
      <c r="EC516" s="520"/>
      <c r="ED516" s="520"/>
      <c r="EE516" s="519"/>
      <c r="EF516" s="550"/>
      <c r="EG516" s="537"/>
      <c r="EH516" s="521"/>
      <c r="EI516" s="521"/>
      <c r="EJ516" s="521"/>
      <c r="EK516" s="521"/>
      <c r="EL516" s="521"/>
      <c r="EM516" s="521"/>
      <c r="EN516" s="521"/>
      <c r="EO516" s="521"/>
      <c r="EP516" s="521"/>
      <c r="EQ516" s="521"/>
      <c r="ER516" s="521"/>
      <c r="ES516" s="521"/>
      <c r="ET516" s="521"/>
      <c r="EU516" s="521"/>
      <c r="EV516" s="521"/>
      <c r="EW516" s="521"/>
      <c r="EX516" s="521"/>
      <c r="EY516" s="518"/>
      <c r="EZ516" s="523"/>
      <c r="FA516" s="523"/>
      <c r="FB516" s="524"/>
      <c r="FC516" s="524"/>
      <c r="FD516" s="518"/>
      <c r="FE516" s="518"/>
      <c r="FF516" s="518"/>
      <c r="FG516" s="518"/>
      <c r="FH516" s="518"/>
      <c r="FI516" s="518"/>
      <c r="FJ516" s="518"/>
      <c r="FK516" s="518"/>
      <c r="FL516" s="518"/>
      <c r="FM516" s="519"/>
    </row>
    <row r="517" spans="1:169" x14ac:dyDescent="0.25">
      <c r="A517" s="284"/>
      <c r="B517" s="317"/>
      <c r="C517" s="297"/>
      <c r="D517" s="298"/>
      <c r="E517" s="299"/>
      <c r="F517" s="340"/>
      <c r="G517" s="298"/>
      <c r="H517" s="299"/>
      <c r="I517" s="300"/>
      <c r="J517" s="370"/>
      <c r="K517" s="328"/>
      <c r="L517" s="300"/>
      <c r="M517" s="328"/>
      <c r="N517" s="331"/>
      <c r="O517" s="301"/>
      <c r="P517" s="301"/>
      <c r="Q517" s="328"/>
      <c r="R517" s="620"/>
      <c r="S517" s="512"/>
      <c r="T517" s="512"/>
      <c r="U517" s="513"/>
      <c r="V517" s="514"/>
      <c r="W517" s="512"/>
      <c r="X517" s="513"/>
      <c r="Y517" s="514"/>
      <c r="Z517" s="513"/>
      <c r="AA517" s="515"/>
      <c r="AB517" s="516"/>
      <c r="AC517" s="513"/>
      <c r="AD517" s="544"/>
      <c r="AE517" s="516"/>
      <c r="AF517" s="513"/>
      <c r="AG517" s="551"/>
      <c r="AH517" s="595"/>
      <c r="AI517" s="517"/>
      <c r="AJ517" s="518"/>
      <c r="AK517" s="518"/>
      <c r="AL517" s="518"/>
      <c r="AM517" s="519"/>
      <c r="AN517" s="517"/>
      <c r="AO517" s="520"/>
      <c r="AP517" s="525"/>
      <c r="AQ517" s="531"/>
      <c r="AR517" s="593"/>
      <c r="AS517" s="518"/>
      <c r="AT517" s="518"/>
      <c r="AU517" s="518"/>
      <c r="AV517" s="519"/>
      <c r="AW517" s="560"/>
      <c r="AX517" s="522"/>
      <c r="AY517" s="522"/>
      <c r="AZ517" s="522"/>
      <c r="BA517" s="522"/>
      <c r="BB517" s="522"/>
      <c r="BC517" s="518"/>
      <c r="BD517" s="518"/>
      <c r="BE517" s="518"/>
      <c r="BF517" s="518"/>
      <c r="BG517" s="518"/>
      <c r="BH517" s="519"/>
      <c r="BI517" s="527"/>
      <c r="BJ517" s="518"/>
      <c r="BK517" s="518"/>
      <c r="BL517" s="520"/>
      <c r="BM517" s="520"/>
      <c r="BN517" s="519"/>
      <c r="BO517" s="517"/>
      <c r="BP517" s="520"/>
      <c r="BQ517" s="520"/>
      <c r="BR517" s="519"/>
      <c r="BS517" s="548"/>
      <c r="BT517" s="537"/>
      <c r="BU517" s="521"/>
      <c r="BV517" s="521"/>
      <c r="BW517" s="521"/>
      <c r="BX517" s="521"/>
      <c r="BY517" s="521"/>
      <c r="BZ517" s="521"/>
      <c r="CA517" s="521"/>
      <c r="CB517" s="521"/>
      <c r="CC517" s="521"/>
      <c r="CD517" s="521"/>
      <c r="CE517" s="521"/>
      <c r="CF517" s="521"/>
      <c r="CG517" s="521"/>
      <c r="CH517" s="521"/>
      <c r="CI517" s="521"/>
      <c r="CJ517" s="521"/>
      <c r="CK517" s="521"/>
      <c r="CL517" s="518"/>
      <c r="CM517" s="523"/>
      <c r="CN517" s="523"/>
      <c r="CO517" s="524"/>
      <c r="CP517" s="524"/>
      <c r="CQ517" s="518"/>
      <c r="CR517" s="518"/>
      <c r="CS517" s="518"/>
      <c r="CT517" s="518"/>
      <c r="CU517" s="518"/>
      <c r="CV517" s="518"/>
      <c r="CW517" s="518"/>
      <c r="CX517" s="518"/>
      <c r="CY517" s="518"/>
      <c r="CZ517" s="519"/>
      <c r="DA517" s="527"/>
      <c r="DB517" s="520"/>
      <c r="DC517" s="525"/>
      <c r="DD517" s="531"/>
      <c r="DE517" s="593"/>
      <c r="DF517" s="518"/>
      <c r="DG517" s="518"/>
      <c r="DH517" s="518"/>
      <c r="DI517" s="519"/>
      <c r="DJ517" s="560"/>
      <c r="DK517" s="522"/>
      <c r="DL517" s="522"/>
      <c r="DM517" s="522"/>
      <c r="DN517" s="522"/>
      <c r="DO517" s="522"/>
      <c r="DP517" s="518"/>
      <c r="DQ517" s="518"/>
      <c r="DR517" s="518"/>
      <c r="DS517" s="518"/>
      <c r="DT517" s="518"/>
      <c r="DU517" s="519"/>
      <c r="DV517" s="527"/>
      <c r="DW517" s="518"/>
      <c r="DX517" s="518"/>
      <c r="DY517" s="520"/>
      <c r="DZ517" s="520"/>
      <c r="EA517" s="519"/>
      <c r="EB517" s="527"/>
      <c r="EC517" s="520"/>
      <c r="ED517" s="520"/>
      <c r="EE517" s="519"/>
      <c r="EF517" s="550"/>
      <c r="EG517" s="537"/>
      <c r="EH517" s="521"/>
      <c r="EI517" s="521"/>
      <c r="EJ517" s="521"/>
      <c r="EK517" s="521"/>
      <c r="EL517" s="521"/>
      <c r="EM517" s="521"/>
      <c r="EN517" s="521"/>
      <c r="EO517" s="521"/>
      <c r="EP517" s="521"/>
      <c r="EQ517" s="521"/>
      <c r="ER517" s="521"/>
      <c r="ES517" s="521"/>
      <c r="ET517" s="521"/>
      <c r="EU517" s="521"/>
      <c r="EV517" s="521"/>
      <c r="EW517" s="521"/>
      <c r="EX517" s="521"/>
      <c r="EY517" s="518"/>
      <c r="EZ517" s="523"/>
      <c r="FA517" s="523"/>
      <c r="FB517" s="524"/>
      <c r="FC517" s="524"/>
      <c r="FD517" s="518"/>
      <c r="FE517" s="518"/>
      <c r="FF517" s="518"/>
      <c r="FG517" s="518"/>
      <c r="FH517" s="518"/>
      <c r="FI517" s="518"/>
      <c r="FJ517" s="518"/>
      <c r="FK517" s="518"/>
      <c r="FL517" s="518"/>
      <c r="FM517" s="519"/>
    </row>
    <row r="518" spans="1:169" x14ac:dyDescent="0.25">
      <c r="A518" s="284"/>
      <c r="B518" s="317"/>
      <c r="C518" s="297"/>
      <c r="D518" s="298"/>
      <c r="E518" s="299"/>
      <c r="F518" s="340"/>
      <c r="G518" s="298"/>
      <c r="H518" s="299"/>
      <c r="I518" s="300"/>
      <c r="J518" s="370"/>
      <c r="K518" s="328"/>
      <c r="L518" s="300"/>
      <c r="M518" s="328"/>
      <c r="N518" s="331"/>
      <c r="O518" s="301"/>
      <c r="P518" s="301"/>
      <c r="Q518" s="328"/>
      <c r="R518" s="620"/>
      <c r="S518" s="512"/>
      <c r="T518" s="512"/>
      <c r="U518" s="513"/>
      <c r="V518" s="514"/>
      <c r="W518" s="512"/>
      <c r="X518" s="513"/>
      <c r="Y518" s="514"/>
      <c r="Z518" s="513"/>
      <c r="AA518" s="515"/>
      <c r="AB518" s="516"/>
      <c r="AC518" s="513"/>
      <c r="AD518" s="544"/>
      <c r="AE518" s="516"/>
      <c r="AF518" s="513"/>
      <c r="AG518" s="551"/>
      <c r="AH518" s="595"/>
      <c r="AI518" s="517"/>
      <c r="AJ518" s="518"/>
      <c r="AK518" s="518"/>
      <c r="AL518" s="518"/>
      <c r="AM518" s="519"/>
      <c r="AN518" s="517"/>
      <c r="AO518" s="520"/>
      <c r="AP518" s="525"/>
      <c r="AQ518" s="531"/>
      <c r="AR518" s="593"/>
      <c r="AS518" s="518"/>
      <c r="AT518" s="518"/>
      <c r="AU518" s="518"/>
      <c r="AV518" s="519"/>
      <c r="AW518" s="560"/>
      <c r="AX518" s="522"/>
      <c r="AY518" s="522"/>
      <c r="AZ518" s="522"/>
      <c r="BA518" s="522"/>
      <c r="BB518" s="522"/>
      <c r="BC518" s="518"/>
      <c r="BD518" s="518"/>
      <c r="BE518" s="518"/>
      <c r="BF518" s="518"/>
      <c r="BG518" s="518"/>
      <c r="BH518" s="519"/>
      <c r="BI518" s="527"/>
      <c r="BJ518" s="518"/>
      <c r="BK518" s="518"/>
      <c r="BL518" s="520"/>
      <c r="BM518" s="520"/>
      <c r="BN518" s="519"/>
      <c r="BO518" s="517"/>
      <c r="BP518" s="520"/>
      <c r="BQ518" s="520"/>
      <c r="BR518" s="519"/>
      <c r="BS518" s="548"/>
      <c r="BT518" s="537"/>
      <c r="BU518" s="521"/>
      <c r="BV518" s="521"/>
      <c r="BW518" s="521"/>
      <c r="BX518" s="521"/>
      <c r="BY518" s="521"/>
      <c r="BZ518" s="521"/>
      <c r="CA518" s="521"/>
      <c r="CB518" s="521"/>
      <c r="CC518" s="521"/>
      <c r="CD518" s="521"/>
      <c r="CE518" s="521"/>
      <c r="CF518" s="521"/>
      <c r="CG518" s="521"/>
      <c r="CH518" s="521"/>
      <c r="CI518" s="521"/>
      <c r="CJ518" s="521"/>
      <c r="CK518" s="521"/>
      <c r="CL518" s="518"/>
      <c r="CM518" s="523"/>
      <c r="CN518" s="523"/>
      <c r="CO518" s="524"/>
      <c r="CP518" s="524"/>
      <c r="CQ518" s="518"/>
      <c r="CR518" s="518"/>
      <c r="CS518" s="518"/>
      <c r="CT518" s="518"/>
      <c r="CU518" s="518"/>
      <c r="CV518" s="518"/>
      <c r="CW518" s="518"/>
      <c r="CX518" s="518"/>
      <c r="CY518" s="518"/>
      <c r="CZ518" s="519"/>
      <c r="DA518" s="527"/>
      <c r="DB518" s="520"/>
      <c r="DC518" s="525"/>
      <c r="DD518" s="531"/>
      <c r="DE518" s="593"/>
      <c r="DF518" s="518"/>
      <c r="DG518" s="518"/>
      <c r="DH518" s="518"/>
      <c r="DI518" s="519"/>
      <c r="DJ518" s="560"/>
      <c r="DK518" s="522"/>
      <c r="DL518" s="522"/>
      <c r="DM518" s="522"/>
      <c r="DN518" s="522"/>
      <c r="DO518" s="522"/>
      <c r="DP518" s="518"/>
      <c r="DQ518" s="518"/>
      <c r="DR518" s="518"/>
      <c r="DS518" s="518"/>
      <c r="DT518" s="518"/>
      <c r="DU518" s="519"/>
      <c r="DV518" s="527"/>
      <c r="DW518" s="518"/>
      <c r="DX518" s="518"/>
      <c r="DY518" s="520"/>
      <c r="DZ518" s="520"/>
      <c r="EA518" s="519"/>
      <c r="EB518" s="527"/>
      <c r="EC518" s="520"/>
      <c r="ED518" s="520"/>
      <c r="EE518" s="519"/>
      <c r="EF518" s="550"/>
      <c r="EG518" s="537"/>
      <c r="EH518" s="521"/>
      <c r="EI518" s="521"/>
      <c r="EJ518" s="521"/>
      <c r="EK518" s="521"/>
      <c r="EL518" s="521"/>
      <c r="EM518" s="521"/>
      <c r="EN518" s="521"/>
      <c r="EO518" s="521"/>
      <c r="EP518" s="521"/>
      <c r="EQ518" s="521"/>
      <c r="ER518" s="521"/>
      <c r="ES518" s="521"/>
      <c r="ET518" s="521"/>
      <c r="EU518" s="521"/>
      <c r="EV518" s="521"/>
      <c r="EW518" s="521"/>
      <c r="EX518" s="521"/>
      <c r="EY518" s="518"/>
      <c r="EZ518" s="523"/>
      <c r="FA518" s="523"/>
      <c r="FB518" s="524"/>
      <c r="FC518" s="524"/>
      <c r="FD518" s="518"/>
      <c r="FE518" s="518"/>
      <c r="FF518" s="518"/>
      <c r="FG518" s="518"/>
      <c r="FH518" s="518"/>
      <c r="FI518" s="518"/>
      <c r="FJ518" s="518"/>
      <c r="FK518" s="518"/>
      <c r="FL518" s="518"/>
      <c r="FM518" s="519"/>
    </row>
    <row r="519" spans="1:169" x14ac:dyDescent="0.25">
      <c r="A519" s="284"/>
      <c r="B519" s="317"/>
      <c r="C519" s="297"/>
      <c r="D519" s="298"/>
      <c r="E519" s="299"/>
      <c r="F519" s="340"/>
      <c r="G519" s="298"/>
      <c r="H519" s="299"/>
      <c r="I519" s="300"/>
      <c r="J519" s="370"/>
      <c r="K519" s="328"/>
      <c r="L519" s="300"/>
      <c r="M519" s="328"/>
      <c r="N519" s="331"/>
      <c r="O519" s="301"/>
      <c r="P519" s="301"/>
      <c r="Q519" s="328"/>
      <c r="R519" s="620"/>
      <c r="S519" s="512"/>
      <c r="T519" s="512"/>
      <c r="U519" s="513"/>
      <c r="V519" s="514"/>
      <c r="W519" s="512"/>
      <c r="X519" s="513"/>
      <c r="Y519" s="514"/>
      <c r="Z519" s="513"/>
      <c r="AA519" s="515"/>
      <c r="AB519" s="516"/>
      <c r="AC519" s="513"/>
      <c r="AD519" s="544"/>
      <c r="AE519" s="516"/>
      <c r="AF519" s="513"/>
      <c r="AG519" s="551"/>
      <c r="AH519" s="595"/>
      <c r="AI519" s="517"/>
      <c r="AJ519" s="518"/>
      <c r="AK519" s="518"/>
      <c r="AL519" s="518"/>
      <c r="AM519" s="519"/>
      <c r="AN519" s="517"/>
      <c r="AO519" s="520"/>
      <c r="AP519" s="525"/>
      <c r="AQ519" s="531"/>
      <c r="AR519" s="593"/>
      <c r="AS519" s="518"/>
      <c r="AT519" s="518"/>
      <c r="AU519" s="518"/>
      <c r="AV519" s="519"/>
      <c r="AW519" s="560"/>
      <c r="AX519" s="522"/>
      <c r="AY519" s="522"/>
      <c r="AZ519" s="522"/>
      <c r="BA519" s="522"/>
      <c r="BB519" s="522"/>
      <c r="BC519" s="518"/>
      <c r="BD519" s="518"/>
      <c r="BE519" s="518"/>
      <c r="BF519" s="518"/>
      <c r="BG519" s="518"/>
      <c r="BH519" s="519"/>
      <c r="BI519" s="527"/>
      <c r="BJ519" s="518"/>
      <c r="BK519" s="518"/>
      <c r="BL519" s="520"/>
      <c r="BM519" s="520"/>
      <c r="BN519" s="519"/>
      <c r="BO519" s="517"/>
      <c r="BP519" s="520"/>
      <c r="BQ519" s="520"/>
      <c r="BR519" s="519"/>
      <c r="BS519" s="548"/>
      <c r="BT519" s="537"/>
      <c r="BU519" s="521"/>
      <c r="BV519" s="521"/>
      <c r="BW519" s="521"/>
      <c r="BX519" s="521"/>
      <c r="BY519" s="521"/>
      <c r="BZ519" s="521"/>
      <c r="CA519" s="521"/>
      <c r="CB519" s="521"/>
      <c r="CC519" s="521"/>
      <c r="CD519" s="521"/>
      <c r="CE519" s="521"/>
      <c r="CF519" s="521"/>
      <c r="CG519" s="521"/>
      <c r="CH519" s="521"/>
      <c r="CI519" s="521"/>
      <c r="CJ519" s="521"/>
      <c r="CK519" s="521"/>
      <c r="CL519" s="518"/>
      <c r="CM519" s="523"/>
      <c r="CN519" s="523"/>
      <c r="CO519" s="524"/>
      <c r="CP519" s="524"/>
      <c r="CQ519" s="518"/>
      <c r="CR519" s="518"/>
      <c r="CS519" s="518"/>
      <c r="CT519" s="518"/>
      <c r="CU519" s="518"/>
      <c r="CV519" s="518"/>
      <c r="CW519" s="518"/>
      <c r="CX519" s="518"/>
      <c r="CY519" s="518"/>
      <c r="CZ519" s="519"/>
      <c r="DA519" s="527"/>
      <c r="DB519" s="520"/>
      <c r="DC519" s="525"/>
      <c r="DD519" s="531"/>
      <c r="DE519" s="593"/>
      <c r="DF519" s="518"/>
      <c r="DG519" s="518"/>
      <c r="DH519" s="518"/>
      <c r="DI519" s="519"/>
      <c r="DJ519" s="560"/>
      <c r="DK519" s="522"/>
      <c r="DL519" s="522"/>
      <c r="DM519" s="522"/>
      <c r="DN519" s="522"/>
      <c r="DO519" s="522"/>
      <c r="DP519" s="518"/>
      <c r="DQ519" s="518"/>
      <c r="DR519" s="518"/>
      <c r="DS519" s="518"/>
      <c r="DT519" s="518"/>
      <c r="DU519" s="519"/>
      <c r="DV519" s="527"/>
      <c r="DW519" s="518"/>
      <c r="DX519" s="518"/>
      <c r="DY519" s="520"/>
      <c r="DZ519" s="520"/>
      <c r="EA519" s="519"/>
      <c r="EB519" s="527"/>
      <c r="EC519" s="520"/>
      <c r="ED519" s="520"/>
      <c r="EE519" s="519"/>
      <c r="EF519" s="550"/>
      <c r="EG519" s="537"/>
      <c r="EH519" s="521"/>
      <c r="EI519" s="521"/>
      <c r="EJ519" s="521"/>
      <c r="EK519" s="521"/>
      <c r="EL519" s="521"/>
      <c r="EM519" s="521"/>
      <c r="EN519" s="521"/>
      <c r="EO519" s="521"/>
      <c r="EP519" s="521"/>
      <c r="EQ519" s="521"/>
      <c r="ER519" s="521"/>
      <c r="ES519" s="521"/>
      <c r="ET519" s="521"/>
      <c r="EU519" s="521"/>
      <c r="EV519" s="521"/>
      <c r="EW519" s="521"/>
      <c r="EX519" s="521"/>
      <c r="EY519" s="518"/>
      <c r="EZ519" s="523"/>
      <c r="FA519" s="523"/>
      <c r="FB519" s="524"/>
      <c r="FC519" s="524"/>
      <c r="FD519" s="518"/>
      <c r="FE519" s="518"/>
      <c r="FF519" s="518"/>
      <c r="FG519" s="518"/>
      <c r="FH519" s="518"/>
      <c r="FI519" s="518"/>
      <c r="FJ519" s="518"/>
      <c r="FK519" s="518"/>
      <c r="FL519" s="518"/>
      <c r="FM519" s="519"/>
    </row>
    <row r="520" spans="1:169" x14ac:dyDescent="0.25">
      <c r="A520" s="284"/>
      <c r="B520" s="317"/>
      <c r="C520" s="297"/>
      <c r="D520" s="298"/>
      <c r="E520" s="299"/>
      <c r="F520" s="340"/>
      <c r="G520" s="298"/>
      <c r="H520" s="299"/>
      <c r="I520" s="300"/>
      <c r="J520" s="370"/>
      <c r="K520" s="328"/>
      <c r="L520" s="300"/>
      <c r="M520" s="328"/>
      <c r="N520" s="331"/>
      <c r="O520" s="301"/>
      <c r="P520" s="301"/>
      <c r="Q520" s="328"/>
      <c r="R520" s="620"/>
      <c r="S520" s="512"/>
      <c r="T520" s="512"/>
      <c r="U520" s="513"/>
      <c r="V520" s="514"/>
      <c r="W520" s="512"/>
      <c r="X520" s="513"/>
      <c r="Y520" s="514"/>
      <c r="Z520" s="513"/>
      <c r="AA520" s="515"/>
      <c r="AB520" s="516"/>
      <c r="AC520" s="513"/>
      <c r="AD520" s="544"/>
      <c r="AE520" s="516"/>
      <c r="AF520" s="513"/>
      <c r="AG520" s="551"/>
      <c r="AH520" s="595"/>
      <c r="AI520" s="517"/>
      <c r="AJ520" s="518"/>
      <c r="AK520" s="518"/>
      <c r="AL520" s="518"/>
      <c r="AM520" s="519"/>
      <c r="AN520" s="517"/>
      <c r="AO520" s="520"/>
      <c r="AP520" s="525"/>
      <c r="AQ520" s="531"/>
      <c r="AR520" s="593"/>
      <c r="AS520" s="518"/>
      <c r="AT520" s="518"/>
      <c r="AU520" s="518"/>
      <c r="AV520" s="519"/>
      <c r="AW520" s="560"/>
      <c r="AX520" s="522"/>
      <c r="AY520" s="522"/>
      <c r="AZ520" s="522"/>
      <c r="BA520" s="522"/>
      <c r="BB520" s="522"/>
      <c r="BC520" s="518"/>
      <c r="BD520" s="518"/>
      <c r="BE520" s="518"/>
      <c r="BF520" s="518"/>
      <c r="BG520" s="518"/>
      <c r="BH520" s="519"/>
      <c r="BI520" s="527"/>
      <c r="BJ520" s="518"/>
      <c r="BK520" s="518"/>
      <c r="BL520" s="520"/>
      <c r="BM520" s="520"/>
      <c r="BN520" s="519"/>
      <c r="BO520" s="517"/>
      <c r="BP520" s="520"/>
      <c r="BQ520" s="520"/>
      <c r="BR520" s="519"/>
      <c r="BS520" s="548"/>
      <c r="BT520" s="537"/>
      <c r="BU520" s="521"/>
      <c r="BV520" s="521"/>
      <c r="BW520" s="521"/>
      <c r="BX520" s="521"/>
      <c r="BY520" s="521"/>
      <c r="BZ520" s="521"/>
      <c r="CA520" s="521"/>
      <c r="CB520" s="521"/>
      <c r="CC520" s="521"/>
      <c r="CD520" s="521"/>
      <c r="CE520" s="521"/>
      <c r="CF520" s="521"/>
      <c r="CG520" s="521"/>
      <c r="CH520" s="521"/>
      <c r="CI520" s="521"/>
      <c r="CJ520" s="521"/>
      <c r="CK520" s="521"/>
      <c r="CL520" s="518"/>
      <c r="CM520" s="523"/>
      <c r="CN520" s="523"/>
      <c r="CO520" s="524"/>
      <c r="CP520" s="524"/>
      <c r="CQ520" s="518"/>
      <c r="CR520" s="518"/>
      <c r="CS520" s="518"/>
      <c r="CT520" s="518"/>
      <c r="CU520" s="518"/>
      <c r="CV520" s="518"/>
      <c r="CW520" s="518"/>
      <c r="CX520" s="518"/>
      <c r="CY520" s="518"/>
      <c r="CZ520" s="519"/>
      <c r="DA520" s="527"/>
      <c r="DB520" s="520"/>
      <c r="DC520" s="525"/>
      <c r="DD520" s="531"/>
      <c r="DE520" s="593"/>
      <c r="DF520" s="518"/>
      <c r="DG520" s="518"/>
      <c r="DH520" s="518"/>
      <c r="DI520" s="519"/>
      <c r="DJ520" s="560"/>
      <c r="DK520" s="522"/>
      <c r="DL520" s="522"/>
      <c r="DM520" s="522"/>
      <c r="DN520" s="522"/>
      <c r="DO520" s="522"/>
      <c r="DP520" s="518"/>
      <c r="DQ520" s="518"/>
      <c r="DR520" s="518"/>
      <c r="DS520" s="518"/>
      <c r="DT520" s="518"/>
      <c r="DU520" s="519"/>
      <c r="DV520" s="527"/>
      <c r="DW520" s="518"/>
      <c r="DX520" s="518"/>
      <c r="DY520" s="520"/>
      <c r="DZ520" s="520"/>
      <c r="EA520" s="519"/>
      <c r="EB520" s="527"/>
      <c r="EC520" s="520"/>
      <c r="ED520" s="520"/>
      <c r="EE520" s="519"/>
      <c r="EF520" s="550"/>
      <c r="EG520" s="537"/>
      <c r="EH520" s="521"/>
      <c r="EI520" s="521"/>
      <c r="EJ520" s="521"/>
      <c r="EK520" s="521"/>
      <c r="EL520" s="521"/>
      <c r="EM520" s="521"/>
      <c r="EN520" s="521"/>
      <c r="EO520" s="521"/>
      <c r="EP520" s="521"/>
      <c r="EQ520" s="521"/>
      <c r="ER520" s="521"/>
      <c r="ES520" s="521"/>
      <c r="ET520" s="521"/>
      <c r="EU520" s="521"/>
      <c r="EV520" s="521"/>
      <c r="EW520" s="521"/>
      <c r="EX520" s="521"/>
      <c r="EY520" s="518"/>
      <c r="EZ520" s="523"/>
      <c r="FA520" s="523"/>
      <c r="FB520" s="524"/>
      <c r="FC520" s="524"/>
      <c r="FD520" s="518"/>
      <c r="FE520" s="518"/>
      <c r="FF520" s="518"/>
      <c r="FG520" s="518"/>
      <c r="FH520" s="518"/>
      <c r="FI520" s="518"/>
      <c r="FJ520" s="518"/>
      <c r="FK520" s="518"/>
      <c r="FL520" s="518"/>
      <c r="FM520" s="519"/>
    </row>
    <row r="521" spans="1:169" x14ac:dyDescent="0.25">
      <c r="A521" s="284"/>
      <c r="B521" s="317"/>
      <c r="C521" s="297"/>
      <c r="D521" s="298"/>
      <c r="E521" s="299"/>
      <c r="F521" s="340"/>
      <c r="G521" s="298"/>
      <c r="H521" s="299"/>
      <c r="I521" s="300"/>
      <c r="J521" s="370"/>
      <c r="K521" s="328"/>
      <c r="L521" s="300"/>
      <c r="M521" s="328"/>
      <c r="N521" s="331"/>
      <c r="O521" s="301"/>
      <c r="P521" s="301"/>
      <c r="Q521" s="328"/>
      <c r="R521" s="620"/>
      <c r="S521" s="512"/>
      <c r="T521" s="512"/>
      <c r="U521" s="513"/>
      <c r="V521" s="514"/>
      <c r="W521" s="512"/>
      <c r="X521" s="513"/>
      <c r="Y521" s="514"/>
      <c r="Z521" s="513"/>
      <c r="AA521" s="515"/>
      <c r="AB521" s="516"/>
      <c r="AC521" s="513"/>
      <c r="AD521" s="544"/>
      <c r="AE521" s="516"/>
      <c r="AF521" s="513"/>
      <c r="AG521" s="551"/>
      <c r="AH521" s="595"/>
      <c r="AI521" s="517"/>
      <c r="AJ521" s="518"/>
      <c r="AK521" s="518"/>
      <c r="AL521" s="518"/>
      <c r="AM521" s="519"/>
      <c r="AN521" s="517"/>
      <c r="AO521" s="520"/>
      <c r="AP521" s="525"/>
      <c r="AQ521" s="531"/>
      <c r="AR521" s="593"/>
      <c r="AS521" s="518"/>
      <c r="AT521" s="518"/>
      <c r="AU521" s="518"/>
      <c r="AV521" s="519"/>
      <c r="AW521" s="560"/>
      <c r="AX521" s="522"/>
      <c r="AY521" s="522"/>
      <c r="AZ521" s="522"/>
      <c r="BA521" s="522"/>
      <c r="BB521" s="522"/>
      <c r="BC521" s="518"/>
      <c r="BD521" s="518"/>
      <c r="BE521" s="518"/>
      <c r="BF521" s="518"/>
      <c r="BG521" s="518"/>
      <c r="BH521" s="519"/>
      <c r="BI521" s="527"/>
      <c r="BJ521" s="518"/>
      <c r="BK521" s="518"/>
      <c r="BL521" s="520"/>
      <c r="BM521" s="520"/>
      <c r="BN521" s="519"/>
      <c r="BO521" s="517"/>
      <c r="BP521" s="520"/>
      <c r="BQ521" s="520"/>
      <c r="BR521" s="519"/>
      <c r="BS521" s="548"/>
      <c r="BT521" s="537"/>
      <c r="BU521" s="521"/>
      <c r="BV521" s="521"/>
      <c r="BW521" s="521"/>
      <c r="BX521" s="521"/>
      <c r="BY521" s="521"/>
      <c r="BZ521" s="521"/>
      <c r="CA521" s="521"/>
      <c r="CB521" s="521"/>
      <c r="CC521" s="521"/>
      <c r="CD521" s="521"/>
      <c r="CE521" s="521"/>
      <c r="CF521" s="521"/>
      <c r="CG521" s="521"/>
      <c r="CH521" s="521"/>
      <c r="CI521" s="521"/>
      <c r="CJ521" s="521"/>
      <c r="CK521" s="521"/>
      <c r="CL521" s="518"/>
      <c r="CM521" s="523"/>
      <c r="CN521" s="523"/>
      <c r="CO521" s="524"/>
      <c r="CP521" s="524"/>
      <c r="CQ521" s="518"/>
      <c r="CR521" s="518"/>
      <c r="CS521" s="518"/>
      <c r="CT521" s="518"/>
      <c r="CU521" s="518"/>
      <c r="CV521" s="518"/>
      <c r="CW521" s="518"/>
      <c r="CX521" s="518"/>
      <c r="CY521" s="518"/>
      <c r="CZ521" s="519"/>
      <c r="DA521" s="527"/>
      <c r="DB521" s="520"/>
      <c r="DC521" s="525"/>
      <c r="DD521" s="531"/>
      <c r="DE521" s="593"/>
      <c r="DF521" s="518"/>
      <c r="DG521" s="518"/>
      <c r="DH521" s="518"/>
      <c r="DI521" s="519"/>
      <c r="DJ521" s="560"/>
      <c r="DK521" s="522"/>
      <c r="DL521" s="522"/>
      <c r="DM521" s="522"/>
      <c r="DN521" s="522"/>
      <c r="DO521" s="522"/>
      <c r="DP521" s="518"/>
      <c r="DQ521" s="518"/>
      <c r="DR521" s="518"/>
      <c r="DS521" s="518"/>
      <c r="DT521" s="518"/>
      <c r="DU521" s="519"/>
      <c r="DV521" s="527"/>
      <c r="DW521" s="518"/>
      <c r="DX521" s="518"/>
      <c r="DY521" s="520"/>
      <c r="DZ521" s="520"/>
      <c r="EA521" s="519"/>
      <c r="EB521" s="527"/>
      <c r="EC521" s="520"/>
      <c r="ED521" s="520"/>
      <c r="EE521" s="519"/>
      <c r="EF521" s="550"/>
      <c r="EG521" s="537"/>
      <c r="EH521" s="521"/>
      <c r="EI521" s="521"/>
      <c r="EJ521" s="521"/>
      <c r="EK521" s="521"/>
      <c r="EL521" s="521"/>
      <c r="EM521" s="521"/>
      <c r="EN521" s="521"/>
      <c r="EO521" s="521"/>
      <c r="EP521" s="521"/>
      <c r="EQ521" s="521"/>
      <c r="ER521" s="521"/>
      <c r="ES521" s="521"/>
      <c r="ET521" s="521"/>
      <c r="EU521" s="521"/>
      <c r="EV521" s="521"/>
      <c r="EW521" s="521"/>
      <c r="EX521" s="521"/>
      <c r="EY521" s="518"/>
      <c r="EZ521" s="523"/>
      <c r="FA521" s="523"/>
      <c r="FB521" s="524"/>
      <c r="FC521" s="524"/>
      <c r="FD521" s="518"/>
      <c r="FE521" s="518"/>
      <c r="FF521" s="518"/>
      <c r="FG521" s="518"/>
      <c r="FH521" s="518"/>
      <c r="FI521" s="518"/>
      <c r="FJ521" s="518"/>
      <c r="FK521" s="518"/>
      <c r="FL521" s="518"/>
      <c r="FM521" s="519"/>
    </row>
    <row r="522" spans="1:169" x14ac:dyDescent="0.25">
      <c r="A522" s="284"/>
      <c r="B522" s="317"/>
      <c r="C522" s="297"/>
      <c r="D522" s="298"/>
      <c r="E522" s="299"/>
      <c r="F522" s="340"/>
      <c r="G522" s="298"/>
      <c r="H522" s="299"/>
      <c r="I522" s="300"/>
      <c r="J522" s="370"/>
      <c r="K522" s="328"/>
      <c r="L522" s="300"/>
      <c r="M522" s="328"/>
      <c r="N522" s="331"/>
      <c r="O522" s="301"/>
      <c r="P522" s="301"/>
      <c r="Q522" s="328"/>
      <c r="R522" s="620"/>
      <c r="S522" s="512"/>
      <c r="T522" s="512"/>
      <c r="U522" s="513"/>
      <c r="V522" s="514"/>
      <c r="W522" s="512"/>
      <c r="X522" s="513"/>
      <c r="Y522" s="514"/>
      <c r="Z522" s="513"/>
      <c r="AA522" s="515"/>
      <c r="AB522" s="516"/>
      <c r="AC522" s="513"/>
      <c r="AD522" s="544"/>
      <c r="AE522" s="516"/>
      <c r="AF522" s="513"/>
      <c r="AG522" s="551"/>
      <c r="AH522" s="595"/>
      <c r="AI522" s="517"/>
      <c r="AJ522" s="518"/>
      <c r="AK522" s="518"/>
      <c r="AL522" s="518"/>
      <c r="AM522" s="519"/>
      <c r="AN522" s="517"/>
      <c r="AO522" s="520"/>
      <c r="AP522" s="525"/>
      <c r="AQ522" s="531"/>
      <c r="AR522" s="593"/>
      <c r="AS522" s="518"/>
      <c r="AT522" s="518"/>
      <c r="AU522" s="518"/>
      <c r="AV522" s="519"/>
      <c r="AW522" s="560"/>
      <c r="AX522" s="522"/>
      <c r="AY522" s="522"/>
      <c r="AZ522" s="522"/>
      <c r="BA522" s="522"/>
      <c r="BB522" s="522"/>
      <c r="BC522" s="518"/>
      <c r="BD522" s="518"/>
      <c r="BE522" s="518"/>
      <c r="BF522" s="518"/>
      <c r="BG522" s="518"/>
      <c r="BH522" s="519"/>
      <c r="BI522" s="527"/>
      <c r="BJ522" s="518"/>
      <c r="BK522" s="518"/>
      <c r="BL522" s="520"/>
      <c r="BM522" s="520"/>
      <c r="BN522" s="519"/>
      <c r="BO522" s="517"/>
      <c r="BP522" s="520"/>
      <c r="BQ522" s="520"/>
      <c r="BR522" s="519"/>
      <c r="BS522" s="548"/>
      <c r="BT522" s="537"/>
      <c r="BU522" s="521"/>
      <c r="BV522" s="521"/>
      <c r="BW522" s="521"/>
      <c r="BX522" s="521"/>
      <c r="BY522" s="521"/>
      <c r="BZ522" s="521"/>
      <c r="CA522" s="521"/>
      <c r="CB522" s="521"/>
      <c r="CC522" s="521"/>
      <c r="CD522" s="521"/>
      <c r="CE522" s="521"/>
      <c r="CF522" s="521"/>
      <c r="CG522" s="521"/>
      <c r="CH522" s="521"/>
      <c r="CI522" s="521"/>
      <c r="CJ522" s="521"/>
      <c r="CK522" s="521"/>
      <c r="CL522" s="518"/>
      <c r="CM522" s="523"/>
      <c r="CN522" s="523"/>
      <c r="CO522" s="524"/>
      <c r="CP522" s="524"/>
      <c r="CQ522" s="518"/>
      <c r="CR522" s="518"/>
      <c r="CS522" s="518"/>
      <c r="CT522" s="518"/>
      <c r="CU522" s="518"/>
      <c r="CV522" s="518"/>
      <c r="CW522" s="518"/>
      <c r="CX522" s="518"/>
      <c r="CY522" s="518"/>
      <c r="CZ522" s="519"/>
      <c r="DA522" s="527"/>
      <c r="DB522" s="520"/>
      <c r="DC522" s="525"/>
      <c r="DD522" s="531"/>
      <c r="DE522" s="593"/>
      <c r="DF522" s="518"/>
      <c r="DG522" s="518"/>
      <c r="DH522" s="518"/>
      <c r="DI522" s="519"/>
      <c r="DJ522" s="560"/>
      <c r="DK522" s="522"/>
      <c r="DL522" s="522"/>
      <c r="DM522" s="522"/>
      <c r="DN522" s="522"/>
      <c r="DO522" s="522"/>
      <c r="DP522" s="518"/>
      <c r="DQ522" s="518"/>
      <c r="DR522" s="518"/>
      <c r="DS522" s="518"/>
      <c r="DT522" s="518"/>
      <c r="DU522" s="519"/>
      <c r="DV522" s="527"/>
      <c r="DW522" s="518"/>
      <c r="DX522" s="518"/>
      <c r="DY522" s="520"/>
      <c r="DZ522" s="520"/>
      <c r="EA522" s="519"/>
      <c r="EB522" s="527"/>
      <c r="EC522" s="520"/>
      <c r="ED522" s="520"/>
      <c r="EE522" s="519"/>
      <c r="EF522" s="550"/>
      <c r="EG522" s="537"/>
      <c r="EH522" s="521"/>
      <c r="EI522" s="521"/>
      <c r="EJ522" s="521"/>
      <c r="EK522" s="521"/>
      <c r="EL522" s="521"/>
      <c r="EM522" s="521"/>
      <c r="EN522" s="521"/>
      <c r="EO522" s="521"/>
      <c r="EP522" s="521"/>
      <c r="EQ522" s="521"/>
      <c r="ER522" s="521"/>
      <c r="ES522" s="521"/>
      <c r="ET522" s="521"/>
      <c r="EU522" s="521"/>
      <c r="EV522" s="521"/>
      <c r="EW522" s="521"/>
      <c r="EX522" s="521"/>
      <c r="EY522" s="518"/>
      <c r="EZ522" s="523"/>
      <c r="FA522" s="523"/>
      <c r="FB522" s="524"/>
      <c r="FC522" s="524"/>
      <c r="FD522" s="518"/>
      <c r="FE522" s="518"/>
      <c r="FF522" s="518"/>
      <c r="FG522" s="518"/>
      <c r="FH522" s="518"/>
      <c r="FI522" s="518"/>
      <c r="FJ522" s="518"/>
      <c r="FK522" s="518"/>
      <c r="FL522" s="518"/>
      <c r="FM522" s="519"/>
    </row>
    <row r="523" spans="1:169" x14ac:dyDescent="0.25">
      <c r="A523" s="284"/>
      <c r="B523" s="317"/>
      <c r="C523" s="297"/>
      <c r="D523" s="298"/>
      <c r="E523" s="299"/>
      <c r="F523" s="340"/>
      <c r="G523" s="298"/>
      <c r="H523" s="299"/>
      <c r="I523" s="300"/>
      <c r="J523" s="370"/>
      <c r="K523" s="328"/>
      <c r="L523" s="300"/>
      <c r="M523" s="328"/>
      <c r="N523" s="331"/>
      <c r="O523" s="301"/>
      <c r="P523" s="301"/>
      <c r="Q523" s="328"/>
      <c r="R523" s="620"/>
      <c r="S523" s="512"/>
      <c r="T523" s="512"/>
      <c r="U523" s="513"/>
      <c r="V523" s="514"/>
      <c r="W523" s="512"/>
      <c r="X523" s="513"/>
      <c r="Y523" s="514"/>
      <c r="Z523" s="513"/>
      <c r="AA523" s="515"/>
      <c r="AB523" s="516"/>
      <c r="AC523" s="513"/>
      <c r="AD523" s="544"/>
      <c r="AE523" s="516"/>
      <c r="AF523" s="513"/>
      <c r="AG523" s="551"/>
      <c r="AH523" s="595"/>
      <c r="AI523" s="517"/>
      <c r="AJ523" s="518"/>
      <c r="AK523" s="518"/>
      <c r="AL523" s="518"/>
      <c r="AM523" s="519"/>
      <c r="AN523" s="517"/>
      <c r="AO523" s="520"/>
      <c r="AP523" s="525"/>
      <c r="AQ523" s="531"/>
      <c r="AR523" s="593"/>
      <c r="AS523" s="518"/>
      <c r="AT523" s="518"/>
      <c r="AU523" s="518"/>
      <c r="AV523" s="519"/>
      <c r="AW523" s="560"/>
      <c r="AX523" s="522"/>
      <c r="AY523" s="522"/>
      <c r="AZ523" s="522"/>
      <c r="BA523" s="522"/>
      <c r="BB523" s="522"/>
      <c r="BC523" s="518"/>
      <c r="BD523" s="518"/>
      <c r="BE523" s="518"/>
      <c r="BF523" s="518"/>
      <c r="BG523" s="518"/>
      <c r="BH523" s="519"/>
      <c r="BI523" s="527"/>
      <c r="BJ523" s="518"/>
      <c r="BK523" s="518"/>
      <c r="BL523" s="520"/>
      <c r="BM523" s="520"/>
      <c r="BN523" s="519"/>
      <c r="BO523" s="517"/>
      <c r="BP523" s="520"/>
      <c r="BQ523" s="520"/>
      <c r="BR523" s="519"/>
      <c r="BS523" s="548"/>
      <c r="BT523" s="537"/>
      <c r="BU523" s="521"/>
      <c r="BV523" s="521"/>
      <c r="BW523" s="521"/>
      <c r="BX523" s="521"/>
      <c r="BY523" s="521"/>
      <c r="BZ523" s="521"/>
      <c r="CA523" s="521"/>
      <c r="CB523" s="521"/>
      <c r="CC523" s="521"/>
      <c r="CD523" s="521"/>
      <c r="CE523" s="521"/>
      <c r="CF523" s="521"/>
      <c r="CG523" s="521"/>
      <c r="CH523" s="521"/>
      <c r="CI523" s="521"/>
      <c r="CJ523" s="521"/>
      <c r="CK523" s="521"/>
      <c r="CL523" s="518"/>
      <c r="CM523" s="523"/>
      <c r="CN523" s="523"/>
      <c r="CO523" s="524"/>
      <c r="CP523" s="524"/>
      <c r="CQ523" s="518"/>
      <c r="CR523" s="518"/>
      <c r="CS523" s="518"/>
      <c r="CT523" s="518"/>
      <c r="CU523" s="518"/>
      <c r="CV523" s="518"/>
      <c r="CW523" s="518"/>
      <c r="CX523" s="518"/>
      <c r="CY523" s="518"/>
      <c r="CZ523" s="519"/>
      <c r="DA523" s="527"/>
      <c r="DB523" s="520"/>
      <c r="DC523" s="525"/>
      <c r="DD523" s="531"/>
      <c r="DE523" s="593"/>
      <c r="DF523" s="518"/>
      <c r="DG523" s="518"/>
      <c r="DH523" s="518"/>
      <c r="DI523" s="519"/>
      <c r="DJ523" s="560"/>
      <c r="DK523" s="522"/>
      <c r="DL523" s="522"/>
      <c r="DM523" s="522"/>
      <c r="DN523" s="522"/>
      <c r="DO523" s="522"/>
      <c r="DP523" s="518"/>
      <c r="DQ523" s="518"/>
      <c r="DR523" s="518"/>
      <c r="DS523" s="518"/>
      <c r="DT523" s="518"/>
      <c r="DU523" s="519"/>
      <c r="DV523" s="527"/>
      <c r="DW523" s="518"/>
      <c r="DX523" s="518"/>
      <c r="DY523" s="520"/>
      <c r="DZ523" s="520"/>
      <c r="EA523" s="519"/>
      <c r="EB523" s="527"/>
      <c r="EC523" s="520"/>
      <c r="ED523" s="520"/>
      <c r="EE523" s="519"/>
      <c r="EF523" s="550"/>
      <c r="EG523" s="537"/>
      <c r="EH523" s="521"/>
      <c r="EI523" s="521"/>
      <c r="EJ523" s="521"/>
      <c r="EK523" s="521"/>
      <c r="EL523" s="521"/>
      <c r="EM523" s="521"/>
      <c r="EN523" s="521"/>
      <c r="EO523" s="521"/>
      <c r="EP523" s="521"/>
      <c r="EQ523" s="521"/>
      <c r="ER523" s="521"/>
      <c r="ES523" s="521"/>
      <c r="ET523" s="521"/>
      <c r="EU523" s="521"/>
      <c r="EV523" s="521"/>
      <c r="EW523" s="521"/>
      <c r="EX523" s="521"/>
      <c r="EY523" s="518"/>
      <c r="EZ523" s="523"/>
      <c r="FA523" s="523"/>
      <c r="FB523" s="524"/>
      <c r="FC523" s="524"/>
      <c r="FD523" s="518"/>
      <c r="FE523" s="518"/>
      <c r="FF523" s="518"/>
      <c r="FG523" s="518"/>
      <c r="FH523" s="518"/>
      <c r="FI523" s="518"/>
      <c r="FJ523" s="518"/>
      <c r="FK523" s="518"/>
      <c r="FL523" s="518"/>
      <c r="FM523" s="519"/>
    </row>
    <row r="524" spans="1:169" x14ac:dyDescent="0.25">
      <c r="A524" s="284"/>
      <c r="B524" s="317"/>
      <c r="C524" s="297"/>
      <c r="D524" s="298"/>
      <c r="E524" s="299"/>
      <c r="F524" s="340"/>
      <c r="G524" s="298"/>
      <c r="H524" s="299"/>
      <c r="I524" s="300"/>
      <c r="J524" s="370"/>
      <c r="K524" s="328"/>
      <c r="L524" s="300"/>
      <c r="M524" s="328"/>
      <c r="N524" s="331"/>
      <c r="O524" s="301"/>
      <c r="P524" s="301"/>
      <c r="Q524" s="328"/>
      <c r="R524" s="620"/>
      <c r="S524" s="512"/>
      <c r="T524" s="512"/>
      <c r="U524" s="513"/>
      <c r="V524" s="514"/>
      <c r="W524" s="512"/>
      <c r="X524" s="513"/>
      <c r="Y524" s="514"/>
      <c r="Z524" s="513"/>
      <c r="AA524" s="515"/>
      <c r="AB524" s="516"/>
      <c r="AC524" s="513"/>
      <c r="AD524" s="544"/>
      <c r="AE524" s="516"/>
      <c r="AF524" s="513"/>
      <c r="AG524" s="551"/>
      <c r="AH524" s="595"/>
      <c r="AI524" s="517"/>
      <c r="AJ524" s="518"/>
      <c r="AK524" s="518"/>
      <c r="AL524" s="518"/>
      <c r="AM524" s="519"/>
      <c r="AN524" s="517"/>
      <c r="AO524" s="520"/>
      <c r="AP524" s="525"/>
      <c r="AQ524" s="531"/>
      <c r="AR524" s="593"/>
      <c r="AS524" s="518"/>
      <c r="AT524" s="518"/>
      <c r="AU524" s="518"/>
      <c r="AV524" s="519"/>
      <c r="AW524" s="560"/>
      <c r="AX524" s="522"/>
      <c r="AY524" s="522"/>
      <c r="AZ524" s="522"/>
      <c r="BA524" s="522"/>
      <c r="BB524" s="522"/>
      <c r="BC524" s="518"/>
      <c r="BD524" s="518"/>
      <c r="BE524" s="518"/>
      <c r="BF524" s="518"/>
      <c r="BG524" s="518"/>
      <c r="BH524" s="519"/>
      <c r="BI524" s="527"/>
      <c r="BJ524" s="518"/>
      <c r="BK524" s="518"/>
      <c r="BL524" s="520"/>
      <c r="BM524" s="520"/>
      <c r="BN524" s="519"/>
      <c r="BO524" s="517"/>
      <c r="BP524" s="520"/>
      <c r="BQ524" s="520"/>
      <c r="BR524" s="519"/>
      <c r="BS524" s="548"/>
      <c r="BT524" s="537"/>
      <c r="BU524" s="521"/>
      <c r="BV524" s="521"/>
      <c r="BW524" s="521"/>
      <c r="BX524" s="521"/>
      <c r="BY524" s="521"/>
      <c r="BZ524" s="521"/>
      <c r="CA524" s="521"/>
      <c r="CB524" s="521"/>
      <c r="CC524" s="521"/>
      <c r="CD524" s="521"/>
      <c r="CE524" s="521"/>
      <c r="CF524" s="521"/>
      <c r="CG524" s="521"/>
      <c r="CH524" s="521"/>
      <c r="CI524" s="521"/>
      <c r="CJ524" s="521"/>
      <c r="CK524" s="521"/>
      <c r="CL524" s="518"/>
      <c r="CM524" s="523"/>
      <c r="CN524" s="523"/>
      <c r="CO524" s="524"/>
      <c r="CP524" s="524"/>
      <c r="CQ524" s="518"/>
      <c r="CR524" s="518"/>
      <c r="CS524" s="518"/>
      <c r="CT524" s="518"/>
      <c r="CU524" s="518"/>
      <c r="CV524" s="518"/>
      <c r="CW524" s="518"/>
      <c r="CX524" s="518"/>
      <c r="CY524" s="518"/>
      <c r="CZ524" s="519"/>
      <c r="DA524" s="527"/>
      <c r="DB524" s="520"/>
      <c r="DC524" s="525"/>
      <c r="DD524" s="531"/>
      <c r="DE524" s="593"/>
      <c r="DF524" s="518"/>
      <c r="DG524" s="518"/>
      <c r="DH524" s="518"/>
      <c r="DI524" s="519"/>
      <c r="DJ524" s="560"/>
      <c r="DK524" s="522"/>
      <c r="DL524" s="522"/>
      <c r="DM524" s="522"/>
      <c r="DN524" s="522"/>
      <c r="DO524" s="522"/>
      <c r="DP524" s="518"/>
      <c r="DQ524" s="518"/>
      <c r="DR524" s="518"/>
      <c r="DS524" s="518"/>
      <c r="DT524" s="518"/>
      <c r="DU524" s="519"/>
      <c r="DV524" s="527"/>
      <c r="DW524" s="518"/>
      <c r="DX524" s="518"/>
      <c r="DY524" s="520"/>
      <c r="DZ524" s="520"/>
      <c r="EA524" s="519"/>
      <c r="EB524" s="527"/>
      <c r="EC524" s="520"/>
      <c r="ED524" s="520"/>
      <c r="EE524" s="519"/>
      <c r="EF524" s="550"/>
      <c r="EG524" s="537"/>
      <c r="EH524" s="521"/>
      <c r="EI524" s="521"/>
      <c r="EJ524" s="521"/>
      <c r="EK524" s="521"/>
      <c r="EL524" s="521"/>
      <c r="EM524" s="521"/>
      <c r="EN524" s="521"/>
      <c r="EO524" s="521"/>
      <c r="EP524" s="521"/>
      <c r="EQ524" s="521"/>
      <c r="ER524" s="521"/>
      <c r="ES524" s="521"/>
      <c r="ET524" s="521"/>
      <c r="EU524" s="521"/>
      <c r="EV524" s="521"/>
      <c r="EW524" s="521"/>
      <c r="EX524" s="521"/>
      <c r="EY524" s="518"/>
      <c r="EZ524" s="523"/>
      <c r="FA524" s="523"/>
      <c r="FB524" s="524"/>
      <c r="FC524" s="524"/>
      <c r="FD524" s="518"/>
      <c r="FE524" s="518"/>
      <c r="FF524" s="518"/>
      <c r="FG524" s="518"/>
      <c r="FH524" s="518"/>
      <c r="FI524" s="518"/>
      <c r="FJ524" s="518"/>
      <c r="FK524" s="518"/>
      <c r="FL524" s="518"/>
      <c r="FM524" s="519"/>
    </row>
    <row r="525" spans="1:169" x14ac:dyDescent="0.25">
      <c r="A525" s="284"/>
      <c r="B525" s="317"/>
      <c r="C525" s="297"/>
      <c r="D525" s="298"/>
      <c r="E525" s="299"/>
      <c r="F525" s="340"/>
      <c r="G525" s="298"/>
      <c r="H525" s="299"/>
      <c r="I525" s="300"/>
      <c r="J525" s="370"/>
      <c r="K525" s="328"/>
      <c r="L525" s="300"/>
      <c r="M525" s="328"/>
      <c r="N525" s="331"/>
      <c r="O525" s="301"/>
      <c r="P525" s="301"/>
      <c r="Q525" s="328"/>
      <c r="R525" s="620"/>
      <c r="S525" s="512"/>
      <c r="T525" s="512"/>
      <c r="U525" s="513"/>
      <c r="V525" s="514"/>
      <c r="W525" s="512"/>
      <c r="X525" s="513"/>
      <c r="Y525" s="514"/>
      <c r="Z525" s="513"/>
      <c r="AA525" s="515"/>
      <c r="AB525" s="516"/>
      <c r="AC525" s="513"/>
      <c r="AD525" s="544"/>
      <c r="AE525" s="516"/>
      <c r="AF525" s="513"/>
      <c r="AG525" s="551"/>
      <c r="AH525" s="595"/>
      <c r="AI525" s="517"/>
      <c r="AJ525" s="518"/>
      <c r="AK525" s="518"/>
      <c r="AL525" s="518"/>
      <c r="AM525" s="519"/>
      <c r="AN525" s="517"/>
      <c r="AO525" s="520"/>
      <c r="AP525" s="525"/>
      <c r="AQ525" s="531"/>
      <c r="AR525" s="593"/>
      <c r="AS525" s="518"/>
      <c r="AT525" s="518"/>
      <c r="AU525" s="518"/>
      <c r="AV525" s="519"/>
      <c r="AW525" s="560"/>
      <c r="AX525" s="522"/>
      <c r="AY525" s="522"/>
      <c r="AZ525" s="522"/>
      <c r="BA525" s="522"/>
      <c r="BB525" s="522"/>
      <c r="BC525" s="518"/>
      <c r="BD525" s="518"/>
      <c r="BE525" s="518"/>
      <c r="BF525" s="518"/>
      <c r="BG525" s="518"/>
      <c r="BH525" s="519"/>
      <c r="BI525" s="527"/>
      <c r="BJ525" s="518"/>
      <c r="BK525" s="518"/>
      <c r="BL525" s="520"/>
      <c r="BM525" s="520"/>
      <c r="BN525" s="519"/>
      <c r="BO525" s="517"/>
      <c r="BP525" s="520"/>
      <c r="BQ525" s="520"/>
      <c r="BR525" s="519"/>
      <c r="BS525" s="548"/>
      <c r="BT525" s="537"/>
      <c r="BU525" s="521"/>
      <c r="BV525" s="521"/>
      <c r="BW525" s="521"/>
      <c r="BX525" s="521"/>
      <c r="BY525" s="521"/>
      <c r="BZ525" s="521"/>
      <c r="CA525" s="521"/>
      <c r="CB525" s="521"/>
      <c r="CC525" s="521"/>
      <c r="CD525" s="521"/>
      <c r="CE525" s="521"/>
      <c r="CF525" s="521"/>
      <c r="CG525" s="521"/>
      <c r="CH525" s="521"/>
      <c r="CI525" s="521"/>
      <c r="CJ525" s="521"/>
      <c r="CK525" s="521"/>
      <c r="CL525" s="518"/>
      <c r="CM525" s="523"/>
      <c r="CN525" s="523"/>
      <c r="CO525" s="524"/>
      <c r="CP525" s="524"/>
      <c r="CQ525" s="518"/>
      <c r="CR525" s="518"/>
      <c r="CS525" s="518"/>
      <c r="CT525" s="518"/>
      <c r="CU525" s="518"/>
      <c r="CV525" s="518"/>
      <c r="CW525" s="518"/>
      <c r="CX525" s="518"/>
      <c r="CY525" s="518"/>
      <c r="CZ525" s="519"/>
      <c r="DA525" s="527"/>
      <c r="DB525" s="520"/>
      <c r="DC525" s="525"/>
      <c r="DD525" s="531"/>
      <c r="DE525" s="593"/>
      <c r="DF525" s="518"/>
      <c r="DG525" s="518"/>
      <c r="DH525" s="518"/>
      <c r="DI525" s="519"/>
      <c r="DJ525" s="560"/>
      <c r="DK525" s="522"/>
      <c r="DL525" s="522"/>
      <c r="DM525" s="522"/>
      <c r="DN525" s="522"/>
      <c r="DO525" s="522"/>
      <c r="DP525" s="518"/>
      <c r="DQ525" s="518"/>
      <c r="DR525" s="518"/>
      <c r="DS525" s="518"/>
      <c r="DT525" s="518"/>
      <c r="DU525" s="519"/>
      <c r="DV525" s="527"/>
      <c r="DW525" s="518"/>
      <c r="DX525" s="518"/>
      <c r="DY525" s="520"/>
      <c r="DZ525" s="520"/>
      <c r="EA525" s="519"/>
      <c r="EB525" s="527"/>
      <c r="EC525" s="520"/>
      <c r="ED525" s="520"/>
      <c r="EE525" s="519"/>
      <c r="EF525" s="550"/>
      <c r="EG525" s="537"/>
      <c r="EH525" s="521"/>
      <c r="EI525" s="521"/>
      <c r="EJ525" s="521"/>
      <c r="EK525" s="521"/>
      <c r="EL525" s="521"/>
      <c r="EM525" s="521"/>
      <c r="EN525" s="521"/>
      <c r="EO525" s="521"/>
      <c r="EP525" s="521"/>
      <c r="EQ525" s="521"/>
      <c r="ER525" s="521"/>
      <c r="ES525" s="521"/>
      <c r="ET525" s="521"/>
      <c r="EU525" s="521"/>
      <c r="EV525" s="521"/>
      <c r="EW525" s="521"/>
      <c r="EX525" s="521"/>
      <c r="EY525" s="518"/>
      <c r="EZ525" s="523"/>
      <c r="FA525" s="523"/>
      <c r="FB525" s="524"/>
      <c r="FC525" s="524"/>
      <c r="FD525" s="518"/>
      <c r="FE525" s="518"/>
      <c r="FF525" s="518"/>
      <c r="FG525" s="518"/>
      <c r="FH525" s="518"/>
      <c r="FI525" s="518"/>
      <c r="FJ525" s="518"/>
      <c r="FK525" s="518"/>
      <c r="FL525" s="518"/>
      <c r="FM525" s="519"/>
    </row>
    <row r="526" spans="1:169" x14ac:dyDescent="0.25">
      <c r="A526" s="284"/>
      <c r="B526" s="317"/>
      <c r="C526" s="297"/>
      <c r="D526" s="298"/>
      <c r="E526" s="299"/>
      <c r="F526" s="340"/>
      <c r="G526" s="298"/>
      <c r="H526" s="299"/>
      <c r="I526" s="300"/>
      <c r="J526" s="370"/>
      <c r="K526" s="328"/>
      <c r="L526" s="300"/>
      <c r="M526" s="328"/>
      <c r="N526" s="331"/>
      <c r="O526" s="301"/>
      <c r="P526" s="301"/>
      <c r="Q526" s="328"/>
      <c r="R526" s="620"/>
      <c r="S526" s="512"/>
      <c r="T526" s="512"/>
      <c r="U526" s="513"/>
      <c r="V526" s="514"/>
      <c r="W526" s="512"/>
      <c r="X526" s="513"/>
      <c r="Y526" s="514"/>
      <c r="Z526" s="513"/>
      <c r="AA526" s="515"/>
      <c r="AB526" s="516"/>
      <c r="AC526" s="513"/>
      <c r="AD526" s="544"/>
      <c r="AE526" s="516"/>
      <c r="AF526" s="513"/>
      <c r="AG526" s="551"/>
      <c r="AH526" s="595"/>
      <c r="AI526" s="517"/>
      <c r="AJ526" s="518"/>
      <c r="AK526" s="518"/>
      <c r="AL526" s="518"/>
      <c r="AM526" s="519"/>
      <c r="AN526" s="517"/>
      <c r="AO526" s="520"/>
      <c r="AP526" s="525"/>
      <c r="AQ526" s="531"/>
      <c r="AR526" s="593"/>
      <c r="AS526" s="518"/>
      <c r="AT526" s="518"/>
      <c r="AU526" s="518"/>
      <c r="AV526" s="519"/>
      <c r="AW526" s="560"/>
      <c r="AX526" s="522"/>
      <c r="AY526" s="522"/>
      <c r="AZ526" s="522"/>
      <c r="BA526" s="522"/>
      <c r="BB526" s="522"/>
      <c r="BC526" s="518"/>
      <c r="BD526" s="518"/>
      <c r="BE526" s="518"/>
      <c r="BF526" s="518"/>
      <c r="BG526" s="518"/>
      <c r="BH526" s="519"/>
      <c r="BI526" s="527"/>
      <c r="BJ526" s="518"/>
      <c r="BK526" s="518"/>
      <c r="BL526" s="520"/>
      <c r="BM526" s="520"/>
      <c r="BN526" s="519"/>
      <c r="BO526" s="517"/>
      <c r="BP526" s="520"/>
      <c r="BQ526" s="520"/>
      <c r="BR526" s="519"/>
      <c r="BS526" s="548"/>
      <c r="BT526" s="537"/>
      <c r="BU526" s="521"/>
      <c r="BV526" s="521"/>
      <c r="BW526" s="521"/>
      <c r="BX526" s="521"/>
      <c r="BY526" s="521"/>
      <c r="BZ526" s="521"/>
      <c r="CA526" s="521"/>
      <c r="CB526" s="521"/>
      <c r="CC526" s="521"/>
      <c r="CD526" s="521"/>
      <c r="CE526" s="521"/>
      <c r="CF526" s="521"/>
      <c r="CG526" s="521"/>
      <c r="CH526" s="521"/>
      <c r="CI526" s="521"/>
      <c r="CJ526" s="521"/>
      <c r="CK526" s="521"/>
      <c r="CL526" s="518"/>
      <c r="CM526" s="523"/>
      <c r="CN526" s="523"/>
      <c r="CO526" s="524"/>
      <c r="CP526" s="524"/>
      <c r="CQ526" s="518"/>
      <c r="CR526" s="518"/>
      <c r="CS526" s="518"/>
      <c r="CT526" s="518"/>
      <c r="CU526" s="518"/>
      <c r="CV526" s="518"/>
      <c r="CW526" s="518"/>
      <c r="CX526" s="518"/>
      <c r="CY526" s="518"/>
      <c r="CZ526" s="519"/>
      <c r="DA526" s="527"/>
      <c r="DB526" s="520"/>
      <c r="DC526" s="525"/>
      <c r="DD526" s="531"/>
      <c r="DE526" s="593"/>
      <c r="DF526" s="518"/>
      <c r="DG526" s="518"/>
      <c r="DH526" s="518"/>
      <c r="DI526" s="519"/>
      <c r="DJ526" s="560"/>
      <c r="DK526" s="522"/>
      <c r="DL526" s="522"/>
      <c r="DM526" s="522"/>
      <c r="DN526" s="522"/>
      <c r="DO526" s="522"/>
      <c r="DP526" s="518"/>
      <c r="DQ526" s="518"/>
      <c r="DR526" s="518"/>
      <c r="DS526" s="518"/>
      <c r="DT526" s="518"/>
      <c r="DU526" s="519"/>
      <c r="DV526" s="527"/>
      <c r="DW526" s="518"/>
      <c r="DX526" s="518"/>
      <c r="DY526" s="520"/>
      <c r="DZ526" s="520"/>
      <c r="EA526" s="519"/>
      <c r="EB526" s="527"/>
      <c r="EC526" s="520"/>
      <c r="ED526" s="520"/>
      <c r="EE526" s="519"/>
      <c r="EF526" s="550"/>
      <c r="EG526" s="537"/>
      <c r="EH526" s="521"/>
      <c r="EI526" s="521"/>
      <c r="EJ526" s="521"/>
      <c r="EK526" s="521"/>
      <c r="EL526" s="521"/>
      <c r="EM526" s="521"/>
      <c r="EN526" s="521"/>
      <c r="EO526" s="521"/>
      <c r="EP526" s="521"/>
      <c r="EQ526" s="521"/>
      <c r="ER526" s="521"/>
      <c r="ES526" s="521"/>
      <c r="ET526" s="521"/>
      <c r="EU526" s="521"/>
      <c r="EV526" s="521"/>
      <c r="EW526" s="521"/>
      <c r="EX526" s="521"/>
      <c r="EY526" s="518"/>
      <c r="EZ526" s="523"/>
      <c r="FA526" s="523"/>
      <c r="FB526" s="524"/>
      <c r="FC526" s="524"/>
      <c r="FD526" s="518"/>
      <c r="FE526" s="518"/>
      <c r="FF526" s="518"/>
      <c r="FG526" s="518"/>
      <c r="FH526" s="518"/>
      <c r="FI526" s="518"/>
      <c r="FJ526" s="518"/>
      <c r="FK526" s="518"/>
      <c r="FL526" s="518"/>
      <c r="FM526" s="519"/>
    </row>
    <row r="527" spans="1:169" x14ac:dyDescent="0.25">
      <c r="A527" s="284"/>
      <c r="B527" s="317"/>
      <c r="C527" s="297"/>
      <c r="D527" s="298"/>
      <c r="E527" s="299"/>
      <c r="F527" s="340"/>
      <c r="G527" s="298"/>
      <c r="H527" s="299"/>
      <c r="I527" s="300"/>
      <c r="J527" s="370"/>
      <c r="K527" s="328"/>
      <c r="L527" s="300"/>
      <c r="M527" s="328"/>
      <c r="N527" s="331"/>
      <c r="O527" s="301"/>
      <c r="P527" s="301"/>
      <c r="Q527" s="328"/>
      <c r="R527" s="620"/>
      <c r="S527" s="512"/>
      <c r="T527" s="512"/>
      <c r="U527" s="513"/>
      <c r="V527" s="514"/>
      <c r="W527" s="512"/>
      <c r="X527" s="513"/>
      <c r="Y527" s="514"/>
      <c r="Z527" s="513"/>
      <c r="AA527" s="515"/>
      <c r="AB527" s="516"/>
      <c r="AC527" s="513"/>
      <c r="AD527" s="544"/>
      <c r="AE527" s="516"/>
      <c r="AF527" s="513"/>
      <c r="AG527" s="551"/>
      <c r="AH527" s="595"/>
      <c r="AI527" s="517"/>
      <c r="AJ527" s="518"/>
      <c r="AK527" s="518"/>
      <c r="AL527" s="518"/>
      <c r="AM527" s="519"/>
      <c r="AN527" s="517"/>
      <c r="AO527" s="520"/>
      <c r="AP527" s="525"/>
      <c r="AQ527" s="531"/>
      <c r="AR527" s="593"/>
      <c r="AS527" s="518"/>
      <c r="AT527" s="518"/>
      <c r="AU527" s="518"/>
      <c r="AV527" s="519"/>
      <c r="AW527" s="560"/>
      <c r="AX527" s="522"/>
      <c r="AY527" s="522"/>
      <c r="AZ527" s="522"/>
      <c r="BA527" s="522"/>
      <c r="BB527" s="522"/>
      <c r="BC527" s="518"/>
      <c r="BD527" s="518"/>
      <c r="BE527" s="518"/>
      <c r="BF527" s="518"/>
      <c r="BG527" s="518"/>
      <c r="BH527" s="519"/>
      <c r="BI527" s="527"/>
      <c r="BJ527" s="518"/>
      <c r="BK527" s="518"/>
      <c r="BL527" s="520"/>
      <c r="BM527" s="520"/>
      <c r="BN527" s="519"/>
      <c r="BO527" s="517"/>
      <c r="BP527" s="520"/>
      <c r="BQ527" s="520"/>
      <c r="BR527" s="519"/>
      <c r="BS527" s="548"/>
      <c r="BT527" s="537"/>
      <c r="BU527" s="521"/>
      <c r="BV527" s="521"/>
      <c r="BW527" s="521"/>
      <c r="BX527" s="521"/>
      <c r="BY527" s="521"/>
      <c r="BZ527" s="521"/>
      <c r="CA527" s="521"/>
      <c r="CB527" s="521"/>
      <c r="CC527" s="521"/>
      <c r="CD527" s="521"/>
      <c r="CE527" s="521"/>
      <c r="CF527" s="521"/>
      <c r="CG527" s="521"/>
      <c r="CH527" s="521"/>
      <c r="CI527" s="521"/>
      <c r="CJ527" s="521"/>
      <c r="CK527" s="521"/>
      <c r="CL527" s="518"/>
      <c r="CM527" s="523"/>
      <c r="CN527" s="523"/>
      <c r="CO527" s="524"/>
      <c r="CP527" s="524"/>
      <c r="CQ527" s="518"/>
      <c r="CR527" s="518"/>
      <c r="CS527" s="518"/>
      <c r="CT527" s="518"/>
      <c r="CU527" s="518"/>
      <c r="CV527" s="518"/>
      <c r="CW527" s="518"/>
      <c r="CX527" s="518"/>
      <c r="CY527" s="518"/>
      <c r="CZ527" s="519"/>
      <c r="DA527" s="527"/>
      <c r="DB527" s="520"/>
      <c r="DC527" s="525"/>
      <c r="DD527" s="531"/>
      <c r="DE527" s="593"/>
      <c r="DF527" s="518"/>
      <c r="DG527" s="518"/>
      <c r="DH527" s="518"/>
      <c r="DI527" s="519"/>
      <c r="DJ527" s="560"/>
      <c r="DK527" s="522"/>
      <c r="DL527" s="522"/>
      <c r="DM527" s="522"/>
      <c r="DN527" s="522"/>
      <c r="DO527" s="522"/>
      <c r="DP527" s="518"/>
      <c r="DQ527" s="518"/>
      <c r="DR527" s="518"/>
      <c r="DS527" s="518"/>
      <c r="DT527" s="518"/>
      <c r="DU527" s="519"/>
      <c r="DV527" s="527"/>
      <c r="DW527" s="518"/>
      <c r="DX527" s="518"/>
      <c r="DY527" s="520"/>
      <c r="DZ527" s="520"/>
      <c r="EA527" s="519"/>
      <c r="EB527" s="527"/>
      <c r="EC527" s="520"/>
      <c r="ED527" s="520"/>
      <c r="EE527" s="519"/>
      <c r="EF527" s="550"/>
      <c r="EG527" s="537"/>
      <c r="EH527" s="521"/>
      <c r="EI527" s="521"/>
      <c r="EJ527" s="521"/>
      <c r="EK527" s="521"/>
      <c r="EL527" s="521"/>
      <c r="EM527" s="521"/>
      <c r="EN527" s="521"/>
      <c r="EO527" s="521"/>
      <c r="EP527" s="521"/>
      <c r="EQ527" s="521"/>
      <c r="ER527" s="521"/>
      <c r="ES527" s="521"/>
      <c r="ET527" s="521"/>
      <c r="EU527" s="521"/>
      <c r="EV527" s="521"/>
      <c r="EW527" s="521"/>
      <c r="EX527" s="521"/>
      <c r="EY527" s="518"/>
      <c r="EZ527" s="523"/>
      <c r="FA527" s="523"/>
      <c r="FB527" s="524"/>
      <c r="FC527" s="524"/>
      <c r="FD527" s="518"/>
      <c r="FE527" s="518"/>
      <c r="FF527" s="518"/>
      <c r="FG527" s="518"/>
      <c r="FH527" s="518"/>
      <c r="FI527" s="518"/>
      <c r="FJ527" s="518"/>
      <c r="FK527" s="518"/>
      <c r="FL527" s="518"/>
      <c r="FM527" s="519"/>
    </row>
    <row r="528" spans="1:169" x14ac:dyDescent="0.25">
      <c r="A528" s="284"/>
      <c r="B528" s="317"/>
      <c r="C528" s="297"/>
      <c r="D528" s="298"/>
      <c r="E528" s="299"/>
      <c r="F528" s="340"/>
      <c r="G528" s="298"/>
      <c r="H528" s="299"/>
      <c r="I528" s="300"/>
      <c r="J528" s="370"/>
      <c r="K528" s="328"/>
      <c r="L528" s="300"/>
      <c r="M528" s="328"/>
      <c r="N528" s="331"/>
      <c r="O528" s="301"/>
      <c r="P528" s="301"/>
      <c r="Q528" s="328"/>
      <c r="R528" s="620"/>
      <c r="S528" s="512"/>
      <c r="T528" s="512"/>
      <c r="U528" s="513"/>
      <c r="V528" s="514"/>
      <c r="W528" s="512"/>
      <c r="X528" s="513"/>
      <c r="Y528" s="514"/>
      <c r="Z528" s="513"/>
      <c r="AA528" s="515"/>
      <c r="AB528" s="516"/>
      <c r="AC528" s="513"/>
      <c r="AD528" s="544"/>
      <c r="AE528" s="516"/>
      <c r="AF528" s="513"/>
      <c r="AG528" s="551"/>
      <c r="AH528" s="595"/>
      <c r="AI528" s="517"/>
      <c r="AJ528" s="518"/>
      <c r="AK528" s="518"/>
      <c r="AL528" s="518"/>
      <c r="AM528" s="519"/>
      <c r="AN528" s="517"/>
      <c r="AO528" s="520"/>
      <c r="AP528" s="525"/>
      <c r="AQ528" s="531"/>
      <c r="AR528" s="593"/>
      <c r="AS528" s="518"/>
      <c r="AT528" s="518"/>
      <c r="AU528" s="518"/>
      <c r="AV528" s="519"/>
      <c r="AW528" s="560"/>
      <c r="AX528" s="522"/>
      <c r="AY528" s="522"/>
      <c r="AZ528" s="522"/>
      <c r="BA528" s="522"/>
      <c r="BB528" s="522"/>
      <c r="BC528" s="518"/>
      <c r="BD528" s="518"/>
      <c r="BE528" s="518"/>
      <c r="BF528" s="518"/>
      <c r="BG528" s="518"/>
      <c r="BH528" s="519"/>
      <c r="BI528" s="527"/>
      <c r="BJ528" s="518"/>
      <c r="BK528" s="518"/>
      <c r="BL528" s="520"/>
      <c r="BM528" s="520"/>
      <c r="BN528" s="519"/>
      <c r="BO528" s="517"/>
      <c r="BP528" s="520"/>
      <c r="BQ528" s="520"/>
      <c r="BR528" s="519"/>
      <c r="BS528" s="548"/>
      <c r="BT528" s="537"/>
      <c r="BU528" s="521"/>
      <c r="BV528" s="521"/>
      <c r="BW528" s="521"/>
      <c r="BX528" s="521"/>
      <c r="BY528" s="521"/>
      <c r="BZ528" s="521"/>
      <c r="CA528" s="521"/>
      <c r="CB528" s="521"/>
      <c r="CC528" s="521"/>
      <c r="CD528" s="521"/>
      <c r="CE528" s="521"/>
      <c r="CF528" s="521"/>
      <c r="CG528" s="521"/>
      <c r="CH528" s="521"/>
      <c r="CI528" s="521"/>
      <c r="CJ528" s="521"/>
      <c r="CK528" s="521"/>
      <c r="CL528" s="518"/>
      <c r="CM528" s="523"/>
      <c r="CN528" s="523"/>
      <c r="CO528" s="524"/>
      <c r="CP528" s="524"/>
      <c r="CQ528" s="518"/>
      <c r="CR528" s="518"/>
      <c r="CS528" s="518"/>
      <c r="CT528" s="518"/>
      <c r="CU528" s="518"/>
      <c r="CV528" s="518"/>
      <c r="CW528" s="518"/>
      <c r="CX528" s="518"/>
      <c r="CY528" s="518"/>
      <c r="CZ528" s="519"/>
      <c r="DA528" s="527"/>
      <c r="DB528" s="520"/>
      <c r="DC528" s="525"/>
      <c r="DD528" s="531"/>
      <c r="DE528" s="593"/>
      <c r="DF528" s="518"/>
      <c r="DG528" s="518"/>
      <c r="DH528" s="518"/>
      <c r="DI528" s="519"/>
      <c r="DJ528" s="560"/>
      <c r="DK528" s="522"/>
      <c r="DL528" s="522"/>
      <c r="DM528" s="522"/>
      <c r="DN528" s="522"/>
      <c r="DO528" s="522"/>
      <c r="DP528" s="518"/>
      <c r="DQ528" s="518"/>
      <c r="DR528" s="518"/>
      <c r="DS528" s="518"/>
      <c r="DT528" s="518"/>
      <c r="DU528" s="519"/>
      <c r="DV528" s="527"/>
      <c r="DW528" s="518"/>
      <c r="DX528" s="518"/>
      <c r="DY528" s="520"/>
      <c r="DZ528" s="520"/>
      <c r="EA528" s="519"/>
      <c r="EB528" s="527"/>
      <c r="EC528" s="520"/>
      <c r="ED528" s="520"/>
      <c r="EE528" s="519"/>
      <c r="EF528" s="550"/>
      <c r="EG528" s="537"/>
      <c r="EH528" s="521"/>
      <c r="EI528" s="521"/>
      <c r="EJ528" s="521"/>
      <c r="EK528" s="521"/>
      <c r="EL528" s="521"/>
      <c r="EM528" s="521"/>
      <c r="EN528" s="521"/>
      <c r="EO528" s="521"/>
      <c r="EP528" s="521"/>
      <c r="EQ528" s="521"/>
      <c r="ER528" s="521"/>
      <c r="ES528" s="521"/>
      <c r="ET528" s="521"/>
      <c r="EU528" s="521"/>
      <c r="EV528" s="521"/>
      <c r="EW528" s="521"/>
      <c r="EX528" s="521"/>
      <c r="EY528" s="518"/>
      <c r="EZ528" s="523"/>
      <c r="FA528" s="523"/>
      <c r="FB528" s="524"/>
      <c r="FC528" s="524"/>
      <c r="FD528" s="518"/>
      <c r="FE528" s="518"/>
      <c r="FF528" s="518"/>
      <c r="FG528" s="518"/>
      <c r="FH528" s="518"/>
      <c r="FI528" s="518"/>
      <c r="FJ528" s="518"/>
      <c r="FK528" s="518"/>
      <c r="FL528" s="518"/>
      <c r="FM528" s="519"/>
    </row>
    <row r="529" spans="1:169" x14ac:dyDescent="0.25">
      <c r="A529" s="284"/>
      <c r="B529" s="317"/>
      <c r="C529" s="297"/>
      <c r="D529" s="298"/>
      <c r="E529" s="299"/>
      <c r="F529" s="340"/>
      <c r="G529" s="298"/>
      <c r="H529" s="299"/>
      <c r="I529" s="300"/>
      <c r="J529" s="370"/>
      <c r="K529" s="328"/>
      <c r="L529" s="300"/>
      <c r="M529" s="328"/>
      <c r="N529" s="331"/>
      <c r="O529" s="301"/>
      <c r="P529" s="301"/>
      <c r="Q529" s="328"/>
      <c r="R529" s="620"/>
      <c r="S529" s="512"/>
      <c r="T529" s="512"/>
      <c r="U529" s="513"/>
      <c r="V529" s="514"/>
      <c r="W529" s="512"/>
      <c r="X529" s="513"/>
      <c r="Y529" s="514"/>
      <c r="Z529" s="513"/>
      <c r="AA529" s="515"/>
      <c r="AB529" s="516"/>
      <c r="AC529" s="513"/>
      <c r="AD529" s="544"/>
      <c r="AE529" s="516"/>
      <c r="AF529" s="513"/>
      <c r="AG529" s="551"/>
      <c r="AH529" s="595"/>
      <c r="AI529" s="517"/>
      <c r="AJ529" s="518"/>
      <c r="AK529" s="518"/>
      <c r="AL529" s="518"/>
      <c r="AM529" s="519"/>
      <c r="AN529" s="517"/>
      <c r="AO529" s="520"/>
      <c r="AP529" s="525"/>
      <c r="AQ529" s="531"/>
      <c r="AR529" s="593"/>
      <c r="AS529" s="518"/>
      <c r="AT529" s="518"/>
      <c r="AU529" s="518"/>
      <c r="AV529" s="519"/>
      <c r="AW529" s="560"/>
      <c r="AX529" s="522"/>
      <c r="AY529" s="522"/>
      <c r="AZ529" s="522"/>
      <c r="BA529" s="522"/>
      <c r="BB529" s="522"/>
      <c r="BC529" s="518"/>
      <c r="BD529" s="518"/>
      <c r="BE529" s="518"/>
      <c r="BF529" s="518"/>
      <c r="BG529" s="518"/>
      <c r="BH529" s="519"/>
      <c r="BI529" s="527"/>
      <c r="BJ529" s="518"/>
      <c r="BK529" s="518"/>
      <c r="BL529" s="520"/>
      <c r="BM529" s="520"/>
      <c r="BN529" s="519"/>
      <c r="BO529" s="517"/>
      <c r="BP529" s="520"/>
      <c r="BQ529" s="520"/>
      <c r="BR529" s="519"/>
      <c r="BS529" s="548"/>
      <c r="BT529" s="537"/>
      <c r="BU529" s="521"/>
      <c r="BV529" s="521"/>
      <c r="BW529" s="521"/>
      <c r="BX529" s="521"/>
      <c r="BY529" s="521"/>
      <c r="BZ529" s="521"/>
      <c r="CA529" s="521"/>
      <c r="CB529" s="521"/>
      <c r="CC529" s="521"/>
      <c r="CD529" s="521"/>
      <c r="CE529" s="521"/>
      <c r="CF529" s="521"/>
      <c r="CG529" s="521"/>
      <c r="CH529" s="521"/>
      <c r="CI529" s="521"/>
      <c r="CJ529" s="521"/>
      <c r="CK529" s="521"/>
      <c r="CL529" s="518"/>
      <c r="CM529" s="523"/>
      <c r="CN529" s="523"/>
      <c r="CO529" s="524"/>
      <c r="CP529" s="524"/>
      <c r="CQ529" s="518"/>
      <c r="CR529" s="518"/>
      <c r="CS529" s="518"/>
      <c r="CT529" s="518"/>
      <c r="CU529" s="518"/>
      <c r="CV529" s="518"/>
      <c r="CW529" s="518"/>
      <c r="CX529" s="518"/>
      <c r="CY529" s="518"/>
      <c r="CZ529" s="519"/>
      <c r="DA529" s="527"/>
      <c r="DB529" s="520"/>
      <c r="DC529" s="525"/>
      <c r="DD529" s="531"/>
      <c r="DE529" s="593"/>
      <c r="DF529" s="518"/>
      <c r="DG529" s="518"/>
      <c r="DH529" s="518"/>
      <c r="DI529" s="519"/>
      <c r="DJ529" s="560"/>
      <c r="DK529" s="522"/>
      <c r="DL529" s="522"/>
      <c r="DM529" s="522"/>
      <c r="DN529" s="522"/>
      <c r="DO529" s="522"/>
      <c r="DP529" s="518"/>
      <c r="DQ529" s="518"/>
      <c r="DR529" s="518"/>
      <c r="DS529" s="518"/>
      <c r="DT529" s="518"/>
      <c r="DU529" s="519"/>
      <c r="DV529" s="527"/>
      <c r="DW529" s="518"/>
      <c r="DX529" s="518"/>
      <c r="DY529" s="520"/>
      <c r="DZ529" s="520"/>
      <c r="EA529" s="519"/>
      <c r="EB529" s="527"/>
      <c r="EC529" s="520"/>
      <c r="ED529" s="520"/>
      <c r="EE529" s="519"/>
      <c r="EF529" s="550"/>
      <c r="EG529" s="537"/>
      <c r="EH529" s="521"/>
      <c r="EI529" s="521"/>
      <c r="EJ529" s="521"/>
      <c r="EK529" s="521"/>
      <c r="EL529" s="521"/>
      <c r="EM529" s="521"/>
      <c r="EN529" s="521"/>
      <c r="EO529" s="521"/>
      <c r="EP529" s="521"/>
      <c r="EQ529" s="521"/>
      <c r="ER529" s="521"/>
      <c r="ES529" s="521"/>
      <c r="ET529" s="521"/>
      <c r="EU529" s="521"/>
      <c r="EV529" s="521"/>
      <c r="EW529" s="521"/>
      <c r="EX529" s="521"/>
      <c r="EY529" s="518"/>
      <c r="EZ529" s="523"/>
      <c r="FA529" s="523"/>
      <c r="FB529" s="524"/>
      <c r="FC529" s="524"/>
      <c r="FD529" s="518"/>
      <c r="FE529" s="518"/>
      <c r="FF529" s="518"/>
      <c r="FG529" s="518"/>
      <c r="FH529" s="518"/>
      <c r="FI529" s="518"/>
      <c r="FJ529" s="518"/>
      <c r="FK529" s="518"/>
      <c r="FL529" s="518"/>
      <c r="FM529" s="519"/>
    </row>
    <row r="530" spans="1:169" x14ac:dyDescent="0.25">
      <c r="A530" s="284"/>
      <c r="B530" s="317"/>
      <c r="C530" s="297"/>
      <c r="D530" s="298"/>
      <c r="E530" s="299"/>
      <c r="F530" s="340"/>
      <c r="G530" s="298"/>
      <c r="H530" s="299"/>
      <c r="I530" s="300"/>
      <c r="J530" s="370"/>
      <c r="K530" s="328"/>
      <c r="L530" s="300"/>
      <c r="M530" s="328"/>
      <c r="N530" s="331"/>
      <c r="O530" s="301"/>
      <c r="P530" s="301"/>
      <c r="Q530" s="328"/>
      <c r="R530" s="620"/>
      <c r="S530" s="512"/>
      <c r="T530" s="512"/>
      <c r="U530" s="513"/>
      <c r="V530" s="514"/>
      <c r="W530" s="512"/>
      <c r="X530" s="513"/>
      <c r="Y530" s="514"/>
      <c r="Z530" s="513"/>
      <c r="AA530" s="515"/>
      <c r="AB530" s="516"/>
      <c r="AC530" s="513"/>
      <c r="AD530" s="544"/>
      <c r="AE530" s="516"/>
      <c r="AF530" s="513"/>
      <c r="AG530" s="551"/>
      <c r="AH530" s="595"/>
      <c r="AI530" s="517"/>
      <c r="AJ530" s="518"/>
      <c r="AK530" s="518"/>
      <c r="AL530" s="518"/>
      <c r="AM530" s="519"/>
      <c r="AN530" s="517"/>
      <c r="AO530" s="520"/>
      <c r="AP530" s="525"/>
      <c r="AQ530" s="531"/>
      <c r="AR530" s="593"/>
      <c r="AS530" s="518"/>
      <c r="AT530" s="518"/>
      <c r="AU530" s="518"/>
      <c r="AV530" s="519"/>
      <c r="AW530" s="560"/>
      <c r="AX530" s="522"/>
      <c r="AY530" s="522"/>
      <c r="AZ530" s="522"/>
      <c r="BA530" s="522"/>
      <c r="BB530" s="522"/>
      <c r="BC530" s="518"/>
      <c r="BD530" s="518"/>
      <c r="BE530" s="518"/>
      <c r="BF530" s="518"/>
      <c r="BG530" s="518"/>
      <c r="BH530" s="519"/>
      <c r="BI530" s="527"/>
      <c r="BJ530" s="518"/>
      <c r="BK530" s="518"/>
      <c r="BL530" s="520"/>
      <c r="BM530" s="520"/>
      <c r="BN530" s="519"/>
      <c r="BO530" s="517"/>
      <c r="BP530" s="520"/>
      <c r="BQ530" s="520"/>
      <c r="BR530" s="519"/>
      <c r="BS530" s="548"/>
      <c r="BT530" s="537"/>
      <c r="BU530" s="521"/>
      <c r="BV530" s="521"/>
      <c r="BW530" s="521"/>
      <c r="BX530" s="521"/>
      <c r="BY530" s="521"/>
      <c r="BZ530" s="521"/>
      <c r="CA530" s="521"/>
      <c r="CB530" s="521"/>
      <c r="CC530" s="521"/>
      <c r="CD530" s="521"/>
      <c r="CE530" s="521"/>
      <c r="CF530" s="521"/>
      <c r="CG530" s="521"/>
      <c r="CH530" s="521"/>
      <c r="CI530" s="521"/>
      <c r="CJ530" s="521"/>
      <c r="CK530" s="521"/>
      <c r="CL530" s="518"/>
      <c r="CM530" s="523"/>
      <c r="CN530" s="523"/>
      <c r="CO530" s="524"/>
      <c r="CP530" s="524"/>
      <c r="CQ530" s="518"/>
      <c r="CR530" s="518"/>
      <c r="CS530" s="518"/>
      <c r="CT530" s="518"/>
      <c r="CU530" s="518"/>
      <c r="CV530" s="518"/>
      <c r="CW530" s="518"/>
      <c r="CX530" s="518"/>
      <c r="CY530" s="518"/>
      <c r="CZ530" s="519"/>
      <c r="DA530" s="527"/>
      <c r="DB530" s="520"/>
      <c r="DC530" s="525"/>
      <c r="DD530" s="531"/>
      <c r="DE530" s="593"/>
      <c r="DF530" s="518"/>
      <c r="DG530" s="518"/>
      <c r="DH530" s="518"/>
      <c r="DI530" s="519"/>
      <c r="DJ530" s="560"/>
      <c r="DK530" s="522"/>
      <c r="DL530" s="522"/>
      <c r="DM530" s="522"/>
      <c r="DN530" s="522"/>
      <c r="DO530" s="522"/>
      <c r="DP530" s="518"/>
      <c r="DQ530" s="518"/>
      <c r="DR530" s="518"/>
      <c r="DS530" s="518"/>
      <c r="DT530" s="518"/>
      <c r="DU530" s="519"/>
      <c r="DV530" s="527"/>
      <c r="DW530" s="518"/>
      <c r="DX530" s="518"/>
      <c r="DY530" s="520"/>
      <c r="DZ530" s="520"/>
      <c r="EA530" s="519"/>
      <c r="EB530" s="527"/>
      <c r="EC530" s="520"/>
      <c r="ED530" s="520"/>
      <c r="EE530" s="519"/>
      <c r="EF530" s="550"/>
      <c r="EG530" s="537"/>
      <c r="EH530" s="521"/>
      <c r="EI530" s="521"/>
      <c r="EJ530" s="521"/>
      <c r="EK530" s="521"/>
      <c r="EL530" s="521"/>
      <c r="EM530" s="521"/>
      <c r="EN530" s="521"/>
      <c r="EO530" s="521"/>
      <c r="EP530" s="521"/>
      <c r="EQ530" s="521"/>
      <c r="ER530" s="521"/>
      <c r="ES530" s="521"/>
      <c r="ET530" s="521"/>
      <c r="EU530" s="521"/>
      <c r="EV530" s="521"/>
      <c r="EW530" s="521"/>
      <c r="EX530" s="521"/>
      <c r="EY530" s="518"/>
      <c r="EZ530" s="523"/>
      <c r="FA530" s="523"/>
      <c r="FB530" s="524"/>
      <c r="FC530" s="524"/>
      <c r="FD530" s="518"/>
      <c r="FE530" s="518"/>
      <c r="FF530" s="518"/>
      <c r="FG530" s="518"/>
      <c r="FH530" s="518"/>
      <c r="FI530" s="518"/>
      <c r="FJ530" s="518"/>
      <c r="FK530" s="518"/>
      <c r="FL530" s="518"/>
      <c r="FM530" s="519"/>
    </row>
    <row r="531" spans="1:169" x14ac:dyDescent="0.25">
      <c r="A531" s="284"/>
      <c r="B531" s="317"/>
      <c r="C531" s="297"/>
      <c r="D531" s="298"/>
      <c r="E531" s="299"/>
      <c r="F531" s="340"/>
      <c r="G531" s="298"/>
      <c r="H531" s="299"/>
      <c r="I531" s="300"/>
      <c r="J531" s="370"/>
      <c r="K531" s="328"/>
      <c r="L531" s="300"/>
      <c r="M531" s="328"/>
      <c r="N531" s="331"/>
      <c r="O531" s="301"/>
      <c r="P531" s="301"/>
      <c r="Q531" s="328"/>
      <c r="R531" s="620"/>
      <c r="S531" s="512"/>
      <c r="T531" s="512"/>
      <c r="U531" s="513"/>
      <c r="V531" s="514"/>
      <c r="W531" s="512"/>
      <c r="X531" s="513"/>
      <c r="Y531" s="514"/>
      <c r="Z531" s="513"/>
      <c r="AA531" s="515"/>
      <c r="AB531" s="516"/>
      <c r="AC531" s="513"/>
      <c r="AD531" s="544"/>
      <c r="AE531" s="516"/>
      <c r="AF531" s="513"/>
      <c r="AG531" s="551"/>
      <c r="AH531" s="595"/>
      <c r="AI531" s="517"/>
      <c r="AJ531" s="518"/>
      <c r="AK531" s="518"/>
      <c r="AL531" s="518"/>
      <c r="AM531" s="519"/>
      <c r="AN531" s="517"/>
      <c r="AO531" s="520"/>
      <c r="AP531" s="525"/>
      <c r="AQ531" s="531"/>
      <c r="AR531" s="593"/>
      <c r="AS531" s="518"/>
      <c r="AT531" s="518"/>
      <c r="AU531" s="518"/>
      <c r="AV531" s="519"/>
      <c r="AW531" s="560"/>
      <c r="AX531" s="522"/>
      <c r="AY531" s="522"/>
      <c r="AZ531" s="522"/>
      <c r="BA531" s="522"/>
      <c r="BB531" s="522"/>
      <c r="BC531" s="518"/>
      <c r="BD531" s="518"/>
      <c r="BE531" s="518"/>
      <c r="BF531" s="518"/>
      <c r="BG531" s="518"/>
      <c r="BH531" s="519"/>
      <c r="BI531" s="527"/>
      <c r="BJ531" s="518"/>
      <c r="BK531" s="518"/>
      <c r="BL531" s="520"/>
      <c r="BM531" s="520"/>
      <c r="BN531" s="519"/>
      <c r="BO531" s="517"/>
      <c r="BP531" s="520"/>
      <c r="BQ531" s="520"/>
      <c r="BR531" s="519"/>
      <c r="BS531" s="548"/>
      <c r="BT531" s="537"/>
      <c r="BU531" s="521"/>
      <c r="BV531" s="521"/>
      <c r="BW531" s="521"/>
      <c r="BX531" s="521"/>
      <c r="BY531" s="521"/>
      <c r="BZ531" s="521"/>
      <c r="CA531" s="521"/>
      <c r="CB531" s="521"/>
      <c r="CC531" s="521"/>
      <c r="CD531" s="521"/>
      <c r="CE531" s="521"/>
      <c r="CF531" s="521"/>
      <c r="CG531" s="521"/>
      <c r="CH531" s="521"/>
      <c r="CI531" s="521"/>
      <c r="CJ531" s="521"/>
      <c r="CK531" s="521"/>
      <c r="CL531" s="518"/>
      <c r="CM531" s="523"/>
      <c r="CN531" s="523"/>
      <c r="CO531" s="524"/>
      <c r="CP531" s="524"/>
      <c r="CQ531" s="518"/>
      <c r="CR531" s="518"/>
      <c r="CS531" s="518"/>
      <c r="CT531" s="518"/>
      <c r="CU531" s="518"/>
      <c r="CV531" s="518"/>
      <c r="CW531" s="518"/>
      <c r="CX531" s="518"/>
      <c r="CY531" s="518"/>
      <c r="CZ531" s="519"/>
      <c r="DA531" s="527"/>
      <c r="DB531" s="520"/>
      <c r="DC531" s="525"/>
      <c r="DD531" s="531"/>
      <c r="DE531" s="593"/>
      <c r="DF531" s="518"/>
      <c r="DG531" s="518"/>
      <c r="DH531" s="518"/>
      <c r="DI531" s="519"/>
      <c r="DJ531" s="560"/>
      <c r="DK531" s="522"/>
      <c r="DL531" s="522"/>
      <c r="DM531" s="522"/>
      <c r="DN531" s="522"/>
      <c r="DO531" s="522"/>
      <c r="DP531" s="518"/>
      <c r="DQ531" s="518"/>
      <c r="DR531" s="518"/>
      <c r="DS531" s="518"/>
      <c r="DT531" s="518"/>
      <c r="DU531" s="519"/>
      <c r="DV531" s="527"/>
      <c r="DW531" s="518"/>
      <c r="DX531" s="518"/>
      <c r="DY531" s="520"/>
      <c r="DZ531" s="520"/>
      <c r="EA531" s="519"/>
      <c r="EB531" s="527"/>
      <c r="EC531" s="520"/>
      <c r="ED531" s="520"/>
      <c r="EE531" s="519"/>
      <c r="EF531" s="550"/>
      <c r="EG531" s="537"/>
      <c r="EH531" s="521"/>
      <c r="EI531" s="521"/>
      <c r="EJ531" s="521"/>
      <c r="EK531" s="521"/>
      <c r="EL531" s="521"/>
      <c r="EM531" s="521"/>
      <c r="EN531" s="521"/>
      <c r="EO531" s="521"/>
      <c r="EP531" s="521"/>
      <c r="EQ531" s="521"/>
      <c r="ER531" s="521"/>
      <c r="ES531" s="521"/>
      <c r="ET531" s="521"/>
      <c r="EU531" s="521"/>
      <c r="EV531" s="521"/>
      <c r="EW531" s="521"/>
      <c r="EX531" s="521"/>
      <c r="EY531" s="518"/>
      <c r="EZ531" s="523"/>
      <c r="FA531" s="523"/>
      <c r="FB531" s="524"/>
      <c r="FC531" s="524"/>
      <c r="FD531" s="518"/>
      <c r="FE531" s="518"/>
      <c r="FF531" s="518"/>
      <c r="FG531" s="518"/>
      <c r="FH531" s="518"/>
      <c r="FI531" s="518"/>
      <c r="FJ531" s="518"/>
      <c r="FK531" s="518"/>
      <c r="FL531" s="518"/>
      <c r="FM531" s="519"/>
    </row>
    <row r="532" spans="1:169" x14ac:dyDescent="0.25">
      <c r="A532" s="284"/>
      <c r="B532" s="317"/>
      <c r="C532" s="297"/>
      <c r="D532" s="298"/>
      <c r="E532" s="299"/>
      <c r="F532" s="340"/>
      <c r="G532" s="298"/>
      <c r="H532" s="299"/>
      <c r="I532" s="300"/>
      <c r="J532" s="370"/>
      <c r="K532" s="328"/>
      <c r="L532" s="300"/>
      <c r="M532" s="328"/>
      <c r="N532" s="331"/>
      <c r="O532" s="301"/>
      <c r="P532" s="301"/>
      <c r="Q532" s="328"/>
      <c r="R532" s="620"/>
      <c r="S532" s="512"/>
      <c r="T532" s="512"/>
      <c r="U532" s="513"/>
      <c r="V532" s="514"/>
      <c r="W532" s="512"/>
      <c r="X532" s="513"/>
      <c r="Y532" s="514"/>
      <c r="Z532" s="513"/>
      <c r="AA532" s="515"/>
      <c r="AB532" s="516"/>
      <c r="AC532" s="513"/>
      <c r="AD532" s="544"/>
      <c r="AE532" s="516"/>
      <c r="AF532" s="513"/>
      <c r="AG532" s="551"/>
      <c r="AH532" s="595"/>
      <c r="AI532" s="517"/>
      <c r="AJ532" s="518"/>
      <c r="AK532" s="518"/>
      <c r="AL532" s="518"/>
      <c r="AM532" s="519"/>
      <c r="AN532" s="517"/>
      <c r="AO532" s="520"/>
      <c r="AP532" s="525"/>
      <c r="AQ532" s="531"/>
      <c r="AR532" s="593"/>
      <c r="AS532" s="518"/>
      <c r="AT532" s="518"/>
      <c r="AU532" s="518"/>
      <c r="AV532" s="519"/>
      <c r="AW532" s="560"/>
      <c r="AX532" s="522"/>
      <c r="AY532" s="522"/>
      <c r="AZ532" s="522"/>
      <c r="BA532" s="522"/>
      <c r="BB532" s="522"/>
      <c r="BC532" s="518"/>
      <c r="BD532" s="518"/>
      <c r="BE532" s="518"/>
      <c r="BF532" s="518"/>
      <c r="BG532" s="518"/>
      <c r="BH532" s="519"/>
      <c r="BI532" s="527"/>
      <c r="BJ532" s="518"/>
      <c r="BK532" s="518"/>
      <c r="BL532" s="520"/>
      <c r="BM532" s="520"/>
      <c r="BN532" s="519"/>
      <c r="BO532" s="517"/>
      <c r="BP532" s="520"/>
      <c r="BQ532" s="520"/>
      <c r="BR532" s="519"/>
      <c r="BS532" s="548"/>
      <c r="BT532" s="537"/>
      <c r="BU532" s="521"/>
      <c r="BV532" s="521"/>
      <c r="BW532" s="521"/>
      <c r="BX532" s="521"/>
      <c r="BY532" s="521"/>
      <c r="BZ532" s="521"/>
      <c r="CA532" s="521"/>
      <c r="CB532" s="521"/>
      <c r="CC532" s="521"/>
      <c r="CD532" s="521"/>
      <c r="CE532" s="521"/>
      <c r="CF532" s="521"/>
      <c r="CG532" s="521"/>
      <c r="CH532" s="521"/>
      <c r="CI532" s="521"/>
      <c r="CJ532" s="521"/>
      <c r="CK532" s="521"/>
      <c r="CL532" s="518"/>
      <c r="CM532" s="523"/>
      <c r="CN532" s="523"/>
      <c r="CO532" s="524"/>
      <c r="CP532" s="524"/>
      <c r="CQ532" s="518"/>
      <c r="CR532" s="518"/>
      <c r="CS532" s="518"/>
      <c r="CT532" s="518"/>
      <c r="CU532" s="518"/>
      <c r="CV532" s="518"/>
      <c r="CW532" s="518"/>
      <c r="CX532" s="518"/>
      <c r="CY532" s="518"/>
      <c r="CZ532" s="519"/>
      <c r="DA532" s="527"/>
      <c r="DB532" s="520"/>
      <c r="DC532" s="525"/>
      <c r="DD532" s="531"/>
      <c r="DE532" s="593"/>
      <c r="DF532" s="518"/>
      <c r="DG532" s="518"/>
      <c r="DH532" s="518"/>
      <c r="DI532" s="519"/>
      <c r="DJ532" s="560"/>
      <c r="DK532" s="522"/>
      <c r="DL532" s="522"/>
      <c r="DM532" s="522"/>
      <c r="DN532" s="522"/>
      <c r="DO532" s="522"/>
      <c r="DP532" s="518"/>
      <c r="DQ532" s="518"/>
      <c r="DR532" s="518"/>
      <c r="DS532" s="518"/>
      <c r="DT532" s="518"/>
      <c r="DU532" s="519"/>
      <c r="DV532" s="527"/>
      <c r="DW532" s="518"/>
      <c r="DX532" s="518"/>
      <c r="DY532" s="520"/>
      <c r="DZ532" s="520"/>
      <c r="EA532" s="519"/>
      <c r="EB532" s="527"/>
      <c r="EC532" s="520"/>
      <c r="ED532" s="520"/>
      <c r="EE532" s="519"/>
      <c r="EF532" s="550"/>
      <c r="EG532" s="537"/>
      <c r="EH532" s="521"/>
      <c r="EI532" s="521"/>
      <c r="EJ532" s="521"/>
      <c r="EK532" s="521"/>
      <c r="EL532" s="521"/>
      <c r="EM532" s="521"/>
      <c r="EN532" s="521"/>
      <c r="EO532" s="521"/>
      <c r="EP532" s="521"/>
      <c r="EQ532" s="521"/>
      <c r="ER532" s="521"/>
      <c r="ES532" s="521"/>
      <c r="ET532" s="521"/>
      <c r="EU532" s="521"/>
      <c r="EV532" s="521"/>
      <c r="EW532" s="521"/>
      <c r="EX532" s="521"/>
      <c r="EY532" s="518"/>
      <c r="EZ532" s="523"/>
      <c r="FA532" s="523"/>
      <c r="FB532" s="524"/>
      <c r="FC532" s="524"/>
      <c r="FD532" s="518"/>
      <c r="FE532" s="518"/>
      <c r="FF532" s="518"/>
      <c r="FG532" s="518"/>
      <c r="FH532" s="518"/>
      <c r="FI532" s="518"/>
      <c r="FJ532" s="518"/>
      <c r="FK532" s="518"/>
      <c r="FL532" s="518"/>
      <c r="FM532" s="519"/>
    </row>
    <row r="533" spans="1:169" x14ac:dyDescent="0.25">
      <c r="A533" s="284"/>
      <c r="B533" s="317"/>
      <c r="C533" s="297"/>
      <c r="D533" s="298"/>
      <c r="E533" s="299"/>
      <c r="F533" s="340"/>
      <c r="G533" s="298"/>
      <c r="H533" s="299"/>
      <c r="I533" s="300"/>
      <c r="J533" s="370"/>
      <c r="K533" s="328"/>
      <c r="L533" s="300"/>
      <c r="M533" s="328"/>
      <c r="N533" s="331"/>
      <c r="O533" s="301"/>
      <c r="P533" s="301"/>
      <c r="Q533" s="328"/>
      <c r="R533" s="620"/>
      <c r="S533" s="512"/>
      <c r="T533" s="512"/>
      <c r="U533" s="513"/>
      <c r="V533" s="514"/>
      <c r="W533" s="512"/>
      <c r="X533" s="513"/>
      <c r="Y533" s="514"/>
      <c r="Z533" s="513"/>
      <c r="AA533" s="515"/>
      <c r="AB533" s="516"/>
      <c r="AC533" s="513"/>
      <c r="AD533" s="544"/>
      <c r="AE533" s="516"/>
      <c r="AF533" s="513"/>
      <c r="AG533" s="551"/>
      <c r="AH533" s="595"/>
      <c r="AI533" s="517"/>
      <c r="AJ533" s="518"/>
      <c r="AK533" s="518"/>
      <c r="AL533" s="518"/>
      <c r="AM533" s="519"/>
      <c r="AN533" s="517"/>
      <c r="AO533" s="520"/>
      <c r="AP533" s="525"/>
      <c r="AQ533" s="531"/>
      <c r="AR533" s="593"/>
      <c r="AS533" s="518"/>
      <c r="AT533" s="518"/>
      <c r="AU533" s="518"/>
      <c r="AV533" s="519"/>
      <c r="AW533" s="560"/>
      <c r="AX533" s="522"/>
      <c r="AY533" s="522"/>
      <c r="AZ533" s="522"/>
      <c r="BA533" s="522"/>
      <c r="BB533" s="522"/>
      <c r="BC533" s="518"/>
      <c r="BD533" s="518"/>
      <c r="BE533" s="518"/>
      <c r="BF533" s="518"/>
      <c r="BG533" s="518"/>
      <c r="BH533" s="519"/>
      <c r="BI533" s="527"/>
      <c r="BJ533" s="518"/>
      <c r="BK533" s="518"/>
      <c r="BL533" s="520"/>
      <c r="BM533" s="520"/>
      <c r="BN533" s="519"/>
      <c r="BO533" s="517"/>
      <c r="BP533" s="520"/>
      <c r="BQ533" s="520"/>
      <c r="BR533" s="519"/>
      <c r="BS533" s="548"/>
      <c r="BT533" s="537"/>
      <c r="BU533" s="521"/>
      <c r="BV533" s="521"/>
      <c r="BW533" s="521"/>
      <c r="BX533" s="521"/>
      <c r="BY533" s="521"/>
      <c r="BZ533" s="521"/>
      <c r="CA533" s="521"/>
      <c r="CB533" s="521"/>
      <c r="CC533" s="521"/>
      <c r="CD533" s="521"/>
      <c r="CE533" s="521"/>
      <c r="CF533" s="521"/>
      <c r="CG533" s="521"/>
      <c r="CH533" s="521"/>
      <c r="CI533" s="521"/>
      <c r="CJ533" s="521"/>
      <c r="CK533" s="521"/>
      <c r="CL533" s="518"/>
      <c r="CM533" s="523"/>
      <c r="CN533" s="523"/>
      <c r="CO533" s="524"/>
      <c r="CP533" s="524"/>
      <c r="CQ533" s="518"/>
      <c r="CR533" s="518"/>
      <c r="CS533" s="518"/>
      <c r="CT533" s="518"/>
      <c r="CU533" s="518"/>
      <c r="CV533" s="518"/>
      <c r="CW533" s="518"/>
      <c r="CX533" s="518"/>
      <c r="CY533" s="518"/>
      <c r="CZ533" s="519"/>
      <c r="DA533" s="527"/>
      <c r="DB533" s="520"/>
      <c r="DC533" s="525"/>
      <c r="DD533" s="531"/>
      <c r="DE533" s="593"/>
      <c r="DF533" s="518"/>
      <c r="DG533" s="518"/>
      <c r="DH533" s="518"/>
      <c r="DI533" s="519"/>
      <c r="DJ533" s="560"/>
      <c r="DK533" s="522"/>
      <c r="DL533" s="522"/>
      <c r="DM533" s="522"/>
      <c r="DN533" s="522"/>
      <c r="DO533" s="522"/>
      <c r="DP533" s="518"/>
      <c r="DQ533" s="518"/>
      <c r="DR533" s="518"/>
      <c r="DS533" s="518"/>
      <c r="DT533" s="518"/>
      <c r="DU533" s="519"/>
      <c r="DV533" s="527"/>
      <c r="DW533" s="518"/>
      <c r="DX533" s="518"/>
      <c r="DY533" s="520"/>
      <c r="DZ533" s="520"/>
      <c r="EA533" s="519"/>
      <c r="EB533" s="527"/>
      <c r="EC533" s="520"/>
      <c r="ED533" s="520"/>
      <c r="EE533" s="519"/>
      <c r="EF533" s="550"/>
      <c r="EG533" s="537"/>
      <c r="EH533" s="521"/>
      <c r="EI533" s="521"/>
      <c r="EJ533" s="521"/>
      <c r="EK533" s="521"/>
      <c r="EL533" s="521"/>
      <c r="EM533" s="521"/>
      <c r="EN533" s="521"/>
      <c r="EO533" s="521"/>
      <c r="EP533" s="521"/>
      <c r="EQ533" s="521"/>
      <c r="ER533" s="521"/>
      <c r="ES533" s="521"/>
      <c r="ET533" s="521"/>
      <c r="EU533" s="521"/>
      <c r="EV533" s="521"/>
      <c r="EW533" s="521"/>
      <c r="EX533" s="521"/>
      <c r="EY533" s="518"/>
      <c r="EZ533" s="523"/>
      <c r="FA533" s="523"/>
      <c r="FB533" s="524"/>
      <c r="FC533" s="524"/>
      <c r="FD533" s="518"/>
      <c r="FE533" s="518"/>
      <c r="FF533" s="518"/>
      <c r="FG533" s="518"/>
      <c r="FH533" s="518"/>
      <c r="FI533" s="518"/>
      <c r="FJ533" s="518"/>
      <c r="FK533" s="518"/>
      <c r="FL533" s="518"/>
      <c r="FM533" s="519"/>
    </row>
    <row r="534" spans="1:169" x14ac:dyDescent="0.25">
      <c r="A534" s="284"/>
      <c r="B534" s="317"/>
      <c r="C534" s="297"/>
      <c r="D534" s="298"/>
      <c r="E534" s="299"/>
      <c r="F534" s="340"/>
      <c r="G534" s="298"/>
      <c r="H534" s="299"/>
      <c r="I534" s="300"/>
      <c r="J534" s="370"/>
      <c r="K534" s="328"/>
      <c r="L534" s="300"/>
      <c r="M534" s="328"/>
      <c r="N534" s="331"/>
      <c r="O534" s="301"/>
      <c r="P534" s="301"/>
      <c r="Q534" s="328"/>
      <c r="R534" s="620"/>
      <c r="S534" s="512"/>
      <c r="T534" s="512"/>
      <c r="U534" s="513"/>
      <c r="V534" s="514"/>
      <c r="W534" s="512"/>
      <c r="X534" s="513"/>
      <c r="Y534" s="514"/>
      <c r="Z534" s="513"/>
      <c r="AA534" s="515"/>
      <c r="AB534" s="516"/>
      <c r="AC534" s="513"/>
      <c r="AD534" s="544"/>
      <c r="AE534" s="516"/>
      <c r="AF534" s="513"/>
      <c r="AG534" s="551"/>
      <c r="AH534" s="595"/>
      <c r="AI534" s="517"/>
      <c r="AJ534" s="518"/>
      <c r="AK534" s="518"/>
      <c r="AL534" s="518"/>
      <c r="AM534" s="519"/>
      <c r="AN534" s="517"/>
      <c r="AO534" s="520"/>
      <c r="AP534" s="525"/>
      <c r="AQ534" s="531"/>
      <c r="AR534" s="593"/>
      <c r="AS534" s="518"/>
      <c r="AT534" s="518"/>
      <c r="AU534" s="518"/>
      <c r="AV534" s="519"/>
      <c r="AW534" s="560"/>
      <c r="AX534" s="522"/>
      <c r="AY534" s="522"/>
      <c r="AZ534" s="522"/>
      <c r="BA534" s="522"/>
      <c r="BB534" s="522"/>
      <c r="BC534" s="518"/>
      <c r="BD534" s="518"/>
      <c r="BE534" s="518"/>
      <c r="BF534" s="518"/>
      <c r="BG534" s="518"/>
      <c r="BH534" s="519"/>
      <c r="BI534" s="527"/>
      <c r="BJ534" s="518"/>
      <c r="BK534" s="518"/>
      <c r="BL534" s="520"/>
      <c r="BM534" s="520"/>
      <c r="BN534" s="519"/>
      <c r="BO534" s="517"/>
      <c r="BP534" s="520"/>
      <c r="BQ534" s="520"/>
      <c r="BR534" s="519"/>
      <c r="BS534" s="548"/>
      <c r="BT534" s="537"/>
      <c r="BU534" s="521"/>
      <c r="BV534" s="521"/>
      <c r="BW534" s="521"/>
      <c r="BX534" s="521"/>
      <c r="BY534" s="521"/>
      <c r="BZ534" s="521"/>
      <c r="CA534" s="521"/>
      <c r="CB534" s="521"/>
      <c r="CC534" s="521"/>
      <c r="CD534" s="521"/>
      <c r="CE534" s="521"/>
      <c r="CF534" s="521"/>
      <c r="CG534" s="521"/>
      <c r="CH534" s="521"/>
      <c r="CI534" s="521"/>
      <c r="CJ534" s="521"/>
      <c r="CK534" s="521"/>
      <c r="CL534" s="518"/>
      <c r="CM534" s="523"/>
      <c r="CN534" s="523"/>
      <c r="CO534" s="524"/>
      <c r="CP534" s="524"/>
      <c r="CQ534" s="518"/>
      <c r="CR534" s="518"/>
      <c r="CS534" s="518"/>
      <c r="CT534" s="518"/>
      <c r="CU534" s="518"/>
      <c r="CV534" s="518"/>
      <c r="CW534" s="518"/>
      <c r="CX534" s="518"/>
      <c r="CY534" s="518"/>
      <c r="CZ534" s="519"/>
      <c r="DA534" s="527"/>
      <c r="DB534" s="520"/>
      <c r="DC534" s="525"/>
      <c r="DD534" s="531"/>
      <c r="DE534" s="593"/>
      <c r="DF534" s="518"/>
      <c r="DG534" s="518"/>
      <c r="DH534" s="518"/>
      <c r="DI534" s="519"/>
      <c r="DJ534" s="560"/>
      <c r="DK534" s="522"/>
      <c r="DL534" s="522"/>
      <c r="DM534" s="522"/>
      <c r="DN534" s="522"/>
      <c r="DO534" s="522"/>
      <c r="DP534" s="518"/>
      <c r="DQ534" s="518"/>
      <c r="DR534" s="518"/>
      <c r="DS534" s="518"/>
      <c r="DT534" s="518"/>
      <c r="DU534" s="519"/>
      <c r="DV534" s="527"/>
      <c r="DW534" s="518"/>
      <c r="DX534" s="518"/>
      <c r="DY534" s="520"/>
      <c r="DZ534" s="520"/>
      <c r="EA534" s="519"/>
      <c r="EB534" s="527"/>
      <c r="EC534" s="520"/>
      <c r="ED534" s="520"/>
      <c r="EE534" s="519"/>
      <c r="EF534" s="550"/>
      <c r="EG534" s="537"/>
      <c r="EH534" s="521"/>
      <c r="EI534" s="521"/>
      <c r="EJ534" s="521"/>
      <c r="EK534" s="521"/>
      <c r="EL534" s="521"/>
      <c r="EM534" s="521"/>
      <c r="EN534" s="521"/>
      <c r="EO534" s="521"/>
      <c r="EP534" s="521"/>
      <c r="EQ534" s="521"/>
      <c r="ER534" s="521"/>
      <c r="ES534" s="521"/>
      <c r="ET534" s="521"/>
      <c r="EU534" s="521"/>
      <c r="EV534" s="521"/>
      <c r="EW534" s="521"/>
      <c r="EX534" s="521"/>
      <c r="EY534" s="518"/>
      <c r="EZ534" s="523"/>
      <c r="FA534" s="523"/>
      <c r="FB534" s="524"/>
      <c r="FC534" s="524"/>
      <c r="FD534" s="518"/>
      <c r="FE534" s="518"/>
      <c r="FF534" s="518"/>
      <c r="FG534" s="518"/>
      <c r="FH534" s="518"/>
      <c r="FI534" s="518"/>
      <c r="FJ534" s="518"/>
      <c r="FK534" s="518"/>
      <c r="FL534" s="518"/>
      <c r="FM534" s="519"/>
    </row>
    <row r="535" spans="1:169" x14ac:dyDescent="0.25">
      <c r="A535" s="284"/>
      <c r="B535" s="317"/>
      <c r="C535" s="297"/>
      <c r="D535" s="298"/>
      <c r="E535" s="299"/>
      <c r="F535" s="340"/>
      <c r="G535" s="298"/>
      <c r="H535" s="299"/>
      <c r="I535" s="300"/>
      <c r="J535" s="370"/>
      <c r="K535" s="328"/>
      <c r="L535" s="300"/>
      <c r="M535" s="328"/>
      <c r="N535" s="331"/>
      <c r="O535" s="301"/>
      <c r="P535" s="301"/>
      <c r="Q535" s="328"/>
      <c r="R535" s="620"/>
      <c r="S535" s="512"/>
      <c r="T535" s="512"/>
      <c r="U535" s="513"/>
      <c r="V535" s="514"/>
      <c r="W535" s="512"/>
      <c r="X535" s="513"/>
      <c r="Y535" s="514"/>
      <c r="Z535" s="513"/>
      <c r="AA535" s="515"/>
      <c r="AB535" s="516"/>
      <c r="AC535" s="513"/>
      <c r="AD535" s="544"/>
      <c r="AE535" s="516"/>
      <c r="AF535" s="513"/>
      <c r="AG535" s="551"/>
      <c r="AH535" s="595"/>
      <c r="AI535" s="517"/>
      <c r="AJ535" s="518"/>
      <c r="AK535" s="518"/>
      <c r="AL535" s="518"/>
      <c r="AM535" s="519"/>
      <c r="AN535" s="517"/>
      <c r="AO535" s="520"/>
      <c r="AP535" s="525"/>
      <c r="AQ535" s="531"/>
      <c r="AR535" s="593"/>
      <c r="AS535" s="518"/>
      <c r="AT535" s="518"/>
      <c r="AU535" s="518"/>
      <c r="AV535" s="519"/>
      <c r="AW535" s="560"/>
      <c r="AX535" s="522"/>
      <c r="AY535" s="522"/>
      <c r="AZ535" s="522"/>
      <c r="BA535" s="522"/>
      <c r="BB535" s="522"/>
      <c r="BC535" s="518"/>
      <c r="BD535" s="518"/>
      <c r="BE535" s="518"/>
      <c r="BF535" s="518"/>
      <c r="BG535" s="518"/>
      <c r="BH535" s="519"/>
      <c r="BI535" s="527"/>
      <c r="BJ535" s="518"/>
      <c r="BK535" s="518"/>
      <c r="BL535" s="520"/>
      <c r="BM535" s="520"/>
      <c r="BN535" s="519"/>
      <c r="BO535" s="517"/>
      <c r="BP535" s="520"/>
      <c r="BQ535" s="520"/>
      <c r="BR535" s="519"/>
      <c r="BS535" s="548"/>
      <c r="BT535" s="537"/>
      <c r="BU535" s="521"/>
      <c r="BV535" s="521"/>
      <c r="BW535" s="521"/>
      <c r="BX535" s="521"/>
      <c r="BY535" s="521"/>
      <c r="BZ535" s="521"/>
      <c r="CA535" s="521"/>
      <c r="CB535" s="521"/>
      <c r="CC535" s="521"/>
      <c r="CD535" s="521"/>
      <c r="CE535" s="521"/>
      <c r="CF535" s="521"/>
      <c r="CG535" s="521"/>
      <c r="CH535" s="521"/>
      <c r="CI535" s="521"/>
      <c r="CJ535" s="521"/>
      <c r="CK535" s="521"/>
      <c r="CL535" s="518"/>
      <c r="CM535" s="523"/>
      <c r="CN535" s="523"/>
      <c r="CO535" s="524"/>
      <c r="CP535" s="524"/>
      <c r="CQ535" s="518"/>
      <c r="CR535" s="518"/>
      <c r="CS535" s="518"/>
      <c r="CT535" s="518"/>
      <c r="CU535" s="518"/>
      <c r="CV535" s="518"/>
      <c r="CW535" s="518"/>
      <c r="CX535" s="518"/>
      <c r="CY535" s="518"/>
      <c r="CZ535" s="519"/>
      <c r="DA535" s="527"/>
      <c r="DB535" s="520"/>
      <c r="DC535" s="525"/>
      <c r="DD535" s="531"/>
      <c r="DE535" s="593"/>
      <c r="DF535" s="518"/>
      <c r="DG535" s="518"/>
      <c r="DH535" s="518"/>
      <c r="DI535" s="519"/>
      <c r="DJ535" s="560"/>
      <c r="DK535" s="522"/>
      <c r="DL535" s="522"/>
      <c r="DM535" s="522"/>
      <c r="DN535" s="522"/>
      <c r="DO535" s="522"/>
      <c r="DP535" s="518"/>
      <c r="DQ535" s="518"/>
      <c r="DR535" s="518"/>
      <c r="DS535" s="518"/>
      <c r="DT535" s="518"/>
      <c r="DU535" s="519"/>
      <c r="DV535" s="527"/>
      <c r="DW535" s="518"/>
      <c r="DX535" s="518"/>
      <c r="DY535" s="520"/>
      <c r="DZ535" s="520"/>
      <c r="EA535" s="519"/>
      <c r="EB535" s="527"/>
      <c r="EC535" s="520"/>
      <c r="ED535" s="520"/>
      <c r="EE535" s="519"/>
      <c r="EF535" s="550"/>
      <c r="EG535" s="537"/>
      <c r="EH535" s="521"/>
      <c r="EI535" s="521"/>
      <c r="EJ535" s="521"/>
      <c r="EK535" s="521"/>
      <c r="EL535" s="521"/>
      <c r="EM535" s="521"/>
      <c r="EN535" s="521"/>
      <c r="EO535" s="521"/>
      <c r="EP535" s="521"/>
      <c r="EQ535" s="521"/>
      <c r="ER535" s="521"/>
      <c r="ES535" s="521"/>
      <c r="ET535" s="521"/>
      <c r="EU535" s="521"/>
      <c r="EV535" s="521"/>
      <c r="EW535" s="521"/>
      <c r="EX535" s="521"/>
      <c r="EY535" s="518"/>
      <c r="EZ535" s="523"/>
      <c r="FA535" s="523"/>
      <c r="FB535" s="524"/>
      <c r="FC535" s="524"/>
      <c r="FD535" s="518"/>
      <c r="FE535" s="518"/>
      <c r="FF535" s="518"/>
      <c r="FG535" s="518"/>
      <c r="FH535" s="518"/>
      <c r="FI535" s="518"/>
      <c r="FJ535" s="518"/>
      <c r="FK535" s="518"/>
      <c r="FL535" s="518"/>
      <c r="FM535" s="519"/>
    </row>
    <row r="536" spans="1:169" x14ac:dyDescent="0.25">
      <c r="A536" s="284"/>
      <c r="B536" s="317"/>
      <c r="C536" s="297"/>
      <c r="D536" s="298"/>
      <c r="E536" s="299"/>
      <c r="F536" s="340"/>
      <c r="G536" s="298"/>
      <c r="H536" s="299"/>
      <c r="I536" s="300"/>
      <c r="J536" s="370"/>
      <c r="K536" s="328"/>
      <c r="L536" s="300"/>
      <c r="M536" s="328"/>
      <c r="N536" s="331"/>
      <c r="O536" s="301"/>
      <c r="P536" s="301"/>
      <c r="Q536" s="328"/>
      <c r="R536" s="620"/>
      <c r="S536" s="512"/>
      <c r="T536" s="512"/>
      <c r="U536" s="513"/>
      <c r="V536" s="514"/>
      <c r="W536" s="512"/>
      <c r="X536" s="513"/>
      <c r="Y536" s="514"/>
      <c r="Z536" s="513"/>
      <c r="AA536" s="515"/>
      <c r="AB536" s="516"/>
      <c r="AC536" s="513"/>
      <c r="AD536" s="544"/>
      <c r="AE536" s="516"/>
      <c r="AF536" s="513"/>
      <c r="AG536" s="551"/>
      <c r="AH536" s="595"/>
      <c r="AI536" s="517"/>
      <c r="AJ536" s="518"/>
      <c r="AK536" s="518"/>
      <c r="AL536" s="518"/>
      <c r="AM536" s="519"/>
      <c r="AN536" s="517"/>
      <c r="AO536" s="520"/>
      <c r="AP536" s="525"/>
      <c r="AQ536" s="531"/>
      <c r="AR536" s="593"/>
      <c r="AS536" s="518"/>
      <c r="AT536" s="518"/>
      <c r="AU536" s="518"/>
      <c r="AV536" s="519"/>
      <c r="AW536" s="560"/>
      <c r="AX536" s="522"/>
      <c r="AY536" s="522"/>
      <c r="AZ536" s="522"/>
      <c r="BA536" s="522"/>
      <c r="BB536" s="522"/>
      <c r="BC536" s="518"/>
      <c r="BD536" s="518"/>
      <c r="BE536" s="518"/>
      <c r="BF536" s="518"/>
      <c r="BG536" s="518"/>
      <c r="BH536" s="519"/>
      <c r="BI536" s="527"/>
      <c r="BJ536" s="518"/>
      <c r="BK536" s="518"/>
      <c r="BL536" s="520"/>
      <c r="BM536" s="520"/>
      <c r="BN536" s="519"/>
      <c r="BO536" s="517"/>
      <c r="BP536" s="520"/>
      <c r="BQ536" s="520"/>
      <c r="BR536" s="519"/>
      <c r="BS536" s="548"/>
      <c r="BT536" s="537"/>
      <c r="BU536" s="521"/>
      <c r="BV536" s="521"/>
      <c r="BW536" s="521"/>
      <c r="BX536" s="521"/>
      <c r="BY536" s="521"/>
      <c r="BZ536" s="521"/>
      <c r="CA536" s="521"/>
      <c r="CB536" s="521"/>
      <c r="CC536" s="521"/>
      <c r="CD536" s="521"/>
      <c r="CE536" s="521"/>
      <c r="CF536" s="521"/>
      <c r="CG536" s="521"/>
      <c r="CH536" s="521"/>
      <c r="CI536" s="521"/>
      <c r="CJ536" s="521"/>
      <c r="CK536" s="521"/>
      <c r="CL536" s="518"/>
      <c r="CM536" s="523"/>
      <c r="CN536" s="523"/>
      <c r="CO536" s="524"/>
      <c r="CP536" s="524"/>
      <c r="CQ536" s="518"/>
      <c r="CR536" s="518"/>
      <c r="CS536" s="518"/>
      <c r="CT536" s="518"/>
      <c r="CU536" s="518"/>
      <c r="CV536" s="518"/>
      <c r="CW536" s="518"/>
      <c r="CX536" s="518"/>
      <c r="CY536" s="518"/>
      <c r="CZ536" s="519"/>
      <c r="DA536" s="527"/>
      <c r="DB536" s="520"/>
      <c r="DC536" s="525"/>
      <c r="DD536" s="531"/>
      <c r="DE536" s="593"/>
      <c r="DF536" s="518"/>
      <c r="DG536" s="518"/>
      <c r="DH536" s="518"/>
      <c r="DI536" s="519"/>
      <c r="DJ536" s="560"/>
      <c r="DK536" s="522"/>
      <c r="DL536" s="522"/>
      <c r="DM536" s="522"/>
      <c r="DN536" s="522"/>
      <c r="DO536" s="522"/>
      <c r="DP536" s="518"/>
      <c r="DQ536" s="518"/>
      <c r="DR536" s="518"/>
      <c r="DS536" s="518"/>
      <c r="DT536" s="518"/>
      <c r="DU536" s="519"/>
      <c r="DV536" s="527"/>
      <c r="DW536" s="518"/>
      <c r="DX536" s="518"/>
      <c r="DY536" s="520"/>
      <c r="DZ536" s="520"/>
      <c r="EA536" s="519"/>
      <c r="EB536" s="527"/>
      <c r="EC536" s="520"/>
      <c r="ED536" s="520"/>
      <c r="EE536" s="519"/>
      <c r="EF536" s="550"/>
      <c r="EG536" s="537"/>
      <c r="EH536" s="521"/>
      <c r="EI536" s="521"/>
      <c r="EJ536" s="521"/>
      <c r="EK536" s="521"/>
      <c r="EL536" s="521"/>
      <c r="EM536" s="521"/>
      <c r="EN536" s="521"/>
      <c r="EO536" s="521"/>
      <c r="EP536" s="521"/>
      <c r="EQ536" s="521"/>
      <c r="ER536" s="521"/>
      <c r="ES536" s="521"/>
      <c r="ET536" s="521"/>
      <c r="EU536" s="521"/>
      <c r="EV536" s="521"/>
      <c r="EW536" s="521"/>
      <c r="EX536" s="521"/>
      <c r="EY536" s="518"/>
      <c r="EZ536" s="523"/>
      <c r="FA536" s="523"/>
      <c r="FB536" s="524"/>
      <c r="FC536" s="524"/>
      <c r="FD536" s="518"/>
      <c r="FE536" s="518"/>
      <c r="FF536" s="518"/>
      <c r="FG536" s="518"/>
      <c r="FH536" s="518"/>
      <c r="FI536" s="518"/>
      <c r="FJ536" s="518"/>
      <c r="FK536" s="518"/>
      <c r="FL536" s="518"/>
      <c r="FM536" s="519"/>
    </row>
    <row r="537" spans="1:169" x14ac:dyDescent="0.25">
      <c r="A537" s="284"/>
      <c r="B537" s="317"/>
      <c r="C537" s="297"/>
      <c r="D537" s="298"/>
      <c r="E537" s="299"/>
      <c r="F537" s="340"/>
      <c r="G537" s="298"/>
      <c r="H537" s="299"/>
      <c r="I537" s="300"/>
      <c r="J537" s="370"/>
      <c r="K537" s="328"/>
      <c r="L537" s="300"/>
      <c r="M537" s="328"/>
      <c r="N537" s="331"/>
      <c r="O537" s="301"/>
      <c r="P537" s="301"/>
      <c r="Q537" s="328"/>
      <c r="R537" s="620"/>
      <c r="S537" s="512"/>
      <c r="T537" s="512"/>
      <c r="U537" s="513"/>
      <c r="V537" s="514"/>
      <c r="W537" s="512"/>
      <c r="X537" s="513"/>
      <c r="Y537" s="514"/>
      <c r="Z537" s="513"/>
      <c r="AA537" s="515"/>
      <c r="AB537" s="516"/>
      <c r="AC537" s="513"/>
      <c r="AD537" s="544"/>
      <c r="AE537" s="516"/>
      <c r="AF537" s="513"/>
      <c r="AG537" s="551"/>
      <c r="AH537" s="595"/>
      <c r="AI537" s="517"/>
      <c r="AJ537" s="518"/>
      <c r="AK537" s="518"/>
      <c r="AL537" s="518"/>
      <c r="AM537" s="519"/>
      <c r="AN537" s="517"/>
      <c r="AO537" s="520"/>
      <c r="AP537" s="525"/>
      <c r="AQ537" s="531"/>
      <c r="AR537" s="593"/>
      <c r="AS537" s="518"/>
      <c r="AT537" s="518"/>
      <c r="AU537" s="518"/>
      <c r="AV537" s="519"/>
      <c r="AW537" s="560"/>
      <c r="AX537" s="522"/>
      <c r="AY537" s="522"/>
      <c r="AZ537" s="522"/>
      <c r="BA537" s="522"/>
      <c r="BB537" s="522"/>
      <c r="BC537" s="518"/>
      <c r="BD537" s="518"/>
      <c r="BE537" s="518"/>
      <c r="BF537" s="518"/>
      <c r="BG537" s="518"/>
      <c r="BH537" s="519"/>
      <c r="BI537" s="527"/>
      <c r="BJ537" s="518"/>
      <c r="BK537" s="518"/>
      <c r="BL537" s="520"/>
      <c r="BM537" s="520"/>
      <c r="BN537" s="519"/>
      <c r="BO537" s="517"/>
      <c r="BP537" s="520"/>
      <c r="BQ537" s="520"/>
      <c r="BR537" s="519"/>
      <c r="BS537" s="548"/>
      <c r="BT537" s="537"/>
      <c r="BU537" s="521"/>
      <c r="BV537" s="521"/>
      <c r="BW537" s="521"/>
      <c r="BX537" s="521"/>
      <c r="BY537" s="521"/>
      <c r="BZ537" s="521"/>
      <c r="CA537" s="521"/>
      <c r="CB537" s="521"/>
      <c r="CC537" s="521"/>
      <c r="CD537" s="521"/>
      <c r="CE537" s="521"/>
      <c r="CF537" s="521"/>
      <c r="CG537" s="521"/>
      <c r="CH537" s="521"/>
      <c r="CI537" s="521"/>
      <c r="CJ537" s="521"/>
      <c r="CK537" s="521"/>
      <c r="CL537" s="518"/>
      <c r="CM537" s="523"/>
      <c r="CN537" s="523"/>
      <c r="CO537" s="524"/>
      <c r="CP537" s="524"/>
      <c r="CQ537" s="518"/>
      <c r="CR537" s="518"/>
      <c r="CS537" s="518"/>
      <c r="CT537" s="518"/>
      <c r="CU537" s="518"/>
      <c r="CV537" s="518"/>
      <c r="CW537" s="518"/>
      <c r="CX537" s="518"/>
      <c r="CY537" s="518"/>
      <c r="CZ537" s="519"/>
      <c r="DA537" s="527"/>
      <c r="DB537" s="520"/>
      <c r="DC537" s="525"/>
      <c r="DD537" s="531"/>
      <c r="DE537" s="593"/>
      <c r="DF537" s="518"/>
      <c r="DG537" s="518"/>
      <c r="DH537" s="518"/>
      <c r="DI537" s="519"/>
      <c r="DJ537" s="560"/>
      <c r="DK537" s="522"/>
      <c r="DL537" s="522"/>
      <c r="DM537" s="522"/>
      <c r="DN537" s="522"/>
      <c r="DO537" s="522"/>
      <c r="DP537" s="518"/>
      <c r="DQ537" s="518"/>
      <c r="DR537" s="518"/>
      <c r="DS537" s="518"/>
      <c r="DT537" s="518"/>
      <c r="DU537" s="519"/>
      <c r="DV537" s="527"/>
      <c r="DW537" s="518"/>
      <c r="DX537" s="518"/>
      <c r="DY537" s="520"/>
      <c r="DZ537" s="520"/>
      <c r="EA537" s="519"/>
      <c r="EB537" s="527"/>
      <c r="EC537" s="520"/>
      <c r="ED537" s="520"/>
      <c r="EE537" s="519"/>
      <c r="EF537" s="550"/>
      <c r="EG537" s="537"/>
      <c r="EH537" s="521"/>
      <c r="EI537" s="521"/>
      <c r="EJ537" s="521"/>
      <c r="EK537" s="521"/>
      <c r="EL537" s="521"/>
      <c r="EM537" s="521"/>
      <c r="EN537" s="521"/>
      <c r="EO537" s="521"/>
      <c r="EP537" s="521"/>
      <c r="EQ537" s="521"/>
      <c r="ER537" s="521"/>
      <c r="ES537" s="521"/>
      <c r="ET537" s="521"/>
      <c r="EU537" s="521"/>
      <c r="EV537" s="521"/>
      <c r="EW537" s="521"/>
      <c r="EX537" s="521"/>
      <c r="EY537" s="518"/>
      <c r="EZ537" s="523"/>
      <c r="FA537" s="523"/>
      <c r="FB537" s="524"/>
      <c r="FC537" s="524"/>
      <c r="FD537" s="518"/>
      <c r="FE537" s="518"/>
      <c r="FF537" s="518"/>
      <c r="FG537" s="518"/>
      <c r="FH537" s="518"/>
      <c r="FI537" s="518"/>
      <c r="FJ537" s="518"/>
      <c r="FK537" s="518"/>
      <c r="FL537" s="518"/>
      <c r="FM537" s="519"/>
    </row>
    <row r="538" spans="1:169" x14ac:dyDescent="0.25">
      <c r="A538" s="284"/>
      <c r="B538" s="317"/>
      <c r="C538" s="297"/>
      <c r="D538" s="298"/>
      <c r="E538" s="299"/>
      <c r="F538" s="340"/>
      <c r="G538" s="298"/>
      <c r="H538" s="299"/>
      <c r="I538" s="300"/>
      <c r="J538" s="370"/>
      <c r="K538" s="328"/>
      <c r="L538" s="300"/>
      <c r="M538" s="328"/>
      <c r="N538" s="331"/>
      <c r="O538" s="301"/>
      <c r="P538" s="301"/>
      <c r="Q538" s="328"/>
      <c r="R538" s="620"/>
      <c r="S538" s="512"/>
      <c r="T538" s="512"/>
      <c r="U538" s="513"/>
      <c r="V538" s="514"/>
      <c r="W538" s="512"/>
      <c r="X538" s="513"/>
      <c r="Y538" s="514"/>
      <c r="Z538" s="513"/>
      <c r="AA538" s="515"/>
      <c r="AB538" s="516"/>
      <c r="AC538" s="513"/>
      <c r="AD538" s="544"/>
      <c r="AE538" s="516"/>
      <c r="AF538" s="513"/>
      <c r="AG538" s="551"/>
      <c r="AH538" s="595"/>
      <c r="AI538" s="517"/>
      <c r="AJ538" s="518"/>
      <c r="AK538" s="518"/>
      <c r="AL538" s="518"/>
      <c r="AM538" s="519"/>
      <c r="AN538" s="517"/>
      <c r="AO538" s="520"/>
      <c r="AP538" s="525"/>
      <c r="AQ538" s="531"/>
      <c r="AR538" s="593"/>
      <c r="AS538" s="518"/>
      <c r="AT538" s="518"/>
      <c r="AU538" s="518"/>
      <c r="AV538" s="519"/>
      <c r="AW538" s="560"/>
      <c r="AX538" s="522"/>
      <c r="AY538" s="522"/>
      <c r="AZ538" s="522"/>
      <c r="BA538" s="522"/>
      <c r="BB538" s="522"/>
      <c r="BC538" s="518"/>
      <c r="BD538" s="518"/>
      <c r="BE538" s="518"/>
      <c r="BF538" s="518"/>
      <c r="BG538" s="518"/>
      <c r="BH538" s="519"/>
      <c r="BI538" s="527"/>
      <c r="BJ538" s="518"/>
      <c r="BK538" s="518"/>
      <c r="BL538" s="520"/>
      <c r="BM538" s="520"/>
      <c r="BN538" s="519"/>
      <c r="BO538" s="517"/>
      <c r="BP538" s="520"/>
      <c r="BQ538" s="520"/>
      <c r="BR538" s="519"/>
      <c r="BS538" s="548"/>
      <c r="BT538" s="537"/>
      <c r="BU538" s="521"/>
      <c r="BV538" s="521"/>
      <c r="BW538" s="521"/>
      <c r="BX538" s="521"/>
      <c r="BY538" s="521"/>
      <c r="BZ538" s="521"/>
      <c r="CA538" s="521"/>
      <c r="CB538" s="521"/>
      <c r="CC538" s="521"/>
      <c r="CD538" s="521"/>
      <c r="CE538" s="521"/>
      <c r="CF538" s="521"/>
      <c r="CG538" s="521"/>
      <c r="CH538" s="521"/>
      <c r="CI538" s="521"/>
      <c r="CJ538" s="521"/>
      <c r="CK538" s="521"/>
      <c r="CL538" s="518"/>
      <c r="CM538" s="523"/>
      <c r="CN538" s="523"/>
      <c r="CO538" s="524"/>
      <c r="CP538" s="524"/>
      <c r="CQ538" s="518"/>
      <c r="CR538" s="518"/>
      <c r="CS538" s="518"/>
      <c r="CT538" s="518"/>
      <c r="CU538" s="518"/>
      <c r="CV538" s="518"/>
      <c r="CW538" s="518"/>
      <c r="CX538" s="518"/>
      <c r="CY538" s="518"/>
      <c r="CZ538" s="519"/>
      <c r="DA538" s="527"/>
      <c r="DB538" s="520"/>
      <c r="DC538" s="525"/>
      <c r="DD538" s="531"/>
      <c r="DE538" s="593"/>
      <c r="DF538" s="518"/>
      <c r="DG538" s="518"/>
      <c r="DH538" s="518"/>
      <c r="DI538" s="519"/>
      <c r="DJ538" s="560"/>
      <c r="DK538" s="522"/>
      <c r="DL538" s="522"/>
      <c r="DM538" s="522"/>
      <c r="DN538" s="522"/>
      <c r="DO538" s="522"/>
      <c r="DP538" s="518"/>
      <c r="DQ538" s="518"/>
      <c r="DR538" s="518"/>
      <c r="DS538" s="518"/>
      <c r="DT538" s="518"/>
      <c r="DU538" s="519"/>
      <c r="DV538" s="527"/>
      <c r="DW538" s="518"/>
      <c r="DX538" s="518"/>
      <c r="DY538" s="520"/>
      <c r="DZ538" s="520"/>
      <c r="EA538" s="519"/>
      <c r="EB538" s="527"/>
      <c r="EC538" s="520"/>
      <c r="ED538" s="520"/>
      <c r="EE538" s="519"/>
      <c r="EF538" s="550"/>
      <c r="EG538" s="537"/>
      <c r="EH538" s="521"/>
      <c r="EI538" s="521"/>
      <c r="EJ538" s="521"/>
      <c r="EK538" s="521"/>
      <c r="EL538" s="521"/>
      <c r="EM538" s="521"/>
      <c r="EN538" s="521"/>
      <c r="EO538" s="521"/>
      <c r="EP538" s="521"/>
      <c r="EQ538" s="521"/>
      <c r="ER538" s="521"/>
      <c r="ES538" s="521"/>
      <c r="ET538" s="521"/>
      <c r="EU538" s="521"/>
      <c r="EV538" s="521"/>
      <c r="EW538" s="521"/>
      <c r="EX538" s="521"/>
      <c r="EY538" s="518"/>
      <c r="EZ538" s="523"/>
      <c r="FA538" s="523"/>
      <c r="FB538" s="524"/>
      <c r="FC538" s="524"/>
      <c r="FD538" s="518"/>
      <c r="FE538" s="518"/>
      <c r="FF538" s="518"/>
      <c r="FG538" s="518"/>
      <c r="FH538" s="518"/>
      <c r="FI538" s="518"/>
      <c r="FJ538" s="518"/>
      <c r="FK538" s="518"/>
      <c r="FL538" s="518"/>
      <c r="FM538" s="519"/>
    </row>
    <row r="539" spans="1:169" x14ac:dyDescent="0.25">
      <c r="A539" s="284"/>
      <c r="B539" s="317"/>
      <c r="C539" s="297"/>
      <c r="D539" s="298"/>
      <c r="E539" s="299"/>
      <c r="F539" s="340"/>
      <c r="G539" s="298"/>
      <c r="H539" s="299"/>
      <c r="I539" s="300"/>
      <c r="J539" s="370"/>
      <c r="K539" s="328"/>
      <c r="L539" s="300"/>
      <c r="M539" s="328"/>
      <c r="N539" s="331"/>
      <c r="O539" s="301"/>
      <c r="P539" s="301"/>
      <c r="Q539" s="328"/>
      <c r="R539" s="620"/>
      <c r="S539" s="512"/>
      <c r="T539" s="512"/>
      <c r="U539" s="513"/>
      <c r="V539" s="514"/>
      <c r="W539" s="512"/>
      <c r="X539" s="513"/>
      <c r="Y539" s="514"/>
      <c r="Z539" s="513"/>
      <c r="AA539" s="515"/>
      <c r="AB539" s="516"/>
      <c r="AC539" s="513"/>
      <c r="AD539" s="544"/>
      <c r="AE539" s="516"/>
      <c r="AF539" s="513"/>
      <c r="AG539" s="551"/>
      <c r="AH539" s="595"/>
      <c r="AI539" s="517"/>
      <c r="AJ539" s="518"/>
      <c r="AK539" s="518"/>
      <c r="AL539" s="518"/>
      <c r="AM539" s="519"/>
      <c r="AN539" s="517"/>
      <c r="AO539" s="520"/>
      <c r="AP539" s="525"/>
      <c r="AQ539" s="531"/>
      <c r="AR539" s="593"/>
      <c r="AS539" s="518"/>
      <c r="AT539" s="518"/>
      <c r="AU539" s="518"/>
      <c r="AV539" s="519"/>
      <c r="AW539" s="560"/>
      <c r="AX539" s="522"/>
      <c r="AY539" s="522"/>
      <c r="AZ539" s="522"/>
      <c r="BA539" s="522"/>
      <c r="BB539" s="522"/>
      <c r="BC539" s="518"/>
      <c r="BD539" s="518"/>
      <c r="BE539" s="518"/>
      <c r="BF539" s="518"/>
      <c r="BG539" s="518"/>
      <c r="BH539" s="519"/>
      <c r="BI539" s="527"/>
      <c r="BJ539" s="518"/>
      <c r="BK539" s="518"/>
      <c r="BL539" s="520"/>
      <c r="BM539" s="520"/>
      <c r="BN539" s="519"/>
      <c r="BO539" s="517"/>
      <c r="BP539" s="520"/>
      <c r="BQ539" s="520"/>
      <c r="BR539" s="519"/>
      <c r="BS539" s="548"/>
      <c r="BT539" s="537"/>
      <c r="BU539" s="521"/>
      <c r="BV539" s="521"/>
      <c r="BW539" s="521"/>
      <c r="BX539" s="521"/>
      <c r="BY539" s="521"/>
      <c r="BZ539" s="521"/>
      <c r="CA539" s="521"/>
      <c r="CB539" s="521"/>
      <c r="CC539" s="521"/>
      <c r="CD539" s="521"/>
      <c r="CE539" s="521"/>
      <c r="CF539" s="521"/>
      <c r="CG539" s="521"/>
      <c r="CH539" s="521"/>
      <c r="CI539" s="521"/>
      <c r="CJ539" s="521"/>
      <c r="CK539" s="521"/>
      <c r="CL539" s="518"/>
      <c r="CM539" s="523"/>
      <c r="CN539" s="523"/>
      <c r="CO539" s="524"/>
      <c r="CP539" s="524"/>
      <c r="CQ539" s="518"/>
      <c r="CR539" s="518"/>
      <c r="CS539" s="518"/>
      <c r="CT539" s="518"/>
      <c r="CU539" s="518"/>
      <c r="CV539" s="518"/>
      <c r="CW539" s="518"/>
      <c r="CX539" s="518"/>
      <c r="CY539" s="518"/>
      <c r="CZ539" s="519"/>
      <c r="DA539" s="527"/>
      <c r="DB539" s="520"/>
      <c r="DC539" s="525"/>
      <c r="DD539" s="531"/>
      <c r="DE539" s="593"/>
      <c r="DF539" s="518"/>
      <c r="DG539" s="518"/>
      <c r="DH539" s="518"/>
      <c r="DI539" s="519"/>
      <c r="DJ539" s="560"/>
      <c r="DK539" s="522"/>
      <c r="DL539" s="522"/>
      <c r="DM539" s="522"/>
      <c r="DN539" s="522"/>
      <c r="DO539" s="522"/>
      <c r="DP539" s="518"/>
      <c r="DQ539" s="518"/>
      <c r="DR539" s="518"/>
      <c r="DS539" s="518"/>
      <c r="DT539" s="518"/>
      <c r="DU539" s="519"/>
      <c r="DV539" s="527"/>
      <c r="DW539" s="518"/>
      <c r="DX539" s="518"/>
      <c r="DY539" s="520"/>
      <c r="DZ539" s="520"/>
      <c r="EA539" s="519"/>
      <c r="EB539" s="527"/>
      <c r="EC539" s="520"/>
      <c r="ED539" s="520"/>
      <c r="EE539" s="519"/>
      <c r="EF539" s="550"/>
      <c r="EG539" s="537"/>
      <c r="EH539" s="521"/>
      <c r="EI539" s="521"/>
      <c r="EJ539" s="521"/>
      <c r="EK539" s="521"/>
      <c r="EL539" s="521"/>
      <c r="EM539" s="521"/>
      <c r="EN539" s="521"/>
      <c r="EO539" s="521"/>
      <c r="EP539" s="521"/>
      <c r="EQ539" s="521"/>
      <c r="ER539" s="521"/>
      <c r="ES539" s="521"/>
      <c r="ET539" s="521"/>
      <c r="EU539" s="521"/>
      <c r="EV539" s="521"/>
      <c r="EW539" s="521"/>
      <c r="EX539" s="521"/>
      <c r="EY539" s="518"/>
      <c r="EZ539" s="523"/>
      <c r="FA539" s="523"/>
      <c r="FB539" s="524"/>
      <c r="FC539" s="524"/>
      <c r="FD539" s="518"/>
      <c r="FE539" s="518"/>
      <c r="FF539" s="518"/>
      <c r="FG539" s="518"/>
      <c r="FH539" s="518"/>
      <c r="FI539" s="518"/>
      <c r="FJ539" s="518"/>
      <c r="FK539" s="518"/>
      <c r="FL539" s="518"/>
      <c r="FM539" s="519"/>
    </row>
    <row r="540" spans="1:169" x14ac:dyDescent="0.25">
      <c r="A540" s="284"/>
      <c r="B540" s="317"/>
      <c r="C540" s="297"/>
      <c r="D540" s="298"/>
      <c r="E540" s="299"/>
      <c r="F540" s="340"/>
      <c r="G540" s="298"/>
      <c r="H540" s="299"/>
      <c r="I540" s="300"/>
      <c r="J540" s="370"/>
      <c r="K540" s="328"/>
      <c r="L540" s="300"/>
      <c r="M540" s="328"/>
      <c r="N540" s="331"/>
      <c r="O540" s="301"/>
      <c r="P540" s="301"/>
      <c r="Q540" s="328"/>
      <c r="R540" s="620"/>
      <c r="S540" s="512"/>
      <c r="T540" s="512"/>
      <c r="U540" s="513"/>
      <c r="V540" s="514"/>
      <c r="W540" s="512"/>
      <c r="X540" s="513"/>
      <c r="Y540" s="514"/>
      <c r="Z540" s="513"/>
      <c r="AA540" s="515"/>
      <c r="AB540" s="516"/>
      <c r="AC540" s="513"/>
      <c r="AD540" s="544"/>
      <c r="AE540" s="516"/>
      <c r="AF540" s="513"/>
      <c r="AG540" s="551"/>
      <c r="AH540" s="595"/>
      <c r="AI540" s="517"/>
      <c r="AJ540" s="518"/>
      <c r="AK540" s="518"/>
      <c r="AL540" s="518"/>
      <c r="AM540" s="519"/>
      <c r="AN540" s="517"/>
      <c r="AO540" s="520"/>
      <c r="AP540" s="525"/>
      <c r="AQ540" s="531"/>
      <c r="AR540" s="593"/>
      <c r="AS540" s="518"/>
      <c r="AT540" s="518"/>
      <c r="AU540" s="518"/>
      <c r="AV540" s="519"/>
      <c r="AW540" s="560"/>
      <c r="AX540" s="522"/>
      <c r="AY540" s="522"/>
      <c r="AZ540" s="522"/>
      <c r="BA540" s="522"/>
      <c r="BB540" s="522"/>
      <c r="BC540" s="518"/>
      <c r="BD540" s="518"/>
      <c r="BE540" s="518"/>
      <c r="BF540" s="518"/>
      <c r="BG540" s="518"/>
      <c r="BH540" s="519"/>
      <c r="BI540" s="527"/>
      <c r="BJ540" s="518"/>
      <c r="BK540" s="518"/>
      <c r="BL540" s="520"/>
      <c r="BM540" s="520"/>
      <c r="BN540" s="519"/>
      <c r="BO540" s="517"/>
      <c r="BP540" s="520"/>
      <c r="BQ540" s="520"/>
      <c r="BR540" s="519"/>
      <c r="BS540" s="548"/>
      <c r="BT540" s="537"/>
      <c r="BU540" s="521"/>
      <c r="BV540" s="521"/>
      <c r="BW540" s="521"/>
      <c r="BX540" s="521"/>
      <c r="BY540" s="521"/>
      <c r="BZ540" s="521"/>
      <c r="CA540" s="521"/>
      <c r="CB540" s="521"/>
      <c r="CC540" s="521"/>
      <c r="CD540" s="521"/>
      <c r="CE540" s="521"/>
      <c r="CF540" s="521"/>
      <c r="CG540" s="521"/>
      <c r="CH540" s="521"/>
      <c r="CI540" s="521"/>
      <c r="CJ540" s="521"/>
      <c r="CK540" s="521"/>
      <c r="CL540" s="518"/>
      <c r="CM540" s="523"/>
      <c r="CN540" s="523"/>
      <c r="CO540" s="524"/>
      <c r="CP540" s="524"/>
      <c r="CQ540" s="518"/>
      <c r="CR540" s="518"/>
      <c r="CS540" s="518"/>
      <c r="CT540" s="518"/>
      <c r="CU540" s="518"/>
      <c r="CV540" s="518"/>
      <c r="CW540" s="518"/>
      <c r="CX540" s="518"/>
      <c r="CY540" s="518"/>
      <c r="CZ540" s="519"/>
      <c r="DA540" s="527"/>
      <c r="DB540" s="520"/>
      <c r="DC540" s="525"/>
      <c r="DD540" s="531"/>
      <c r="DE540" s="593"/>
      <c r="DF540" s="518"/>
      <c r="DG540" s="518"/>
      <c r="DH540" s="518"/>
      <c r="DI540" s="519"/>
      <c r="DJ540" s="560"/>
      <c r="DK540" s="522"/>
      <c r="DL540" s="522"/>
      <c r="DM540" s="522"/>
      <c r="DN540" s="522"/>
      <c r="DO540" s="522"/>
      <c r="DP540" s="518"/>
      <c r="DQ540" s="518"/>
      <c r="DR540" s="518"/>
      <c r="DS540" s="518"/>
      <c r="DT540" s="518"/>
      <c r="DU540" s="519"/>
      <c r="DV540" s="527"/>
      <c r="DW540" s="518"/>
      <c r="DX540" s="518"/>
      <c r="DY540" s="520"/>
      <c r="DZ540" s="520"/>
      <c r="EA540" s="519"/>
      <c r="EB540" s="527"/>
      <c r="EC540" s="520"/>
      <c r="ED540" s="520"/>
      <c r="EE540" s="519"/>
      <c r="EF540" s="550"/>
      <c r="EG540" s="537"/>
      <c r="EH540" s="521"/>
      <c r="EI540" s="521"/>
      <c r="EJ540" s="521"/>
      <c r="EK540" s="521"/>
      <c r="EL540" s="521"/>
      <c r="EM540" s="521"/>
      <c r="EN540" s="521"/>
      <c r="EO540" s="521"/>
      <c r="EP540" s="521"/>
      <c r="EQ540" s="521"/>
      <c r="ER540" s="521"/>
      <c r="ES540" s="521"/>
      <c r="ET540" s="521"/>
      <c r="EU540" s="521"/>
      <c r="EV540" s="521"/>
      <c r="EW540" s="521"/>
      <c r="EX540" s="521"/>
      <c r="EY540" s="518"/>
      <c r="EZ540" s="523"/>
      <c r="FA540" s="523"/>
      <c r="FB540" s="524"/>
      <c r="FC540" s="524"/>
      <c r="FD540" s="518"/>
      <c r="FE540" s="518"/>
      <c r="FF540" s="518"/>
      <c r="FG540" s="518"/>
      <c r="FH540" s="518"/>
      <c r="FI540" s="518"/>
      <c r="FJ540" s="518"/>
      <c r="FK540" s="518"/>
      <c r="FL540" s="518"/>
      <c r="FM540" s="519"/>
    </row>
    <row r="541" spans="1:169" x14ac:dyDescent="0.25">
      <c r="A541" s="284"/>
      <c r="B541" s="317"/>
      <c r="C541" s="297"/>
      <c r="D541" s="298"/>
      <c r="E541" s="299"/>
      <c r="F541" s="340"/>
      <c r="G541" s="298"/>
      <c r="H541" s="299"/>
      <c r="I541" s="300"/>
      <c r="J541" s="370"/>
      <c r="K541" s="328"/>
      <c r="L541" s="300"/>
      <c r="M541" s="328"/>
      <c r="N541" s="331"/>
      <c r="O541" s="301"/>
      <c r="P541" s="301"/>
      <c r="Q541" s="328"/>
      <c r="R541" s="620"/>
      <c r="S541" s="512"/>
      <c r="T541" s="512"/>
      <c r="U541" s="513"/>
      <c r="V541" s="514"/>
      <c r="W541" s="512"/>
      <c r="X541" s="513"/>
      <c r="Y541" s="514"/>
      <c r="Z541" s="513"/>
      <c r="AA541" s="515"/>
      <c r="AB541" s="516"/>
      <c r="AC541" s="513"/>
      <c r="AD541" s="544"/>
      <c r="AE541" s="516"/>
      <c r="AF541" s="513"/>
      <c r="AG541" s="551"/>
      <c r="AH541" s="595"/>
      <c r="AI541" s="517"/>
      <c r="AJ541" s="518"/>
      <c r="AK541" s="518"/>
      <c r="AL541" s="518"/>
      <c r="AM541" s="519"/>
      <c r="AN541" s="517"/>
      <c r="AO541" s="520"/>
      <c r="AP541" s="525"/>
      <c r="AQ541" s="531"/>
      <c r="AR541" s="593"/>
      <c r="AS541" s="518"/>
      <c r="AT541" s="518"/>
      <c r="AU541" s="518"/>
      <c r="AV541" s="519"/>
      <c r="AW541" s="560"/>
      <c r="AX541" s="522"/>
      <c r="AY541" s="522"/>
      <c r="AZ541" s="522"/>
      <c r="BA541" s="522"/>
      <c r="BB541" s="522"/>
      <c r="BC541" s="518"/>
      <c r="BD541" s="518"/>
      <c r="BE541" s="518"/>
      <c r="BF541" s="518"/>
      <c r="BG541" s="518"/>
      <c r="BH541" s="519"/>
      <c r="BI541" s="527"/>
      <c r="BJ541" s="518"/>
      <c r="BK541" s="518"/>
      <c r="BL541" s="520"/>
      <c r="BM541" s="520"/>
      <c r="BN541" s="519"/>
      <c r="BO541" s="517"/>
      <c r="BP541" s="520"/>
      <c r="BQ541" s="520"/>
      <c r="BR541" s="519"/>
      <c r="BS541" s="548"/>
      <c r="BT541" s="537"/>
      <c r="BU541" s="521"/>
      <c r="BV541" s="521"/>
      <c r="BW541" s="521"/>
      <c r="BX541" s="521"/>
      <c r="BY541" s="521"/>
      <c r="BZ541" s="521"/>
      <c r="CA541" s="521"/>
      <c r="CB541" s="521"/>
      <c r="CC541" s="521"/>
      <c r="CD541" s="521"/>
      <c r="CE541" s="521"/>
      <c r="CF541" s="521"/>
      <c r="CG541" s="521"/>
      <c r="CH541" s="521"/>
      <c r="CI541" s="521"/>
      <c r="CJ541" s="521"/>
      <c r="CK541" s="521"/>
      <c r="CL541" s="518"/>
      <c r="CM541" s="523"/>
      <c r="CN541" s="523"/>
      <c r="CO541" s="524"/>
      <c r="CP541" s="524"/>
      <c r="CQ541" s="518"/>
      <c r="CR541" s="518"/>
      <c r="CS541" s="518"/>
      <c r="CT541" s="518"/>
      <c r="CU541" s="518"/>
      <c r="CV541" s="518"/>
      <c r="CW541" s="518"/>
      <c r="CX541" s="518"/>
      <c r="CY541" s="518"/>
      <c r="CZ541" s="519"/>
      <c r="DA541" s="527"/>
      <c r="DB541" s="520"/>
      <c r="DC541" s="525"/>
      <c r="DD541" s="531"/>
      <c r="DE541" s="593"/>
      <c r="DF541" s="518"/>
      <c r="DG541" s="518"/>
      <c r="DH541" s="518"/>
      <c r="DI541" s="519"/>
      <c r="DJ541" s="560"/>
      <c r="DK541" s="522"/>
      <c r="DL541" s="522"/>
      <c r="DM541" s="522"/>
      <c r="DN541" s="522"/>
      <c r="DO541" s="522"/>
      <c r="DP541" s="518"/>
      <c r="DQ541" s="518"/>
      <c r="DR541" s="518"/>
      <c r="DS541" s="518"/>
      <c r="DT541" s="518"/>
      <c r="DU541" s="519"/>
      <c r="DV541" s="527"/>
      <c r="DW541" s="518"/>
      <c r="DX541" s="518"/>
      <c r="DY541" s="520"/>
      <c r="DZ541" s="520"/>
      <c r="EA541" s="519"/>
      <c r="EB541" s="527"/>
      <c r="EC541" s="520"/>
      <c r="ED541" s="520"/>
      <c r="EE541" s="519"/>
      <c r="EF541" s="550"/>
      <c r="EG541" s="537"/>
      <c r="EH541" s="521"/>
      <c r="EI541" s="521"/>
      <c r="EJ541" s="521"/>
      <c r="EK541" s="521"/>
      <c r="EL541" s="521"/>
      <c r="EM541" s="521"/>
      <c r="EN541" s="521"/>
      <c r="EO541" s="521"/>
      <c r="EP541" s="521"/>
      <c r="EQ541" s="521"/>
      <c r="ER541" s="521"/>
      <c r="ES541" s="521"/>
      <c r="ET541" s="521"/>
      <c r="EU541" s="521"/>
      <c r="EV541" s="521"/>
      <c r="EW541" s="521"/>
      <c r="EX541" s="521"/>
      <c r="EY541" s="518"/>
      <c r="EZ541" s="523"/>
      <c r="FA541" s="523"/>
      <c r="FB541" s="524"/>
      <c r="FC541" s="524"/>
      <c r="FD541" s="518"/>
      <c r="FE541" s="518"/>
      <c r="FF541" s="518"/>
      <c r="FG541" s="518"/>
      <c r="FH541" s="518"/>
      <c r="FI541" s="518"/>
      <c r="FJ541" s="518"/>
      <c r="FK541" s="518"/>
      <c r="FL541" s="518"/>
      <c r="FM541" s="519"/>
    </row>
    <row r="542" spans="1:169" x14ac:dyDescent="0.25">
      <c r="A542" s="284"/>
      <c r="B542" s="317"/>
      <c r="C542" s="297"/>
      <c r="D542" s="298"/>
      <c r="E542" s="299"/>
      <c r="F542" s="340"/>
      <c r="G542" s="298"/>
      <c r="H542" s="299"/>
      <c r="I542" s="300"/>
      <c r="J542" s="370"/>
      <c r="K542" s="328"/>
      <c r="L542" s="300"/>
      <c r="M542" s="328"/>
      <c r="N542" s="331"/>
      <c r="O542" s="301"/>
      <c r="P542" s="301"/>
      <c r="Q542" s="328"/>
      <c r="R542" s="620"/>
      <c r="S542" s="512"/>
      <c r="T542" s="512"/>
      <c r="U542" s="513"/>
      <c r="V542" s="514"/>
      <c r="W542" s="512"/>
      <c r="X542" s="513"/>
      <c r="Y542" s="514"/>
      <c r="Z542" s="513"/>
      <c r="AA542" s="515"/>
      <c r="AB542" s="516"/>
      <c r="AC542" s="513"/>
      <c r="AD542" s="544"/>
      <c r="AE542" s="516"/>
      <c r="AF542" s="513"/>
      <c r="AG542" s="551"/>
      <c r="AH542" s="595"/>
      <c r="AI542" s="517"/>
      <c r="AJ542" s="518"/>
      <c r="AK542" s="518"/>
      <c r="AL542" s="518"/>
      <c r="AM542" s="519"/>
      <c r="AN542" s="517"/>
      <c r="AO542" s="520"/>
      <c r="AP542" s="525"/>
      <c r="AQ542" s="531"/>
      <c r="AR542" s="593"/>
      <c r="AS542" s="518"/>
      <c r="AT542" s="518"/>
      <c r="AU542" s="518"/>
      <c r="AV542" s="519"/>
      <c r="AW542" s="560"/>
      <c r="AX542" s="522"/>
      <c r="AY542" s="522"/>
      <c r="AZ542" s="522"/>
      <c r="BA542" s="522"/>
      <c r="BB542" s="522"/>
      <c r="BC542" s="518"/>
      <c r="BD542" s="518"/>
      <c r="BE542" s="518"/>
      <c r="BF542" s="518"/>
      <c r="BG542" s="518"/>
      <c r="BH542" s="519"/>
      <c r="BI542" s="527"/>
      <c r="BJ542" s="518"/>
      <c r="BK542" s="518"/>
      <c r="BL542" s="520"/>
      <c r="BM542" s="520"/>
      <c r="BN542" s="519"/>
      <c r="BO542" s="517"/>
      <c r="BP542" s="520"/>
      <c r="BQ542" s="520"/>
      <c r="BR542" s="519"/>
      <c r="BS542" s="548"/>
      <c r="BT542" s="537"/>
      <c r="BU542" s="521"/>
      <c r="BV542" s="521"/>
      <c r="BW542" s="521"/>
      <c r="BX542" s="521"/>
      <c r="BY542" s="521"/>
      <c r="BZ542" s="521"/>
      <c r="CA542" s="521"/>
      <c r="CB542" s="521"/>
      <c r="CC542" s="521"/>
      <c r="CD542" s="521"/>
      <c r="CE542" s="521"/>
      <c r="CF542" s="521"/>
      <c r="CG542" s="521"/>
      <c r="CH542" s="521"/>
      <c r="CI542" s="521"/>
      <c r="CJ542" s="521"/>
      <c r="CK542" s="521"/>
      <c r="CL542" s="518"/>
      <c r="CM542" s="523"/>
      <c r="CN542" s="523"/>
      <c r="CO542" s="524"/>
      <c r="CP542" s="524"/>
      <c r="CQ542" s="518"/>
      <c r="CR542" s="518"/>
      <c r="CS542" s="518"/>
      <c r="CT542" s="518"/>
      <c r="CU542" s="518"/>
      <c r="CV542" s="518"/>
      <c r="CW542" s="518"/>
      <c r="CX542" s="518"/>
      <c r="CY542" s="518"/>
      <c r="CZ542" s="519"/>
      <c r="DA542" s="527"/>
      <c r="DB542" s="520"/>
      <c r="DC542" s="525"/>
      <c r="DD542" s="531"/>
      <c r="DE542" s="593"/>
      <c r="DF542" s="518"/>
      <c r="DG542" s="518"/>
      <c r="DH542" s="518"/>
      <c r="DI542" s="519"/>
      <c r="DJ542" s="560"/>
      <c r="DK542" s="522"/>
      <c r="DL542" s="522"/>
      <c r="DM542" s="522"/>
      <c r="DN542" s="522"/>
      <c r="DO542" s="522"/>
      <c r="DP542" s="518"/>
      <c r="DQ542" s="518"/>
      <c r="DR542" s="518"/>
      <c r="DS542" s="518"/>
      <c r="DT542" s="518"/>
      <c r="DU542" s="519"/>
      <c r="DV542" s="527"/>
      <c r="DW542" s="518"/>
      <c r="DX542" s="518"/>
      <c r="DY542" s="520"/>
      <c r="DZ542" s="520"/>
      <c r="EA542" s="519"/>
      <c r="EB542" s="527"/>
      <c r="EC542" s="520"/>
      <c r="ED542" s="520"/>
      <c r="EE542" s="519"/>
      <c r="EF542" s="550"/>
      <c r="EG542" s="537"/>
      <c r="EH542" s="521"/>
      <c r="EI542" s="521"/>
      <c r="EJ542" s="521"/>
      <c r="EK542" s="521"/>
      <c r="EL542" s="521"/>
      <c r="EM542" s="521"/>
      <c r="EN542" s="521"/>
      <c r="EO542" s="521"/>
      <c r="EP542" s="521"/>
      <c r="EQ542" s="521"/>
      <c r="ER542" s="521"/>
      <c r="ES542" s="521"/>
      <c r="ET542" s="521"/>
      <c r="EU542" s="521"/>
      <c r="EV542" s="521"/>
      <c r="EW542" s="521"/>
      <c r="EX542" s="521"/>
      <c r="EY542" s="518"/>
      <c r="EZ542" s="523"/>
      <c r="FA542" s="523"/>
      <c r="FB542" s="524"/>
      <c r="FC542" s="524"/>
      <c r="FD542" s="518"/>
      <c r="FE542" s="518"/>
      <c r="FF542" s="518"/>
      <c r="FG542" s="518"/>
      <c r="FH542" s="518"/>
      <c r="FI542" s="518"/>
      <c r="FJ542" s="518"/>
      <c r="FK542" s="518"/>
      <c r="FL542" s="518"/>
      <c r="FM542" s="519"/>
    </row>
    <row r="543" spans="1:169" x14ac:dyDescent="0.25">
      <c r="A543" s="284"/>
      <c r="B543" s="317"/>
      <c r="C543" s="297"/>
      <c r="D543" s="298"/>
      <c r="E543" s="299"/>
      <c r="F543" s="340"/>
      <c r="G543" s="298"/>
      <c r="H543" s="299"/>
      <c r="I543" s="300"/>
      <c r="J543" s="370"/>
      <c r="K543" s="328"/>
      <c r="L543" s="300"/>
      <c r="M543" s="328"/>
      <c r="N543" s="331"/>
      <c r="O543" s="301"/>
      <c r="P543" s="301"/>
      <c r="Q543" s="328"/>
      <c r="R543" s="620"/>
      <c r="S543" s="512"/>
      <c r="T543" s="512"/>
      <c r="U543" s="513"/>
      <c r="V543" s="514"/>
      <c r="W543" s="512"/>
      <c r="X543" s="513"/>
      <c r="Y543" s="514"/>
      <c r="Z543" s="513"/>
      <c r="AA543" s="515"/>
      <c r="AB543" s="516"/>
      <c r="AC543" s="513"/>
      <c r="AD543" s="544"/>
      <c r="AE543" s="516"/>
      <c r="AF543" s="513"/>
      <c r="AG543" s="551"/>
      <c r="AH543" s="595"/>
      <c r="AI543" s="517"/>
      <c r="AJ543" s="518"/>
      <c r="AK543" s="518"/>
      <c r="AL543" s="518"/>
      <c r="AM543" s="519"/>
      <c r="AN543" s="517"/>
      <c r="AO543" s="520"/>
      <c r="AP543" s="525"/>
      <c r="AQ543" s="531"/>
      <c r="AR543" s="593"/>
      <c r="AS543" s="518"/>
      <c r="AT543" s="518"/>
      <c r="AU543" s="518"/>
      <c r="AV543" s="519"/>
      <c r="AW543" s="560"/>
      <c r="AX543" s="522"/>
      <c r="AY543" s="522"/>
      <c r="AZ543" s="522"/>
      <c r="BA543" s="522"/>
      <c r="BB543" s="522"/>
      <c r="BC543" s="518"/>
      <c r="BD543" s="518"/>
      <c r="BE543" s="518"/>
      <c r="BF543" s="518"/>
      <c r="BG543" s="518"/>
      <c r="BH543" s="519"/>
      <c r="BI543" s="527"/>
      <c r="BJ543" s="518"/>
      <c r="BK543" s="518"/>
      <c r="BL543" s="520"/>
      <c r="BM543" s="520"/>
      <c r="BN543" s="519"/>
      <c r="BO543" s="517"/>
      <c r="BP543" s="520"/>
      <c r="BQ543" s="520"/>
      <c r="BR543" s="519"/>
      <c r="BS543" s="548"/>
      <c r="BT543" s="537"/>
      <c r="BU543" s="521"/>
      <c r="BV543" s="521"/>
      <c r="BW543" s="521"/>
      <c r="BX543" s="521"/>
      <c r="BY543" s="521"/>
      <c r="BZ543" s="521"/>
      <c r="CA543" s="521"/>
      <c r="CB543" s="521"/>
      <c r="CC543" s="521"/>
      <c r="CD543" s="521"/>
      <c r="CE543" s="521"/>
      <c r="CF543" s="521"/>
      <c r="CG543" s="521"/>
      <c r="CH543" s="521"/>
      <c r="CI543" s="521"/>
      <c r="CJ543" s="521"/>
      <c r="CK543" s="521"/>
      <c r="CL543" s="518"/>
      <c r="CM543" s="523"/>
      <c r="CN543" s="523"/>
      <c r="CO543" s="524"/>
      <c r="CP543" s="524"/>
      <c r="CQ543" s="518"/>
      <c r="CR543" s="518"/>
      <c r="CS543" s="518"/>
      <c r="CT543" s="518"/>
      <c r="CU543" s="518"/>
      <c r="CV543" s="518"/>
      <c r="CW543" s="518"/>
      <c r="CX543" s="518"/>
      <c r="CY543" s="518"/>
      <c r="CZ543" s="519"/>
      <c r="DA543" s="527"/>
      <c r="DB543" s="520"/>
      <c r="DC543" s="525"/>
      <c r="DD543" s="531"/>
      <c r="DE543" s="593"/>
      <c r="DF543" s="518"/>
      <c r="DG543" s="518"/>
      <c r="DH543" s="518"/>
      <c r="DI543" s="519"/>
      <c r="DJ543" s="560"/>
      <c r="DK543" s="522"/>
      <c r="DL543" s="522"/>
      <c r="DM543" s="522"/>
      <c r="DN543" s="522"/>
      <c r="DO543" s="522"/>
      <c r="DP543" s="518"/>
      <c r="DQ543" s="518"/>
      <c r="DR543" s="518"/>
      <c r="DS543" s="518"/>
      <c r="DT543" s="518"/>
      <c r="DU543" s="519"/>
      <c r="DV543" s="527"/>
      <c r="DW543" s="518"/>
      <c r="DX543" s="518"/>
      <c r="DY543" s="520"/>
      <c r="DZ543" s="520"/>
      <c r="EA543" s="519"/>
      <c r="EB543" s="527"/>
      <c r="EC543" s="520"/>
      <c r="ED543" s="520"/>
      <c r="EE543" s="519"/>
      <c r="EF543" s="550"/>
      <c r="EG543" s="537"/>
      <c r="EH543" s="521"/>
      <c r="EI543" s="521"/>
      <c r="EJ543" s="521"/>
      <c r="EK543" s="521"/>
      <c r="EL543" s="521"/>
      <c r="EM543" s="521"/>
      <c r="EN543" s="521"/>
      <c r="EO543" s="521"/>
      <c r="EP543" s="521"/>
      <c r="EQ543" s="521"/>
      <c r="ER543" s="521"/>
      <c r="ES543" s="521"/>
      <c r="ET543" s="521"/>
      <c r="EU543" s="521"/>
      <c r="EV543" s="521"/>
      <c r="EW543" s="521"/>
      <c r="EX543" s="521"/>
      <c r="EY543" s="518"/>
      <c r="EZ543" s="523"/>
      <c r="FA543" s="523"/>
      <c r="FB543" s="524"/>
      <c r="FC543" s="524"/>
      <c r="FD543" s="518"/>
      <c r="FE543" s="518"/>
      <c r="FF543" s="518"/>
      <c r="FG543" s="518"/>
      <c r="FH543" s="518"/>
      <c r="FI543" s="518"/>
      <c r="FJ543" s="518"/>
      <c r="FK543" s="518"/>
      <c r="FL543" s="518"/>
      <c r="FM543" s="519"/>
    </row>
    <row r="544" spans="1:169" x14ac:dyDescent="0.25">
      <c r="A544" s="284"/>
      <c r="B544" s="317"/>
      <c r="C544" s="297"/>
      <c r="D544" s="298"/>
      <c r="E544" s="299"/>
      <c r="F544" s="340"/>
      <c r="G544" s="298"/>
      <c r="H544" s="299"/>
      <c r="I544" s="300"/>
      <c r="J544" s="370"/>
      <c r="K544" s="328"/>
      <c r="L544" s="300"/>
      <c r="M544" s="328"/>
      <c r="N544" s="331"/>
      <c r="O544" s="301"/>
      <c r="P544" s="301"/>
      <c r="Q544" s="328"/>
      <c r="R544" s="620"/>
      <c r="S544" s="512"/>
      <c r="T544" s="512"/>
      <c r="U544" s="513"/>
      <c r="V544" s="514"/>
      <c r="W544" s="512"/>
      <c r="X544" s="513"/>
      <c r="Y544" s="514"/>
      <c r="Z544" s="513"/>
      <c r="AA544" s="515"/>
      <c r="AB544" s="516"/>
      <c r="AC544" s="513"/>
      <c r="AD544" s="544"/>
      <c r="AE544" s="516"/>
      <c r="AF544" s="513"/>
      <c r="AG544" s="551"/>
      <c r="AH544" s="595"/>
      <c r="AI544" s="517"/>
      <c r="AJ544" s="518"/>
      <c r="AK544" s="518"/>
      <c r="AL544" s="518"/>
      <c r="AM544" s="519"/>
      <c r="AN544" s="517"/>
      <c r="AO544" s="520"/>
      <c r="AP544" s="525"/>
      <c r="AQ544" s="531"/>
      <c r="AR544" s="593"/>
      <c r="AS544" s="518"/>
      <c r="AT544" s="518"/>
      <c r="AU544" s="518"/>
      <c r="AV544" s="519"/>
      <c r="AW544" s="560"/>
      <c r="AX544" s="522"/>
      <c r="AY544" s="522"/>
      <c r="AZ544" s="522"/>
      <c r="BA544" s="522"/>
      <c r="BB544" s="522"/>
      <c r="BC544" s="518"/>
      <c r="BD544" s="518"/>
      <c r="BE544" s="518"/>
      <c r="BF544" s="518"/>
      <c r="BG544" s="518"/>
      <c r="BH544" s="519"/>
      <c r="BI544" s="527"/>
      <c r="BJ544" s="518"/>
      <c r="BK544" s="518"/>
      <c r="BL544" s="520"/>
      <c r="BM544" s="520"/>
      <c r="BN544" s="519"/>
      <c r="BO544" s="517"/>
      <c r="BP544" s="520"/>
      <c r="BQ544" s="520"/>
      <c r="BR544" s="519"/>
      <c r="BS544" s="548"/>
      <c r="BT544" s="537"/>
      <c r="BU544" s="521"/>
      <c r="BV544" s="521"/>
      <c r="BW544" s="521"/>
      <c r="BX544" s="521"/>
      <c r="BY544" s="521"/>
      <c r="BZ544" s="521"/>
      <c r="CA544" s="521"/>
      <c r="CB544" s="521"/>
      <c r="CC544" s="521"/>
      <c r="CD544" s="521"/>
      <c r="CE544" s="521"/>
      <c r="CF544" s="521"/>
      <c r="CG544" s="521"/>
      <c r="CH544" s="521"/>
      <c r="CI544" s="521"/>
      <c r="CJ544" s="521"/>
      <c r="CK544" s="521"/>
      <c r="CL544" s="518"/>
      <c r="CM544" s="523"/>
      <c r="CN544" s="523"/>
      <c r="CO544" s="524"/>
      <c r="CP544" s="524"/>
      <c r="CQ544" s="518"/>
      <c r="CR544" s="518"/>
      <c r="CS544" s="518"/>
      <c r="CT544" s="518"/>
      <c r="CU544" s="518"/>
      <c r="CV544" s="518"/>
      <c r="CW544" s="518"/>
      <c r="CX544" s="518"/>
      <c r="CY544" s="518"/>
      <c r="CZ544" s="519"/>
      <c r="DA544" s="527"/>
      <c r="DB544" s="520"/>
      <c r="DC544" s="525"/>
      <c r="DD544" s="531"/>
      <c r="DE544" s="593"/>
      <c r="DF544" s="518"/>
      <c r="DG544" s="518"/>
      <c r="DH544" s="518"/>
      <c r="DI544" s="519"/>
      <c r="DJ544" s="560"/>
      <c r="DK544" s="522"/>
      <c r="DL544" s="522"/>
      <c r="DM544" s="522"/>
      <c r="DN544" s="522"/>
      <c r="DO544" s="522"/>
      <c r="DP544" s="518"/>
      <c r="DQ544" s="518"/>
      <c r="DR544" s="518"/>
      <c r="DS544" s="518"/>
      <c r="DT544" s="518"/>
      <c r="DU544" s="519"/>
      <c r="DV544" s="527"/>
      <c r="DW544" s="518"/>
      <c r="DX544" s="518"/>
      <c r="DY544" s="520"/>
      <c r="DZ544" s="520"/>
      <c r="EA544" s="519"/>
      <c r="EB544" s="527"/>
      <c r="EC544" s="520"/>
      <c r="ED544" s="520"/>
      <c r="EE544" s="519"/>
      <c r="EF544" s="550"/>
      <c r="EG544" s="537"/>
      <c r="EH544" s="521"/>
      <c r="EI544" s="521"/>
      <c r="EJ544" s="521"/>
      <c r="EK544" s="521"/>
      <c r="EL544" s="521"/>
      <c r="EM544" s="521"/>
      <c r="EN544" s="521"/>
      <c r="EO544" s="521"/>
      <c r="EP544" s="521"/>
      <c r="EQ544" s="521"/>
      <c r="ER544" s="521"/>
      <c r="ES544" s="521"/>
      <c r="ET544" s="521"/>
      <c r="EU544" s="521"/>
      <c r="EV544" s="521"/>
      <c r="EW544" s="521"/>
      <c r="EX544" s="521"/>
      <c r="EY544" s="518"/>
      <c r="EZ544" s="523"/>
      <c r="FA544" s="523"/>
      <c r="FB544" s="524"/>
      <c r="FC544" s="524"/>
      <c r="FD544" s="518"/>
      <c r="FE544" s="518"/>
      <c r="FF544" s="518"/>
      <c r="FG544" s="518"/>
      <c r="FH544" s="518"/>
      <c r="FI544" s="518"/>
      <c r="FJ544" s="518"/>
      <c r="FK544" s="518"/>
      <c r="FL544" s="518"/>
      <c r="FM544" s="519"/>
    </row>
    <row r="545" spans="1:169" x14ac:dyDescent="0.25">
      <c r="A545" s="284"/>
      <c r="B545" s="317"/>
      <c r="C545" s="297"/>
      <c r="D545" s="298"/>
      <c r="E545" s="299"/>
      <c r="F545" s="340"/>
      <c r="G545" s="298"/>
      <c r="H545" s="299"/>
      <c r="I545" s="300"/>
      <c r="J545" s="370"/>
      <c r="K545" s="328"/>
      <c r="L545" s="300"/>
      <c r="M545" s="328"/>
      <c r="N545" s="331"/>
      <c r="O545" s="301"/>
      <c r="P545" s="301"/>
      <c r="Q545" s="328"/>
      <c r="R545" s="620"/>
      <c r="S545" s="512"/>
      <c r="T545" s="512"/>
      <c r="U545" s="513"/>
      <c r="V545" s="514"/>
      <c r="W545" s="512"/>
      <c r="X545" s="513"/>
      <c r="Y545" s="514"/>
      <c r="Z545" s="513"/>
      <c r="AA545" s="515"/>
      <c r="AB545" s="516"/>
      <c r="AC545" s="513"/>
      <c r="AD545" s="544"/>
      <c r="AE545" s="516"/>
      <c r="AF545" s="513"/>
      <c r="AG545" s="551"/>
      <c r="AH545" s="595"/>
      <c r="AI545" s="517"/>
      <c r="AJ545" s="518"/>
      <c r="AK545" s="518"/>
      <c r="AL545" s="518"/>
      <c r="AM545" s="519"/>
      <c r="AN545" s="517"/>
      <c r="AO545" s="520"/>
      <c r="AP545" s="525"/>
      <c r="AQ545" s="531"/>
      <c r="AR545" s="593"/>
      <c r="AS545" s="518"/>
      <c r="AT545" s="518"/>
      <c r="AU545" s="518"/>
      <c r="AV545" s="519"/>
      <c r="AW545" s="560"/>
      <c r="AX545" s="522"/>
      <c r="AY545" s="522"/>
      <c r="AZ545" s="522"/>
      <c r="BA545" s="522"/>
      <c r="BB545" s="522"/>
      <c r="BC545" s="518"/>
      <c r="BD545" s="518"/>
      <c r="BE545" s="518"/>
      <c r="BF545" s="518"/>
      <c r="BG545" s="518"/>
      <c r="BH545" s="519"/>
      <c r="BI545" s="527"/>
      <c r="BJ545" s="518"/>
      <c r="BK545" s="518"/>
      <c r="BL545" s="520"/>
      <c r="BM545" s="520"/>
      <c r="BN545" s="519"/>
      <c r="BO545" s="517"/>
      <c r="BP545" s="520"/>
      <c r="BQ545" s="520"/>
      <c r="BR545" s="519"/>
      <c r="BS545" s="548"/>
      <c r="BT545" s="537"/>
      <c r="BU545" s="521"/>
      <c r="BV545" s="521"/>
      <c r="BW545" s="521"/>
      <c r="BX545" s="521"/>
      <c r="BY545" s="521"/>
      <c r="BZ545" s="521"/>
      <c r="CA545" s="521"/>
      <c r="CB545" s="521"/>
      <c r="CC545" s="521"/>
      <c r="CD545" s="521"/>
      <c r="CE545" s="521"/>
      <c r="CF545" s="521"/>
      <c r="CG545" s="521"/>
      <c r="CH545" s="521"/>
      <c r="CI545" s="521"/>
      <c r="CJ545" s="521"/>
      <c r="CK545" s="521"/>
      <c r="CL545" s="518"/>
      <c r="CM545" s="523"/>
      <c r="CN545" s="523"/>
      <c r="CO545" s="524"/>
      <c r="CP545" s="524"/>
      <c r="CQ545" s="518"/>
      <c r="CR545" s="518"/>
      <c r="CS545" s="518"/>
      <c r="CT545" s="518"/>
      <c r="CU545" s="518"/>
      <c r="CV545" s="518"/>
      <c r="CW545" s="518"/>
      <c r="CX545" s="518"/>
      <c r="CY545" s="518"/>
      <c r="CZ545" s="519"/>
      <c r="DA545" s="527"/>
      <c r="DB545" s="520"/>
      <c r="DC545" s="525"/>
      <c r="DD545" s="531"/>
      <c r="DE545" s="593"/>
      <c r="DF545" s="518"/>
      <c r="DG545" s="518"/>
      <c r="DH545" s="518"/>
      <c r="DI545" s="519"/>
      <c r="DJ545" s="560"/>
      <c r="DK545" s="522"/>
      <c r="DL545" s="522"/>
      <c r="DM545" s="522"/>
      <c r="DN545" s="522"/>
      <c r="DO545" s="522"/>
      <c r="DP545" s="518"/>
      <c r="DQ545" s="518"/>
      <c r="DR545" s="518"/>
      <c r="DS545" s="518"/>
      <c r="DT545" s="518"/>
      <c r="DU545" s="519"/>
      <c r="DV545" s="527"/>
      <c r="DW545" s="518"/>
      <c r="DX545" s="518"/>
      <c r="DY545" s="520"/>
      <c r="DZ545" s="520"/>
      <c r="EA545" s="519"/>
      <c r="EB545" s="527"/>
      <c r="EC545" s="520"/>
      <c r="ED545" s="520"/>
      <c r="EE545" s="519"/>
      <c r="EF545" s="550"/>
      <c r="EG545" s="537"/>
      <c r="EH545" s="521"/>
      <c r="EI545" s="521"/>
      <c r="EJ545" s="521"/>
      <c r="EK545" s="521"/>
      <c r="EL545" s="521"/>
      <c r="EM545" s="521"/>
      <c r="EN545" s="521"/>
      <c r="EO545" s="521"/>
      <c r="EP545" s="521"/>
      <c r="EQ545" s="521"/>
      <c r="ER545" s="521"/>
      <c r="ES545" s="521"/>
      <c r="ET545" s="521"/>
      <c r="EU545" s="521"/>
      <c r="EV545" s="521"/>
      <c r="EW545" s="521"/>
      <c r="EX545" s="521"/>
      <c r="EY545" s="518"/>
      <c r="EZ545" s="523"/>
      <c r="FA545" s="523"/>
      <c r="FB545" s="524"/>
      <c r="FC545" s="524"/>
      <c r="FD545" s="518"/>
      <c r="FE545" s="518"/>
      <c r="FF545" s="518"/>
      <c r="FG545" s="518"/>
      <c r="FH545" s="518"/>
      <c r="FI545" s="518"/>
      <c r="FJ545" s="518"/>
      <c r="FK545" s="518"/>
      <c r="FL545" s="518"/>
      <c r="FM545" s="519"/>
    </row>
    <row r="546" spans="1:169" x14ac:dyDescent="0.25">
      <c r="A546" s="284"/>
      <c r="B546" s="317"/>
      <c r="C546" s="297"/>
      <c r="D546" s="298"/>
      <c r="E546" s="299"/>
      <c r="F546" s="340"/>
      <c r="G546" s="298"/>
      <c r="H546" s="299"/>
      <c r="I546" s="300"/>
      <c r="J546" s="370"/>
      <c r="K546" s="328"/>
      <c r="L546" s="300"/>
      <c r="M546" s="328"/>
      <c r="N546" s="331"/>
      <c r="O546" s="301"/>
      <c r="P546" s="301"/>
      <c r="Q546" s="328"/>
      <c r="R546" s="620"/>
      <c r="S546" s="512"/>
      <c r="T546" s="512"/>
      <c r="U546" s="513"/>
      <c r="V546" s="514"/>
      <c r="W546" s="512"/>
      <c r="X546" s="513"/>
      <c r="Y546" s="514"/>
      <c r="Z546" s="513"/>
      <c r="AA546" s="515"/>
      <c r="AB546" s="516"/>
      <c r="AC546" s="513"/>
      <c r="AD546" s="544"/>
      <c r="AE546" s="516"/>
      <c r="AF546" s="513"/>
      <c r="AG546" s="551"/>
      <c r="AH546" s="595"/>
      <c r="AI546" s="517"/>
      <c r="AJ546" s="518"/>
      <c r="AK546" s="518"/>
      <c r="AL546" s="518"/>
      <c r="AM546" s="519"/>
      <c r="AN546" s="517"/>
      <c r="AO546" s="520"/>
      <c r="AP546" s="525"/>
      <c r="AQ546" s="531"/>
      <c r="AR546" s="593"/>
      <c r="AS546" s="518"/>
      <c r="AT546" s="518"/>
      <c r="AU546" s="518"/>
      <c r="AV546" s="519"/>
      <c r="AW546" s="560"/>
      <c r="AX546" s="522"/>
      <c r="AY546" s="522"/>
      <c r="AZ546" s="522"/>
      <c r="BA546" s="522"/>
      <c r="BB546" s="522"/>
      <c r="BC546" s="518"/>
      <c r="BD546" s="518"/>
      <c r="BE546" s="518"/>
      <c r="BF546" s="518"/>
      <c r="BG546" s="518"/>
      <c r="BH546" s="519"/>
      <c r="BI546" s="527"/>
      <c r="BJ546" s="518"/>
      <c r="BK546" s="518"/>
      <c r="BL546" s="520"/>
      <c r="BM546" s="520"/>
      <c r="BN546" s="519"/>
      <c r="BO546" s="517"/>
      <c r="BP546" s="520"/>
      <c r="BQ546" s="520"/>
      <c r="BR546" s="519"/>
      <c r="BS546" s="548"/>
      <c r="BT546" s="537"/>
      <c r="BU546" s="521"/>
      <c r="BV546" s="521"/>
      <c r="BW546" s="521"/>
      <c r="BX546" s="521"/>
      <c r="BY546" s="521"/>
      <c r="BZ546" s="521"/>
      <c r="CA546" s="521"/>
      <c r="CB546" s="521"/>
      <c r="CC546" s="521"/>
      <c r="CD546" s="521"/>
      <c r="CE546" s="521"/>
      <c r="CF546" s="521"/>
      <c r="CG546" s="521"/>
      <c r="CH546" s="521"/>
      <c r="CI546" s="521"/>
      <c r="CJ546" s="521"/>
      <c r="CK546" s="521"/>
      <c r="CL546" s="518"/>
      <c r="CM546" s="523"/>
      <c r="CN546" s="523"/>
      <c r="CO546" s="524"/>
      <c r="CP546" s="524"/>
      <c r="CQ546" s="518"/>
      <c r="CR546" s="518"/>
      <c r="CS546" s="518"/>
      <c r="CT546" s="518"/>
      <c r="CU546" s="518"/>
      <c r="CV546" s="518"/>
      <c r="CW546" s="518"/>
      <c r="CX546" s="518"/>
      <c r="CY546" s="518"/>
      <c r="CZ546" s="519"/>
      <c r="DA546" s="527"/>
      <c r="DB546" s="520"/>
      <c r="DC546" s="525"/>
      <c r="DD546" s="531"/>
      <c r="DE546" s="593"/>
      <c r="DF546" s="518"/>
      <c r="DG546" s="518"/>
      <c r="DH546" s="518"/>
      <c r="DI546" s="519"/>
      <c r="DJ546" s="560"/>
      <c r="DK546" s="522"/>
      <c r="DL546" s="522"/>
      <c r="DM546" s="522"/>
      <c r="DN546" s="522"/>
      <c r="DO546" s="522"/>
      <c r="DP546" s="518"/>
      <c r="DQ546" s="518"/>
      <c r="DR546" s="518"/>
      <c r="DS546" s="518"/>
      <c r="DT546" s="518"/>
      <c r="DU546" s="519"/>
      <c r="DV546" s="527"/>
      <c r="DW546" s="518"/>
      <c r="DX546" s="518"/>
      <c r="DY546" s="520"/>
      <c r="DZ546" s="520"/>
      <c r="EA546" s="519"/>
      <c r="EB546" s="527"/>
      <c r="EC546" s="520"/>
      <c r="ED546" s="520"/>
      <c r="EE546" s="519"/>
      <c r="EF546" s="550"/>
      <c r="EG546" s="537"/>
      <c r="EH546" s="521"/>
      <c r="EI546" s="521"/>
      <c r="EJ546" s="521"/>
      <c r="EK546" s="521"/>
      <c r="EL546" s="521"/>
      <c r="EM546" s="521"/>
      <c r="EN546" s="521"/>
      <c r="EO546" s="521"/>
      <c r="EP546" s="521"/>
      <c r="EQ546" s="521"/>
      <c r="ER546" s="521"/>
      <c r="ES546" s="521"/>
      <c r="ET546" s="521"/>
      <c r="EU546" s="521"/>
      <c r="EV546" s="521"/>
      <c r="EW546" s="521"/>
      <c r="EX546" s="521"/>
      <c r="EY546" s="518"/>
      <c r="EZ546" s="523"/>
      <c r="FA546" s="523"/>
      <c r="FB546" s="524"/>
      <c r="FC546" s="524"/>
      <c r="FD546" s="518"/>
      <c r="FE546" s="518"/>
      <c r="FF546" s="518"/>
      <c r="FG546" s="518"/>
      <c r="FH546" s="518"/>
      <c r="FI546" s="518"/>
      <c r="FJ546" s="518"/>
      <c r="FK546" s="518"/>
      <c r="FL546" s="518"/>
      <c r="FM546" s="519"/>
    </row>
    <row r="547" spans="1:169" x14ac:dyDescent="0.25">
      <c r="A547" s="284"/>
      <c r="B547" s="317"/>
      <c r="C547" s="297"/>
      <c r="D547" s="298"/>
      <c r="E547" s="299"/>
      <c r="F547" s="340"/>
      <c r="G547" s="298"/>
      <c r="H547" s="299"/>
      <c r="I547" s="300"/>
      <c r="J547" s="370"/>
      <c r="K547" s="328"/>
      <c r="L547" s="300"/>
      <c r="M547" s="328"/>
      <c r="N547" s="331"/>
      <c r="O547" s="301"/>
      <c r="P547" s="301"/>
      <c r="Q547" s="328"/>
      <c r="R547" s="620"/>
      <c r="S547" s="512"/>
      <c r="T547" s="512"/>
      <c r="U547" s="513"/>
      <c r="V547" s="514"/>
      <c r="W547" s="512"/>
      <c r="X547" s="513"/>
      <c r="Y547" s="514"/>
      <c r="Z547" s="513"/>
      <c r="AA547" s="515"/>
      <c r="AB547" s="516"/>
      <c r="AC547" s="513"/>
      <c r="AD547" s="544"/>
      <c r="AE547" s="516"/>
      <c r="AF547" s="513"/>
      <c r="AG547" s="551"/>
      <c r="AH547" s="595"/>
      <c r="AI547" s="517"/>
      <c r="AJ547" s="518"/>
      <c r="AK547" s="518"/>
      <c r="AL547" s="518"/>
      <c r="AM547" s="519"/>
      <c r="AN547" s="517"/>
      <c r="AO547" s="520"/>
      <c r="AP547" s="525"/>
      <c r="AQ547" s="531"/>
      <c r="AR547" s="593"/>
      <c r="AS547" s="518"/>
      <c r="AT547" s="518"/>
      <c r="AU547" s="518"/>
      <c r="AV547" s="519"/>
      <c r="AW547" s="560"/>
      <c r="AX547" s="522"/>
      <c r="AY547" s="522"/>
      <c r="AZ547" s="522"/>
      <c r="BA547" s="522"/>
      <c r="BB547" s="522"/>
      <c r="BC547" s="518"/>
      <c r="BD547" s="518"/>
      <c r="BE547" s="518"/>
      <c r="BF547" s="518"/>
      <c r="BG547" s="518"/>
      <c r="BH547" s="519"/>
      <c r="BI547" s="527"/>
      <c r="BJ547" s="518"/>
      <c r="BK547" s="518"/>
      <c r="BL547" s="520"/>
      <c r="BM547" s="520"/>
      <c r="BN547" s="519"/>
      <c r="BO547" s="517"/>
      <c r="BP547" s="520"/>
      <c r="BQ547" s="520"/>
      <c r="BR547" s="519"/>
      <c r="BS547" s="548"/>
      <c r="BT547" s="537"/>
      <c r="BU547" s="521"/>
      <c r="BV547" s="521"/>
      <c r="BW547" s="521"/>
      <c r="BX547" s="521"/>
      <c r="BY547" s="521"/>
      <c r="BZ547" s="521"/>
      <c r="CA547" s="521"/>
      <c r="CB547" s="521"/>
      <c r="CC547" s="521"/>
      <c r="CD547" s="521"/>
      <c r="CE547" s="521"/>
      <c r="CF547" s="521"/>
      <c r="CG547" s="521"/>
      <c r="CH547" s="521"/>
      <c r="CI547" s="521"/>
      <c r="CJ547" s="521"/>
      <c r="CK547" s="521"/>
      <c r="CL547" s="518"/>
      <c r="CM547" s="523"/>
      <c r="CN547" s="523"/>
      <c r="CO547" s="524"/>
      <c r="CP547" s="524"/>
      <c r="CQ547" s="518"/>
      <c r="CR547" s="518"/>
      <c r="CS547" s="518"/>
      <c r="CT547" s="518"/>
      <c r="CU547" s="518"/>
      <c r="CV547" s="518"/>
      <c r="CW547" s="518"/>
      <c r="CX547" s="518"/>
      <c r="CY547" s="518"/>
      <c r="CZ547" s="519"/>
      <c r="DA547" s="527"/>
      <c r="DB547" s="520"/>
      <c r="DC547" s="525"/>
      <c r="DD547" s="531"/>
      <c r="DE547" s="593"/>
      <c r="DF547" s="518"/>
      <c r="DG547" s="518"/>
      <c r="DH547" s="518"/>
      <c r="DI547" s="519"/>
      <c r="DJ547" s="560"/>
      <c r="DK547" s="522"/>
      <c r="DL547" s="522"/>
      <c r="DM547" s="522"/>
      <c r="DN547" s="522"/>
      <c r="DO547" s="522"/>
      <c r="DP547" s="518"/>
      <c r="DQ547" s="518"/>
      <c r="DR547" s="518"/>
      <c r="DS547" s="518"/>
      <c r="DT547" s="518"/>
      <c r="DU547" s="519"/>
      <c r="DV547" s="527"/>
      <c r="DW547" s="518"/>
      <c r="DX547" s="518"/>
      <c r="DY547" s="520"/>
      <c r="DZ547" s="520"/>
      <c r="EA547" s="519"/>
      <c r="EB547" s="527"/>
      <c r="EC547" s="520"/>
      <c r="ED547" s="520"/>
      <c r="EE547" s="519"/>
      <c r="EF547" s="550"/>
      <c r="EG547" s="537"/>
      <c r="EH547" s="521"/>
      <c r="EI547" s="521"/>
      <c r="EJ547" s="521"/>
      <c r="EK547" s="521"/>
      <c r="EL547" s="521"/>
      <c r="EM547" s="521"/>
      <c r="EN547" s="521"/>
      <c r="EO547" s="521"/>
      <c r="EP547" s="521"/>
      <c r="EQ547" s="521"/>
      <c r="ER547" s="521"/>
      <c r="ES547" s="521"/>
      <c r="ET547" s="521"/>
      <c r="EU547" s="521"/>
      <c r="EV547" s="521"/>
      <c r="EW547" s="521"/>
      <c r="EX547" s="521"/>
      <c r="EY547" s="518"/>
      <c r="EZ547" s="523"/>
      <c r="FA547" s="523"/>
      <c r="FB547" s="524"/>
      <c r="FC547" s="524"/>
      <c r="FD547" s="518"/>
      <c r="FE547" s="518"/>
      <c r="FF547" s="518"/>
      <c r="FG547" s="518"/>
      <c r="FH547" s="518"/>
      <c r="FI547" s="518"/>
      <c r="FJ547" s="518"/>
      <c r="FK547" s="518"/>
      <c r="FL547" s="518"/>
      <c r="FM547" s="519"/>
    </row>
    <row r="548" spans="1:169" x14ac:dyDescent="0.25">
      <c r="A548" s="284"/>
      <c r="B548" s="317"/>
      <c r="C548" s="297"/>
      <c r="D548" s="298"/>
      <c r="E548" s="299"/>
      <c r="F548" s="340"/>
      <c r="G548" s="298"/>
      <c r="H548" s="299"/>
      <c r="I548" s="300"/>
      <c r="J548" s="370"/>
      <c r="K548" s="328"/>
      <c r="L548" s="300"/>
      <c r="M548" s="328"/>
      <c r="N548" s="331"/>
      <c r="O548" s="301"/>
      <c r="P548" s="301"/>
      <c r="Q548" s="328"/>
      <c r="R548" s="620"/>
      <c r="S548" s="512"/>
      <c r="T548" s="512"/>
      <c r="U548" s="513"/>
      <c r="V548" s="514"/>
      <c r="W548" s="512"/>
      <c r="X548" s="513"/>
      <c r="Y548" s="514"/>
      <c r="Z548" s="513"/>
      <c r="AA548" s="515"/>
      <c r="AB548" s="516"/>
      <c r="AC548" s="513"/>
      <c r="AD548" s="544"/>
      <c r="AE548" s="516"/>
      <c r="AF548" s="513"/>
      <c r="AG548" s="551"/>
      <c r="AH548" s="595"/>
      <c r="AI548" s="517"/>
      <c r="AJ548" s="518"/>
      <c r="AK548" s="518"/>
      <c r="AL548" s="518"/>
      <c r="AM548" s="519"/>
      <c r="AN548" s="517"/>
      <c r="AO548" s="520"/>
      <c r="AP548" s="525"/>
      <c r="AQ548" s="531"/>
      <c r="AR548" s="593"/>
      <c r="AS548" s="518"/>
      <c r="AT548" s="518"/>
      <c r="AU548" s="518"/>
      <c r="AV548" s="519"/>
      <c r="AW548" s="560"/>
      <c r="AX548" s="522"/>
      <c r="AY548" s="522"/>
      <c r="AZ548" s="522"/>
      <c r="BA548" s="522"/>
      <c r="BB548" s="522"/>
      <c r="BC548" s="518"/>
      <c r="BD548" s="518"/>
      <c r="BE548" s="518"/>
      <c r="BF548" s="518"/>
      <c r="BG548" s="518"/>
      <c r="BH548" s="519"/>
      <c r="BI548" s="527"/>
      <c r="BJ548" s="518"/>
      <c r="BK548" s="518"/>
      <c r="BL548" s="520"/>
      <c r="BM548" s="520"/>
      <c r="BN548" s="519"/>
      <c r="BO548" s="517"/>
      <c r="BP548" s="520"/>
      <c r="BQ548" s="520"/>
      <c r="BR548" s="519"/>
      <c r="BS548" s="548"/>
      <c r="BT548" s="537"/>
      <c r="BU548" s="521"/>
      <c r="BV548" s="521"/>
      <c r="BW548" s="521"/>
      <c r="BX548" s="521"/>
      <c r="BY548" s="521"/>
      <c r="BZ548" s="521"/>
      <c r="CA548" s="521"/>
      <c r="CB548" s="521"/>
      <c r="CC548" s="521"/>
      <c r="CD548" s="521"/>
      <c r="CE548" s="521"/>
      <c r="CF548" s="521"/>
      <c r="CG548" s="521"/>
      <c r="CH548" s="521"/>
      <c r="CI548" s="521"/>
      <c r="CJ548" s="521"/>
      <c r="CK548" s="521"/>
      <c r="CL548" s="518"/>
      <c r="CM548" s="523"/>
      <c r="CN548" s="523"/>
      <c r="CO548" s="524"/>
      <c r="CP548" s="524"/>
      <c r="CQ548" s="518"/>
      <c r="CR548" s="518"/>
      <c r="CS548" s="518"/>
      <c r="CT548" s="518"/>
      <c r="CU548" s="518"/>
      <c r="CV548" s="518"/>
      <c r="CW548" s="518"/>
      <c r="CX548" s="518"/>
      <c r="CY548" s="518"/>
      <c r="CZ548" s="519"/>
      <c r="DA548" s="527"/>
      <c r="DB548" s="520"/>
      <c r="DC548" s="525"/>
      <c r="DD548" s="531"/>
      <c r="DE548" s="593"/>
      <c r="DF548" s="518"/>
      <c r="DG548" s="518"/>
      <c r="DH548" s="518"/>
      <c r="DI548" s="519"/>
      <c r="DJ548" s="560"/>
      <c r="DK548" s="522"/>
      <c r="DL548" s="522"/>
      <c r="DM548" s="522"/>
      <c r="DN548" s="522"/>
      <c r="DO548" s="522"/>
      <c r="DP548" s="518"/>
      <c r="DQ548" s="518"/>
      <c r="DR548" s="518"/>
      <c r="DS548" s="518"/>
      <c r="DT548" s="518"/>
      <c r="DU548" s="519"/>
      <c r="DV548" s="527"/>
      <c r="DW548" s="518"/>
      <c r="DX548" s="518"/>
      <c r="DY548" s="520"/>
      <c r="DZ548" s="520"/>
      <c r="EA548" s="519"/>
      <c r="EB548" s="527"/>
      <c r="EC548" s="520"/>
      <c r="ED548" s="520"/>
      <c r="EE548" s="519"/>
      <c r="EF548" s="550"/>
      <c r="EG548" s="537"/>
      <c r="EH548" s="521"/>
      <c r="EI548" s="521"/>
      <c r="EJ548" s="521"/>
      <c r="EK548" s="521"/>
      <c r="EL548" s="521"/>
      <c r="EM548" s="521"/>
      <c r="EN548" s="521"/>
      <c r="EO548" s="521"/>
      <c r="EP548" s="521"/>
      <c r="EQ548" s="521"/>
      <c r="ER548" s="521"/>
      <c r="ES548" s="521"/>
      <c r="ET548" s="521"/>
      <c r="EU548" s="521"/>
      <c r="EV548" s="521"/>
      <c r="EW548" s="521"/>
      <c r="EX548" s="521"/>
      <c r="EY548" s="518"/>
      <c r="EZ548" s="523"/>
      <c r="FA548" s="523"/>
      <c r="FB548" s="524"/>
      <c r="FC548" s="524"/>
      <c r="FD548" s="518"/>
      <c r="FE548" s="518"/>
      <c r="FF548" s="518"/>
      <c r="FG548" s="518"/>
      <c r="FH548" s="518"/>
      <c r="FI548" s="518"/>
      <c r="FJ548" s="518"/>
      <c r="FK548" s="518"/>
      <c r="FL548" s="518"/>
      <c r="FM548" s="519"/>
    </row>
    <row r="549" spans="1:169" x14ac:dyDescent="0.25">
      <c r="A549" s="284"/>
      <c r="B549" s="317"/>
      <c r="C549" s="297"/>
      <c r="D549" s="298"/>
      <c r="E549" s="299"/>
      <c r="F549" s="340"/>
      <c r="G549" s="298"/>
      <c r="H549" s="299"/>
      <c r="I549" s="300"/>
      <c r="J549" s="370"/>
      <c r="K549" s="328"/>
      <c r="L549" s="300"/>
      <c r="M549" s="328"/>
      <c r="N549" s="331"/>
      <c r="O549" s="301"/>
      <c r="P549" s="301"/>
      <c r="Q549" s="328"/>
      <c r="R549" s="620"/>
      <c r="S549" s="512"/>
      <c r="T549" s="512"/>
      <c r="U549" s="513"/>
      <c r="V549" s="514"/>
      <c r="W549" s="512"/>
      <c r="X549" s="513"/>
      <c r="Y549" s="514"/>
      <c r="Z549" s="513"/>
      <c r="AA549" s="515"/>
      <c r="AB549" s="516"/>
      <c r="AC549" s="513"/>
      <c r="AD549" s="544"/>
      <c r="AE549" s="516"/>
      <c r="AF549" s="513"/>
      <c r="AG549" s="551"/>
      <c r="AH549" s="595"/>
      <c r="AI549" s="517"/>
      <c r="AJ549" s="518"/>
      <c r="AK549" s="518"/>
      <c r="AL549" s="518"/>
      <c r="AM549" s="519"/>
      <c r="AN549" s="517"/>
      <c r="AO549" s="520"/>
      <c r="AP549" s="525"/>
      <c r="AQ549" s="531"/>
      <c r="AR549" s="593"/>
      <c r="AS549" s="518"/>
      <c r="AT549" s="518"/>
      <c r="AU549" s="518"/>
      <c r="AV549" s="519"/>
      <c r="AW549" s="560"/>
      <c r="AX549" s="522"/>
      <c r="AY549" s="522"/>
      <c r="AZ549" s="522"/>
      <c r="BA549" s="522"/>
      <c r="BB549" s="522"/>
      <c r="BC549" s="518"/>
      <c r="BD549" s="518"/>
      <c r="BE549" s="518"/>
      <c r="BF549" s="518"/>
      <c r="BG549" s="518"/>
      <c r="BH549" s="519"/>
      <c r="BI549" s="527"/>
      <c r="BJ549" s="518"/>
      <c r="BK549" s="518"/>
      <c r="BL549" s="520"/>
      <c r="BM549" s="520"/>
      <c r="BN549" s="519"/>
      <c r="BO549" s="517"/>
      <c r="BP549" s="520"/>
      <c r="BQ549" s="520"/>
      <c r="BR549" s="519"/>
      <c r="BS549" s="548"/>
      <c r="BT549" s="537"/>
      <c r="BU549" s="521"/>
      <c r="BV549" s="521"/>
      <c r="BW549" s="521"/>
      <c r="BX549" s="521"/>
      <c r="BY549" s="521"/>
      <c r="BZ549" s="521"/>
      <c r="CA549" s="521"/>
      <c r="CB549" s="521"/>
      <c r="CC549" s="521"/>
      <c r="CD549" s="521"/>
      <c r="CE549" s="521"/>
      <c r="CF549" s="521"/>
      <c r="CG549" s="521"/>
      <c r="CH549" s="521"/>
      <c r="CI549" s="521"/>
      <c r="CJ549" s="521"/>
      <c r="CK549" s="521"/>
      <c r="CL549" s="518"/>
      <c r="CM549" s="523"/>
      <c r="CN549" s="523"/>
      <c r="CO549" s="524"/>
      <c r="CP549" s="524"/>
      <c r="CQ549" s="518"/>
      <c r="CR549" s="518"/>
      <c r="CS549" s="518"/>
      <c r="CT549" s="518"/>
      <c r="CU549" s="518"/>
      <c r="CV549" s="518"/>
      <c r="CW549" s="518"/>
      <c r="CX549" s="518"/>
      <c r="CY549" s="518"/>
      <c r="CZ549" s="519"/>
      <c r="DA549" s="527"/>
      <c r="DB549" s="520"/>
      <c r="DC549" s="525"/>
      <c r="DD549" s="531"/>
      <c r="DE549" s="593"/>
      <c r="DF549" s="518"/>
      <c r="DG549" s="518"/>
      <c r="DH549" s="518"/>
      <c r="DI549" s="519"/>
      <c r="DJ549" s="560"/>
      <c r="DK549" s="522"/>
      <c r="DL549" s="522"/>
      <c r="DM549" s="522"/>
      <c r="DN549" s="522"/>
      <c r="DO549" s="522"/>
      <c r="DP549" s="518"/>
      <c r="DQ549" s="518"/>
      <c r="DR549" s="518"/>
      <c r="DS549" s="518"/>
      <c r="DT549" s="518"/>
      <c r="DU549" s="519"/>
      <c r="DV549" s="527"/>
      <c r="DW549" s="518"/>
      <c r="DX549" s="518"/>
      <c r="DY549" s="520"/>
      <c r="DZ549" s="520"/>
      <c r="EA549" s="519"/>
      <c r="EB549" s="527"/>
      <c r="EC549" s="520"/>
      <c r="ED549" s="520"/>
      <c r="EE549" s="519"/>
      <c r="EF549" s="550"/>
      <c r="EG549" s="537"/>
      <c r="EH549" s="521"/>
      <c r="EI549" s="521"/>
      <c r="EJ549" s="521"/>
      <c r="EK549" s="521"/>
      <c r="EL549" s="521"/>
      <c r="EM549" s="521"/>
      <c r="EN549" s="521"/>
      <c r="EO549" s="521"/>
      <c r="EP549" s="521"/>
      <c r="EQ549" s="521"/>
      <c r="ER549" s="521"/>
      <c r="ES549" s="521"/>
      <c r="ET549" s="521"/>
      <c r="EU549" s="521"/>
      <c r="EV549" s="521"/>
      <c r="EW549" s="521"/>
      <c r="EX549" s="521"/>
      <c r="EY549" s="518"/>
      <c r="EZ549" s="523"/>
      <c r="FA549" s="523"/>
      <c r="FB549" s="524"/>
      <c r="FC549" s="524"/>
      <c r="FD549" s="518"/>
      <c r="FE549" s="518"/>
      <c r="FF549" s="518"/>
      <c r="FG549" s="518"/>
      <c r="FH549" s="518"/>
      <c r="FI549" s="518"/>
      <c r="FJ549" s="518"/>
      <c r="FK549" s="518"/>
      <c r="FL549" s="518"/>
      <c r="FM549" s="519"/>
    </row>
    <row r="550" spans="1:169" x14ac:dyDescent="0.25">
      <c r="A550" s="284"/>
      <c r="B550" s="317"/>
      <c r="C550" s="297"/>
      <c r="D550" s="298"/>
      <c r="E550" s="299"/>
      <c r="F550" s="340"/>
      <c r="G550" s="298"/>
      <c r="H550" s="299"/>
      <c r="I550" s="300"/>
      <c r="J550" s="370"/>
      <c r="K550" s="328"/>
      <c r="L550" s="300"/>
      <c r="M550" s="328"/>
      <c r="N550" s="331"/>
      <c r="O550" s="301"/>
      <c r="P550" s="301"/>
      <c r="Q550" s="328"/>
      <c r="R550" s="620"/>
      <c r="S550" s="512"/>
      <c r="T550" s="512"/>
      <c r="U550" s="513"/>
      <c r="V550" s="514"/>
      <c r="W550" s="512"/>
      <c r="X550" s="513"/>
      <c r="Y550" s="514"/>
      <c r="Z550" s="513"/>
      <c r="AA550" s="515"/>
      <c r="AB550" s="516"/>
      <c r="AC550" s="513"/>
      <c r="AD550" s="544"/>
      <c r="AE550" s="516"/>
      <c r="AF550" s="513"/>
      <c r="AG550" s="551"/>
      <c r="AH550" s="595"/>
      <c r="AI550" s="517"/>
      <c r="AJ550" s="518"/>
      <c r="AK550" s="518"/>
      <c r="AL550" s="518"/>
      <c r="AM550" s="519"/>
      <c r="AN550" s="517"/>
      <c r="AO550" s="520"/>
      <c r="AP550" s="525"/>
      <c r="AQ550" s="531"/>
      <c r="AR550" s="593"/>
      <c r="AS550" s="518"/>
      <c r="AT550" s="518"/>
      <c r="AU550" s="518"/>
      <c r="AV550" s="519"/>
      <c r="AW550" s="560"/>
      <c r="AX550" s="522"/>
      <c r="AY550" s="522"/>
      <c r="AZ550" s="522"/>
      <c r="BA550" s="522"/>
      <c r="BB550" s="522"/>
      <c r="BC550" s="518"/>
      <c r="BD550" s="518"/>
      <c r="BE550" s="518"/>
      <c r="BF550" s="518"/>
      <c r="BG550" s="518"/>
      <c r="BH550" s="519"/>
      <c r="BI550" s="527"/>
      <c r="BJ550" s="518"/>
      <c r="BK550" s="518"/>
      <c r="BL550" s="520"/>
      <c r="BM550" s="520"/>
      <c r="BN550" s="519"/>
      <c r="BO550" s="517"/>
      <c r="BP550" s="520"/>
      <c r="BQ550" s="520"/>
      <c r="BR550" s="519"/>
      <c r="BS550" s="548"/>
      <c r="BT550" s="537"/>
      <c r="BU550" s="521"/>
      <c r="BV550" s="521"/>
      <c r="BW550" s="521"/>
      <c r="BX550" s="521"/>
      <c r="BY550" s="521"/>
      <c r="BZ550" s="521"/>
      <c r="CA550" s="521"/>
      <c r="CB550" s="521"/>
      <c r="CC550" s="521"/>
      <c r="CD550" s="521"/>
      <c r="CE550" s="521"/>
      <c r="CF550" s="521"/>
      <c r="CG550" s="521"/>
      <c r="CH550" s="521"/>
      <c r="CI550" s="521"/>
      <c r="CJ550" s="521"/>
      <c r="CK550" s="521"/>
      <c r="CL550" s="518"/>
      <c r="CM550" s="523"/>
      <c r="CN550" s="523"/>
      <c r="CO550" s="524"/>
      <c r="CP550" s="524"/>
      <c r="CQ550" s="518"/>
      <c r="CR550" s="518"/>
      <c r="CS550" s="518"/>
      <c r="CT550" s="518"/>
      <c r="CU550" s="518"/>
      <c r="CV550" s="518"/>
      <c r="CW550" s="518"/>
      <c r="CX550" s="518"/>
      <c r="CY550" s="518"/>
      <c r="CZ550" s="519"/>
      <c r="DA550" s="527"/>
      <c r="DB550" s="520"/>
      <c r="DC550" s="525"/>
      <c r="DD550" s="531"/>
      <c r="DE550" s="593"/>
      <c r="DF550" s="518"/>
      <c r="DG550" s="518"/>
      <c r="DH550" s="518"/>
      <c r="DI550" s="519"/>
      <c r="DJ550" s="560"/>
      <c r="DK550" s="522"/>
      <c r="DL550" s="522"/>
      <c r="DM550" s="522"/>
      <c r="DN550" s="522"/>
      <c r="DO550" s="522"/>
      <c r="DP550" s="518"/>
      <c r="DQ550" s="518"/>
      <c r="DR550" s="518"/>
      <c r="DS550" s="518"/>
      <c r="DT550" s="518"/>
      <c r="DU550" s="519"/>
      <c r="DV550" s="527"/>
      <c r="DW550" s="518"/>
      <c r="DX550" s="518"/>
      <c r="DY550" s="520"/>
      <c r="DZ550" s="520"/>
      <c r="EA550" s="519"/>
      <c r="EB550" s="527"/>
      <c r="EC550" s="520"/>
      <c r="ED550" s="520"/>
      <c r="EE550" s="519"/>
      <c r="EF550" s="550"/>
      <c r="EG550" s="537"/>
      <c r="EH550" s="521"/>
      <c r="EI550" s="521"/>
      <c r="EJ550" s="521"/>
      <c r="EK550" s="521"/>
      <c r="EL550" s="521"/>
      <c r="EM550" s="521"/>
      <c r="EN550" s="521"/>
      <c r="EO550" s="521"/>
      <c r="EP550" s="521"/>
      <c r="EQ550" s="521"/>
      <c r="ER550" s="521"/>
      <c r="ES550" s="521"/>
      <c r="ET550" s="521"/>
      <c r="EU550" s="521"/>
      <c r="EV550" s="521"/>
      <c r="EW550" s="521"/>
      <c r="EX550" s="521"/>
      <c r="EY550" s="518"/>
      <c r="EZ550" s="523"/>
      <c r="FA550" s="523"/>
      <c r="FB550" s="524"/>
      <c r="FC550" s="524"/>
      <c r="FD550" s="518"/>
      <c r="FE550" s="518"/>
      <c r="FF550" s="518"/>
      <c r="FG550" s="518"/>
      <c r="FH550" s="518"/>
      <c r="FI550" s="518"/>
      <c r="FJ550" s="518"/>
      <c r="FK550" s="518"/>
      <c r="FL550" s="518"/>
      <c r="FM550" s="519"/>
    </row>
    <row r="551" spans="1:169" x14ac:dyDescent="0.25">
      <c r="A551" s="284"/>
      <c r="B551" s="317"/>
      <c r="C551" s="297"/>
      <c r="D551" s="298"/>
      <c r="E551" s="299"/>
      <c r="F551" s="340"/>
      <c r="G551" s="298"/>
      <c r="H551" s="299"/>
      <c r="I551" s="300"/>
      <c r="J551" s="370"/>
      <c r="K551" s="328"/>
      <c r="L551" s="300"/>
      <c r="M551" s="328"/>
      <c r="N551" s="331"/>
      <c r="O551" s="301"/>
      <c r="P551" s="301"/>
      <c r="Q551" s="328"/>
      <c r="R551" s="620"/>
      <c r="S551" s="512"/>
      <c r="T551" s="512"/>
      <c r="U551" s="513"/>
      <c r="V551" s="514"/>
      <c r="W551" s="512"/>
      <c r="X551" s="513"/>
      <c r="Y551" s="514"/>
      <c r="Z551" s="513"/>
      <c r="AA551" s="515"/>
      <c r="AB551" s="516"/>
      <c r="AC551" s="513"/>
      <c r="AD551" s="544"/>
      <c r="AE551" s="516"/>
      <c r="AF551" s="513"/>
      <c r="AG551" s="551"/>
      <c r="AH551" s="595"/>
      <c r="AI551" s="517"/>
      <c r="AJ551" s="518"/>
      <c r="AK551" s="518"/>
      <c r="AL551" s="518"/>
      <c r="AM551" s="519"/>
      <c r="AN551" s="517"/>
      <c r="AO551" s="520"/>
      <c r="AP551" s="525"/>
      <c r="AQ551" s="531"/>
      <c r="AR551" s="593"/>
      <c r="AS551" s="518"/>
      <c r="AT551" s="518"/>
      <c r="AU551" s="518"/>
      <c r="AV551" s="519"/>
      <c r="AW551" s="560"/>
      <c r="AX551" s="522"/>
      <c r="AY551" s="522"/>
      <c r="AZ551" s="522"/>
      <c r="BA551" s="522"/>
      <c r="BB551" s="522"/>
      <c r="BC551" s="518"/>
      <c r="BD551" s="518"/>
      <c r="BE551" s="518"/>
      <c r="BF551" s="518"/>
      <c r="BG551" s="518"/>
      <c r="BH551" s="519"/>
      <c r="BI551" s="527"/>
      <c r="BJ551" s="518"/>
      <c r="BK551" s="518"/>
      <c r="BL551" s="520"/>
      <c r="BM551" s="520"/>
      <c r="BN551" s="519"/>
      <c r="BO551" s="517"/>
      <c r="BP551" s="520"/>
      <c r="BQ551" s="520"/>
      <c r="BR551" s="519"/>
      <c r="BS551" s="548"/>
      <c r="BT551" s="537"/>
      <c r="BU551" s="521"/>
      <c r="BV551" s="521"/>
      <c r="BW551" s="521"/>
      <c r="BX551" s="521"/>
      <c r="BY551" s="521"/>
      <c r="BZ551" s="521"/>
      <c r="CA551" s="521"/>
      <c r="CB551" s="521"/>
      <c r="CC551" s="521"/>
      <c r="CD551" s="521"/>
      <c r="CE551" s="521"/>
      <c r="CF551" s="521"/>
      <c r="CG551" s="521"/>
      <c r="CH551" s="521"/>
      <c r="CI551" s="521"/>
      <c r="CJ551" s="521"/>
      <c r="CK551" s="521"/>
      <c r="CL551" s="518"/>
      <c r="CM551" s="523"/>
      <c r="CN551" s="523"/>
      <c r="CO551" s="524"/>
      <c r="CP551" s="524"/>
      <c r="CQ551" s="518"/>
      <c r="CR551" s="518"/>
      <c r="CS551" s="518"/>
      <c r="CT551" s="518"/>
      <c r="CU551" s="518"/>
      <c r="CV551" s="518"/>
      <c r="CW551" s="518"/>
      <c r="CX551" s="518"/>
      <c r="CY551" s="518"/>
      <c r="CZ551" s="519"/>
      <c r="DA551" s="527"/>
      <c r="DB551" s="520"/>
      <c r="DC551" s="525"/>
      <c r="DD551" s="531"/>
      <c r="DE551" s="593"/>
      <c r="DF551" s="518"/>
      <c r="DG551" s="518"/>
      <c r="DH551" s="518"/>
      <c r="DI551" s="519"/>
      <c r="DJ551" s="560"/>
      <c r="DK551" s="522"/>
      <c r="DL551" s="522"/>
      <c r="DM551" s="522"/>
      <c r="DN551" s="522"/>
      <c r="DO551" s="522"/>
      <c r="DP551" s="518"/>
      <c r="DQ551" s="518"/>
      <c r="DR551" s="518"/>
      <c r="DS551" s="518"/>
      <c r="DT551" s="518"/>
      <c r="DU551" s="519"/>
      <c r="DV551" s="527"/>
      <c r="DW551" s="518"/>
      <c r="DX551" s="518"/>
      <c r="DY551" s="520"/>
      <c r="DZ551" s="520"/>
      <c r="EA551" s="519"/>
      <c r="EB551" s="527"/>
      <c r="EC551" s="520"/>
      <c r="ED551" s="520"/>
      <c r="EE551" s="519"/>
      <c r="EF551" s="550"/>
      <c r="EG551" s="537"/>
      <c r="EH551" s="521"/>
      <c r="EI551" s="521"/>
      <c r="EJ551" s="521"/>
      <c r="EK551" s="521"/>
      <c r="EL551" s="521"/>
      <c r="EM551" s="521"/>
      <c r="EN551" s="521"/>
      <c r="EO551" s="521"/>
      <c r="EP551" s="521"/>
      <c r="EQ551" s="521"/>
      <c r="ER551" s="521"/>
      <c r="ES551" s="521"/>
      <c r="ET551" s="521"/>
      <c r="EU551" s="521"/>
      <c r="EV551" s="521"/>
      <c r="EW551" s="521"/>
      <c r="EX551" s="521"/>
      <c r="EY551" s="518"/>
      <c r="EZ551" s="523"/>
      <c r="FA551" s="523"/>
      <c r="FB551" s="524"/>
      <c r="FC551" s="524"/>
      <c r="FD551" s="518"/>
      <c r="FE551" s="518"/>
      <c r="FF551" s="518"/>
      <c r="FG551" s="518"/>
      <c r="FH551" s="518"/>
      <c r="FI551" s="518"/>
      <c r="FJ551" s="518"/>
      <c r="FK551" s="518"/>
      <c r="FL551" s="518"/>
      <c r="FM551" s="519"/>
    </row>
    <row r="552" spans="1:169" x14ac:dyDescent="0.25">
      <c r="A552" s="284"/>
      <c r="B552" s="317"/>
      <c r="C552" s="297"/>
      <c r="D552" s="298"/>
      <c r="E552" s="299"/>
      <c r="F552" s="340"/>
      <c r="G552" s="298"/>
      <c r="H552" s="299"/>
      <c r="I552" s="300"/>
      <c r="J552" s="370"/>
      <c r="K552" s="328"/>
      <c r="L552" s="300"/>
      <c r="M552" s="328"/>
      <c r="N552" s="331"/>
      <c r="O552" s="301"/>
      <c r="P552" s="301"/>
      <c r="Q552" s="328"/>
      <c r="R552" s="620"/>
      <c r="S552" s="512"/>
      <c r="T552" s="512"/>
      <c r="U552" s="513"/>
      <c r="V552" s="514"/>
      <c r="W552" s="512"/>
      <c r="X552" s="513"/>
      <c r="Y552" s="514"/>
      <c r="Z552" s="513"/>
      <c r="AA552" s="515"/>
      <c r="AB552" s="516"/>
      <c r="AC552" s="513"/>
      <c r="AD552" s="544"/>
      <c r="AE552" s="516"/>
      <c r="AF552" s="513"/>
      <c r="AG552" s="551"/>
      <c r="AH552" s="595"/>
      <c r="AI552" s="517"/>
      <c r="AJ552" s="518"/>
      <c r="AK552" s="518"/>
      <c r="AL552" s="518"/>
      <c r="AM552" s="519"/>
      <c r="AN552" s="517"/>
      <c r="AO552" s="520"/>
      <c r="AP552" s="525"/>
      <c r="AQ552" s="531"/>
      <c r="AR552" s="593"/>
      <c r="AS552" s="518"/>
      <c r="AT552" s="518"/>
      <c r="AU552" s="518"/>
      <c r="AV552" s="519"/>
      <c r="AW552" s="560"/>
      <c r="AX552" s="522"/>
      <c r="AY552" s="522"/>
      <c r="AZ552" s="522"/>
      <c r="BA552" s="522"/>
      <c r="BB552" s="522"/>
      <c r="BC552" s="518"/>
      <c r="BD552" s="518"/>
      <c r="BE552" s="518"/>
      <c r="BF552" s="518"/>
      <c r="BG552" s="518"/>
      <c r="BH552" s="519"/>
      <c r="BI552" s="527"/>
      <c r="BJ552" s="518"/>
      <c r="BK552" s="518"/>
      <c r="BL552" s="520"/>
      <c r="BM552" s="520"/>
      <c r="BN552" s="519"/>
      <c r="BO552" s="517"/>
      <c r="BP552" s="520"/>
      <c r="BQ552" s="520"/>
      <c r="BR552" s="519"/>
      <c r="BS552" s="548"/>
      <c r="BT552" s="537"/>
      <c r="BU552" s="521"/>
      <c r="BV552" s="521"/>
      <c r="BW552" s="521"/>
      <c r="BX552" s="521"/>
      <c r="BY552" s="521"/>
      <c r="BZ552" s="521"/>
      <c r="CA552" s="521"/>
      <c r="CB552" s="521"/>
      <c r="CC552" s="521"/>
      <c r="CD552" s="521"/>
      <c r="CE552" s="521"/>
      <c r="CF552" s="521"/>
      <c r="CG552" s="521"/>
      <c r="CH552" s="521"/>
      <c r="CI552" s="521"/>
      <c r="CJ552" s="521"/>
      <c r="CK552" s="521"/>
      <c r="CL552" s="518"/>
      <c r="CM552" s="523"/>
      <c r="CN552" s="523"/>
      <c r="CO552" s="524"/>
      <c r="CP552" s="524"/>
      <c r="CQ552" s="518"/>
      <c r="CR552" s="518"/>
      <c r="CS552" s="518"/>
      <c r="CT552" s="518"/>
      <c r="CU552" s="518"/>
      <c r="CV552" s="518"/>
      <c r="CW552" s="518"/>
      <c r="CX552" s="518"/>
      <c r="CY552" s="518"/>
      <c r="CZ552" s="519"/>
      <c r="DA552" s="527"/>
      <c r="DB552" s="520"/>
      <c r="DC552" s="525"/>
      <c r="DD552" s="531"/>
      <c r="DE552" s="593"/>
      <c r="DF552" s="518"/>
      <c r="DG552" s="518"/>
      <c r="DH552" s="518"/>
      <c r="DI552" s="519"/>
      <c r="DJ552" s="560"/>
      <c r="DK552" s="522"/>
      <c r="DL552" s="522"/>
      <c r="DM552" s="522"/>
      <c r="DN552" s="522"/>
      <c r="DO552" s="522"/>
      <c r="DP552" s="518"/>
      <c r="DQ552" s="518"/>
      <c r="DR552" s="518"/>
      <c r="DS552" s="518"/>
      <c r="DT552" s="518"/>
      <c r="DU552" s="519"/>
      <c r="DV552" s="527"/>
      <c r="DW552" s="518"/>
      <c r="DX552" s="518"/>
      <c r="DY552" s="520"/>
      <c r="DZ552" s="520"/>
      <c r="EA552" s="519"/>
      <c r="EB552" s="527"/>
      <c r="EC552" s="520"/>
      <c r="ED552" s="520"/>
      <c r="EE552" s="519"/>
      <c r="EF552" s="550"/>
      <c r="EG552" s="537"/>
      <c r="EH552" s="521"/>
      <c r="EI552" s="521"/>
      <c r="EJ552" s="521"/>
      <c r="EK552" s="521"/>
      <c r="EL552" s="521"/>
      <c r="EM552" s="521"/>
      <c r="EN552" s="521"/>
      <c r="EO552" s="521"/>
      <c r="EP552" s="521"/>
      <c r="EQ552" s="521"/>
      <c r="ER552" s="521"/>
      <c r="ES552" s="521"/>
      <c r="ET552" s="521"/>
      <c r="EU552" s="521"/>
      <c r="EV552" s="521"/>
      <c r="EW552" s="521"/>
      <c r="EX552" s="521"/>
      <c r="EY552" s="518"/>
      <c r="EZ552" s="523"/>
      <c r="FA552" s="523"/>
      <c r="FB552" s="524"/>
      <c r="FC552" s="524"/>
      <c r="FD552" s="518"/>
      <c r="FE552" s="518"/>
      <c r="FF552" s="518"/>
      <c r="FG552" s="518"/>
      <c r="FH552" s="518"/>
      <c r="FI552" s="518"/>
      <c r="FJ552" s="518"/>
      <c r="FK552" s="518"/>
      <c r="FL552" s="518"/>
      <c r="FM552" s="519"/>
    </row>
    <row r="553" spans="1:169" x14ac:dyDescent="0.25">
      <c r="A553" s="284"/>
      <c r="B553" s="317"/>
      <c r="C553" s="297"/>
      <c r="D553" s="298"/>
      <c r="E553" s="299"/>
      <c r="F553" s="340"/>
      <c r="G553" s="298"/>
      <c r="H553" s="299"/>
      <c r="I553" s="300"/>
      <c r="J553" s="370"/>
      <c r="K553" s="328"/>
      <c r="L553" s="300"/>
      <c r="M553" s="328"/>
      <c r="N553" s="331"/>
      <c r="O553" s="301"/>
      <c r="P553" s="301"/>
      <c r="Q553" s="328"/>
      <c r="R553" s="620"/>
      <c r="S553" s="512"/>
      <c r="T553" s="512"/>
      <c r="U553" s="513"/>
      <c r="V553" s="514"/>
      <c r="W553" s="512"/>
      <c r="X553" s="513"/>
      <c r="Y553" s="514"/>
      <c r="Z553" s="513"/>
      <c r="AA553" s="515"/>
      <c r="AB553" s="516"/>
      <c r="AC553" s="513"/>
      <c r="AD553" s="544"/>
      <c r="AE553" s="516"/>
      <c r="AF553" s="513"/>
      <c r="AG553" s="551"/>
      <c r="AH553" s="595"/>
      <c r="AI553" s="517"/>
      <c r="AJ553" s="518"/>
      <c r="AK553" s="518"/>
      <c r="AL553" s="518"/>
      <c r="AM553" s="519"/>
      <c r="AN553" s="517"/>
      <c r="AO553" s="520"/>
      <c r="AP553" s="525"/>
      <c r="AQ553" s="531"/>
      <c r="AR553" s="593"/>
      <c r="AS553" s="518"/>
      <c r="AT553" s="518"/>
      <c r="AU553" s="518"/>
      <c r="AV553" s="519"/>
      <c r="AW553" s="560"/>
      <c r="AX553" s="522"/>
      <c r="AY553" s="522"/>
      <c r="AZ553" s="522"/>
      <c r="BA553" s="522"/>
      <c r="BB553" s="522"/>
      <c r="BC553" s="518"/>
      <c r="BD553" s="518"/>
      <c r="BE553" s="518"/>
      <c r="BF553" s="518"/>
      <c r="BG553" s="518"/>
      <c r="BH553" s="519"/>
      <c r="BI553" s="527"/>
      <c r="BJ553" s="518"/>
      <c r="BK553" s="518"/>
      <c r="BL553" s="520"/>
      <c r="BM553" s="520"/>
      <c r="BN553" s="519"/>
      <c r="BO553" s="517"/>
      <c r="BP553" s="520"/>
      <c r="BQ553" s="520"/>
      <c r="BR553" s="519"/>
      <c r="BS553" s="548"/>
      <c r="BT553" s="537"/>
      <c r="BU553" s="521"/>
      <c r="BV553" s="521"/>
      <c r="BW553" s="521"/>
      <c r="BX553" s="521"/>
      <c r="BY553" s="521"/>
      <c r="BZ553" s="521"/>
      <c r="CA553" s="521"/>
      <c r="CB553" s="521"/>
      <c r="CC553" s="521"/>
      <c r="CD553" s="521"/>
      <c r="CE553" s="521"/>
      <c r="CF553" s="521"/>
      <c r="CG553" s="521"/>
      <c r="CH553" s="521"/>
      <c r="CI553" s="521"/>
      <c r="CJ553" s="521"/>
      <c r="CK553" s="521"/>
      <c r="CL553" s="518"/>
      <c r="CM553" s="523"/>
      <c r="CN553" s="523"/>
      <c r="CO553" s="524"/>
      <c r="CP553" s="524"/>
      <c r="CQ553" s="518"/>
      <c r="CR553" s="518"/>
      <c r="CS553" s="518"/>
      <c r="CT553" s="518"/>
      <c r="CU553" s="518"/>
      <c r="CV553" s="518"/>
      <c r="CW553" s="518"/>
      <c r="CX553" s="518"/>
      <c r="CY553" s="518"/>
      <c r="CZ553" s="519"/>
      <c r="DA553" s="527"/>
      <c r="DB553" s="520"/>
      <c r="DC553" s="525"/>
      <c r="DD553" s="531"/>
      <c r="DE553" s="593"/>
      <c r="DF553" s="518"/>
      <c r="DG553" s="518"/>
      <c r="DH553" s="518"/>
      <c r="DI553" s="519"/>
      <c r="DJ553" s="560"/>
      <c r="DK553" s="522"/>
      <c r="DL553" s="522"/>
      <c r="DM553" s="522"/>
      <c r="DN553" s="522"/>
      <c r="DO553" s="522"/>
      <c r="DP553" s="518"/>
      <c r="DQ553" s="518"/>
      <c r="DR553" s="518"/>
      <c r="DS553" s="518"/>
      <c r="DT553" s="518"/>
      <c r="DU553" s="519"/>
      <c r="DV553" s="527"/>
      <c r="DW553" s="518"/>
      <c r="DX553" s="518"/>
      <c r="DY553" s="520"/>
      <c r="DZ553" s="520"/>
      <c r="EA553" s="519"/>
      <c r="EB553" s="527"/>
      <c r="EC553" s="520"/>
      <c r="ED553" s="520"/>
      <c r="EE553" s="519"/>
      <c r="EF553" s="550"/>
      <c r="EG553" s="537"/>
      <c r="EH553" s="521"/>
      <c r="EI553" s="521"/>
      <c r="EJ553" s="521"/>
      <c r="EK553" s="521"/>
      <c r="EL553" s="521"/>
      <c r="EM553" s="521"/>
      <c r="EN553" s="521"/>
      <c r="EO553" s="521"/>
      <c r="EP553" s="521"/>
      <c r="EQ553" s="521"/>
      <c r="ER553" s="521"/>
      <c r="ES553" s="521"/>
      <c r="ET553" s="521"/>
      <c r="EU553" s="521"/>
      <c r="EV553" s="521"/>
      <c r="EW553" s="521"/>
      <c r="EX553" s="521"/>
      <c r="EY553" s="518"/>
      <c r="EZ553" s="523"/>
      <c r="FA553" s="523"/>
      <c r="FB553" s="524"/>
      <c r="FC553" s="524"/>
      <c r="FD553" s="518"/>
      <c r="FE553" s="518"/>
      <c r="FF553" s="518"/>
      <c r="FG553" s="518"/>
      <c r="FH553" s="518"/>
      <c r="FI553" s="518"/>
      <c r="FJ553" s="518"/>
      <c r="FK553" s="518"/>
      <c r="FL553" s="518"/>
      <c r="FM553" s="519"/>
    </row>
    <row r="554" spans="1:169" x14ac:dyDescent="0.25">
      <c r="A554" s="284"/>
      <c r="B554" s="317"/>
      <c r="C554" s="297"/>
      <c r="D554" s="298"/>
      <c r="E554" s="299"/>
      <c r="F554" s="340"/>
      <c r="G554" s="298"/>
      <c r="H554" s="299"/>
      <c r="I554" s="300"/>
      <c r="J554" s="370"/>
      <c r="K554" s="328"/>
      <c r="L554" s="300"/>
      <c r="M554" s="328"/>
      <c r="N554" s="331"/>
      <c r="O554" s="301"/>
      <c r="P554" s="301"/>
      <c r="Q554" s="328"/>
      <c r="R554" s="620"/>
      <c r="S554" s="512"/>
      <c r="T554" s="512"/>
      <c r="U554" s="513"/>
      <c r="V554" s="514"/>
      <c r="W554" s="512"/>
      <c r="X554" s="513"/>
      <c r="Y554" s="514"/>
      <c r="Z554" s="513"/>
      <c r="AA554" s="515"/>
      <c r="AB554" s="516"/>
      <c r="AC554" s="513"/>
      <c r="AD554" s="544"/>
      <c r="AE554" s="516"/>
      <c r="AF554" s="513"/>
      <c r="AG554" s="551"/>
      <c r="AH554" s="595"/>
      <c r="AI554" s="517"/>
      <c r="AJ554" s="518"/>
      <c r="AK554" s="518"/>
      <c r="AL554" s="518"/>
      <c r="AM554" s="519"/>
      <c r="AN554" s="517"/>
      <c r="AO554" s="520"/>
      <c r="AP554" s="525"/>
      <c r="AQ554" s="531"/>
      <c r="AR554" s="593"/>
      <c r="AS554" s="518"/>
      <c r="AT554" s="518"/>
      <c r="AU554" s="518"/>
      <c r="AV554" s="519"/>
      <c r="AW554" s="560"/>
      <c r="AX554" s="522"/>
      <c r="AY554" s="522"/>
      <c r="AZ554" s="522"/>
      <c r="BA554" s="522"/>
      <c r="BB554" s="522"/>
      <c r="BC554" s="518"/>
      <c r="BD554" s="518"/>
      <c r="BE554" s="518"/>
      <c r="BF554" s="518"/>
      <c r="BG554" s="518"/>
      <c r="BH554" s="519"/>
      <c r="BI554" s="527"/>
      <c r="BJ554" s="518"/>
      <c r="BK554" s="518"/>
      <c r="BL554" s="520"/>
      <c r="BM554" s="520"/>
      <c r="BN554" s="519"/>
      <c r="BO554" s="517"/>
      <c r="BP554" s="520"/>
      <c r="BQ554" s="520"/>
      <c r="BR554" s="519"/>
      <c r="BS554" s="548"/>
      <c r="BT554" s="537"/>
      <c r="BU554" s="521"/>
      <c r="BV554" s="521"/>
      <c r="BW554" s="521"/>
      <c r="BX554" s="521"/>
      <c r="BY554" s="521"/>
      <c r="BZ554" s="521"/>
      <c r="CA554" s="521"/>
      <c r="CB554" s="521"/>
      <c r="CC554" s="521"/>
      <c r="CD554" s="521"/>
      <c r="CE554" s="521"/>
      <c r="CF554" s="521"/>
      <c r="CG554" s="521"/>
      <c r="CH554" s="521"/>
      <c r="CI554" s="521"/>
      <c r="CJ554" s="521"/>
      <c r="CK554" s="521"/>
      <c r="CL554" s="518"/>
      <c r="CM554" s="523"/>
      <c r="CN554" s="523"/>
      <c r="CO554" s="524"/>
      <c r="CP554" s="524"/>
      <c r="CQ554" s="518"/>
      <c r="CR554" s="518"/>
      <c r="CS554" s="518"/>
      <c r="CT554" s="518"/>
      <c r="CU554" s="518"/>
      <c r="CV554" s="518"/>
      <c r="CW554" s="518"/>
      <c r="CX554" s="518"/>
      <c r="CY554" s="518"/>
      <c r="CZ554" s="519"/>
      <c r="DA554" s="527"/>
      <c r="DB554" s="520"/>
      <c r="DC554" s="525"/>
      <c r="DD554" s="531"/>
      <c r="DE554" s="593"/>
      <c r="DF554" s="518"/>
      <c r="DG554" s="518"/>
      <c r="DH554" s="518"/>
      <c r="DI554" s="519"/>
      <c r="DJ554" s="560"/>
      <c r="DK554" s="522"/>
      <c r="DL554" s="522"/>
      <c r="DM554" s="522"/>
      <c r="DN554" s="522"/>
      <c r="DO554" s="522"/>
      <c r="DP554" s="518"/>
      <c r="DQ554" s="518"/>
      <c r="DR554" s="518"/>
      <c r="DS554" s="518"/>
      <c r="DT554" s="518"/>
      <c r="DU554" s="519"/>
      <c r="DV554" s="527"/>
      <c r="DW554" s="518"/>
      <c r="DX554" s="518"/>
      <c r="DY554" s="520"/>
      <c r="DZ554" s="520"/>
      <c r="EA554" s="519"/>
      <c r="EB554" s="527"/>
      <c r="EC554" s="520"/>
      <c r="ED554" s="520"/>
      <c r="EE554" s="519"/>
      <c r="EF554" s="550"/>
      <c r="EG554" s="537"/>
      <c r="EH554" s="521"/>
      <c r="EI554" s="521"/>
      <c r="EJ554" s="521"/>
      <c r="EK554" s="521"/>
      <c r="EL554" s="521"/>
      <c r="EM554" s="521"/>
      <c r="EN554" s="521"/>
      <c r="EO554" s="521"/>
      <c r="EP554" s="521"/>
      <c r="EQ554" s="521"/>
      <c r="ER554" s="521"/>
      <c r="ES554" s="521"/>
      <c r="ET554" s="521"/>
      <c r="EU554" s="521"/>
      <c r="EV554" s="521"/>
      <c r="EW554" s="521"/>
      <c r="EX554" s="521"/>
      <c r="EY554" s="518"/>
      <c r="EZ554" s="523"/>
      <c r="FA554" s="523"/>
      <c r="FB554" s="524"/>
      <c r="FC554" s="524"/>
      <c r="FD554" s="518"/>
      <c r="FE554" s="518"/>
      <c r="FF554" s="518"/>
      <c r="FG554" s="518"/>
      <c r="FH554" s="518"/>
      <c r="FI554" s="518"/>
      <c r="FJ554" s="518"/>
      <c r="FK554" s="518"/>
      <c r="FL554" s="518"/>
      <c r="FM554" s="519"/>
    </row>
    <row r="555" spans="1:169" x14ac:dyDescent="0.25">
      <c r="A555" s="284"/>
      <c r="B555" s="317"/>
      <c r="C555" s="297"/>
      <c r="D555" s="298"/>
      <c r="E555" s="299"/>
      <c r="F555" s="340"/>
      <c r="G555" s="298"/>
      <c r="H555" s="299"/>
      <c r="I555" s="300"/>
      <c r="J555" s="370"/>
      <c r="K555" s="328"/>
      <c r="L555" s="300"/>
      <c r="M555" s="328"/>
      <c r="N555" s="331"/>
      <c r="O555" s="301"/>
      <c r="P555" s="301"/>
      <c r="Q555" s="328"/>
      <c r="R555" s="620"/>
      <c r="S555" s="512"/>
      <c r="T555" s="512"/>
      <c r="U555" s="513"/>
      <c r="V555" s="514"/>
      <c r="W555" s="512"/>
      <c r="X555" s="513"/>
      <c r="Y555" s="514"/>
      <c r="Z555" s="513"/>
      <c r="AA555" s="515"/>
      <c r="AB555" s="516"/>
      <c r="AC555" s="513"/>
      <c r="AD555" s="544"/>
      <c r="AE555" s="516"/>
      <c r="AF555" s="513"/>
      <c r="AG555" s="551"/>
      <c r="AH555" s="595"/>
      <c r="AI555" s="517"/>
      <c r="AJ555" s="518"/>
      <c r="AK555" s="518"/>
      <c r="AL555" s="518"/>
      <c r="AM555" s="519"/>
      <c r="AN555" s="517"/>
      <c r="AO555" s="520"/>
      <c r="AP555" s="525"/>
      <c r="AQ555" s="531"/>
      <c r="AR555" s="593"/>
      <c r="AS555" s="518"/>
      <c r="AT555" s="518"/>
      <c r="AU555" s="518"/>
      <c r="AV555" s="519"/>
      <c r="AW555" s="560"/>
      <c r="AX555" s="522"/>
      <c r="AY555" s="522"/>
      <c r="AZ555" s="522"/>
      <c r="BA555" s="522"/>
      <c r="BB555" s="522"/>
      <c r="BC555" s="518"/>
      <c r="BD555" s="518"/>
      <c r="BE555" s="518"/>
      <c r="BF555" s="518"/>
      <c r="BG555" s="518"/>
      <c r="BH555" s="519"/>
      <c r="BI555" s="527"/>
      <c r="BJ555" s="518"/>
      <c r="BK555" s="518"/>
      <c r="BL555" s="520"/>
      <c r="BM555" s="520"/>
      <c r="BN555" s="519"/>
      <c r="BO555" s="517"/>
      <c r="BP555" s="520"/>
      <c r="BQ555" s="520"/>
      <c r="BR555" s="519"/>
      <c r="BS555" s="548"/>
      <c r="BT555" s="537"/>
      <c r="BU555" s="521"/>
      <c r="BV555" s="521"/>
      <c r="BW555" s="521"/>
      <c r="BX555" s="521"/>
      <c r="BY555" s="521"/>
      <c r="BZ555" s="521"/>
      <c r="CA555" s="521"/>
      <c r="CB555" s="521"/>
      <c r="CC555" s="521"/>
      <c r="CD555" s="521"/>
      <c r="CE555" s="521"/>
      <c r="CF555" s="521"/>
      <c r="CG555" s="521"/>
      <c r="CH555" s="521"/>
      <c r="CI555" s="521"/>
      <c r="CJ555" s="521"/>
      <c r="CK555" s="521"/>
      <c r="CL555" s="518"/>
      <c r="CM555" s="523"/>
      <c r="CN555" s="523"/>
      <c r="CO555" s="524"/>
      <c r="CP555" s="524"/>
      <c r="CQ555" s="518"/>
      <c r="CR555" s="518"/>
      <c r="CS555" s="518"/>
      <c r="CT555" s="518"/>
      <c r="CU555" s="518"/>
      <c r="CV555" s="518"/>
      <c r="CW555" s="518"/>
      <c r="CX555" s="518"/>
      <c r="CY555" s="518"/>
      <c r="CZ555" s="519"/>
      <c r="DA555" s="527"/>
      <c r="DB555" s="520"/>
      <c r="DC555" s="525"/>
      <c r="DD555" s="531"/>
      <c r="DE555" s="593"/>
      <c r="DF555" s="518"/>
      <c r="DG555" s="518"/>
      <c r="DH555" s="518"/>
      <c r="DI555" s="519"/>
      <c r="DJ555" s="560"/>
      <c r="DK555" s="522"/>
      <c r="DL555" s="522"/>
      <c r="DM555" s="522"/>
      <c r="DN555" s="522"/>
      <c r="DO555" s="522"/>
      <c r="DP555" s="518"/>
      <c r="DQ555" s="518"/>
      <c r="DR555" s="518"/>
      <c r="DS555" s="518"/>
      <c r="DT555" s="518"/>
      <c r="DU555" s="519"/>
      <c r="DV555" s="527"/>
      <c r="DW555" s="518"/>
      <c r="DX555" s="518"/>
      <c r="DY555" s="520"/>
      <c r="DZ555" s="520"/>
      <c r="EA555" s="519"/>
      <c r="EB555" s="527"/>
      <c r="EC555" s="520"/>
      <c r="ED555" s="520"/>
      <c r="EE555" s="519"/>
      <c r="EF555" s="550"/>
      <c r="EG555" s="537"/>
      <c r="EH555" s="521"/>
      <c r="EI555" s="521"/>
      <c r="EJ555" s="521"/>
      <c r="EK555" s="521"/>
      <c r="EL555" s="521"/>
      <c r="EM555" s="521"/>
      <c r="EN555" s="521"/>
      <c r="EO555" s="521"/>
      <c r="EP555" s="521"/>
      <c r="EQ555" s="521"/>
      <c r="ER555" s="521"/>
      <c r="ES555" s="521"/>
      <c r="ET555" s="521"/>
      <c r="EU555" s="521"/>
      <c r="EV555" s="521"/>
      <c r="EW555" s="521"/>
      <c r="EX555" s="521"/>
      <c r="EY555" s="518"/>
      <c r="EZ555" s="523"/>
      <c r="FA555" s="523"/>
      <c r="FB555" s="524"/>
      <c r="FC555" s="524"/>
      <c r="FD555" s="518"/>
      <c r="FE555" s="518"/>
      <c r="FF555" s="518"/>
      <c r="FG555" s="518"/>
      <c r="FH555" s="518"/>
      <c r="FI555" s="518"/>
      <c r="FJ555" s="518"/>
      <c r="FK555" s="518"/>
      <c r="FL555" s="518"/>
      <c r="FM555" s="519"/>
    </row>
    <row r="556" spans="1:169" x14ac:dyDescent="0.25">
      <c r="A556" s="284"/>
      <c r="B556" s="317"/>
      <c r="C556" s="297"/>
      <c r="D556" s="298"/>
      <c r="E556" s="299"/>
      <c r="F556" s="340"/>
      <c r="G556" s="298"/>
      <c r="H556" s="299"/>
      <c r="I556" s="300"/>
      <c r="J556" s="370"/>
      <c r="K556" s="328"/>
      <c r="L556" s="300"/>
      <c r="M556" s="328"/>
      <c r="N556" s="331"/>
      <c r="O556" s="301"/>
      <c r="P556" s="301"/>
      <c r="Q556" s="328"/>
      <c r="R556" s="620"/>
      <c r="S556" s="512"/>
      <c r="T556" s="512"/>
      <c r="U556" s="513"/>
      <c r="V556" s="514"/>
      <c r="W556" s="512"/>
      <c r="X556" s="513"/>
      <c r="Y556" s="514"/>
      <c r="Z556" s="513"/>
      <c r="AA556" s="515"/>
      <c r="AB556" s="516"/>
      <c r="AC556" s="513"/>
      <c r="AD556" s="544"/>
      <c r="AE556" s="516"/>
      <c r="AF556" s="513"/>
      <c r="AG556" s="551"/>
      <c r="AH556" s="595"/>
      <c r="AI556" s="517"/>
      <c r="AJ556" s="518"/>
      <c r="AK556" s="518"/>
      <c r="AL556" s="518"/>
      <c r="AM556" s="519"/>
      <c r="AN556" s="517"/>
      <c r="AO556" s="520"/>
      <c r="AP556" s="525"/>
      <c r="AQ556" s="531"/>
      <c r="AR556" s="593"/>
      <c r="AS556" s="518"/>
      <c r="AT556" s="518"/>
      <c r="AU556" s="518"/>
      <c r="AV556" s="519"/>
      <c r="AW556" s="560"/>
      <c r="AX556" s="522"/>
      <c r="AY556" s="522"/>
      <c r="AZ556" s="522"/>
      <c r="BA556" s="522"/>
      <c r="BB556" s="522"/>
      <c r="BC556" s="518"/>
      <c r="BD556" s="518"/>
      <c r="BE556" s="518"/>
      <c r="BF556" s="518"/>
      <c r="BG556" s="518"/>
      <c r="BH556" s="519"/>
      <c r="BI556" s="527"/>
      <c r="BJ556" s="518"/>
      <c r="BK556" s="518"/>
      <c r="BL556" s="520"/>
      <c r="BM556" s="520"/>
      <c r="BN556" s="519"/>
      <c r="BO556" s="517"/>
      <c r="BP556" s="520"/>
      <c r="BQ556" s="520"/>
      <c r="BR556" s="519"/>
      <c r="BS556" s="548"/>
      <c r="BT556" s="537"/>
      <c r="BU556" s="521"/>
      <c r="BV556" s="521"/>
      <c r="BW556" s="521"/>
      <c r="BX556" s="521"/>
      <c r="BY556" s="521"/>
      <c r="BZ556" s="521"/>
      <c r="CA556" s="521"/>
      <c r="CB556" s="521"/>
      <c r="CC556" s="521"/>
      <c r="CD556" s="521"/>
      <c r="CE556" s="521"/>
      <c r="CF556" s="521"/>
      <c r="CG556" s="521"/>
      <c r="CH556" s="521"/>
      <c r="CI556" s="521"/>
      <c r="CJ556" s="521"/>
      <c r="CK556" s="521"/>
      <c r="CL556" s="518"/>
      <c r="CM556" s="523"/>
      <c r="CN556" s="523"/>
      <c r="CO556" s="524"/>
      <c r="CP556" s="524"/>
      <c r="CQ556" s="518"/>
      <c r="CR556" s="518"/>
      <c r="CS556" s="518"/>
      <c r="CT556" s="518"/>
      <c r="CU556" s="518"/>
      <c r="CV556" s="518"/>
      <c r="CW556" s="518"/>
      <c r="CX556" s="518"/>
      <c r="CY556" s="518"/>
      <c r="CZ556" s="519"/>
      <c r="DA556" s="527"/>
      <c r="DB556" s="520"/>
      <c r="DC556" s="525"/>
      <c r="DD556" s="531"/>
      <c r="DE556" s="593"/>
      <c r="DF556" s="518"/>
      <c r="DG556" s="518"/>
      <c r="DH556" s="518"/>
      <c r="DI556" s="519"/>
      <c r="DJ556" s="560"/>
      <c r="DK556" s="522"/>
      <c r="DL556" s="522"/>
      <c r="DM556" s="522"/>
      <c r="DN556" s="522"/>
      <c r="DO556" s="522"/>
      <c r="DP556" s="518"/>
      <c r="DQ556" s="518"/>
      <c r="DR556" s="518"/>
      <c r="DS556" s="518"/>
      <c r="DT556" s="518"/>
      <c r="DU556" s="519"/>
      <c r="DV556" s="527"/>
      <c r="DW556" s="518"/>
      <c r="DX556" s="518"/>
      <c r="DY556" s="520"/>
      <c r="DZ556" s="520"/>
      <c r="EA556" s="519"/>
      <c r="EB556" s="527"/>
      <c r="EC556" s="520"/>
      <c r="ED556" s="520"/>
      <c r="EE556" s="519"/>
      <c r="EF556" s="550"/>
      <c r="EG556" s="537"/>
      <c r="EH556" s="521"/>
      <c r="EI556" s="521"/>
      <c r="EJ556" s="521"/>
      <c r="EK556" s="521"/>
      <c r="EL556" s="521"/>
      <c r="EM556" s="521"/>
      <c r="EN556" s="521"/>
      <c r="EO556" s="521"/>
      <c r="EP556" s="521"/>
      <c r="EQ556" s="521"/>
      <c r="ER556" s="521"/>
      <c r="ES556" s="521"/>
      <c r="ET556" s="521"/>
      <c r="EU556" s="521"/>
      <c r="EV556" s="521"/>
      <c r="EW556" s="521"/>
      <c r="EX556" s="521"/>
      <c r="EY556" s="518"/>
      <c r="EZ556" s="523"/>
      <c r="FA556" s="523"/>
      <c r="FB556" s="524"/>
      <c r="FC556" s="524"/>
      <c r="FD556" s="518"/>
      <c r="FE556" s="518"/>
      <c r="FF556" s="518"/>
      <c r="FG556" s="518"/>
      <c r="FH556" s="518"/>
      <c r="FI556" s="518"/>
      <c r="FJ556" s="518"/>
      <c r="FK556" s="518"/>
      <c r="FL556" s="518"/>
      <c r="FM556" s="519"/>
    </row>
    <row r="557" spans="1:169" x14ac:dyDescent="0.25">
      <c r="A557" s="284"/>
      <c r="B557" s="317"/>
      <c r="C557" s="297"/>
      <c r="D557" s="298"/>
      <c r="E557" s="299"/>
      <c r="F557" s="340"/>
      <c r="G557" s="298"/>
      <c r="H557" s="299"/>
      <c r="I557" s="300"/>
      <c r="J557" s="370"/>
      <c r="K557" s="328"/>
      <c r="L557" s="300"/>
      <c r="M557" s="328"/>
      <c r="N557" s="331"/>
      <c r="O557" s="301"/>
      <c r="P557" s="301"/>
      <c r="Q557" s="328"/>
      <c r="R557" s="620"/>
      <c r="S557" s="512"/>
      <c r="T557" s="512"/>
      <c r="U557" s="513"/>
      <c r="V557" s="514"/>
      <c r="W557" s="512"/>
      <c r="X557" s="513"/>
      <c r="Y557" s="514"/>
      <c r="Z557" s="513"/>
      <c r="AA557" s="515"/>
      <c r="AB557" s="516"/>
      <c r="AC557" s="513"/>
      <c r="AD557" s="544"/>
      <c r="AE557" s="516"/>
      <c r="AF557" s="513"/>
      <c r="AG557" s="551"/>
      <c r="AH557" s="595"/>
      <c r="AI557" s="517"/>
      <c r="AJ557" s="518"/>
      <c r="AK557" s="518"/>
      <c r="AL557" s="518"/>
      <c r="AM557" s="519"/>
      <c r="AN557" s="517"/>
      <c r="AO557" s="520"/>
      <c r="AP557" s="525"/>
      <c r="AQ557" s="531"/>
      <c r="AR557" s="593"/>
      <c r="AS557" s="518"/>
      <c r="AT557" s="518"/>
      <c r="AU557" s="518"/>
      <c r="AV557" s="519"/>
      <c r="AW557" s="560"/>
      <c r="AX557" s="522"/>
      <c r="AY557" s="522"/>
      <c r="AZ557" s="522"/>
      <c r="BA557" s="522"/>
      <c r="BB557" s="522"/>
      <c r="BC557" s="518"/>
      <c r="BD557" s="518"/>
      <c r="BE557" s="518"/>
      <c r="BF557" s="518"/>
      <c r="BG557" s="518"/>
      <c r="BH557" s="519"/>
      <c r="BI557" s="527"/>
      <c r="BJ557" s="518"/>
      <c r="BK557" s="518"/>
      <c r="BL557" s="520"/>
      <c r="BM557" s="520"/>
      <c r="BN557" s="519"/>
      <c r="BO557" s="517"/>
      <c r="BP557" s="520"/>
      <c r="BQ557" s="520"/>
      <c r="BR557" s="519"/>
      <c r="BS557" s="548"/>
      <c r="BT557" s="537"/>
      <c r="BU557" s="521"/>
      <c r="BV557" s="521"/>
      <c r="BW557" s="521"/>
      <c r="BX557" s="521"/>
      <c r="BY557" s="521"/>
      <c r="BZ557" s="521"/>
      <c r="CA557" s="521"/>
      <c r="CB557" s="521"/>
      <c r="CC557" s="521"/>
      <c r="CD557" s="521"/>
      <c r="CE557" s="521"/>
      <c r="CF557" s="521"/>
      <c r="CG557" s="521"/>
      <c r="CH557" s="521"/>
      <c r="CI557" s="521"/>
      <c r="CJ557" s="521"/>
      <c r="CK557" s="521"/>
      <c r="CL557" s="518"/>
      <c r="CM557" s="523"/>
      <c r="CN557" s="523"/>
      <c r="CO557" s="524"/>
      <c r="CP557" s="524"/>
      <c r="CQ557" s="518"/>
      <c r="CR557" s="518"/>
      <c r="CS557" s="518"/>
      <c r="CT557" s="518"/>
      <c r="CU557" s="518"/>
      <c r="CV557" s="518"/>
      <c r="CW557" s="518"/>
      <c r="CX557" s="518"/>
      <c r="CY557" s="518"/>
      <c r="CZ557" s="519"/>
      <c r="DA557" s="527"/>
      <c r="DB557" s="520"/>
      <c r="DC557" s="525"/>
      <c r="DD557" s="531"/>
      <c r="DE557" s="593"/>
      <c r="DF557" s="518"/>
      <c r="DG557" s="518"/>
      <c r="DH557" s="518"/>
      <c r="DI557" s="519"/>
      <c r="DJ557" s="560"/>
      <c r="DK557" s="522"/>
      <c r="DL557" s="522"/>
      <c r="DM557" s="522"/>
      <c r="DN557" s="522"/>
      <c r="DO557" s="522"/>
      <c r="DP557" s="518"/>
      <c r="DQ557" s="518"/>
      <c r="DR557" s="518"/>
      <c r="DS557" s="518"/>
      <c r="DT557" s="518"/>
      <c r="DU557" s="519"/>
      <c r="DV557" s="527"/>
      <c r="DW557" s="518"/>
      <c r="DX557" s="518"/>
      <c r="DY557" s="520"/>
      <c r="DZ557" s="520"/>
      <c r="EA557" s="519"/>
      <c r="EB557" s="527"/>
      <c r="EC557" s="520"/>
      <c r="ED557" s="520"/>
      <c r="EE557" s="519"/>
      <c r="EF557" s="550"/>
      <c r="EG557" s="537"/>
      <c r="EH557" s="521"/>
      <c r="EI557" s="521"/>
      <c r="EJ557" s="521"/>
      <c r="EK557" s="521"/>
      <c r="EL557" s="521"/>
      <c r="EM557" s="521"/>
      <c r="EN557" s="521"/>
      <c r="EO557" s="521"/>
      <c r="EP557" s="521"/>
      <c r="EQ557" s="521"/>
      <c r="ER557" s="521"/>
      <c r="ES557" s="521"/>
      <c r="ET557" s="521"/>
      <c r="EU557" s="521"/>
      <c r="EV557" s="521"/>
      <c r="EW557" s="521"/>
      <c r="EX557" s="521"/>
      <c r="EY557" s="518"/>
      <c r="EZ557" s="523"/>
      <c r="FA557" s="523"/>
      <c r="FB557" s="524"/>
      <c r="FC557" s="524"/>
      <c r="FD557" s="518"/>
      <c r="FE557" s="518"/>
      <c r="FF557" s="518"/>
      <c r="FG557" s="518"/>
      <c r="FH557" s="518"/>
      <c r="FI557" s="518"/>
      <c r="FJ557" s="518"/>
      <c r="FK557" s="518"/>
      <c r="FL557" s="518"/>
      <c r="FM557" s="519"/>
    </row>
    <row r="558" spans="1:169" x14ac:dyDescent="0.25">
      <c r="A558" s="284"/>
      <c r="B558" s="317"/>
      <c r="C558" s="297"/>
      <c r="D558" s="298"/>
      <c r="E558" s="299"/>
      <c r="F558" s="340"/>
      <c r="G558" s="298"/>
      <c r="H558" s="299"/>
      <c r="I558" s="300"/>
      <c r="J558" s="370"/>
      <c r="K558" s="328"/>
      <c r="L558" s="300"/>
      <c r="M558" s="328"/>
      <c r="N558" s="331"/>
      <c r="O558" s="301"/>
      <c r="P558" s="301"/>
      <c r="Q558" s="328"/>
      <c r="R558" s="620"/>
      <c r="S558" s="512"/>
      <c r="T558" s="512"/>
      <c r="U558" s="513"/>
      <c r="V558" s="514"/>
      <c r="W558" s="512"/>
      <c r="X558" s="513"/>
      <c r="Y558" s="514"/>
      <c r="Z558" s="513"/>
      <c r="AA558" s="515"/>
      <c r="AB558" s="516"/>
      <c r="AC558" s="513"/>
      <c r="AD558" s="544"/>
      <c r="AE558" s="516"/>
      <c r="AF558" s="513"/>
      <c r="AG558" s="551"/>
      <c r="AH558" s="595"/>
      <c r="AI558" s="517"/>
      <c r="AJ558" s="518"/>
      <c r="AK558" s="518"/>
      <c r="AL558" s="518"/>
      <c r="AM558" s="519"/>
      <c r="AN558" s="517"/>
      <c r="AO558" s="520"/>
      <c r="AP558" s="525"/>
      <c r="AQ558" s="531"/>
      <c r="AR558" s="593"/>
      <c r="AS558" s="518"/>
      <c r="AT558" s="518"/>
      <c r="AU558" s="518"/>
      <c r="AV558" s="519"/>
      <c r="AW558" s="560"/>
      <c r="AX558" s="522"/>
      <c r="AY558" s="522"/>
      <c r="AZ558" s="522"/>
      <c r="BA558" s="522"/>
      <c r="BB558" s="522"/>
      <c r="BC558" s="518"/>
      <c r="BD558" s="518"/>
      <c r="BE558" s="518"/>
      <c r="BF558" s="518"/>
      <c r="BG558" s="518"/>
      <c r="BH558" s="519"/>
      <c r="BI558" s="527"/>
      <c r="BJ558" s="518"/>
      <c r="BK558" s="518"/>
      <c r="BL558" s="520"/>
      <c r="BM558" s="520"/>
      <c r="BN558" s="519"/>
      <c r="BO558" s="517"/>
      <c r="BP558" s="520"/>
      <c r="BQ558" s="520"/>
      <c r="BR558" s="519"/>
      <c r="BS558" s="548"/>
      <c r="BT558" s="537"/>
      <c r="BU558" s="521"/>
      <c r="BV558" s="521"/>
      <c r="BW558" s="521"/>
      <c r="BX558" s="521"/>
      <c r="BY558" s="521"/>
      <c r="BZ558" s="521"/>
      <c r="CA558" s="521"/>
      <c r="CB558" s="521"/>
      <c r="CC558" s="521"/>
      <c r="CD558" s="521"/>
      <c r="CE558" s="521"/>
      <c r="CF558" s="521"/>
      <c r="CG558" s="521"/>
      <c r="CH558" s="521"/>
      <c r="CI558" s="521"/>
      <c r="CJ558" s="521"/>
      <c r="CK558" s="521"/>
      <c r="CL558" s="518"/>
      <c r="CM558" s="523"/>
      <c r="CN558" s="523"/>
      <c r="CO558" s="524"/>
      <c r="CP558" s="524"/>
      <c r="CQ558" s="518"/>
      <c r="CR558" s="518"/>
      <c r="CS558" s="518"/>
      <c r="CT558" s="518"/>
      <c r="CU558" s="518"/>
      <c r="CV558" s="518"/>
      <c r="CW558" s="518"/>
      <c r="CX558" s="518"/>
      <c r="CY558" s="518"/>
      <c r="CZ558" s="519"/>
      <c r="DA558" s="527"/>
      <c r="DB558" s="520"/>
      <c r="DC558" s="525"/>
      <c r="DD558" s="531"/>
      <c r="DE558" s="593"/>
      <c r="DF558" s="518"/>
      <c r="DG558" s="518"/>
      <c r="DH558" s="518"/>
      <c r="DI558" s="519"/>
      <c r="DJ558" s="560"/>
      <c r="DK558" s="522"/>
      <c r="DL558" s="522"/>
      <c r="DM558" s="522"/>
      <c r="DN558" s="522"/>
      <c r="DO558" s="522"/>
      <c r="DP558" s="518"/>
      <c r="DQ558" s="518"/>
      <c r="DR558" s="518"/>
      <c r="DS558" s="518"/>
      <c r="DT558" s="518"/>
      <c r="DU558" s="519"/>
      <c r="DV558" s="527"/>
      <c r="DW558" s="518"/>
      <c r="DX558" s="518"/>
      <c r="DY558" s="520"/>
      <c r="DZ558" s="520"/>
      <c r="EA558" s="519"/>
      <c r="EB558" s="527"/>
      <c r="EC558" s="520"/>
      <c r="ED558" s="520"/>
      <c r="EE558" s="519"/>
      <c r="EF558" s="550"/>
      <c r="EG558" s="537"/>
      <c r="EH558" s="521"/>
      <c r="EI558" s="521"/>
      <c r="EJ558" s="521"/>
      <c r="EK558" s="521"/>
      <c r="EL558" s="521"/>
      <c r="EM558" s="521"/>
      <c r="EN558" s="521"/>
      <c r="EO558" s="521"/>
      <c r="EP558" s="521"/>
      <c r="EQ558" s="521"/>
      <c r="ER558" s="521"/>
      <c r="ES558" s="521"/>
      <c r="ET558" s="521"/>
      <c r="EU558" s="521"/>
      <c r="EV558" s="521"/>
      <c r="EW558" s="521"/>
      <c r="EX558" s="521"/>
      <c r="EY558" s="518"/>
      <c r="EZ558" s="523"/>
      <c r="FA558" s="523"/>
      <c r="FB558" s="524"/>
      <c r="FC558" s="524"/>
      <c r="FD558" s="518"/>
      <c r="FE558" s="518"/>
      <c r="FF558" s="518"/>
      <c r="FG558" s="518"/>
      <c r="FH558" s="518"/>
      <c r="FI558" s="518"/>
      <c r="FJ558" s="518"/>
      <c r="FK558" s="518"/>
      <c r="FL558" s="518"/>
      <c r="FM558" s="519"/>
    </row>
    <row r="559" spans="1:169" x14ac:dyDescent="0.25">
      <c r="A559" s="284"/>
      <c r="B559" s="317"/>
      <c r="C559" s="297"/>
      <c r="D559" s="298"/>
      <c r="E559" s="299"/>
      <c r="F559" s="340"/>
      <c r="G559" s="298"/>
      <c r="H559" s="299"/>
      <c r="I559" s="300"/>
      <c r="J559" s="370"/>
      <c r="K559" s="328"/>
      <c r="L559" s="300"/>
      <c r="M559" s="328"/>
      <c r="N559" s="331"/>
      <c r="O559" s="301"/>
      <c r="P559" s="301"/>
      <c r="Q559" s="328"/>
      <c r="R559" s="620"/>
      <c r="S559" s="512"/>
      <c r="T559" s="512"/>
      <c r="U559" s="513"/>
      <c r="V559" s="514"/>
      <c r="W559" s="512"/>
      <c r="X559" s="513"/>
      <c r="Y559" s="514"/>
      <c r="Z559" s="513"/>
      <c r="AA559" s="515"/>
      <c r="AB559" s="516"/>
      <c r="AC559" s="513"/>
      <c r="AD559" s="544"/>
      <c r="AE559" s="516"/>
      <c r="AF559" s="513"/>
      <c r="AG559" s="551"/>
      <c r="AH559" s="595"/>
      <c r="AI559" s="517"/>
      <c r="AJ559" s="518"/>
      <c r="AK559" s="518"/>
      <c r="AL559" s="518"/>
      <c r="AM559" s="519"/>
      <c r="AN559" s="517"/>
      <c r="AO559" s="520"/>
      <c r="AP559" s="525"/>
      <c r="AQ559" s="531"/>
      <c r="AR559" s="593"/>
      <c r="AS559" s="518"/>
      <c r="AT559" s="518"/>
      <c r="AU559" s="518"/>
      <c r="AV559" s="519"/>
      <c r="AW559" s="560"/>
      <c r="AX559" s="522"/>
      <c r="AY559" s="522"/>
      <c r="AZ559" s="522"/>
      <c r="BA559" s="522"/>
      <c r="BB559" s="522"/>
      <c r="BC559" s="518"/>
      <c r="BD559" s="518"/>
      <c r="BE559" s="518"/>
      <c r="BF559" s="518"/>
      <c r="BG559" s="518"/>
      <c r="BH559" s="519"/>
      <c r="BI559" s="527"/>
      <c r="BJ559" s="518"/>
      <c r="BK559" s="518"/>
      <c r="BL559" s="520"/>
      <c r="BM559" s="520"/>
      <c r="BN559" s="519"/>
      <c r="BO559" s="517"/>
      <c r="BP559" s="520"/>
      <c r="BQ559" s="520"/>
      <c r="BR559" s="519"/>
      <c r="BS559" s="548"/>
      <c r="BT559" s="537"/>
      <c r="BU559" s="521"/>
      <c r="BV559" s="521"/>
      <c r="BW559" s="521"/>
      <c r="BX559" s="521"/>
      <c r="BY559" s="521"/>
      <c r="BZ559" s="521"/>
      <c r="CA559" s="521"/>
      <c r="CB559" s="521"/>
      <c r="CC559" s="521"/>
      <c r="CD559" s="521"/>
      <c r="CE559" s="521"/>
      <c r="CF559" s="521"/>
      <c r="CG559" s="521"/>
      <c r="CH559" s="521"/>
      <c r="CI559" s="521"/>
      <c r="CJ559" s="521"/>
      <c r="CK559" s="521"/>
      <c r="CL559" s="518"/>
      <c r="CM559" s="523"/>
      <c r="CN559" s="523"/>
      <c r="CO559" s="524"/>
      <c r="CP559" s="524"/>
      <c r="CQ559" s="518"/>
      <c r="CR559" s="518"/>
      <c r="CS559" s="518"/>
      <c r="CT559" s="518"/>
      <c r="CU559" s="518"/>
      <c r="CV559" s="518"/>
      <c r="CW559" s="518"/>
      <c r="CX559" s="518"/>
      <c r="CY559" s="518"/>
      <c r="CZ559" s="519"/>
      <c r="DA559" s="527"/>
      <c r="DB559" s="520"/>
      <c r="DC559" s="525"/>
      <c r="DD559" s="531"/>
      <c r="DE559" s="593"/>
      <c r="DF559" s="518"/>
      <c r="DG559" s="518"/>
      <c r="DH559" s="518"/>
      <c r="DI559" s="519"/>
      <c r="DJ559" s="560"/>
      <c r="DK559" s="522"/>
      <c r="DL559" s="522"/>
      <c r="DM559" s="522"/>
      <c r="DN559" s="522"/>
      <c r="DO559" s="522"/>
      <c r="DP559" s="518"/>
      <c r="DQ559" s="518"/>
      <c r="DR559" s="518"/>
      <c r="DS559" s="518"/>
      <c r="DT559" s="518"/>
      <c r="DU559" s="519"/>
      <c r="DV559" s="527"/>
      <c r="DW559" s="518"/>
      <c r="DX559" s="518"/>
      <c r="DY559" s="520"/>
      <c r="DZ559" s="520"/>
      <c r="EA559" s="519"/>
      <c r="EB559" s="527"/>
      <c r="EC559" s="520"/>
      <c r="ED559" s="520"/>
      <c r="EE559" s="519"/>
      <c r="EF559" s="550"/>
      <c r="EG559" s="537"/>
      <c r="EH559" s="521"/>
      <c r="EI559" s="521"/>
      <c r="EJ559" s="521"/>
      <c r="EK559" s="521"/>
      <c r="EL559" s="521"/>
      <c r="EM559" s="521"/>
      <c r="EN559" s="521"/>
      <c r="EO559" s="521"/>
      <c r="EP559" s="521"/>
      <c r="EQ559" s="521"/>
      <c r="ER559" s="521"/>
      <c r="ES559" s="521"/>
      <c r="ET559" s="521"/>
      <c r="EU559" s="521"/>
      <c r="EV559" s="521"/>
      <c r="EW559" s="521"/>
      <c r="EX559" s="521"/>
      <c r="EY559" s="518"/>
      <c r="EZ559" s="523"/>
      <c r="FA559" s="523"/>
      <c r="FB559" s="524"/>
      <c r="FC559" s="524"/>
      <c r="FD559" s="518"/>
      <c r="FE559" s="518"/>
      <c r="FF559" s="518"/>
      <c r="FG559" s="518"/>
      <c r="FH559" s="518"/>
      <c r="FI559" s="518"/>
      <c r="FJ559" s="518"/>
      <c r="FK559" s="518"/>
      <c r="FL559" s="518"/>
      <c r="FM559" s="519"/>
    </row>
    <row r="560" spans="1:169" x14ac:dyDescent="0.25">
      <c r="A560" s="284"/>
      <c r="B560" s="317"/>
      <c r="C560" s="297"/>
      <c r="D560" s="298"/>
      <c r="E560" s="299"/>
      <c r="F560" s="340"/>
      <c r="G560" s="298"/>
      <c r="H560" s="299"/>
      <c r="I560" s="300"/>
      <c r="J560" s="370"/>
      <c r="K560" s="328"/>
      <c r="L560" s="300"/>
      <c r="M560" s="328"/>
      <c r="N560" s="331"/>
      <c r="O560" s="301"/>
      <c r="P560" s="301"/>
      <c r="Q560" s="328"/>
      <c r="R560" s="620"/>
      <c r="S560" s="512"/>
      <c r="T560" s="512"/>
      <c r="U560" s="513"/>
      <c r="V560" s="514"/>
      <c r="W560" s="512"/>
      <c r="X560" s="513"/>
      <c r="Y560" s="514"/>
      <c r="Z560" s="513"/>
      <c r="AA560" s="515"/>
      <c r="AB560" s="516"/>
      <c r="AC560" s="513"/>
      <c r="AD560" s="544"/>
      <c r="AE560" s="516"/>
      <c r="AF560" s="513"/>
      <c r="AG560" s="551"/>
      <c r="AH560" s="595"/>
      <c r="AI560" s="517"/>
      <c r="AJ560" s="518"/>
      <c r="AK560" s="518"/>
      <c r="AL560" s="518"/>
      <c r="AM560" s="519"/>
      <c r="AN560" s="517"/>
      <c r="AO560" s="520"/>
      <c r="AP560" s="525"/>
      <c r="AQ560" s="531"/>
      <c r="AR560" s="593"/>
      <c r="AS560" s="518"/>
      <c r="AT560" s="518"/>
      <c r="AU560" s="518"/>
      <c r="AV560" s="519"/>
      <c r="AW560" s="560"/>
      <c r="AX560" s="522"/>
      <c r="AY560" s="522"/>
      <c r="AZ560" s="522"/>
      <c r="BA560" s="522"/>
      <c r="BB560" s="522"/>
      <c r="BC560" s="518"/>
      <c r="BD560" s="518"/>
      <c r="BE560" s="518"/>
      <c r="BF560" s="518"/>
      <c r="BG560" s="518"/>
      <c r="BH560" s="519"/>
      <c r="BI560" s="527"/>
      <c r="BJ560" s="518"/>
      <c r="BK560" s="518"/>
      <c r="BL560" s="520"/>
      <c r="BM560" s="520"/>
      <c r="BN560" s="519"/>
      <c r="BO560" s="517"/>
      <c r="BP560" s="520"/>
      <c r="BQ560" s="520"/>
      <c r="BR560" s="519"/>
      <c r="BS560" s="548"/>
      <c r="BT560" s="537"/>
      <c r="BU560" s="521"/>
      <c r="BV560" s="521"/>
      <c r="BW560" s="521"/>
      <c r="BX560" s="521"/>
      <c r="BY560" s="521"/>
      <c r="BZ560" s="521"/>
      <c r="CA560" s="521"/>
      <c r="CB560" s="521"/>
      <c r="CC560" s="521"/>
      <c r="CD560" s="521"/>
      <c r="CE560" s="521"/>
      <c r="CF560" s="521"/>
      <c r="CG560" s="521"/>
      <c r="CH560" s="521"/>
      <c r="CI560" s="521"/>
      <c r="CJ560" s="521"/>
      <c r="CK560" s="521"/>
      <c r="CL560" s="518"/>
      <c r="CM560" s="523"/>
      <c r="CN560" s="523"/>
      <c r="CO560" s="524"/>
      <c r="CP560" s="524"/>
      <c r="CQ560" s="518"/>
      <c r="CR560" s="518"/>
      <c r="CS560" s="518"/>
      <c r="CT560" s="518"/>
      <c r="CU560" s="518"/>
      <c r="CV560" s="518"/>
      <c r="CW560" s="518"/>
      <c r="CX560" s="518"/>
      <c r="CY560" s="518"/>
      <c r="CZ560" s="519"/>
      <c r="DA560" s="527"/>
      <c r="DB560" s="520"/>
      <c r="DC560" s="525"/>
      <c r="DD560" s="531"/>
      <c r="DE560" s="593"/>
      <c r="DF560" s="518"/>
      <c r="DG560" s="518"/>
      <c r="DH560" s="518"/>
      <c r="DI560" s="519"/>
      <c r="DJ560" s="560"/>
      <c r="DK560" s="522"/>
      <c r="DL560" s="522"/>
      <c r="DM560" s="522"/>
      <c r="DN560" s="522"/>
      <c r="DO560" s="522"/>
      <c r="DP560" s="518"/>
      <c r="DQ560" s="518"/>
      <c r="DR560" s="518"/>
      <c r="DS560" s="518"/>
      <c r="DT560" s="518"/>
      <c r="DU560" s="519"/>
      <c r="DV560" s="527"/>
      <c r="DW560" s="518"/>
      <c r="DX560" s="518"/>
      <c r="DY560" s="520"/>
      <c r="DZ560" s="520"/>
      <c r="EA560" s="519"/>
      <c r="EB560" s="527"/>
      <c r="EC560" s="520"/>
      <c r="ED560" s="520"/>
      <c r="EE560" s="519"/>
      <c r="EF560" s="550"/>
      <c r="EG560" s="537"/>
      <c r="EH560" s="521"/>
      <c r="EI560" s="521"/>
      <c r="EJ560" s="521"/>
      <c r="EK560" s="521"/>
      <c r="EL560" s="521"/>
      <c r="EM560" s="521"/>
      <c r="EN560" s="521"/>
      <c r="EO560" s="521"/>
      <c r="EP560" s="521"/>
      <c r="EQ560" s="521"/>
      <c r="ER560" s="521"/>
      <c r="ES560" s="521"/>
      <c r="ET560" s="521"/>
      <c r="EU560" s="521"/>
      <c r="EV560" s="521"/>
      <c r="EW560" s="521"/>
      <c r="EX560" s="521"/>
      <c r="EY560" s="518"/>
      <c r="EZ560" s="523"/>
      <c r="FA560" s="523"/>
      <c r="FB560" s="524"/>
      <c r="FC560" s="524"/>
      <c r="FD560" s="518"/>
      <c r="FE560" s="518"/>
      <c r="FF560" s="518"/>
      <c r="FG560" s="518"/>
      <c r="FH560" s="518"/>
      <c r="FI560" s="518"/>
      <c r="FJ560" s="518"/>
      <c r="FK560" s="518"/>
      <c r="FL560" s="518"/>
      <c r="FM560" s="519"/>
    </row>
    <row r="561" spans="1:169" x14ac:dyDescent="0.25">
      <c r="A561" s="284"/>
      <c r="B561" s="317"/>
      <c r="C561" s="297"/>
      <c r="D561" s="298"/>
      <c r="E561" s="299"/>
      <c r="F561" s="340"/>
      <c r="G561" s="298"/>
      <c r="H561" s="299"/>
      <c r="I561" s="300"/>
      <c r="J561" s="370"/>
      <c r="K561" s="328"/>
      <c r="L561" s="300"/>
      <c r="M561" s="328"/>
      <c r="N561" s="331"/>
      <c r="O561" s="301"/>
      <c r="P561" s="301"/>
      <c r="Q561" s="328"/>
      <c r="R561" s="620"/>
      <c r="S561" s="512"/>
      <c r="T561" s="512"/>
      <c r="U561" s="513"/>
      <c r="V561" s="514"/>
      <c r="W561" s="512"/>
      <c r="X561" s="513"/>
      <c r="Y561" s="514"/>
      <c r="Z561" s="513"/>
      <c r="AA561" s="515"/>
      <c r="AB561" s="516"/>
      <c r="AC561" s="513"/>
      <c r="AD561" s="544"/>
      <c r="AE561" s="516"/>
      <c r="AF561" s="513"/>
      <c r="AG561" s="551"/>
      <c r="AH561" s="595"/>
      <c r="AI561" s="517"/>
      <c r="AJ561" s="518"/>
      <c r="AK561" s="518"/>
      <c r="AL561" s="518"/>
      <c r="AM561" s="519"/>
      <c r="AN561" s="517"/>
      <c r="AO561" s="520"/>
      <c r="AP561" s="525"/>
      <c r="AQ561" s="531"/>
      <c r="AR561" s="593"/>
      <c r="AS561" s="518"/>
      <c r="AT561" s="518"/>
      <c r="AU561" s="518"/>
      <c r="AV561" s="519"/>
      <c r="AW561" s="560"/>
      <c r="AX561" s="522"/>
      <c r="AY561" s="522"/>
      <c r="AZ561" s="522"/>
      <c r="BA561" s="522"/>
      <c r="BB561" s="522"/>
      <c r="BC561" s="518"/>
      <c r="BD561" s="518"/>
      <c r="BE561" s="518"/>
      <c r="BF561" s="518"/>
      <c r="BG561" s="518"/>
      <c r="BH561" s="519"/>
      <c r="BI561" s="527"/>
      <c r="BJ561" s="518"/>
      <c r="BK561" s="518"/>
      <c r="BL561" s="520"/>
      <c r="BM561" s="520"/>
      <c r="BN561" s="519"/>
      <c r="BO561" s="517"/>
      <c r="BP561" s="520"/>
      <c r="BQ561" s="520"/>
      <c r="BR561" s="519"/>
      <c r="BS561" s="548"/>
      <c r="BT561" s="537"/>
      <c r="BU561" s="521"/>
      <c r="BV561" s="521"/>
      <c r="BW561" s="521"/>
      <c r="BX561" s="521"/>
      <c r="BY561" s="521"/>
      <c r="BZ561" s="521"/>
      <c r="CA561" s="521"/>
      <c r="CB561" s="521"/>
      <c r="CC561" s="521"/>
      <c r="CD561" s="521"/>
      <c r="CE561" s="521"/>
      <c r="CF561" s="521"/>
      <c r="CG561" s="521"/>
      <c r="CH561" s="521"/>
      <c r="CI561" s="521"/>
      <c r="CJ561" s="521"/>
      <c r="CK561" s="521"/>
      <c r="CL561" s="518"/>
      <c r="CM561" s="523"/>
      <c r="CN561" s="523"/>
      <c r="CO561" s="524"/>
      <c r="CP561" s="524"/>
      <c r="CQ561" s="518"/>
      <c r="CR561" s="518"/>
      <c r="CS561" s="518"/>
      <c r="CT561" s="518"/>
      <c r="CU561" s="518"/>
      <c r="CV561" s="518"/>
      <c r="CW561" s="518"/>
      <c r="CX561" s="518"/>
      <c r="CY561" s="518"/>
      <c r="CZ561" s="519"/>
      <c r="DA561" s="527"/>
      <c r="DB561" s="520"/>
      <c r="DC561" s="525"/>
      <c r="DD561" s="531"/>
      <c r="DE561" s="593"/>
      <c r="DF561" s="518"/>
      <c r="DG561" s="518"/>
      <c r="DH561" s="518"/>
      <c r="DI561" s="519"/>
      <c r="DJ561" s="560"/>
      <c r="DK561" s="522"/>
      <c r="DL561" s="522"/>
      <c r="DM561" s="522"/>
      <c r="DN561" s="522"/>
      <c r="DO561" s="522"/>
      <c r="DP561" s="518"/>
      <c r="DQ561" s="518"/>
      <c r="DR561" s="518"/>
      <c r="DS561" s="518"/>
      <c r="DT561" s="518"/>
      <c r="DU561" s="519"/>
      <c r="DV561" s="527"/>
      <c r="DW561" s="518"/>
      <c r="DX561" s="518"/>
      <c r="DY561" s="520"/>
      <c r="DZ561" s="520"/>
      <c r="EA561" s="519"/>
      <c r="EB561" s="527"/>
      <c r="EC561" s="520"/>
      <c r="ED561" s="520"/>
      <c r="EE561" s="519"/>
      <c r="EF561" s="550"/>
      <c r="EG561" s="537"/>
      <c r="EH561" s="521"/>
      <c r="EI561" s="521"/>
      <c r="EJ561" s="521"/>
      <c r="EK561" s="521"/>
      <c r="EL561" s="521"/>
      <c r="EM561" s="521"/>
      <c r="EN561" s="521"/>
      <c r="EO561" s="521"/>
      <c r="EP561" s="521"/>
      <c r="EQ561" s="521"/>
      <c r="ER561" s="521"/>
      <c r="ES561" s="521"/>
      <c r="ET561" s="521"/>
      <c r="EU561" s="521"/>
      <c r="EV561" s="521"/>
      <c r="EW561" s="521"/>
      <c r="EX561" s="521"/>
      <c r="EY561" s="518"/>
      <c r="EZ561" s="523"/>
      <c r="FA561" s="523"/>
      <c r="FB561" s="524"/>
      <c r="FC561" s="524"/>
      <c r="FD561" s="518"/>
      <c r="FE561" s="518"/>
      <c r="FF561" s="518"/>
      <c r="FG561" s="518"/>
      <c r="FH561" s="518"/>
      <c r="FI561" s="518"/>
      <c r="FJ561" s="518"/>
      <c r="FK561" s="518"/>
      <c r="FL561" s="518"/>
      <c r="FM561" s="519"/>
    </row>
    <row r="562" spans="1:169" x14ac:dyDescent="0.25">
      <c r="A562" s="284"/>
      <c r="B562" s="317"/>
      <c r="C562" s="297"/>
      <c r="D562" s="298"/>
      <c r="E562" s="299"/>
      <c r="F562" s="340"/>
      <c r="G562" s="298"/>
      <c r="H562" s="299"/>
      <c r="I562" s="300"/>
      <c r="J562" s="370"/>
      <c r="K562" s="328"/>
      <c r="L562" s="300"/>
      <c r="M562" s="328"/>
      <c r="N562" s="331"/>
      <c r="O562" s="301"/>
      <c r="P562" s="301"/>
      <c r="Q562" s="328"/>
      <c r="R562" s="620"/>
      <c r="S562" s="512"/>
      <c r="T562" s="512"/>
      <c r="U562" s="513"/>
      <c r="V562" s="514"/>
      <c r="W562" s="512"/>
      <c r="X562" s="513"/>
      <c r="Y562" s="514"/>
      <c r="Z562" s="513"/>
      <c r="AA562" s="515"/>
      <c r="AB562" s="516"/>
      <c r="AC562" s="513"/>
      <c r="AD562" s="544"/>
      <c r="AE562" s="516"/>
      <c r="AF562" s="513"/>
      <c r="AG562" s="551"/>
      <c r="AH562" s="595"/>
      <c r="AI562" s="517"/>
      <c r="AJ562" s="518"/>
      <c r="AK562" s="518"/>
      <c r="AL562" s="518"/>
      <c r="AM562" s="519"/>
      <c r="AN562" s="517"/>
      <c r="AO562" s="520"/>
      <c r="AP562" s="525"/>
      <c r="AQ562" s="531"/>
      <c r="AR562" s="593"/>
      <c r="AS562" s="518"/>
      <c r="AT562" s="518"/>
      <c r="AU562" s="518"/>
      <c r="AV562" s="519"/>
      <c r="AW562" s="560"/>
      <c r="AX562" s="522"/>
      <c r="AY562" s="522"/>
      <c r="AZ562" s="522"/>
      <c r="BA562" s="522"/>
      <c r="BB562" s="522"/>
      <c r="BC562" s="518"/>
      <c r="BD562" s="518"/>
      <c r="BE562" s="518"/>
      <c r="BF562" s="518"/>
      <c r="BG562" s="518"/>
      <c r="BH562" s="519"/>
      <c r="BI562" s="527"/>
      <c r="BJ562" s="518"/>
      <c r="BK562" s="518"/>
      <c r="BL562" s="520"/>
      <c r="BM562" s="520"/>
      <c r="BN562" s="519"/>
      <c r="BO562" s="517"/>
      <c r="BP562" s="520"/>
      <c r="BQ562" s="520"/>
      <c r="BR562" s="519"/>
      <c r="BS562" s="548"/>
      <c r="BT562" s="537"/>
      <c r="BU562" s="521"/>
      <c r="BV562" s="521"/>
      <c r="BW562" s="521"/>
      <c r="BX562" s="521"/>
      <c r="BY562" s="521"/>
      <c r="BZ562" s="521"/>
      <c r="CA562" s="521"/>
      <c r="CB562" s="521"/>
      <c r="CC562" s="521"/>
      <c r="CD562" s="521"/>
      <c r="CE562" s="521"/>
      <c r="CF562" s="521"/>
      <c r="CG562" s="521"/>
      <c r="CH562" s="521"/>
      <c r="CI562" s="521"/>
      <c r="CJ562" s="521"/>
      <c r="CK562" s="521"/>
      <c r="CL562" s="518"/>
      <c r="CM562" s="523"/>
      <c r="CN562" s="523"/>
      <c r="CO562" s="524"/>
      <c r="CP562" s="524"/>
      <c r="CQ562" s="518"/>
      <c r="CR562" s="518"/>
      <c r="CS562" s="518"/>
      <c r="CT562" s="518"/>
      <c r="CU562" s="518"/>
      <c r="CV562" s="518"/>
      <c r="CW562" s="518"/>
      <c r="CX562" s="518"/>
      <c r="CY562" s="518"/>
      <c r="CZ562" s="519"/>
      <c r="DA562" s="527"/>
      <c r="DB562" s="520"/>
      <c r="DC562" s="525"/>
      <c r="DD562" s="531"/>
      <c r="DE562" s="593"/>
      <c r="DF562" s="518"/>
      <c r="DG562" s="518"/>
      <c r="DH562" s="518"/>
      <c r="DI562" s="519"/>
      <c r="DJ562" s="560"/>
      <c r="DK562" s="522"/>
      <c r="DL562" s="522"/>
      <c r="DM562" s="522"/>
      <c r="DN562" s="522"/>
      <c r="DO562" s="522"/>
      <c r="DP562" s="518"/>
      <c r="DQ562" s="518"/>
      <c r="DR562" s="518"/>
      <c r="DS562" s="518"/>
      <c r="DT562" s="518"/>
      <c r="DU562" s="519"/>
      <c r="DV562" s="527"/>
      <c r="DW562" s="518"/>
      <c r="DX562" s="518"/>
      <c r="DY562" s="520"/>
      <c r="DZ562" s="520"/>
      <c r="EA562" s="519"/>
      <c r="EB562" s="527"/>
      <c r="EC562" s="520"/>
      <c r="ED562" s="520"/>
      <c r="EE562" s="519"/>
      <c r="EF562" s="550"/>
      <c r="EG562" s="537"/>
      <c r="EH562" s="521"/>
      <c r="EI562" s="521"/>
      <c r="EJ562" s="521"/>
      <c r="EK562" s="521"/>
      <c r="EL562" s="521"/>
      <c r="EM562" s="521"/>
      <c r="EN562" s="521"/>
      <c r="EO562" s="521"/>
      <c r="EP562" s="521"/>
      <c r="EQ562" s="521"/>
      <c r="ER562" s="521"/>
      <c r="ES562" s="521"/>
      <c r="ET562" s="521"/>
      <c r="EU562" s="521"/>
      <c r="EV562" s="521"/>
      <c r="EW562" s="521"/>
      <c r="EX562" s="521"/>
      <c r="EY562" s="518"/>
      <c r="EZ562" s="523"/>
      <c r="FA562" s="523"/>
      <c r="FB562" s="524"/>
      <c r="FC562" s="524"/>
      <c r="FD562" s="518"/>
      <c r="FE562" s="518"/>
      <c r="FF562" s="518"/>
      <c r="FG562" s="518"/>
      <c r="FH562" s="518"/>
      <c r="FI562" s="518"/>
      <c r="FJ562" s="518"/>
      <c r="FK562" s="518"/>
      <c r="FL562" s="518"/>
      <c r="FM562" s="519"/>
    </row>
    <row r="563" spans="1:169" x14ac:dyDescent="0.25">
      <c r="A563" s="284"/>
      <c r="B563" s="317"/>
      <c r="C563" s="297"/>
      <c r="D563" s="298"/>
      <c r="E563" s="299"/>
      <c r="F563" s="340"/>
      <c r="G563" s="298"/>
      <c r="H563" s="299"/>
      <c r="I563" s="300"/>
      <c r="J563" s="370"/>
      <c r="K563" s="328"/>
      <c r="L563" s="300"/>
      <c r="M563" s="328"/>
      <c r="N563" s="331"/>
      <c r="O563" s="301"/>
      <c r="P563" s="301"/>
      <c r="Q563" s="328"/>
      <c r="R563" s="620"/>
      <c r="S563" s="512"/>
      <c r="T563" s="512"/>
      <c r="U563" s="513"/>
      <c r="V563" s="514"/>
      <c r="W563" s="512"/>
      <c r="X563" s="513"/>
      <c r="Y563" s="514"/>
      <c r="Z563" s="513"/>
      <c r="AA563" s="515"/>
      <c r="AB563" s="516"/>
      <c r="AC563" s="513"/>
      <c r="AD563" s="544"/>
      <c r="AE563" s="516"/>
      <c r="AF563" s="513"/>
      <c r="AG563" s="551"/>
      <c r="AH563" s="595"/>
      <c r="AI563" s="517"/>
      <c r="AJ563" s="518"/>
      <c r="AK563" s="518"/>
      <c r="AL563" s="518"/>
      <c r="AM563" s="519"/>
      <c r="AN563" s="517"/>
      <c r="AO563" s="520"/>
      <c r="AP563" s="525"/>
      <c r="AQ563" s="531"/>
      <c r="AR563" s="593"/>
      <c r="AS563" s="518"/>
      <c r="AT563" s="518"/>
      <c r="AU563" s="518"/>
      <c r="AV563" s="519"/>
      <c r="AW563" s="560"/>
      <c r="AX563" s="522"/>
      <c r="AY563" s="522"/>
      <c r="AZ563" s="522"/>
      <c r="BA563" s="522"/>
      <c r="BB563" s="522"/>
      <c r="BC563" s="518"/>
      <c r="BD563" s="518"/>
      <c r="BE563" s="518"/>
      <c r="BF563" s="518"/>
      <c r="BG563" s="518"/>
      <c r="BH563" s="519"/>
      <c r="BI563" s="527"/>
      <c r="BJ563" s="518"/>
      <c r="BK563" s="518"/>
      <c r="BL563" s="520"/>
      <c r="BM563" s="520"/>
      <c r="BN563" s="519"/>
      <c r="BO563" s="517"/>
      <c r="BP563" s="520"/>
      <c r="BQ563" s="520"/>
      <c r="BR563" s="519"/>
      <c r="BS563" s="548"/>
      <c r="BT563" s="537"/>
      <c r="BU563" s="521"/>
      <c r="BV563" s="521"/>
      <c r="BW563" s="521"/>
      <c r="BX563" s="521"/>
      <c r="BY563" s="521"/>
      <c r="BZ563" s="521"/>
      <c r="CA563" s="521"/>
      <c r="CB563" s="521"/>
      <c r="CC563" s="521"/>
      <c r="CD563" s="521"/>
      <c r="CE563" s="521"/>
      <c r="CF563" s="521"/>
      <c r="CG563" s="521"/>
      <c r="CH563" s="521"/>
      <c r="CI563" s="521"/>
      <c r="CJ563" s="521"/>
      <c r="CK563" s="521"/>
      <c r="CL563" s="518"/>
      <c r="CM563" s="523"/>
      <c r="CN563" s="523"/>
      <c r="CO563" s="524"/>
      <c r="CP563" s="524"/>
      <c r="CQ563" s="518"/>
      <c r="CR563" s="518"/>
      <c r="CS563" s="518"/>
      <c r="CT563" s="518"/>
      <c r="CU563" s="518"/>
      <c r="CV563" s="518"/>
      <c r="CW563" s="518"/>
      <c r="CX563" s="518"/>
      <c r="CY563" s="518"/>
      <c r="CZ563" s="519"/>
      <c r="DA563" s="527"/>
      <c r="DB563" s="520"/>
      <c r="DC563" s="525"/>
      <c r="DD563" s="531"/>
      <c r="DE563" s="593"/>
      <c r="DF563" s="518"/>
      <c r="DG563" s="518"/>
      <c r="DH563" s="518"/>
      <c r="DI563" s="519"/>
      <c r="DJ563" s="560"/>
      <c r="DK563" s="522"/>
      <c r="DL563" s="522"/>
      <c r="DM563" s="522"/>
      <c r="DN563" s="522"/>
      <c r="DO563" s="522"/>
      <c r="DP563" s="518"/>
      <c r="DQ563" s="518"/>
      <c r="DR563" s="518"/>
      <c r="DS563" s="518"/>
      <c r="DT563" s="518"/>
      <c r="DU563" s="519"/>
      <c r="DV563" s="527"/>
      <c r="DW563" s="518"/>
      <c r="DX563" s="518"/>
      <c r="DY563" s="520"/>
      <c r="DZ563" s="520"/>
      <c r="EA563" s="519"/>
      <c r="EB563" s="527"/>
      <c r="EC563" s="520"/>
      <c r="ED563" s="520"/>
      <c r="EE563" s="519"/>
      <c r="EF563" s="550"/>
      <c r="EG563" s="537"/>
      <c r="EH563" s="521"/>
      <c r="EI563" s="521"/>
      <c r="EJ563" s="521"/>
      <c r="EK563" s="521"/>
      <c r="EL563" s="521"/>
      <c r="EM563" s="521"/>
      <c r="EN563" s="521"/>
      <c r="EO563" s="521"/>
      <c r="EP563" s="521"/>
      <c r="EQ563" s="521"/>
      <c r="ER563" s="521"/>
      <c r="ES563" s="521"/>
      <c r="ET563" s="521"/>
      <c r="EU563" s="521"/>
      <c r="EV563" s="521"/>
      <c r="EW563" s="521"/>
      <c r="EX563" s="521"/>
      <c r="EY563" s="518"/>
      <c r="EZ563" s="523"/>
      <c r="FA563" s="523"/>
      <c r="FB563" s="524"/>
      <c r="FC563" s="524"/>
      <c r="FD563" s="518"/>
      <c r="FE563" s="518"/>
      <c r="FF563" s="518"/>
      <c r="FG563" s="518"/>
      <c r="FH563" s="518"/>
      <c r="FI563" s="518"/>
      <c r="FJ563" s="518"/>
      <c r="FK563" s="518"/>
      <c r="FL563" s="518"/>
      <c r="FM563" s="519"/>
    </row>
    <row r="564" spans="1:169" x14ac:dyDescent="0.25">
      <c r="A564" s="284"/>
      <c r="B564" s="317"/>
      <c r="C564" s="297"/>
      <c r="D564" s="298"/>
      <c r="E564" s="299"/>
      <c r="F564" s="340"/>
      <c r="G564" s="298"/>
      <c r="H564" s="299"/>
      <c r="I564" s="300"/>
      <c r="J564" s="370"/>
      <c r="K564" s="328"/>
      <c r="L564" s="300"/>
      <c r="M564" s="328"/>
      <c r="N564" s="331"/>
      <c r="O564" s="301"/>
      <c r="P564" s="301"/>
      <c r="Q564" s="328"/>
      <c r="R564" s="620"/>
      <c r="S564" s="512"/>
      <c r="T564" s="512"/>
      <c r="U564" s="513"/>
      <c r="V564" s="514"/>
      <c r="W564" s="512"/>
      <c r="X564" s="513"/>
      <c r="Y564" s="514"/>
      <c r="Z564" s="513"/>
      <c r="AA564" s="515"/>
      <c r="AB564" s="516"/>
      <c r="AC564" s="513"/>
      <c r="AD564" s="544"/>
      <c r="AE564" s="516"/>
      <c r="AF564" s="513"/>
      <c r="AG564" s="551"/>
      <c r="AH564" s="595"/>
      <c r="AI564" s="517"/>
      <c r="AJ564" s="518"/>
      <c r="AK564" s="518"/>
      <c r="AL564" s="518"/>
      <c r="AM564" s="519"/>
      <c r="AN564" s="517"/>
      <c r="AO564" s="520"/>
      <c r="AP564" s="525"/>
      <c r="AQ564" s="531"/>
      <c r="AR564" s="593"/>
      <c r="AS564" s="518"/>
      <c r="AT564" s="518"/>
      <c r="AU564" s="518"/>
      <c r="AV564" s="519"/>
      <c r="AW564" s="560"/>
      <c r="AX564" s="522"/>
      <c r="AY564" s="522"/>
      <c r="AZ564" s="522"/>
      <c r="BA564" s="522"/>
      <c r="BB564" s="522"/>
      <c r="BC564" s="518"/>
      <c r="BD564" s="518"/>
      <c r="BE564" s="518"/>
      <c r="BF564" s="518"/>
      <c r="BG564" s="518"/>
      <c r="BH564" s="519"/>
      <c r="BI564" s="527"/>
      <c r="BJ564" s="518"/>
      <c r="BK564" s="518"/>
      <c r="BL564" s="520"/>
      <c r="BM564" s="520"/>
      <c r="BN564" s="519"/>
      <c r="BO564" s="517"/>
      <c r="BP564" s="520"/>
      <c r="BQ564" s="520"/>
      <c r="BR564" s="519"/>
      <c r="BS564" s="548"/>
      <c r="BT564" s="537"/>
      <c r="BU564" s="521"/>
      <c r="BV564" s="521"/>
      <c r="BW564" s="521"/>
      <c r="BX564" s="521"/>
      <c r="BY564" s="521"/>
      <c r="BZ564" s="521"/>
      <c r="CA564" s="521"/>
      <c r="CB564" s="521"/>
      <c r="CC564" s="521"/>
      <c r="CD564" s="521"/>
      <c r="CE564" s="521"/>
      <c r="CF564" s="521"/>
      <c r="CG564" s="521"/>
      <c r="CH564" s="521"/>
      <c r="CI564" s="521"/>
      <c r="CJ564" s="521"/>
      <c r="CK564" s="521"/>
      <c r="CL564" s="518"/>
      <c r="CM564" s="523"/>
      <c r="CN564" s="523"/>
      <c r="CO564" s="524"/>
      <c r="CP564" s="524"/>
      <c r="CQ564" s="518"/>
      <c r="CR564" s="518"/>
      <c r="CS564" s="518"/>
      <c r="CT564" s="518"/>
      <c r="CU564" s="518"/>
      <c r="CV564" s="518"/>
      <c r="CW564" s="518"/>
      <c r="CX564" s="518"/>
      <c r="CY564" s="518"/>
      <c r="CZ564" s="519"/>
      <c r="DA564" s="527"/>
      <c r="DB564" s="520"/>
      <c r="DC564" s="525"/>
      <c r="DD564" s="531"/>
      <c r="DE564" s="593"/>
      <c r="DF564" s="518"/>
      <c r="DG564" s="518"/>
      <c r="DH564" s="518"/>
      <c r="DI564" s="519"/>
      <c r="DJ564" s="560"/>
      <c r="DK564" s="522"/>
      <c r="DL564" s="522"/>
      <c r="DM564" s="522"/>
      <c r="DN564" s="522"/>
      <c r="DO564" s="522"/>
      <c r="DP564" s="518"/>
      <c r="DQ564" s="518"/>
      <c r="DR564" s="518"/>
      <c r="DS564" s="518"/>
      <c r="DT564" s="518"/>
      <c r="DU564" s="519"/>
      <c r="DV564" s="527"/>
      <c r="DW564" s="518"/>
      <c r="DX564" s="518"/>
      <c r="DY564" s="520"/>
      <c r="DZ564" s="520"/>
      <c r="EA564" s="519"/>
      <c r="EB564" s="527"/>
      <c r="EC564" s="520"/>
      <c r="ED564" s="520"/>
      <c r="EE564" s="519"/>
      <c r="EF564" s="550"/>
      <c r="EG564" s="537"/>
      <c r="EH564" s="521"/>
      <c r="EI564" s="521"/>
      <c r="EJ564" s="521"/>
      <c r="EK564" s="521"/>
      <c r="EL564" s="521"/>
      <c r="EM564" s="521"/>
      <c r="EN564" s="521"/>
      <c r="EO564" s="521"/>
      <c r="EP564" s="521"/>
      <c r="EQ564" s="521"/>
      <c r="ER564" s="521"/>
      <c r="ES564" s="521"/>
      <c r="ET564" s="521"/>
      <c r="EU564" s="521"/>
      <c r="EV564" s="521"/>
      <c r="EW564" s="521"/>
      <c r="EX564" s="521"/>
      <c r="EY564" s="518"/>
      <c r="EZ564" s="523"/>
      <c r="FA564" s="523"/>
      <c r="FB564" s="524"/>
      <c r="FC564" s="524"/>
      <c r="FD564" s="518"/>
      <c r="FE564" s="518"/>
      <c r="FF564" s="518"/>
      <c r="FG564" s="518"/>
      <c r="FH564" s="518"/>
      <c r="FI564" s="518"/>
      <c r="FJ564" s="518"/>
      <c r="FK564" s="518"/>
      <c r="FL564" s="518"/>
      <c r="FM564" s="519"/>
    </row>
    <row r="565" spans="1:169" x14ac:dyDescent="0.25">
      <c r="A565" s="284"/>
      <c r="B565" s="317"/>
      <c r="C565" s="297"/>
      <c r="D565" s="298"/>
      <c r="E565" s="299"/>
      <c r="F565" s="340"/>
      <c r="G565" s="298"/>
      <c r="H565" s="299"/>
      <c r="I565" s="300"/>
      <c r="J565" s="370"/>
      <c r="K565" s="328"/>
      <c r="L565" s="300"/>
      <c r="M565" s="328"/>
      <c r="N565" s="331"/>
      <c r="O565" s="301"/>
      <c r="P565" s="301"/>
      <c r="Q565" s="328"/>
      <c r="R565" s="620"/>
      <c r="S565" s="512"/>
      <c r="T565" s="512"/>
      <c r="U565" s="513"/>
      <c r="V565" s="514"/>
      <c r="W565" s="512"/>
      <c r="X565" s="513"/>
      <c r="Y565" s="514"/>
      <c r="Z565" s="513"/>
      <c r="AA565" s="515"/>
      <c r="AB565" s="516"/>
      <c r="AC565" s="513"/>
      <c r="AD565" s="544"/>
      <c r="AE565" s="516"/>
      <c r="AF565" s="513"/>
      <c r="AG565" s="551"/>
      <c r="AH565" s="595"/>
      <c r="AI565" s="517"/>
      <c r="AJ565" s="518"/>
      <c r="AK565" s="518"/>
      <c r="AL565" s="518"/>
      <c r="AM565" s="519"/>
      <c r="AN565" s="517"/>
      <c r="AO565" s="520"/>
      <c r="AP565" s="525"/>
      <c r="AQ565" s="531"/>
      <c r="AR565" s="593"/>
      <c r="AS565" s="518"/>
      <c r="AT565" s="518"/>
      <c r="AU565" s="518"/>
      <c r="AV565" s="519"/>
      <c r="AW565" s="560"/>
      <c r="AX565" s="522"/>
      <c r="AY565" s="522"/>
      <c r="AZ565" s="522"/>
      <c r="BA565" s="522"/>
      <c r="BB565" s="522"/>
      <c r="BC565" s="518"/>
      <c r="BD565" s="518"/>
      <c r="BE565" s="518"/>
      <c r="BF565" s="518"/>
      <c r="BG565" s="518"/>
      <c r="BH565" s="519"/>
      <c r="BI565" s="527"/>
      <c r="BJ565" s="518"/>
      <c r="BK565" s="518"/>
      <c r="BL565" s="520"/>
      <c r="BM565" s="520"/>
      <c r="BN565" s="519"/>
      <c r="BO565" s="517"/>
      <c r="BP565" s="520"/>
      <c r="BQ565" s="520"/>
      <c r="BR565" s="519"/>
      <c r="BS565" s="548"/>
      <c r="BT565" s="537"/>
      <c r="BU565" s="521"/>
      <c r="BV565" s="521"/>
      <c r="BW565" s="521"/>
      <c r="BX565" s="521"/>
      <c r="BY565" s="521"/>
      <c r="BZ565" s="521"/>
      <c r="CA565" s="521"/>
      <c r="CB565" s="521"/>
      <c r="CC565" s="521"/>
      <c r="CD565" s="521"/>
      <c r="CE565" s="521"/>
      <c r="CF565" s="521"/>
      <c r="CG565" s="521"/>
      <c r="CH565" s="521"/>
      <c r="CI565" s="521"/>
      <c r="CJ565" s="521"/>
      <c r="CK565" s="521"/>
      <c r="CL565" s="518"/>
      <c r="CM565" s="523"/>
      <c r="CN565" s="523"/>
      <c r="CO565" s="524"/>
      <c r="CP565" s="524"/>
      <c r="CQ565" s="518"/>
      <c r="CR565" s="518"/>
      <c r="CS565" s="518"/>
      <c r="CT565" s="518"/>
      <c r="CU565" s="518"/>
      <c r="CV565" s="518"/>
      <c r="CW565" s="518"/>
      <c r="CX565" s="518"/>
      <c r="CY565" s="518"/>
      <c r="CZ565" s="519"/>
      <c r="DA565" s="527"/>
      <c r="DB565" s="520"/>
      <c r="DC565" s="525"/>
      <c r="DD565" s="531"/>
      <c r="DE565" s="593"/>
      <c r="DF565" s="518"/>
      <c r="DG565" s="518"/>
      <c r="DH565" s="518"/>
      <c r="DI565" s="519"/>
      <c r="DJ565" s="560"/>
      <c r="DK565" s="522"/>
      <c r="DL565" s="522"/>
      <c r="DM565" s="522"/>
      <c r="DN565" s="522"/>
      <c r="DO565" s="522"/>
      <c r="DP565" s="518"/>
      <c r="DQ565" s="518"/>
      <c r="DR565" s="518"/>
      <c r="DS565" s="518"/>
      <c r="DT565" s="518"/>
      <c r="DU565" s="519"/>
      <c r="DV565" s="527"/>
      <c r="DW565" s="518"/>
      <c r="DX565" s="518"/>
      <c r="DY565" s="520"/>
      <c r="DZ565" s="520"/>
      <c r="EA565" s="519"/>
      <c r="EB565" s="527"/>
      <c r="EC565" s="520"/>
      <c r="ED565" s="520"/>
      <c r="EE565" s="519"/>
      <c r="EF565" s="550"/>
      <c r="EG565" s="537"/>
      <c r="EH565" s="521"/>
      <c r="EI565" s="521"/>
      <c r="EJ565" s="521"/>
      <c r="EK565" s="521"/>
      <c r="EL565" s="521"/>
      <c r="EM565" s="521"/>
      <c r="EN565" s="521"/>
      <c r="EO565" s="521"/>
      <c r="EP565" s="521"/>
      <c r="EQ565" s="521"/>
      <c r="ER565" s="521"/>
      <c r="ES565" s="521"/>
      <c r="ET565" s="521"/>
      <c r="EU565" s="521"/>
      <c r="EV565" s="521"/>
      <c r="EW565" s="521"/>
      <c r="EX565" s="521"/>
      <c r="EY565" s="518"/>
      <c r="EZ565" s="523"/>
      <c r="FA565" s="523"/>
      <c r="FB565" s="524"/>
      <c r="FC565" s="524"/>
      <c r="FD565" s="518"/>
      <c r="FE565" s="518"/>
      <c r="FF565" s="518"/>
      <c r="FG565" s="518"/>
      <c r="FH565" s="518"/>
      <c r="FI565" s="518"/>
      <c r="FJ565" s="518"/>
      <c r="FK565" s="518"/>
      <c r="FL565" s="518"/>
      <c r="FM565" s="519"/>
    </row>
    <row r="566" spans="1:169" x14ac:dyDescent="0.25">
      <c r="A566" s="284"/>
      <c r="B566" s="317"/>
      <c r="C566" s="297"/>
      <c r="D566" s="298"/>
      <c r="E566" s="299"/>
      <c r="F566" s="340"/>
      <c r="G566" s="298"/>
      <c r="H566" s="299"/>
      <c r="I566" s="300"/>
      <c r="J566" s="370"/>
      <c r="K566" s="328"/>
      <c r="L566" s="300"/>
      <c r="M566" s="328"/>
      <c r="N566" s="331"/>
      <c r="O566" s="301"/>
      <c r="P566" s="301"/>
      <c r="Q566" s="328"/>
      <c r="R566" s="620"/>
      <c r="S566" s="512"/>
      <c r="T566" s="512"/>
      <c r="U566" s="513"/>
      <c r="V566" s="514"/>
      <c r="W566" s="512"/>
      <c r="X566" s="513"/>
      <c r="Y566" s="514"/>
      <c r="Z566" s="513"/>
      <c r="AA566" s="515"/>
      <c r="AB566" s="516"/>
      <c r="AC566" s="513"/>
      <c r="AD566" s="544"/>
      <c r="AE566" s="516"/>
      <c r="AF566" s="513"/>
      <c r="AG566" s="551"/>
      <c r="AH566" s="595"/>
      <c r="AI566" s="517"/>
      <c r="AJ566" s="518"/>
      <c r="AK566" s="518"/>
      <c r="AL566" s="518"/>
      <c r="AM566" s="519"/>
      <c r="AN566" s="517"/>
      <c r="AO566" s="520"/>
      <c r="AP566" s="525"/>
      <c r="AQ566" s="531"/>
      <c r="AR566" s="593"/>
      <c r="AS566" s="518"/>
      <c r="AT566" s="518"/>
      <c r="AU566" s="518"/>
      <c r="AV566" s="519"/>
      <c r="AW566" s="560"/>
      <c r="AX566" s="522"/>
      <c r="AY566" s="522"/>
      <c r="AZ566" s="522"/>
      <c r="BA566" s="522"/>
      <c r="BB566" s="522"/>
      <c r="BC566" s="518"/>
      <c r="BD566" s="518"/>
      <c r="BE566" s="518"/>
      <c r="BF566" s="518"/>
      <c r="BG566" s="518"/>
      <c r="BH566" s="519"/>
      <c r="BI566" s="527"/>
      <c r="BJ566" s="518"/>
      <c r="BK566" s="518"/>
      <c r="BL566" s="520"/>
      <c r="BM566" s="520"/>
      <c r="BN566" s="519"/>
      <c r="BO566" s="517"/>
      <c r="BP566" s="520"/>
      <c r="BQ566" s="520"/>
      <c r="BR566" s="519"/>
      <c r="BS566" s="548"/>
      <c r="BT566" s="537"/>
      <c r="BU566" s="521"/>
      <c r="BV566" s="521"/>
      <c r="BW566" s="521"/>
      <c r="BX566" s="521"/>
      <c r="BY566" s="521"/>
      <c r="BZ566" s="521"/>
      <c r="CA566" s="521"/>
      <c r="CB566" s="521"/>
      <c r="CC566" s="521"/>
      <c r="CD566" s="521"/>
      <c r="CE566" s="521"/>
      <c r="CF566" s="521"/>
      <c r="CG566" s="521"/>
      <c r="CH566" s="521"/>
      <c r="CI566" s="521"/>
      <c r="CJ566" s="521"/>
      <c r="CK566" s="521"/>
      <c r="CL566" s="518"/>
      <c r="CM566" s="523"/>
      <c r="CN566" s="523"/>
      <c r="CO566" s="524"/>
      <c r="CP566" s="524"/>
      <c r="CQ566" s="518"/>
      <c r="CR566" s="518"/>
      <c r="CS566" s="518"/>
      <c r="CT566" s="518"/>
      <c r="CU566" s="518"/>
      <c r="CV566" s="518"/>
      <c r="CW566" s="518"/>
      <c r="CX566" s="518"/>
      <c r="CY566" s="518"/>
      <c r="CZ566" s="519"/>
      <c r="DA566" s="527"/>
      <c r="DB566" s="520"/>
      <c r="DC566" s="525"/>
      <c r="DD566" s="531"/>
      <c r="DE566" s="593"/>
      <c r="DF566" s="518"/>
      <c r="DG566" s="518"/>
      <c r="DH566" s="518"/>
      <c r="DI566" s="519"/>
      <c r="DJ566" s="560"/>
      <c r="DK566" s="522"/>
      <c r="DL566" s="522"/>
      <c r="DM566" s="522"/>
      <c r="DN566" s="522"/>
      <c r="DO566" s="522"/>
      <c r="DP566" s="518"/>
      <c r="DQ566" s="518"/>
      <c r="DR566" s="518"/>
      <c r="DS566" s="518"/>
      <c r="DT566" s="518"/>
      <c r="DU566" s="519"/>
      <c r="DV566" s="527"/>
      <c r="DW566" s="518"/>
      <c r="DX566" s="518"/>
      <c r="DY566" s="520"/>
      <c r="DZ566" s="520"/>
      <c r="EA566" s="519"/>
      <c r="EB566" s="527"/>
      <c r="EC566" s="520"/>
      <c r="ED566" s="520"/>
      <c r="EE566" s="519"/>
      <c r="EF566" s="550"/>
      <c r="EG566" s="537"/>
      <c r="EH566" s="521"/>
      <c r="EI566" s="521"/>
      <c r="EJ566" s="521"/>
      <c r="EK566" s="521"/>
      <c r="EL566" s="521"/>
      <c r="EM566" s="521"/>
      <c r="EN566" s="521"/>
      <c r="EO566" s="521"/>
      <c r="EP566" s="521"/>
      <c r="EQ566" s="521"/>
      <c r="ER566" s="521"/>
      <c r="ES566" s="521"/>
      <c r="ET566" s="521"/>
      <c r="EU566" s="521"/>
      <c r="EV566" s="521"/>
      <c r="EW566" s="521"/>
      <c r="EX566" s="521"/>
      <c r="EY566" s="518"/>
      <c r="EZ566" s="523"/>
      <c r="FA566" s="523"/>
      <c r="FB566" s="524"/>
      <c r="FC566" s="524"/>
      <c r="FD566" s="518"/>
      <c r="FE566" s="518"/>
      <c r="FF566" s="518"/>
      <c r="FG566" s="518"/>
      <c r="FH566" s="518"/>
      <c r="FI566" s="518"/>
      <c r="FJ566" s="518"/>
      <c r="FK566" s="518"/>
      <c r="FL566" s="518"/>
      <c r="FM566" s="519"/>
    </row>
    <row r="567" spans="1:169" x14ac:dyDescent="0.25">
      <c r="A567" s="284"/>
      <c r="B567" s="317"/>
      <c r="C567" s="297"/>
      <c r="D567" s="298"/>
      <c r="E567" s="299"/>
      <c r="F567" s="340"/>
      <c r="G567" s="298"/>
      <c r="H567" s="299"/>
      <c r="I567" s="300"/>
      <c r="J567" s="370"/>
      <c r="K567" s="328"/>
      <c r="L567" s="300"/>
      <c r="M567" s="328"/>
      <c r="N567" s="331"/>
      <c r="O567" s="301"/>
      <c r="P567" s="301"/>
      <c r="Q567" s="328"/>
      <c r="R567" s="620"/>
      <c r="S567" s="512"/>
      <c r="T567" s="512"/>
      <c r="U567" s="513"/>
      <c r="V567" s="514"/>
      <c r="W567" s="512"/>
      <c r="X567" s="513"/>
      <c r="Y567" s="514"/>
      <c r="Z567" s="513"/>
      <c r="AA567" s="515"/>
      <c r="AB567" s="516"/>
      <c r="AC567" s="513"/>
      <c r="AD567" s="544"/>
      <c r="AE567" s="516"/>
      <c r="AF567" s="513"/>
      <c r="AG567" s="551"/>
      <c r="AH567" s="595"/>
      <c r="AI567" s="517"/>
      <c r="AJ567" s="518"/>
      <c r="AK567" s="518"/>
      <c r="AL567" s="518"/>
      <c r="AM567" s="519"/>
      <c r="AN567" s="517"/>
      <c r="AO567" s="520"/>
      <c r="AP567" s="525"/>
      <c r="AQ567" s="531"/>
      <c r="AR567" s="593"/>
      <c r="AS567" s="518"/>
      <c r="AT567" s="518"/>
      <c r="AU567" s="518"/>
      <c r="AV567" s="519"/>
      <c r="AW567" s="560"/>
      <c r="AX567" s="522"/>
      <c r="AY567" s="522"/>
      <c r="AZ567" s="522"/>
      <c r="BA567" s="522"/>
      <c r="BB567" s="522"/>
      <c r="BC567" s="518"/>
      <c r="BD567" s="518"/>
      <c r="BE567" s="518"/>
      <c r="BF567" s="518"/>
      <c r="BG567" s="518"/>
      <c r="BH567" s="519"/>
      <c r="BI567" s="527"/>
      <c r="BJ567" s="518"/>
      <c r="BK567" s="518"/>
      <c r="BL567" s="520"/>
      <c r="BM567" s="520"/>
      <c r="BN567" s="519"/>
      <c r="BO567" s="517"/>
      <c r="BP567" s="520"/>
      <c r="BQ567" s="520"/>
      <c r="BR567" s="519"/>
      <c r="BS567" s="548"/>
      <c r="BT567" s="537"/>
      <c r="BU567" s="521"/>
      <c r="BV567" s="521"/>
      <c r="BW567" s="521"/>
      <c r="BX567" s="521"/>
      <c r="BY567" s="521"/>
      <c r="BZ567" s="521"/>
      <c r="CA567" s="521"/>
      <c r="CB567" s="521"/>
      <c r="CC567" s="521"/>
      <c r="CD567" s="521"/>
      <c r="CE567" s="521"/>
      <c r="CF567" s="521"/>
      <c r="CG567" s="521"/>
      <c r="CH567" s="521"/>
      <c r="CI567" s="521"/>
      <c r="CJ567" s="521"/>
      <c r="CK567" s="521"/>
      <c r="CL567" s="518"/>
      <c r="CM567" s="523"/>
      <c r="CN567" s="523"/>
      <c r="CO567" s="524"/>
      <c r="CP567" s="524"/>
      <c r="CQ567" s="518"/>
      <c r="CR567" s="518"/>
      <c r="CS567" s="518"/>
      <c r="CT567" s="518"/>
      <c r="CU567" s="518"/>
      <c r="CV567" s="518"/>
      <c r="CW567" s="518"/>
      <c r="CX567" s="518"/>
      <c r="CY567" s="518"/>
      <c r="CZ567" s="519"/>
      <c r="DA567" s="527"/>
      <c r="DB567" s="520"/>
      <c r="DC567" s="525"/>
      <c r="DD567" s="531"/>
      <c r="DE567" s="593"/>
      <c r="DF567" s="518"/>
      <c r="DG567" s="518"/>
      <c r="DH567" s="518"/>
      <c r="DI567" s="519"/>
      <c r="DJ567" s="560"/>
      <c r="DK567" s="522"/>
      <c r="DL567" s="522"/>
      <c r="DM567" s="522"/>
      <c r="DN567" s="522"/>
      <c r="DO567" s="522"/>
      <c r="DP567" s="518"/>
      <c r="DQ567" s="518"/>
      <c r="DR567" s="518"/>
      <c r="DS567" s="518"/>
      <c r="DT567" s="518"/>
      <c r="DU567" s="519"/>
      <c r="DV567" s="527"/>
      <c r="DW567" s="518"/>
      <c r="DX567" s="518"/>
      <c r="DY567" s="520"/>
      <c r="DZ567" s="520"/>
      <c r="EA567" s="519"/>
      <c r="EB567" s="527"/>
      <c r="EC567" s="520"/>
      <c r="ED567" s="520"/>
      <c r="EE567" s="519"/>
      <c r="EF567" s="550"/>
      <c r="EG567" s="537"/>
      <c r="EH567" s="521"/>
      <c r="EI567" s="521"/>
      <c r="EJ567" s="521"/>
      <c r="EK567" s="521"/>
      <c r="EL567" s="521"/>
      <c r="EM567" s="521"/>
      <c r="EN567" s="521"/>
      <c r="EO567" s="521"/>
      <c r="EP567" s="521"/>
      <c r="EQ567" s="521"/>
      <c r="ER567" s="521"/>
      <c r="ES567" s="521"/>
      <c r="ET567" s="521"/>
      <c r="EU567" s="521"/>
      <c r="EV567" s="521"/>
      <c r="EW567" s="521"/>
      <c r="EX567" s="521"/>
      <c r="EY567" s="518"/>
      <c r="EZ567" s="523"/>
      <c r="FA567" s="523"/>
      <c r="FB567" s="524"/>
      <c r="FC567" s="524"/>
      <c r="FD567" s="518"/>
      <c r="FE567" s="518"/>
      <c r="FF567" s="518"/>
      <c r="FG567" s="518"/>
      <c r="FH567" s="518"/>
      <c r="FI567" s="518"/>
      <c r="FJ567" s="518"/>
      <c r="FK567" s="518"/>
      <c r="FL567" s="518"/>
      <c r="FM567" s="519"/>
    </row>
    <row r="568" spans="1:169" x14ac:dyDescent="0.25">
      <c r="A568" s="284"/>
      <c r="B568" s="317"/>
      <c r="C568" s="297"/>
      <c r="D568" s="298"/>
      <c r="E568" s="299"/>
      <c r="F568" s="340"/>
      <c r="G568" s="298"/>
      <c r="H568" s="299"/>
      <c r="I568" s="300"/>
      <c r="J568" s="370"/>
      <c r="K568" s="328"/>
      <c r="L568" s="300"/>
      <c r="M568" s="328"/>
      <c r="N568" s="331"/>
      <c r="O568" s="301"/>
      <c r="P568" s="301"/>
      <c r="Q568" s="328"/>
      <c r="R568" s="620"/>
      <c r="S568" s="512"/>
      <c r="T568" s="512"/>
      <c r="U568" s="513"/>
      <c r="V568" s="514"/>
      <c r="W568" s="512"/>
      <c r="X568" s="513"/>
      <c r="Y568" s="514"/>
      <c r="Z568" s="513"/>
      <c r="AA568" s="515"/>
      <c r="AB568" s="516"/>
      <c r="AC568" s="513"/>
      <c r="AD568" s="544"/>
      <c r="AE568" s="516"/>
      <c r="AF568" s="513"/>
      <c r="AG568" s="551"/>
      <c r="AH568" s="595"/>
      <c r="AI568" s="517"/>
      <c r="AJ568" s="518"/>
      <c r="AK568" s="518"/>
      <c r="AL568" s="518"/>
      <c r="AM568" s="519"/>
      <c r="AN568" s="517"/>
      <c r="AO568" s="520"/>
      <c r="AP568" s="525"/>
      <c r="AQ568" s="531"/>
      <c r="AR568" s="593"/>
      <c r="AS568" s="518"/>
      <c r="AT568" s="518"/>
      <c r="AU568" s="518"/>
      <c r="AV568" s="519"/>
      <c r="AW568" s="560"/>
      <c r="AX568" s="522"/>
      <c r="AY568" s="522"/>
      <c r="AZ568" s="522"/>
      <c r="BA568" s="522"/>
      <c r="BB568" s="522"/>
      <c r="BC568" s="518"/>
      <c r="BD568" s="518"/>
      <c r="BE568" s="518"/>
      <c r="BF568" s="518"/>
      <c r="BG568" s="518"/>
      <c r="BH568" s="519"/>
      <c r="BI568" s="527"/>
      <c r="BJ568" s="518"/>
      <c r="BK568" s="518"/>
      <c r="BL568" s="520"/>
      <c r="BM568" s="520"/>
      <c r="BN568" s="519"/>
      <c r="BO568" s="517"/>
      <c r="BP568" s="520"/>
      <c r="BQ568" s="520"/>
      <c r="BR568" s="519"/>
      <c r="BS568" s="548"/>
      <c r="BT568" s="537"/>
      <c r="BU568" s="521"/>
      <c r="BV568" s="521"/>
      <c r="BW568" s="521"/>
      <c r="BX568" s="521"/>
      <c r="BY568" s="521"/>
      <c r="BZ568" s="521"/>
      <c r="CA568" s="521"/>
      <c r="CB568" s="521"/>
      <c r="CC568" s="521"/>
      <c r="CD568" s="521"/>
      <c r="CE568" s="521"/>
      <c r="CF568" s="521"/>
      <c r="CG568" s="521"/>
      <c r="CH568" s="521"/>
      <c r="CI568" s="521"/>
      <c r="CJ568" s="521"/>
      <c r="CK568" s="521"/>
      <c r="CL568" s="518"/>
      <c r="CM568" s="523"/>
      <c r="CN568" s="523"/>
      <c r="CO568" s="524"/>
      <c r="CP568" s="524"/>
      <c r="CQ568" s="518"/>
      <c r="CR568" s="518"/>
      <c r="CS568" s="518"/>
      <c r="CT568" s="518"/>
      <c r="CU568" s="518"/>
      <c r="CV568" s="518"/>
      <c r="CW568" s="518"/>
      <c r="CX568" s="518"/>
      <c r="CY568" s="518"/>
      <c r="CZ568" s="519"/>
      <c r="DA568" s="527"/>
      <c r="DB568" s="520"/>
      <c r="DC568" s="525"/>
      <c r="DD568" s="531"/>
      <c r="DE568" s="593"/>
      <c r="DF568" s="518"/>
      <c r="DG568" s="518"/>
      <c r="DH568" s="518"/>
      <c r="DI568" s="519"/>
      <c r="DJ568" s="560"/>
      <c r="DK568" s="522"/>
      <c r="DL568" s="522"/>
      <c r="DM568" s="522"/>
      <c r="DN568" s="522"/>
      <c r="DO568" s="522"/>
      <c r="DP568" s="518"/>
      <c r="DQ568" s="518"/>
      <c r="DR568" s="518"/>
      <c r="DS568" s="518"/>
      <c r="DT568" s="518"/>
      <c r="DU568" s="519"/>
      <c r="DV568" s="527"/>
      <c r="DW568" s="518"/>
      <c r="DX568" s="518"/>
      <c r="DY568" s="520"/>
      <c r="DZ568" s="520"/>
      <c r="EA568" s="519"/>
      <c r="EB568" s="527"/>
      <c r="EC568" s="520"/>
      <c r="ED568" s="520"/>
      <c r="EE568" s="519"/>
      <c r="EF568" s="550"/>
      <c r="EG568" s="537"/>
      <c r="EH568" s="521"/>
      <c r="EI568" s="521"/>
      <c r="EJ568" s="521"/>
      <c r="EK568" s="521"/>
      <c r="EL568" s="521"/>
      <c r="EM568" s="521"/>
      <c r="EN568" s="521"/>
      <c r="EO568" s="521"/>
      <c r="EP568" s="521"/>
      <c r="EQ568" s="521"/>
      <c r="ER568" s="521"/>
      <c r="ES568" s="521"/>
      <c r="ET568" s="521"/>
      <c r="EU568" s="521"/>
      <c r="EV568" s="521"/>
      <c r="EW568" s="521"/>
      <c r="EX568" s="521"/>
      <c r="EY568" s="518"/>
      <c r="EZ568" s="523"/>
      <c r="FA568" s="523"/>
      <c r="FB568" s="524"/>
      <c r="FC568" s="524"/>
      <c r="FD568" s="518"/>
      <c r="FE568" s="518"/>
      <c r="FF568" s="518"/>
      <c r="FG568" s="518"/>
      <c r="FH568" s="518"/>
      <c r="FI568" s="518"/>
      <c r="FJ568" s="518"/>
      <c r="FK568" s="518"/>
      <c r="FL568" s="518"/>
      <c r="FM568" s="519"/>
    </row>
    <row r="569" spans="1:169" x14ac:dyDescent="0.25">
      <c r="A569" s="284"/>
      <c r="B569" s="317"/>
      <c r="C569" s="297"/>
      <c r="D569" s="298"/>
      <c r="E569" s="299"/>
      <c r="F569" s="340"/>
      <c r="G569" s="298"/>
      <c r="H569" s="299"/>
      <c r="I569" s="300"/>
      <c r="J569" s="370"/>
      <c r="K569" s="328"/>
      <c r="L569" s="300"/>
      <c r="M569" s="328"/>
      <c r="N569" s="331"/>
      <c r="O569" s="301"/>
      <c r="P569" s="301"/>
      <c r="Q569" s="328"/>
      <c r="R569" s="620"/>
      <c r="S569" s="512"/>
      <c r="T569" s="512"/>
      <c r="U569" s="513"/>
      <c r="V569" s="514"/>
      <c r="W569" s="512"/>
      <c r="X569" s="513"/>
      <c r="Y569" s="514"/>
      <c r="Z569" s="513"/>
      <c r="AA569" s="515"/>
      <c r="AB569" s="516"/>
      <c r="AC569" s="513"/>
      <c r="AD569" s="544"/>
      <c r="AE569" s="516"/>
      <c r="AF569" s="513"/>
      <c r="AG569" s="551"/>
      <c r="AH569" s="595"/>
      <c r="AI569" s="517"/>
      <c r="AJ569" s="518"/>
      <c r="AK569" s="518"/>
      <c r="AL569" s="518"/>
      <c r="AM569" s="519"/>
      <c r="AN569" s="517"/>
      <c r="AO569" s="520"/>
      <c r="AP569" s="525"/>
      <c r="AQ569" s="531"/>
      <c r="AR569" s="593"/>
      <c r="AS569" s="518"/>
      <c r="AT569" s="518"/>
      <c r="AU569" s="518"/>
      <c r="AV569" s="519"/>
      <c r="AW569" s="560"/>
      <c r="AX569" s="522"/>
      <c r="AY569" s="522"/>
      <c r="AZ569" s="522"/>
      <c r="BA569" s="522"/>
      <c r="BB569" s="522"/>
      <c r="BC569" s="518"/>
      <c r="BD569" s="518"/>
      <c r="BE569" s="518"/>
      <c r="BF569" s="518"/>
      <c r="BG569" s="518"/>
      <c r="BH569" s="519"/>
      <c r="BI569" s="527"/>
      <c r="BJ569" s="518"/>
      <c r="BK569" s="518"/>
      <c r="BL569" s="520"/>
      <c r="BM569" s="520"/>
      <c r="BN569" s="519"/>
      <c r="BO569" s="517"/>
      <c r="BP569" s="520"/>
      <c r="BQ569" s="520"/>
      <c r="BR569" s="519"/>
      <c r="BS569" s="548"/>
      <c r="BT569" s="537"/>
      <c r="BU569" s="521"/>
      <c r="BV569" s="521"/>
      <c r="BW569" s="521"/>
      <c r="BX569" s="521"/>
      <c r="BY569" s="521"/>
      <c r="BZ569" s="521"/>
      <c r="CA569" s="521"/>
      <c r="CB569" s="521"/>
      <c r="CC569" s="521"/>
      <c r="CD569" s="521"/>
      <c r="CE569" s="521"/>
      <c r="CF569" s="521"/>
      <c r="CG569" s="521"/>
      <c r="CH569" s="521"/>
      <c r="CI569" s="521"/>
      <c r="CJ569" s="521"/>
      <c r="CK569" s="521"/>
      <c r="CL569" s="518"/>
      <c r="CM569" s="523"/>
      <c r="CN569" s="523"/>
      <c r="CO569" s="524"/>
      <c r="CP569" s="524"/>
      <c r="CQ569" s="518"/>
      <c r="CR569" s="518"/>
      <c r="CS569" s="518"/>
      <c r="CT569" s="518"/>
      <c r="CU569" s="518"/>
      <c r="CV569" s="518"/>
      <c r="CW569" s="518"/>
      <c r="CX569" s="518"/>
      <c r="CY569" s="518"/>
      <c r="CZ569" s="519"/>
      <c r="DA569" s="527"/>
      <c r="DB569" s="520"/>
      <c r="DC569" s="525"/>
      <c r="DD569" s="531"/>
      <c r="DE569" s="593"/>
      <c r="DF569" s="518"/>
      <c r="DG569" s="518"/>
      <c r="DH569" s="518"/>
      <c r="DI569" s="519"/>
      <c r="DJ569" s="560"/>
      <c r="DK569" s="522"/>
      <c r="DL569" s="522"/>
      <c r="DM569" s="522"/>
      <c r="DN569" s="522"/>
      <c r="DO569" s="522"/>
      <c r="DP569" s="518"/>
      <c r="DQ569" s="518"/>
      <c r="DR569" s="518"/>
      <c r="DS569" s="518"/>
      <c r="DT569" s="518"/>
      <c r="DU569" s="519"/>
      <c r="DV569" s="527"/>
      <c r="DW569" s="518"/>
      <c r="DX569" s="518"/>
      <c r="DY569" s="520"/>
      <c r="DZ569" s="520"/>
      <c r="EA569" s="519"/>
      <c r="EB569" s="527"/>
      <c r="EC569" s="520"/>
      <c r="ED569" s="520"/>
      <c r="EE569" s="519"/>
      <c r="EF569" s="550"/>
      <c r="EG569" s="537"/>
      <c r="EH569" s="521"/>
      <c r="EI569" s="521"/>
      <c r="EJ569" s="521"/>
      <c r="EK569" s="521"/>
      <c r="EL569" s="521"/>
      <c r="EM569" s="521"/>
      <c r="EN569" s="521"/>
      <c r="EO569" s="521"/>
      <c r="EP569" s="521"/>
      <c r="EQ569" s="521"/>
      <c r="ER569" s="521"/>
      <c r="ES569" s="521"/>
      <c r="ET569" s="521"/>
      <c r="EU569" s="521"/>
      <c r="EV569" s="521"/>
      <c r="EW569" s="521"/>
      <c r="EX569" s="521"/>
      <c r="EY569" s="518"/>
      <c r="EZ569" s="523"/>
      <c r="FA569" s="523"/>
      <c r="FB569" s="524"/>
      <c r="FC569" s="524"/>
      <c r="FD569" s="518"/>
      <c r="FE569" s="518"/>
      <c r="FF569" s="518"/>
      <c r="FG569" s="518"/>
      <c r="FH569" s="518"/>
      <c r="FI569" s="518"/>
      <c r="FJ569" s="518"/>
      <c r="FK569" s="518"/>
      <c r="FL569" s="518"/>
      <c r="FM569" s="519"/>
    </row>
    <row r="570" spans="1:169" x14ac:dyDescent="0.25">
      <c r="A570" s="284"/>
      <c r="B570" s="317"/>
      <c r="C570" s="297"/>
      <c r="D570" s="298"/>
      <c r="E570" s="299"/>
      <c r="F570" s="340"/>
      <c r="G570" s="298"/>
      <c r="H570" s="299"/>
      <c r="I570" s="300"/>
      <c r="J570" s="370"/>
      <c r="K570" s="328"/>
      <c r="L570" s="300"/>
      <c r="M570" s="328"/>
      <c r="N570" s="331"/>
      <c r="O570" s="301"/>
      <c r="P570" s="301"/>
      <c r="Q570" s="328"/>
      <c r="R570" s="620"/>
      <c r="S570" s="512"/>
      <c r="T570" s="512"/>
      <c r="U570" s="513"/>
      <c r="V570" s="514"/>
      <c r="W570" s="512"/>
      <c r="X570" s="513"/>
      <c r="Y570" s="514"/>
      <c r="Z570" s="513"/>
      <c r="AA570" s="515"/>
      <c r="AB570" s="516"/>
      <c r="AC570" s="513"/>
      <c r="AD570" s="544"/>
      <c r="AE570" s="516"/>
      <c r="AF570" s="513"/>
      <c r="AG570" s="551"/>
      <c r="AH570" s="595"/>
      <c r="AI570" s="517"/>
      <c r="AJ570" s="518"/>
      <c r="AK570" s="518"/>
      <c r="AL570" s="518"/>
      <c r="AM570" s="519"/>
      <c r="AN570" s="517"/>
      <c r="AO570" s="520"/>
      <c r="AP570" s="525"/>
      <c r="AQ570" s="531"/>
      <c r="AR570" s="593"/>
      <c r="AS570" s="518"/>
      <c r="AT570" s="518"/>
      <c r="AU570" s="518"/>
      <c r="AV570" s="519"/>
      <c r="AW570" s="560"/>
      <c r="AX570" s="522"/>
      <c r="AY570" s="522"/>
      <c r="AZ570" s="522"/>
      <c r="BA570" s="522"/>
      <c r="BB570" s="522"/>
      <c r="BC570" s="518"/>
      <c r="BD570" s="518"/>
      <c r="BE570" s="518"/>
      <c r="BF570" s="518"/>
      <c r="BG570" s="518"/>
      <c r="BH570" s="519"/>
      <c r="BI570" s="527"/>
      <c r="BJ570" s="518"/>
      <c r="BK570" s="518"/>
      <c r="BL570" s="520"/>
      <c r="BM570" s="520"/>
      <c r="BN570" s="519"/>
      <c r="BO570" s="517"/>
      <c r="BP570" s="520"/>
      <c r="BQ570" s="520"/>
      <c r="BR570" s="519"/>
      <c r="BS570" s="548"/>
      <c r="BT570" s="537"/>
      <c r="BU570" s="521"/>
      <c r="BV570" s="521"/>
      <c r="BW570" s="521"/>
      <c r="BX570" s="521"/>
      <c r="BY570" s="521"/>
      <c r="BZ570" s="521"/>
      <c r="CA570" s="521"/>
      <c r="CB570" s="521"/>
      <c r="CC570" s="521"/>
      <c r="CD570" s="521"/>
      <c r="CE570" s="521"/>
      <c r="CF570" s="521"/>
      <c r="CG570" s="521"/>
      <c r="CH570" s="521"/>
      <c r="CI570" s="521"/>
      <c r="CJ570" s="521"/>
      <c r="CK570" s="521"/>
      <c r="CL570" s="518"/>
      <c r="CM570" s="523"/>
      <c r="CN570" s="523"/>
      <c r="CO570" s="524"/>
      <c r="CP570" s="524"/>
      <c r="CQ570" s="518"/>
      <c r="CR570" s="518"/>
      <c r="CS570" s="518"/>
      <c r="CT570" s="518"/>
      <c r="CU570" s="518"/>
      <c r="CV570" s="518"/>
      <c r="CW570" s="518"/>
      <c r="CX570" s="518"/>
      <c r="CY570" s="518"/>
      <c r="CZ570" s="519"/>
      <c r="DA570" s="527"/>
      <c r="DB570" s="520"/>
      <c r="DC570" s="525"/>
      <c r="DD570" s="531"/>
      <c r="DE570" s="593"/>
      <c r="DF570" s="518"/>
      <c r="DG570" s="518"/>
      <c r="DH570" s="518"/>
      <c r="DI570" s="519"/>
      <c r="DJ570" s="560"/>
      <c r="DK570" s="522"/>
      <c r="DL570" s="522"/>
      <c r="DM570" s="522"/>
      <c r="DN570" s="522"/>
      <c r="DO570" s="522"/>
      <c r="DP570" s="518"/>
      <c r="DQ570" s="518"/>
      <c r="DR570" s="518"/>
      <c r="DS570" s="518"/>
      <c r="DT570" s="518"/>
      <c r="DU570" s="519"/>
      <c r="DV570" s="527"/>
      <c r="DW570" s="518"/>
      <c r="DX570" s="518"/>
      <c r="DY570" s="520"/>
      <c r="DZ570" s="520"/>
      <c r="EA570" s="519"/>
      <c r="EB570" s="527"/>
      <c r="EC570" s="520"/>
      <c r="ED570" s="520"/>
      <c r="EE570" s="519"/>
      <c r="EF570" s="550"/>
      <c r="EG570" s="537"/>
      <c r="EH570" s="521"/>
      <c r="EI570" s="521"/>
      <c r="EJ570" s="521"/>
      <c r="EK570" s="521"/>
      <c r="EL570" s="521"/>
      <c r="EM570" s="521"/>
      <c r="EN570" s="521"/>
      <c r="EO570" s="521"/>
      <c r="EP570" s="521"/>
      <c r="EQ570" s="521"/>
      <c r="ER570" s="521"/>
      <c r="ES570" s="521"/>
      <c r="ET570" s="521"/>
      <c r="EU570" s="521"/>
      <c r="EV570" s="521"/>
      <c r="EW570" s="521"/>
      <c r="EX570" s="521"/>
      <c r="EY570" s="518"/>
      <c r="EZ570" s="523"/>
      <c r="FA570" s="523"/>
      <c r="FB570" s="524"/>
      <c r="FC570" s="524"/>
      <c r="FD570" s="518"/>
      <c r="FE570" s="518"/>
      <c r="FF570" s="518"/>
      <c r="FG570" s="518"/>
      <c r="FH570" s="518"/>
      <c r="FI570" s="518"/>
      <c r="FJ570" s="518"/>
      <c r="FK570" s="518"/>
      <c r="FL570" s="518"/>
      <c r="FM570" s="519"/>
    </row>
    <row r="571" spans="1:169" x14ac:dyDescent="0.25">
      <c r="A571" s="284"/>
      <c r="B571" s="317"/>
      <c r="C571" s="297"/>
      <c r="D571" s="298"/>
      <c r="E571" s="299"/>
      <c r="F571" s="340"/>
      <c r="G571" s="298"/>
      <c r="H571" s="299"/>
      <c r="I571" s="300"/>
      <c r="J571" s="370"/>
      <c r="K571" s="328"/>
      <c r="L571" s="300"/>
      <c r="M571" s="328"/>
      <c r="N571" s="331"/>
      <c r="O571" s="301"/>
      <c r="P571" s="301"/>
      <c r="Q571" s="328"/>
      <c r="R571" s="620"/>
      <c r="S571" s="512"/>
      <c r="T571" s="512"/>
      <c r="U571" s="513"/>
      <c r="V571" s="514"/>
      <c r="W571" s="512"/>
      <c r="X571" s="513"/>
      <c r="Y571" s="514"/>
      <c r="Z571" s="513"/>
      <c r="AA571" s="515"/>
      <c r="AB571" s="516"/>
      <c r="AC571" s="513"/>
      <c r="AD571" s="544"/>
      <c r="AE571" s="516"/>
      <c r="AF571" s="513"/>
      <c r="AG571" s="551"/>
      <c r="AH571" s="595"/>
      <c r="AI571" s="517"/>
      <c r="AJ571" s="518"/>
      <c r="AK571" s="518"/>
      <c r="AL571" s="518"/>
      <c r="AM571" s="519"/>
      <c r="AN571" s="517"/>
      <c r="AO571" s="520"/>
      <c r="AP571" s="525"/>
      <c r="AQ571" s="531"/>
      <c r="AR571" s="593"/>
      <c r="AS571" s="518"/>
      <c r="AT571" s="518"/>
      <c r="AU571" s="518"/>
      <c r="AV571" s="519"/>
      <c r="AW571" s="560"/>
      <c r="AX571" s="522"/>
      <c r="AY571" s="522"/>
      <c r="AZ571" s="522"/>
      <c r="BA571" s="522"/>
      <c r="BB571" s="522"/>
      <c r="BC571" s="518"/>
      <c r="BD571" s="518"/>
      <c r="BE571" s="518"/>
      <c r="BF571" s="518"/>
      <c r="BG571" s="518"/>
      <c r="BH571" s="519"/>
      <c r="BI571" s="527"/>
      <c r="BJ571" s="518"/>
      <c r="BK571" s="518"/>
      <c r="BL571" s="520"/>
      <c r="BM571" s="520"/>
      <c r="BN571" s="519"/>
      <c r="BO571" s="517"/>
      <c r="BP571" s="520"/>
      <c r="BQ571" s="520"/>
      <c r="BR571" s="519"/>
      <c r="BS571" s="548"/>
      <c r="BT571" s="537"/>
      <c r="BU571" s="521"/>
      <c r="BV571" s="521"/>
      <c r="BW571" s="521"/>
      <c r="BX571" s="521"/>
      <c r="BY571" s="521"/>
      <c r="BZ571" s="521"/>
      <c r="CA571" s="521"/>
      <c r="CB571" s="521"/>
      <c r="CC571" s="521"/>
      <c r="CD571" s="521"/>
      <c r="CE571" s="521"/>
      <c r="CF571" s="521"/>
      <c r="CG571" s="521"/>
      <c r="CH571" s="521"/>
      <c r="CI571" s="521"/>
      <c r="CJ571" s="521"/>
      <c r="CK571" s="521"/>
      <c r="CL571" s="518"/>
      <c r="CM571" s="523"/>
      <c r="CN571" s="523"/>
      <c r="CO571" s="524"/>
      <c r="CP571" s="524"/>
      <c r="CQ571" s="518"/>
      <c r="CR571" s="518"/>
      <c r="CS571" s="518"/>
      <c r="CT571" s="518"/>
      <c r="CU571" s="518"/>
      <c r="CV571" s="518"/>
      <c r="CW571" s="518"/>
      <c r="CX571" s="518"/>
      <c r="CY571" s="518"/>
      <c r="CZ571" s="519"/>
      <c r="DA571" s="527"/>
      <c r="DB571" s="520"/>
      <c r="DC571" s="525"/>
      <c r="DD571" s="531"/>
      <c r="DE571" s="593"/>
      <c r="DF571" s="518"/>
      <c r="DG571" s="518"/>
      <c r="DH571" s="518"/>
      <c r="DI571" s="519"/>
      <c r="DJ571" s="560"/>
      <c r="DK571" s="522"/>
      <c r="DL571" s="522"/>
      <c r="DM571" s="522"/>
      <c r="DN571" s="522"/>
      <c r="DO571" s="522"/>
      <c r="DP571" s="518"/>
      <c r="DQ571" s="518"/>
      <c r="DR571" s="518"/>
      <c r="DS571" s="518"/>
      <c r="DT571" s="518"/>
      <c r="DU571" s="519"/>
      <c r="DV571" s="527"/>
      <c r="DW571" s="518"/>
      <c r="DX571" s="518"/>
      <c r="DY571" s="520"/>
      <c r="DZ571" s="520"/>
      <c r="EA571" s="519"/>
      <c r="EB571" s="527"/>
      <c r="EC571" s="520"/>
      <c r="ED571" s="520"/>
      <c r="EE571" s="519"/>
      <c r="EF571" s="550"/>
      <c r="EG571" s="537"/>
      <c r="EH571" s="521"/>
      <c r="EI571" s="521"/>
      <c r="EJ571" s="521"/>
      <c r="EK571" s="521"/>
      <c r="EL571" s="521"/>
      <c r="EM571" s="521"/>
      <c r="EN571" s="521"/>
      <c r="EO571" s="521"/>
      <c r="EP571" s="521"/>
      <c r="EQ571" s="521"/>
      <c r="ER571" s="521"/>
      <c r="ES571" s="521"/>
      <c r="ET571" s="521"/>
      <c r="EU571" s="521"/>
      <c r="EV571" s="521"/>
      <c r="EW571" s="521"/>
      <c r="EX571" s="521"/>
      <c r="EY571" s="518"/>
      <c r="EZ571" s="523"/>
      <c r="FA571" s="523"/>
      <c r="FB571" s="524"/>
      <c r="FC571" s="524"/>
      <c r="FD571" s="518"/>
      <c r="FE571" s="518"/>
      <c r="FF571" s="518"/>
      <c r="FG571" s="518"/>
      <c r="FH571" s="518"/>
      <c r="FI571" s="518"/>
      <c r="FJ571" s="518"/>
      <c r="FK571" s="518"/>
      <c r="FL571" s="518"/>
      <c r="FM571" s="519"/>
    </row>
    <row r="572" spans="1:169" x14ac:dyDescent="0.25">
      <c r="A572" s="284"/>
      <c r="B572" s="317"/>
      <c r="C572" s="297"/>
      <c r="D572" s="298"/>
      <c r="E572" s="299"/>
      <c r="F572" s="340"/>
      <c r="G572" s="298"/>
      <c r="H572" s="299"/>
      <c r="I572" s="300"/>
      <c r="J572" s="370"/>
      <c r="K572" s="328"/>
      <c r="L572" s="300"/>
      <c r="M572" s="328"/>
      <c r="N572" s="331"/>
      <c r="O572" s="301"/>
      <c r="P572" s="301"/>
      <c r="Q572" s="328"/>
      <c r="R572" s="620"/>
      <c r="S572" s="512"/>
      <c r="T572" s="512"/>
      <c r="U572" s="513"/>
      <c r="V572" s="514"/>
      <c r="W572" s="512"/>
      <c r="X572" s="513"/>
      <c r="Y572" s="514"/>
      <c r="Z572" s="513"/>
      <c r="AA572" s="515"/>
      <c r="AB572" s="516"/>
      <c r="AC572" s="513"/>
      <c r="AD572" s="544"/>
      <c r="AE572" s="516"/>
      <c r="AF572" s="513"/>
      <c r="AG572" s="551"/>
      <c r="AH572" s="595"/>
      <c r="AI572" s="517"/>
      <c r="AJ572" s="518"/>
      <c r="AK572" s="518"/>
      <c r="AL572" s="518"/>
      <c r="AM572" s="519"/>
      <c r="AN572" s="517"/>
      <c r="AO572" s="520"/>
      <c r="AP572" s="525"/>
      <c r="AQ572" s="531"/>
      <c r="AR572" s="593"/>
      <c r="AS572" s="518"/>
      <c r="AT572" s="518"/>
      <c r="AU572" s="518"/>
      <c r="AV572" s="519"/>
      <c r="AW572" s="560"/>
      <c r="AX572" s="522"/>
      <c r="AY572" s="522"/>
      <c r="AZ572" s="522"/>
      <c r="BA572" s="522"/>
      <c r="BB572" s="522"/>
      <c r="BC572" s="518"/>
      <c r="BD572" s="518"/>
      <c r="BE572" s="518"/>
      <c r="BF572" s="518"/>
      <c r="BG572" s="518"/>
      <c r="BH572" s="519"/>
      <c r="BI572" s="527"/>
      <c r="BJ572" s="518"/>
      <c r="BK572" s="518"/>
      <c r="BL572" s="520"/>
      <c r="BM572" s="520"/>
      <c r="BN572" s="519"/>
      <c r="BO572" s="517"/>
      <c r="BP572" s="520"/>
      <c r="BQ572" s="520"/>
      <c r="BR572" s="519"/>
      <c r="BS572" s="548"/>
      <c r="BT572" s="537"/>
      <c r="BU572" s="521"/>
      <c r="BV572" s="521"/>
      <c r="BW572" s="521"/>
      <c r="BX572" s="521"/>
      <c r="BY572" s="521"/>
      <c r="BZ572" s="521"/>
      <c r="CA572" s="521"/>
      <c r="CB572" s="521"/>
      <c r="CC572" s="521"/>
      <c r="CD572" s="521"/>
      <c r="CE572" s="521"/>
      <c r="CF572" s="521"/>
      <c r="CG572" s="521"/>
      <c r="CH572" s="521"/>
      <c r="CI572" s="521"/>
      <c r="CJ572" s="521"/>
      <c r="CK572" s="521"/>
      <c r="CL572" s="518"/>
      <c r="CM572" s="523"/>
      <c r="CN572" s="523"/>
      <c r="CO572" s="524"/>
      <c r="CP572" s="524"/>
      <c r="CQ572" s="518"/>
      <c r="CR572" s="518"/>
      <c r="CS572" s="518"/>
      <c r="CT572" s="518"/>
      <c r="CU572" s="518"/>
      <c r="CV572" s="518"/>
      <c r="CW572" s="518"/>
      <c r="CX572" s="518"/>
      <c r="CY572" s="518"/>
      <c r="CZ572" s="519"/>
      <c r="DA572" s="527"/>
      <c r="DB572" s="520"/>
      <c r="DC572" s="525"/>
      <c r="DD572" s="531"/>
      <c r="DE572" s="593"/>
      <c r="DF572" s="518"/>
      <c r="DG572" s="518"/>
      <c r="DH572" s="518"/>
      <c r="DI572" s="519"/>
      <c r="DJ572" s="560"/>
      <c r="DK572" s="522"/>
      <c r="DL572" s="522"/>
      <c r="DM572" s="522"/>
      <c r="DN572" s="522"/>
      <c r="DO572" s="522"/>
      <c r="DP572" s="518"/>
      <c r="DQ572" s="518"/>
      <c r="DR572" s="518"/>
      <c r="DS572" s="518"/>
      <c r="DT572" s="518"/>
      <c r="DU572" s="519"/>
      <c r="DV572" s="527"/>
      <c r="DW572" s="518"/>
      <c r="DX572" s="518"/>
      <c r="DY572" s="520"/>
      <c r="DZ572" s="520"/>
      <c r="EA572" s="519"/>
      <c r="EB572" s="527"/>
      <c r="EC572" s="520"/>
      <c r="ED572" s="520"/>
      <c r="EE572" s="519"/>
      <c r="EF572" s="550"/>
      <c r="EG572" s="537"/>
      <c r="EH572" s="521"/>
      <c r="EI572" s="521"/>
      <c r="EJ572" s="521"/>
      <c r="EK572" s="521"/>
      <c r="EL572" s="521"/>
      <c r="EM572" s="521"/>
      <c r="EN572" s="521"/>
      <c r="EO572" s="521"/>
      <c r="EP572" s="521"/>
      <c r="EQ572" s="521"/>
      <c r="ER572" s="521"/>
      <c r="ES572" s="521"/>
      <c r="ET572" s="521"/>
      <c r="EU572" s="521"/>
      <c r="EV572" s="521"/>
      <c r="EW572" s="521"/>
      <c r="EX572" s="521"/>
      <c r="EY572" s="518"/>
      <c r="EZ572" s="523"/>
      <c r="FA572" s="523"/>
      <c r="FB572" s="524"/>
      <c r="FC572" s="524"/>
      <c r="FD572" s="518"/>
      <c r="FE572" s="518"/>
      <c r="FF572" s="518"/>
      <c r="FG572" s="518"/>
      <c r="FH572" s="518"/>
      <c r="FI572" s="518"/>
      <c r="FJ572" s="518"/>
      <c r="FK572" s="518"/>
      <c r="FL572" s="518"/>
      <c r="FM572" s="519"/>
    </row>
    <row r="573" spans="1:169" x14ac:dyDescent="0.25">
      <c r="A573" s="284"/>
      <c r="B573" s="317"/>
      <c r="C573" s="297"/>
      <c r="D573" s="298"/>
      <c r="E573" s="299"/>
      <c r="F573" s="340"/>
      <c r="G573" s="298"/>
      <c r="H573" s="299"/>
      <c r="I573" s="300"/>
      <c r="J573" s="370"/>
      <c r="K573" s="328"/>
      <c r="L573" s="300"/>
      <c r="M573" s="328"/>
      <c r="N573" s="331"/>
      <c r="O573" s="301"/>
      <c r="P573" s="301"/>
      <c r="Q573" s="328"/>
      <c r="R573" s="620"/>
      <c r="S573" s="512"/>
      <c r="T573" s="512"/>
      <c r="U573" s="513"/>
      <c r="V573" s="514"/>
      <c r="W573" s="512"/>
      <c r="X573" s="513"/>
      <c r="Y573" s="514"/>
      <c r="Z573" s="513"/>
      <c r="AA573" s="515"/>
      <c r="AB573" s="516"/>
      <c r="AC573" s="513"/>
      <c r="AD573" s="544"/>
      <c r="AE573" s="516"/>
      <c r="AF573" s="513"/>
      <c r="AG573" s="551"/>
      <c r="AH573" s="595"/>
      <c r="AI573" s="517"/>
      <c r="AJ573" s="518"/>
      <c r="AK573" s="518"/>
      <c r="AL573" s="518"/>
      <c r="AM573" s="519"/>
      <c r="AN573" s="517"/>
      <c r="AO573" s="520"/>
      <c r="AP573" s="525"/>
      <c r="AQ573" s="531"/>
      <c r="AR573" s="593"/>
      <c r="AS573" s="518"/>
      <c r="AT573" s="518"/>
      <c r="AU573" s="518"/>
      <c r="AV573" s="519"/>
      <c r="AW573" s="560"/>
      <c r="AX573" s="522"/>
      <c r="AY573" s="522"/>
      <c r="AZ573" s="522"/>
      <c r="BA573" s="522"/>
      <c r="BB573" s="522"/>
      <c r="BC573" s="518"/>
      <c r="BD573" s="518"/>
      <c r="BE573" s="518"/>
      <c r="BF573" s="518"/>
      <c r="BG573" s="518"/>
      <c r="BH573" s="519"/>
      <c r="BI573" s="527"/>
      <c r="BJ573" s="518"/>
      <c r="BK573" s="518"/>
      <c r="BL573" s="520"/>
      <c r="BM573" s="520"/>
      <c r="BN573" s="519"/>
      <c r="BO573" s="517"/>
      <c r="BP573" s="520"/>
      <c r="BQ573" s="520"/>
      <c r="BR573" s="519"/>
      <c r="BS573" s="548"/>
      <c r="BT573" s="537"/>
      <c r="BU573" s="521"/>
      <c r="BV573" s="521"/>
      <c r="BW573" s="521"/>
      <c r="BX573" s="521"/>
      <c r="BY573" s="521"/>
      <c r="BZ573" s="521"/>
      <c r="CA573" s="521"/>
      <c r="CB573" s="521"/>
      <c r="CC573" s="521"/>
      <c r="CD573" s="521"/>
      <c r="CE573" s="521"/>
      <c r="CF573" s="521"/>
      <c r="CG573" s="521"/>
      <c r="CH573" s="521"/>
      <c r="CI573" s="521"/>
      <c r="CJ573" s="521"/>
      <c r="CK573" s="521"/>
      <c r="CL573" s="518"/>
      <c r="CM573" s="523"/>
      <c r="CN573" s="523"/>
      <c r="CO573" s="524"/>
      <c r="CP573" s="524"/>
      <c r="CQ573" s="518"/>
      <c r="CR573" s="518"/>
      <c r="CS573" s="518"/>
      <c r="CT573" s="518"/>
      <c r="CU573" s="518"/>
      <c r="CV573" s="518"/>
      <c r="CW573" s="518"/>
      <c r="CX573" s="518"/>
      <c r="CY573" s="518"/>
      <c r="CZ573" s="519"/>
      <c r="DA573" s="527"/>
      <c r="DB573" s="520"/>
      <c r="DC573" s="525"/>
      <c r="DD573" s="531"/>
      <c r="DE573" s="593"/>
      <c r="DF573" s="518"/>
      <c r="DG573" s="518"/>
      <c r="DH573" s="518"/>
      <c r="DI573" s="519"/>
      <c r="DJ573" s="560"/>
      <c r="DK573" s="522"/>
      <c r="DL573" s="522"/>
      <c r="DM573" s="522"/>
      <c r="DN573" s="522"/>
      <c r="DO573" s="522"/>
      <c r="DP573" s="518"/>
      <c r="DQ573" s="518"/>
      <c r="DR573" s="518"/>
      <c r="DS573" s="518"/>
      <c r="DT573" s="518"/>
      <c r="DU573" s="519"/>
      <c r="DV573" s="527"/>
      <c r="DW573" s="518"/>
      <c r="DX573" s="518"/>
      <c r="DY573" s="520"/>
      <c r="DZ573" s="520"/>
      <c r="EA573" s="519"/>
      <c r="EB573" s="527"/>
      <c r="EC573" s="520"/>
      <c r="ED573" s="520"/>
      <c r="EE573" s="519"/>
      <c r="EF573" s="550"/>
      <c r="EG573" s="537"/>
      <c r="EH573" s="521"/>
      <c r="EI573" s="521"/>
      <c r="EJ573" s="521"/>
      <c r="EK573" s="521"/>
      <c r="EL573" s="521"/>
      <c r="EM573" s="521"/>
      <c r="EN573" s="521"/>
      <c r="EO573" s="521"/>
      <c r="EP573" s="521"/>
      <c r="EQ573" s="521"/>
      <c r="ER573" s="521"/>
      <c r="ES573" s="521"/>
      <c r="ET573" s="521"/>
      <c r="EU573" s="521"/>
      <c r="EV573" s="521"/>
      <c r="EW573" s="521"/>
      <c r="EX573" s="521"/>
      <c r="EY573" s="518"/>
      <c r="EZ573" s="523"/>
      <c r="FA573" s="523"/>
      <c r="FB573" s="524"/>
      <c r="FC573" s="524"/>
      <c r="FD573" s="518"/>
      <c r="FE573" s="518"/>
      <c r="FF573" s="518"/>
      <c r="FG573" s="518"/>
      <c r="FH573" s="518"/>
      <c r="FI573" s="518"/>
      <c r="FJ573" s="518"/>
      <c r="FK573" s="518"/>
      <c r="FL573" s="518"/>
      <c r="FM573" s="519"/>
    </row>
    <row r="574" spans="1:169" x14ac:dyDescent="0.25">
      <c r="A574" s="284"/>
      <c r="B574" s="317"/>
      <c r="C574" s="297"/>
      <c r="D574" s="298"/>
      <c r="E574" s="299"/>
      <c r="F574" s="340"/>
      <c r="G574" s="298"/>
      <c r="H574" s="299"/>
      <c r="I574" s="300"/>
      <c r="J574" s="370"/>
      <c r="K574" s="328"/>
      <c r="L574" s="300"/>
      <c r="M574" s="328"/>
      <c r="N574" s="331"/>
      <c r="O574" s="301"/>
      <c r="P574" s="301"/>
      <c r="Q574" s="328"/>
      <c r="R574" s="620"/>
      <c r="S574" s="512"/>
      <c r="T574" s="512"/>
      <c r="U574" s="513"/>
      <c r="V574" s="514"/>
      <c r="W574" s="512"/>
      <c r="X574" s="513"/>
      <c r="Y574" s="514"/>
      <c r="Z574" s="513"/>
      <c r="AA574" s="515"/>
      <c r="AB574" s="516"/>
      <c r="AC574" s="513"/>
      <c r="AD574" s="544"/>
      <c r="AE574" s="516"/>
      <c r="AF574" s="513"/>
      <c r="AG574" s="551"/>
      <c r="AH574" s="595"/>
      <c r="AI574" s="517"/>
      <c r="AJ574" s="518"/>
      <c r="AK574" s="518"/>
      <c r="AL574" s="518"/>
      <c r="AM574" s="519"/>
      <c r="AN574" s="517"/>
      <c r="AO574" s="520"/>
      <c r="AP574" s="525"/>
      <c r="AQ574" s="531"/>
      <c r="AR574" s="593"/>
      <c r="AS574" s="518"/>
      <c r="AT574" s="518"/>
      <c r="AU574" s="518"/>
      <c r="AV574" s="519"/>
      <c r="AW574" s="560"/>
      <c r="AX574" s="522"/>
      <c r="AY574" s="522"/>
      <c r="AZ574" s="522"/>
      <c r="BA574" s="522"/>
      <c r="BB574" s="522"/>
      <c r="BC574" s="518"/>
      <c r="BD574" s="518"/>
      <c r="BE574" s="518"/>
      <c r="BF574" s="518"/>
      <c r="BG574" s="518"/>
      <c r="BH574" s="519"/>
      <c r="BI574" s="527"/>
      <c r="BJ574" s="518"/>
      <c r="BK574" s="518"/>
      <c r="BL574" s="520"/>
      <c r="BM574" s="520"/>
      <c r="BN574" s="519"/>
      <c r="BO574" s="517"/>
      <c r="BP574" s="520"/>
      <c r="BQ574" s="520"/>
      <c r="BR574" s="519"/>
      <c r="BS574" s="548"/>
      <c r="BT574" s="537"/>
      <c r="BU574" s="521"/>
      <c r="BV574" s="521"/>
      <c r="BW574" s="521"/>
      <c r="BX574" s="521"/>
      <c r="BY574" s="521"/>
      <c r="BZ574" s="521"/>
      <c r="CA574" s="521"/>
      <c r="CB574" s="521"/>
      <c r="CC574" s="521"/>
      <c r="CD574" s="521"/>
      <c r="CE574" s="521"/>
      <c r="CF574" s="521"/>
      <c r="CG574" s="521"/>
      <c r="CH574" s="521"/>
      <c r="CI574" s="521"/>
      <c r="CJ574" s="521"/>
      <c r="CK574" s="521"/>
      <c r="CL574" s="518"/>
      <c r="CM574" s="523"/>
      <c r="CN574" s="523"/>
      <c r="CO574" s="524"/>
      <c r="CP574" s="524"/>
      <c r="CQ574" s="518"/>
      <c r="CR574" s="518"/>
      <c r="CS574" s="518"/>
      <c r="CT574" s="518"/>
      <c r="CU574" s="518"/>
      <c r="CV574" s="518"/>
      <c r="CW574" s="518"/>
      <c r="CX574" s="518"/>
      <c r="CY574" s="518"/>
      <c r="CZ574" s="519"/>
      <c r="DA574" s="527"/>
      <c r="DB574" s="520"/>
      <c r="DC574" s="525"/>
      <c r="DD574" s="531"/>
      <c r="DE574" s="593"/>
      <c r="DF574" s="518"/>
      <c r="DG574" s="518"/>
      <c r="DH574" s="518"/>
      <c r="DI574" s="519"/>
      <c r="DJ574" s="560"/>
      <c r="DK574" s="522"/>
      <c r="DL574" s="522"/>
      <c r="DM574" s="522"/>
      <c r="DN574" s="522"/>
      <c r="DO574" s="522"/>
      <c r="DP574" s="518"/>
      <c r="DQ574" s="518"/>
      <c r="DR574" s="518"/>
      <c r="DS574" s="518"/>
      <c r="DT574" s="518"/>
      <c r="DU574" s="519"/>
      <c r="DV574" s="527"/>
      <c r="DW574" s="518"/>
      <c r="DX574" s="518"/>
      <c r="DY574" s="520"/>
      <c r="DZ574" s="520"/>
      <c r="EA574" s="519"/>
      <c r="EB574" s="527"/>
      <c r="EC574" s="520"/>
      <c r="ED574" s="520"/>
      <c r="EE574" s="519"/>
      <c r="EF574" s="550"/>
      <c r="EG574" s="537"/>
      <c r="EH574" s="521"/>
      <c r="EI574" s="521"/>
      <c r="EJ574" s="521"/>
      <c r="EK574" s="521"/>
      <c r="EL574" s="521"/>
      <c r="EM574" s="521"/>
      <c r="EN574" s="521"/>
      <c r="EO574" s="521"/>
      <c r="EP574" s="521"/>
      <c r="EQ574" s="521"/>
      <c r="ER574" s="521"/>
      <c r="ES574" s="521"/>
      <c r="ET574" s="521"/>
      <c r="EU574" s="521"/>
      <c r="EV574" s="521"/>
      <c r="EW574" s="521"/>
      <c r="EX574" s="521"/>
      <c r="EY574" s="518"/>
      <c r="EZ574" s="523"/>
      <c r="FA574" s="523"/>
      <c r="FB574" s="524"/>
      <c r="FC574" s="524"/>
      <c r="FD574" s="518"/>
      <c r="FE574" s="518"/>
      <c r="FF574" s="518"/>
      <c r="FG574" s="518"/>
      <c r="FH574" s="518"/>
      <c r="FI574" s="518"/>
      <c r="FJ574" s="518"/>
      <c r="FK574" s="518"/>
      <c r="FL574" s="518"/>
      <c r="FM574" s="519"/>
    </row>
    <row r="575" spans="1:169" x14ac:dyDescent="0.25">
      <c r="A575" s="284"/>
      <c r="B575" s="317"/>
      <c r="C575" s="297"/>
      <c r="D575" s="298"/>
      <c r="E575" s="299"/>
      <c r="F575" s="340"/>
      <c r="G575" s="298"/>
      <c r="H575" s="299"/>
      <c r="I575" s="300"/>
      <c r="J575" s="370"/>
      <c r="K575" s="328"/>
      <c r="L575" s="300"/>
      <c r="M575" s="328"/>
      <c r="N575" s="331"/>
      <c r="O575" s="301"/>
      <c r="P575" s="301"/>
      <c r="Q575" s="328"/>
      <c r="R575" s="620"/>
      <c r="S575" s="512"/>
      <c r="T575" s="512"/>
      <c r="U575" s="513"/>
      <c r="V575" s="514"/>
      <c r="W575" s="512"/>
      <c r="X575" s="513"/>
      <c r="Y575" s="514"/>
      <c r="Z575" s="513"/>
      <c r="AA575" s="515"/>
      <c r="AB575" s="516"/>
      <c r="AC575" s="513"/>
      <c r="AD575" s="544"/>
      <c r="AE575" s="516"/>
      <c r="AF575" s="513"/>
      <c r="AG575" s="551"/>
      <c r="AH575" s="595"/>
      <c r="AI575" s="517"/>
      <c r="AJ575" s="518"/>
      <c r="AK575" s="518"/>
      <c r="AL575" s="518"/>
      <c r="AM575" s="519"/>
      <c r="AN575" s="517"/>
      <c r="AO575" s="520"/>
      <c r="AP575" s="525"/>
      <c r="AQ575" s="531"/>
      <c r="AR575" s="593"/>
      <c r="AS575" s="518"/>
      <c r="AT575" s="518"/>
      <c r="AU575" s="518"/>
      <c r="AV575" s="519"/>
      <c r="AW575" s="560"/>
      <c r="AX575" s="522"/>
      <c r="AY575" s="522"/>
      <c r="AZ575" s="522"/>
      <c r="BA575" s="522"/>
      <c r="BB575" s="522"/>
      <c r="BC575" s="518"/>
      <c r="BD575" s="518"/>
      <c r="BE575" s="518"/>
      <c r="BF575" s="518"/>
      <c r="BG575" s="518"/>
      <c r="BH575" s="519"/>
      <c r="BI575" s="527"/>
      <c r="BJ575" s="518"/>
      <c r="BK575" s="518"/>
      <c r="BL575" s="520"/>
      <c r="BM575" s="520"/>
      <c r="BN575" s="519"/>
      <c r="BO575" s="517"/>
      <c r="BP575" s="520"/>
      <c r="BQ575" s="520"/>
      <c r="BR575" s="519"/>
      <c r="BS575" s="548"/>
      <c r="BT575" s="537"/>
      <c r="BU575" s="521"/>
      <c r="BV575" s="521"/>
      <c r="BW575" s="521"/>
      <c r="BX575" s="521"/>
      <c r="BY575" s="521"/>
      <c r="BZ575" s="521"/>
      <c r="CA575" s="521"/>
      <c r="CB575" s="521"/>
      <c r="CC575" s="521"/>
      <c r="CD575" s="521"/>
      <c r="CE575" s="521"/>
      <c r="CF575" s="521"/>
      <c r="CG575" s="521"/>
      <c r="CH575" s="521"/>
      <c r="CI575" s="521"/>
      <c r="CJ575" s="521"/>
      <c r="CK575" s="521"/>
      <c r="CL575" s="518"/>
      <c r="CM575" s="523"/>
      <c r="CN575" s="523"/>
      <c r="CO575" s="524"/>
      <c r="CP575" s="524"/>
      <c r="CQ575" s="518"/>
      <c r="CR575" s="518"/>
      <c r="CS575" s="518"/>
      <c r="CT575" s="518"/>
      <c r="CU575" s="518"/>
      <c r="CV575" s="518"/>
      <c r="CW575" s="518"/>
      <c r="CX575" s="518"/>
      <c r="CY575" s="518"/>
      <c r="CZ575" s="519"/>
      <c r="DA575" s="527"/>
      <c r="DB575" s="520"/>
      <c r="DC575" s="525"/>
      <c r="DD575" s="531"/>
      <c r="DE575" s="593"/>
      <c r="DF575" s="518"/>
      <c r="DG575" s="518"/>
      <c r="DH575" s="518"/>
      <c r="DI575" s="519"/>
      <c r="DJ575" s="560"/>
      <c r="DK575" s="522"/>
      <c r="DL575" s="522"/>
      <c r="DM575" s="522"/>
      <c r="DN575" s="522"/>
      <c r="DO575" s="522"/>
      <c r="DP575" s="518"/>
      <c r="DQ575" s="518"/>
      <c r="DR575" s="518"/>
      <c r="DS575" s="518"/>
      <c r="DT575" s="518"/>
      <c r="DU575" s="519"/>
      <c r="DV575" s="527"/>
      <c r="DW575" s="518"/>
      <c r="DX575" s="518"/>
      <c r="DY575" s="520"/>
      <c r="DZ575" s="520"/>
      <c r="EA575" s="519"/>
      <c r="EB575" s="527"/>
      <c r="EC575" s="520"/>
      <c r="ED575" s="520"/>
      <c r="EE575" s="519"/>
      <c r="EF575" s="550"/>
      <c r="EG575" s="537"/>
      <c r="EH575" s="521"/>
      <c r="EI575" s="521"/>
      <c r="EJ575" s="521"/>
      <c r="EK575" s="521"/>
      <c r="EL575" s="521"/>
      <c r="EM575" s="521"/>
      <c r="EN575" s="521"/>
      <c r="EO575" s="521"/>
      <c r="EP575" s="521"/>
      <c r="EQ575" s="521"/>
      <c r="ER575" s="521"/>
      <c r="ES575" s="521"/>
      <c r="ET575" s="521"/>
      <c r="EU575" s="521"/>
      <c r="EV575" s="521"/>
      <c r="EW575" s="521"/>
      <c r="EX575" s="521"/>
      <c r="EY575" s="518"/>
      <c r="EZ575" s="523"/>
      <c r="FA575" s="523"/>
      <c r="FB575" s="524"/>
      <c r="FC575" s="524"/>
      <c r="FD575" s="518"/>
      <c r="FE575" s="518"/>
      <c r="FF575" s="518"/>
      <c r="FG575" s="518"/>
      <c r="FH575" s="518"/>
      <c r="FI575" s="518"/>
      <c r="FJ575" s="518"/>
      <c r="FK575" s="518"/>
      <c r="FL575" s="518"/>
      <c r="FM575" s="519"/>
    </row>
    <row r="576" spans="1:169" x14ac:dyDescent="0.25">
      <c r="A576" s="284"/>
      <c r="B576" s="317"/>
      <c r="C576" s="297"/>
      <c r="D576" s="298"/>
      <c r="E576" s="299"/>
      <c r="F576" s="340"/>
      <c r="G576" s="298"/>
      <c r="H576" s="299"/>
      <c r="I576" s="300"/>
      <c r="J576" s="370"/>
      <c r="K576" s="328"/>
      <c r="L576" s="300"/>
      <c r="M576" s="328"/>
      <c r="N576" s="331"/>
      <c r="O576" s="301"/>
      <c r="P576" s="301"/>
      <c r="Q576" s="328"/>
      <c r="R576" s="620"/>
      <c r="S576" s="512"/>
      <c r="T576" s="512"/>
      <c r="U576" s="513"/>
      <c r="V576" s="514"/>
      <c r="W576" s="512"/>
      <c r="X576" s="513"/>
      <c r="Y576" s="514"/>
      <c r="Z576" s="513"/>
      <c r="AA576" s="515"/>
      <c r="AB576" s="516"/>
      <c r="AC576" s="513"/>
      <c r="AD576" s="544"/>
      <c r="AE576" s="516"/>
      <c r="AF576" s="513"/>
      <c r="AG576" s="551"/>
      <c r="AH576" s="595"/>
      <c r="AI576" s="517"/>
      <c r="AJ576" s="518"/>
      <c r="AK576" s="518"/>
      <c r="AL576" s="518"/>
      <c r="AM576" s="519"/>
      <c r="AN576" s="517"/>
      <c r="AO576" s="520"/>
      <c r="AP576" s="525"/>
      <c r="AQ576" s="531"/>
      <c r="AR576" s="593"/>
      <c r="AS576" s="518"/>
      <c r="AT576" s="518"/>
      <c r="AU576" s="518"/>
      <c r="AV576" s="519"/>
      <c r="AW576" s="560"/>
      <c r="AX576" s="522"/>
      <c r="AY576" s="522"/>
      <c r="AZ576" s="522"/>
      <c r="BA576" s="522"/>
      <c r="BB576" s="522"/>
      <c r="BC576" s="518"/>
      <c r="BD576" s="518"/>
      <c r="BE576" s="518"/>
      <c r="BF576" s="518"/>
      <c r="BG576" s="518"/>
      <c r="BH576" s="519"/>
      <c r="BI576" s="527"/>
      <c r="BJ576" s="518"/>
      <c r="BK576" s="518"/>
      <c r="BL576" s="520"/>
      <c r="BM576" s="520"/>
      <c r="BN576" s="519"/>
      <c r="BO576" s="517"/>
      <c r="BP576" s="520"/>
      <c r="BQ576" s="520"/>
      <c r="BR576" s="519"/>
      <c r="BS576" s="548"/>
      <c r="BT576" s="537"/>
      <c r="BU576" s="521"/>
      <c r="BV576" s="521"/>
      <c r="BW576" s="521"/>
      <c r="BX576" s="521"/>
      <c r="BY576" s="521"/>
      <c r="BZ576" s="521"/>
      <c r="CA576" s="521"/>
      <c r="CB576" s="521"/>
      <c r="CC576" s="521"/>
      <c r="CD576" s="521"/>
      <c r="CE576" s="521"/>
      <c r="CF576" s="521"/>
      <c r="CG576" s="521"/>
      <c r="CH576" s="521"/>
      <c r="CI576" s="521"/>
      <c r="CJ576" s="521"/>
      <c r="CK576" s="521"/>
      <c r="CL576" s="518"/>
      <c r="CM576" s="523"/>
      <c r="CN576" s="523"/>
      <c r="CO576" s="524"/>
      <c r="CP576" s="524"/>
      <c r="CQ576" s="518"/>
      <c r="CR576" s="518"/>
      <c r="CS576" s="518"/>
      <c r="CT576" s="518"/>
      <c r="CU576" s="518"/>
      <c r="CV576" s="518"/>
      <c r="CW576" s="518"/>
      <c r="CX576" s="518"/>
      <c r="CY576" s="518"/>
      <c r="CZ576" s="519"/>
      <c r="DA576" s="527"/>
      <c r="DB576" s="520"/>
      <c r="DC576" s="525"/>
      <c r="DD576" s="531"/>
      <c r="DE576" s="593"/>
      <c r="DF576" s="518"/>
      <c r="DG576" s="518"/>
      <c r="DH576" s="518"/>
      <c r="DI576" s="519"/>
      <c r="DJ576" s="560"/>
      <c r="DK576" s="522"/>
      <c r="DL576" s="522"/>
      <c r="DM576" s="522"/>
      <c r="DN576" s="522"/>
      <c r="DO576" s="522"/>
      <c r="DP576" s="518"/>
      <c r="DQ576" s="518"/>
      <c r="DR576" s="518"/>
      <c r="DS576" s="518"/>
      <c r="DT576" s="518"/>
      <c r="DU576" s="519"/>
      <c r="DV576" s="527"/>
      <c r="DW576" s="518"/>
      <c r="DX576" s="518"/>
      <c r="DY576" s="520"/>
      <c r="DZ576" s="520"/>
      <c r="EA576" s="519"/>
      <c r="EB576" s="527"/>
      <c r="EC576" s="520"/>
      <c r="ED576" s="520"/>
      <c r="EE576" s="519"/>
      <c r="EF576" s="550"/>
      <c r="EG576" s="537"/>
      <c r="EH576" s="521"/>
      <c r="EI576" s="521"/>
      <c r="EJ576" s="521"/>
      <c r="EK576" s="521"/>
      <c r="EL576" s="521"/>
      <c r="EM576" s="521"/>
      <c r="EN576" s="521"/>
      <c r="EO576" s="521"/>
      <c r="EP576" s="521"/>
      <c r="EQ576" s="521"/>
      <c r="ER576" s="521"/>
      <c r="ES576" s="521"/>
      <c r="ET576" s="521"/>
      <c r="EU576" s="521"/>
      <c r="EV576" s="521"/>
      <c r="EW576" s="521"/>
      <c r="EX576" s="521"/>
      <c r="EY576" s="518"/>
      <c r="EZ576" s="523"/>
      <c r="FA576" s="523"/>
      <c r="FB576" s="524"/>
      <c r="FC576" s="524"/>
      <c r="FD576" s="518"/>
      <c r="FE576" s="518"/>
      <c r="FF576" s="518"/>
      <c r="FG576" s="518"/>
      <c r="FH576" s="518"/>
      <c r="FI576" s="518"/>
      <c r="FJ576" s="518"/>
      <c r="FK576" s="518"/>
      <c r="FL576" s="518"/>
      <c r="FM576" s="519"/>
    </row>
    <row r="577" spans="1:169" x14ac:dyDescent="0.25">
      <c r="A577" s="284"/>
      <c r="B577" s="317"/>
      <c r="C577" s="297"/>
      <c r="D577" s="298"/>
      <c r="E577" s="299"/>
      <c r="F577" s="340"/>
      <c r="G577" s="298"/>
      <c r="H577" s="299"/>
      <c r="I577" s="300"/>
      <c r="J577" s="370"/>
      <c r="K577" s="328"/>
      <c r="L577" s="300"/>
      <c r="M577" s="328"/>
      <c r="N577" s="331"/>
      <c r="O577" s="301"/>
      <c r="P577" s="301"/>
      <c r="Q577" s="328"/>
      <c r="R577" s="620"/>
      <c r="S577" s="512"/>
      <c r="T577" s="512"/>
      <c r="U577" s="513"/>
      <c r="V577" s="514"/>
      <c r="W577" s="512"/>
      <c r="X577" s="513"/>
      <c r="Y577" s="514"/>
      <c r="Z577" s="513"/>
      <c r="AA577" s="515"/>
      <c r="AB577" s="516"/>
      <c r="AC577" s="513"/>
      <c r="AD577" s="544"/>
      <c r="AE577" s="516"/>
      <c r="AF577" s="513"/>
      <c r="AG577" s="551"/>
      <c r="AH577" s="595"/>
      <c r="AI577" s="517"/>
      <c r="AJ577" s="518"/>
      <c r="AK577" s="518"/>
      <c r="AL577" s="518"/>
      <c r="AM577" s="519"/>
      <c r="AN577" s="517"/>
      <c r="AO577" s="520"/>
      <c r="AP577" s="525"/>
      <c r="AQ577" s="531"/>
      <c r="AR577" s="593"/>
      <c r="AS577" s="518"/>
      <c r="AT577" s="518"/>
      <c r="AU577" s="518"/>
      <c r="AV577" s="519"/>
      <c r="AW577" s="560"/>
      <c r="AX577" s="522"/>
      <c r="AY577" s="522"/>
      <c r="AZ577" s="522"/>
      <c r="BA577" s="522"/>
      <c r="BB577" s="522"/>
      <c r="BC577" s="518"/>
      <c r="BD577" s="518"/>
      <c r="BE577" s="518"/>
      <c r="BF577" s="518"/>
      <c r="BG577" s="518"/>
      <c r="BH577" s="519"/>
      <c r="BI577" s="527"/>
      <c r="BJ577" s="518"/>
      <c r="BK577" s="518"/>
      <c r="BL577" s="520"/>
      <c r="BM577" s="520"/>
      <c r="BN577" s="519"/>
      <c r="BO577" s="517"/>
      <c r="BP577" s="520"/>
      <c r="BQ577" s="520"/>
      <c r="BR577" s="519"/>
      <c r="BS577" s="548"/>
      <c r="BT577" s="537"/>
      <c r="BU577" s="521"/>
      <c r="BV577" s="521"/>
      <c r="BW577" s="521"/>
      <c r="BX577" s="521"/>
      <c r="BY577" s="521"/>
      <c r="BZ577" s="521"/>
      <c r="CA577" s="521"/>
      <c r="CB577" s="521"/>
      <c r="CC577" s="521"/>
      <c r="CD577" s="521"/>
      <c r="CE577" s="521"/>
      <c r="CF577" s="521"/>
      <c r="CG577" s="521"/>
      <c r="CH577" s="521"/>
      <c r="CI577" s="521"/>
      <c r="CJ577" s="521"/>
      <c r="CK577" s="521"/>
      <c r="CL577" s="518"/>
      <c r="CM577" s="523"/>
      <c r="CN577" s="523"/>
      <c r="CO577" s="524"/>
      <c r="CP577" s="524"/>
      <c r="CQ577" s="518"/>
      <c r="CR577" s="518"/>
      <c r="CS577" s="518"/>
      <c r="CT577" s="518"/>
      <c r="CU577" s="518"/>
      <c r="CV577" s="518"/>
      <c r="CW577" s="518"/>
      <c r="CX577" s="518"/>
      <c r="CY577" s="518"/>
      <c r="CZ577" s="519"/>
      <c r="DA577" s="527"/>
      <c r="DB577" s="520"/>
      <c r="DC577" s="525"/>
      <c r="DD577" s="531"/>
      <c r="DE577" s="593"/>
      <c r="DF577" s="518"/>
      <c r="DG577" s="518"/>
      <c r="DH577" s="518"/>
      <c r="DI577" s="519"/>
      <c r="DJ577" s="560"/>
      <c r="DK577" s="522"/>
      <c r="DL577" s="522"/>
      <c r="DM577" s="522"/>
      <c r="DN577" s="522"/>
      <c r="DO577" s="522"/>
      <c r="DP577" s="518"/>
      <c r="DQ577" s="518"/>
      <c r="DR577" s="518"/>
      <c r="DS577" s="518"/>
      <c r="DT577" s="518"/>
      <c r="DU577" s="519"/>
      <c r="DV577" s="527"/>
      <c r="DW577" s="518"/>
      <c r="DX577" s="518"/>
      <c r="DY577" s="520"/>
      <c r="DZ577" s="520"/>
      <c r="EA577" s="519"/>
      <c r="EB577" s="527"/>
      <c r="EC577" s="520"/>
      <c r="ED577" s="520"/>
      <c r="EE577" s="519"/>
      <c r="EF577" s="550"/>
      <c r="EG577" s="537"/>
      <c r="EH577" s="521"/>
      <c r="EI577" s="521"/>
      <c r="EJ577" s="521"/>
      <c r="EK577" s="521"/>
      <c r="EL577" s="521"/>
      <c r="EM577" s="521"/>
      <c r="EN577" s="521"/>
      <c r="EO577" s="521"/>
      <c r="EP577" s="521"/>
      <c r="EQ577" s="521"/>
      <c r="ER577" s="521"/>
      <c r="ES577" s="521"/>
      <c r="ET577" s="521"/>
      <c r="EU577" s="521"/>
      <c r="EV577" s="521"/>
      <c r="EW577" s="521"/>
      <c r="EX577" s="521"/>
      <c r="EY577" s="518"/>
      <c r="EZ577" s="523"/>
      <c r="FA577" s="523"/>
      <c r="FB577" s="524"/>
      <c r="FC577" s="524"/>
      <c r="FD577" s="518"/>
      <c r="FE577" s="518"/>
      <c r="FF577" s="518"/>
      <c r="FG577" s="518"/>
      <c r="FH577" s="518"/>
      <c r="FI577" s="518"/>
      <c r="FJ577" s="518"/>
      <c r="FK577" s="518"/>
      <c r="FL577" s="518"/>
      <c r="FM577" s="519"/>
    </row>
    <row r="578" spans="1:169" x14ac:dyDescent="0.25">
      <c r="A578" s="284"/>
      <c r="B578" s="317"/>
      <c r="C578" s="297"/>
      <c r="D578" s="298"/>
      <c r="E578" s="299"/>
      <c r="F578" s="340"/>
      <c r="G578" s="298"/>
      <c r="H578" s="299"/>
      <c r="I578" s="300"/>
      <c r="J578" s="370"/>
      <c r="K578" s="328"/>
      <c r="L578" s="300"/>
      <c r="M578" s="328"/>
      <c r="N578" s="331"/>
      <c r="O578" s="301"/>
      <c r="P578" s="301"/>
      <c r="Q578" s="328"/>
      <c r="R578" s="620"/>
      <c r="S578" s="512"/>
      <c r="T578" s="512"/>
      <c r="U578" s="513"/>
      <c r="V578" s="514"/>
      <c r="W578" s="512"/>
      <c r="X578" s="513"/>
      <c r="Y578" s="514"/>
      <c r="Z578" s="513"/>
      <c r="AA578" s="515"/>
      <c r="AB578" s="516"/>
      <c r="AC578" s="513"/>
      <c r="AD578" s="544"/>
      <c r="AE578" s="516"/>
      <c r="AF578" s="513"/>
      <c r="AG578" s="551"/>
      <c r="AH578" s="595"/>
      <c r="AI578" s="517"/>
      <c r="AJ578" s="518"/>
      <c r="AK578" s="518"/>
      <c r="AL578" s="518"/>
      <c r="AM578" s="519"/>
      <c r="AN578" s="517"/>
      <c r="AO578" s="520"/>
      <c r="AP578" s="525"/>
      <c r="AQ578" s="531"/>
      <c r="AR578" s="593"/>
      <c r="AS578" s="518"/>
      <c r="AT578" s="518"/>
      <c r="AU578" s="518"/>
      <c r="AV578" s="519"/>
      <c r="AW578" s="560"/>
      <c r="AX578" s="522"/>
      <c r="AY578" s="522"/>
      <c r="AZ578" s="522"/>
      <c r="BA578" s="522"/>
      <c r="BB578" s="522"/>
      <c r="BC578" s="518"/>
      <c r="BD578" s="518"/>
      <c r="BE578" s="518"/>
      <c r="BF578" s="518"/>
      <c r="BG578" s="518"/>
      <c r="BH578" s="519"/>
      <c r="BI578" s="527"/>
      <c r="BJ578" s="518"/>
      <c r="BK578" s="518"/>
      <c r="BL578" s="520"/>
      <c r="BM578" s="520"/>
      <c r="BN578" s="519"/>
      <c r="BO578" s="517"/>
      <c r="BP578" s="520"/>
      <c r="BQ578" s="520"/>
      <c r="BR578" s="519"/>
      <c r="BS578" s="548"/>
      <c r="BT578" s="537"/>
      <c r="BU578" s="521"/>
      <c r="BV578" s="521"/>
      <c r="BW578" s="521"/>
      <c r="BX578" s="521"/>
      <c r="BY578" s="521"/>
      <c r="BZ578" s="521"/>
      <c r="CA578" s="521"/>
      <c r="CB578" s="521"/>
      <c r="CC578" s="521"/>
      <c r="CD578" s="521"/>
      <c r="CE578" s="521"/>
      <c r="CF578" s="521"/>
      <c r="CG578" s="521"/>
      <c r="CH578" s="521"/>
      <c r="CI578" s="521"/>
      <c r="CJ578" s="521"/>
      <c r="CK578" s="521"/>
      <c r="CL578" s="518"/>
      <c r="CM578" s="523"/>
      <c r="CN578" s="523"/>
      <c r="CO578" s="524"/>
      <c r="CP578" s="524"/>
      <c r="CQ578" s="518"/>
      <c r="CR578" s="518"/>
      <c r="CS578" s="518"/>
      <c r="CT578" s="518"/>
      <c r="CU578" s="518"/>
      <c r="CV578" s="518"/>
      <c r="CW578" s="518"/>
      <c r="CX578" s="518"/>
      <c r="CY578" s="518"/>
      <c r="CZ578" s="519"/>
      <c r="DA578" s="527"/>
      <c r="DB578" s="520"/>
      <c r="DC578" s="525"/>
      <c r="DD578" s="531"/>
      <c r="DE578" s="593"/>
      <c r="DF578" s="518"/>
      <c r="DG578" s="518"/>
      <c r="DH578" s="518"/>
      <c r="DI578" s="519"/>
      <c r="DJ578" s="560"/>
      <c r="DK578" s="522"/>
      <c r="DL578" s="522"/>
      <c r="DM578" s="522"/>
      <c r="DN578" s="522"/>
      <c r="DO578" s="522"/>
      <c r="DP578" s="518"/>
      <c r="DQ578" s="518"/>
      <c r="DR578" s="518"/>
      <c r="DS578" s="518"/>
      <c r="DT578" s="518"/>
      <c r="DU578" s="519"/>
      <c r="DV578" s="527"/>
      <c r="DW578" s="518"/>
      <c r="DX578" s="518"/>
      <c r="DY578" s="520"/>
      <c r="DZ578" s="520"/>
      <c r="EA578" s="519"/>
      <c r="EB578" s="527"/>
      <c r="EC578" s="520"/>
      <c r="ED578" s="520"/>
      <c r="EE578" s="519"/>
      <c r="EF578" s="550"/>
      <c r="EG578" s="537"/>
      <c r="EH578" s="521"/>
      <c r="EI578" s="521"/>
      <c r="EJ578" s="521"/>
      <c r="EK578" s="521"/>
      <c r="EL578" s="521"/>
      <c r="EM578" s="521"/>
      <c r="EN578" s="521"/>
      <c r="EO578" s="521"/>
      <c r="EP578" s="521"/>
      <c r="EQ578" s="521"/>
      <c r="ER578" s="521"/>
      <c r="ES578" s="521"/>
      <c r="ET578" s="521"/>
      <c r="EU578" s="521"/>
      <c r="EV578" s="521"/>
      <c r="EW578" s="521"/>
      <c r="EX578" s="521"/>
      <c r="EY578" s="518"/>
      <c r="EZ578" s="523"/>
      <c r="FA578" s="523"/>
      <c r="FB578" s="524"/>
      <c r="FC578" s="524"/>
      <c r="FD578" s="518"/>
      <c r="FE578" s="518"/>
      <c r="FF578" s="518"/>
      <c r="FG578" s="518"/>
      <c r="FH578" s="518"/>
      <c r="FI578" s="518"/>
      <c r="FJ578" s="518"/>
      <c r="FK578" s="518"/>
      <c r="FL578" s="518"/>
      <c r="FM578" s="519"/>
    </row>
    <row r="579" spans="1:169" x14ac:dyDescent="0.25">
      <c r="A579" s="284"/>
      <c r="B579" s="317"/>
      <c r="C579" s="297"/>
      <c r="D579" s="298"/>
      <c r="E579" s="299"/>
      <c r="F579" s="340"/>
      <c r="G579" s="298"/>
      <c r="H579" s="299"/>
      <c r="I579" s="300"/>
      <c r="J579" s="370"/>
      <c r="K579" s="328"/>
      <c r="L579" s="300"/>
      <c r="M579" s="328"/>
      <c r="N579" s="331"/>
      <c r="O579" s="301"/>
      <c r="P579" s="301"/>
      <c r="Q579" s="328"/>
      <c r="R579" s="620"/>
      <c r="S579" s="512"/>
      <c r="T579" s="512"/>
      <c r="U579" s="513"/>
      <c r="V579" s="514"/>
      <c r="W579" s="512"/>
      <c r="X579" s="513"/>
      <c r="Y579" s="514"/>
      <c r="Z579" s="513"/>
      <c r="AA579" s="515"/>
      <c r="AB579" s="516"/>
      <c r="AC579" s="513"/>
      <c r="AD579" s="544"/>
      <c r="AE579" s="516"/>
      <c r="AF579" s="513"/>
      <c r="AG579" s="551"/>
      <c r="AH579" s="595"/>
      <c r="AI579" s="517"/>
      <c r="AJ579" s="518"/>
      <c r="AK579" s="518"/>
      <c r="AL579" s="518"/>
      <c r="AM579" s="519"/>
      <c r="AN579" s="517"/>
      <c r="AO579" s="520"/>
      <c r="AP579" s="525"/>
      <c r="AQ579" s="531"/>
      <c r="AR579" s="593"/>
      <c r="AS579" s="518"/>
      <c r="AT579" s="518"/>
      <c r="AU579" s="518"/>
      <c r="AV579" s="519"/>
      <c r="AW579" s="560"/>
      <c r="AX579" s="522"/>
      <c r="AY579" s="522"/>
      <c r="AZ579" s="522"/>
      <c r="BA579" s="522"/>
      <c r="BB579" s="522"/>
      <c r="BC579" s="518"/>
      <c r="BD579" s="518"/>
      <c r="BE579" s="518"/>
      <c r="BF579" s="518"/>
      <c r="BG579" s="518"/>
      <c r="BH579" s="519"/>
      <c r="BI579" s="527"/>
      <c r="BJ579" s="518"/>
      <c r="BK579" s="518"/>
      <c r="BL579" s="520"/>
      <c r="BM579" s="520"/>
      <c r="BN579" s="519"/>
      <c r="BO579" s="517"/>
      <c r="BP579" s="520"/>
      <c r="BQ579" s="520"/>
      <c r="BR579" s="519"/>
      <c r="BS579" s="548"/>
      <c r="BT579" s="537"/>
      <c r="BU579" s="521"/>
      <c r="BV579" s="521"/>
      <c r="BW579" s="521"/>
      <c r="BX579" s="521"/>
      <c r="BY579" s="521"/>
      <c r="BZ579" s="521"/>
      <c r="CA579" s="521"/>
      <c r="CB579" s="521"/>
      <c r="CC579" s="521"/>
      <c r="CD579" s="521"/>
      <c r="CE579" s="521"/>
      <c r="CF579" s="521"/>
      <c r="CG579" s="521"/>
      <c r="CH579" s="521"/>
      <c r="CI579" s="521"/>
      <c r="CJ579" s="521"/>
      <c r="CK579" s="521"/>
      <c r="CL579" s="518"/>
      <c r="CM579" s="523"/>
      <c r="CN579" s="523"/>
      <c r="CO579" s="524"/>
      <c r="CP579" s="524"/>
      <c r="CQ579" s="518"/>
      <c r="CR579" s="518"/>
      <c r="CS579" s="518"/>
      <c r="CT579" s="518"/>
      <c r="CU579" s="518"/>
      <c r="CV579" s="518"/>
      <c r="CW579" s="518"/>
      <c r="CX579" s="518"/>
      <c r="CY579" s="518"/>
      <c r="CZ579" s="519"/>
      <c r="DA579" s="527"/>
      <c r="DB579" s="520"/>
      <c r="DC579" s="525"/>
      <c r="DD579" s="531"/>
      <c r="DE579" s="593"/>
      <c r="DF579" s="518"/>
      <c r="DG579" s="518"/>
      <c r="DH579" s="518"/>
      <c r="DI579" s="519"/>
      <c r="DJ579" s="560"/>
      <c r="DK579" s="522"/>
      <c r="DL579" s="522"/>
      <c r="DM579" s="522"/>
      <c r="DN579" s="522"/>
      <c r="DO579" s="522"/>
      <c r="DP579" s="518"/>
      <c r="DQ579" s="518"/>
      <c r="DR579" s="518"/>
      <c r="DS579" s="518"/>
      <c r="DT579" s="518"/>
      <c r="DU579" s="519"/>
      <c r="DV579" s="527"/>
      <c r="DW579" s="518"/>
      <c r="DX579" s="518"/>
      <c r="DY579" s="520"/>
      <c r="DZ579" s="520"/>
      <c r="EA579" s="519"/>
      <c r="EB579" s="527"/>
      <c r="EC579" s="520"/>
      <c r="ED579" s="520"/>
      <c r="EE579" s="519"/>
      <c r="EF579" s="550"/>
      <c r="EG579" s="537"/>
      <c r="EH579" s="521"/>
      <c r="EI579" s="521"/>
      <c r="EJ579" s="521"/>
      <c r="EK579" s="521"/>
      <c r="EL579" s="521"/>
      <c r="EM579" s="521"/>
      <c r="EN579" s="521"/>
      <c r="EO579" s="521"/>
      <c r="EP579" s="521"/>
      <c r="EQ579" s="521"/>
      <c r="ER579" s="521"/>
      <c r="ES579" s="521"/>
      <c r="ET579" s="521"/>
      <c r="EU579" s="521"/>
      <c r="EV579" s="521"/>
      <c r="EW579" s="521"/>
      <c r="EX579" s="521"/>
      <c r="EY579" s="518"/>
      <c r="EZ579" s="523"/>
      <c r="FA579" s="523"/>
      <c r="FB579" s="524"/>
      <c r="FC579" s="524"/>
      <c r="FD579" s="518"/>
      <c r="FE579" s="518"/>
      <c r="FF579" s="518"/>
      <c r="FG579" s="518"/>
      <c r="FH579" s="518"/>
      <c r="FI579" s="518"/>
      <c r="FJ579" s="518"/>
      <c r="FK579" s="518"/>
      <c r="FL579" s="518"/>
      <c r="FM579" s="519"/>
    </row>
    <row r="580" spans="1:169" x14ac:dyDescent="0.25">
      <c r="A580" s="284"/>
      <c r="B580" s="317"/>
      <c r="C580" s="297"/>
      <c r="D580" s="298"/>
      <c r="E580" s="299"/>
      <c r="F580" s="340"/>
      <c r="G580" s="298"/>
      <c r="H580" s="299"/>
      <c r="I580" s="300"/>
      <c r="J580" s="370"/>
      <c r="K580" s="328"/>
      <c r="L580" s="300"/>
      <c r="M580" s="328"/>
      <c r="N580" s="331"/>
      <c r="O580" s="301"/>
      <c r="P580" s="301"/>
      <c r="Q580" s="328"/>
      <c r="R580" s="620"/>
      <c r="S580" s="512"/>
      <c r="T580" s="512"/>
      <c r="U580" s="513"/>
      <c r="V580" s="514"/>
      <c r="W580" s="512"/>
      <c r="X580" s="513"/>
      <c r="Y580" s="514"/>
      <c r="Z580" s="513"/>
      <c r="AA580" s="515"/>
      <c r="AB580" s="516"/>
      <c r="AC580" s="513"/>
      <c r="AD580" s="544"/>
      <c r="AE580" s="516"/>
      <c r="AF580" s="513"/>
      <c r="AG580" s="551"/>
      <c r="AH580" s="595"/>
      <c r="AI580" s="517"/>
      <c r="AJ580" s="518"/>
      <c r="AK580" s="518"/>
      <c r="AL580" s="518"/>
      <c r="AM580" s="519"/>
      <c r="AN580" s="517"/>
      <c r="AO580" s="520"/>
      <c r="AP580" s="525"/>
      <c r="AQ580" s="531"/>
      <c r="AR580" s="593"/>
      <c r="AS580" s="518"/>
      <c r="AT580" s="518"/>
      <c r="AU580" s="518"/>
      <c r="AV580" s="519"/>
      <c r="AW580" s="560"/>
      <c r="AX580" s="522"/>
      <c r="AY580" s="522"/>
      <c r="AZ580" s="522"/>
      <c r="BA580" s="522"/>
      <c r="BB580" s="522"/>
      <c r="BC580" s="518"/>
      <c r="BD580" s="518"/>
      <c r="BE580" s="518"/>
      <c r="BF580" s="518"/>
      <c r="BG580" s="518"/>
      <c r="BH580" s="519"/>
      <c r="BI580" s="527"/>
      <c r="BJ580" s="518"/>
      <c r="BK580" s="518"/>
      <c r="BL580" s="520"/>
      <c r="BM580" s="520"/>
      <c r="BN580" s="519"/>
      <c r="BO580" s="517"/>
      <c r="BP580" s="520"/>
      <c r="BQ580" s="520"/>
      <c r="BR580" s="519"/>
      <c r="BS580" s="548"/>
      <c r="BT580" s="537"/>
      <c r="BU580" s="521"/>
      <c r="BV580" s="521"/>
      <c r="BW580" s="521"/>
      <c r="BX580" s="521"/>
      <c r="BY580" s="521"/>
      <c r="BZ580" s="521"/>
      <c r="CA580" s="521"/>
      <c r="CB580" s="521"/>
      <c r="CC580" s="521"/>
      <c r="CD580" s="521"/>
      <c r="CE580" s="521"/>
      <c r="CF580" s="521"/>
      <c r="CG580" s="521"/>
      <c r="CH580" s="521"/>
      <c r="CI580" s="521"/>
      <c r="CJ580" s="521"/>
      <c r="CK580" s="521"/>
      <c r="CL580" s="518"/>
      <c r="CM580" s="523"/>
      <c r="CN580" s="523"/>
      <c r="CO580" s="524"/>
      <c r="CP580" s="524"/>
      <c r="CQ580" s="518"/>
      <c r="CR580" s="518"/>
      <c r="CS580" s="518"/>
      <c r="CT580" s="518"/>
      <c r="CU580" s="518"/>
      <c r="CV580" s="518"/>
      <c r="CW580" s="518"/>
      <c r="CX580" s="518"/>
      <c r="CY580" s="518"/>
      <c r="CZ580" s="519"/>
      <c r="DA580" s="527"/>
      <c r="DB580" s="520"/>
      <c r="DC580" s="525"/>
      <c r="DD580" s="531"/>
      <c r="DE580" s="593"/>
      <c r="DF580" s="518"/>
      <c r="DG580" s="518"/>
      <c r="DH580" s="518"/>
      <c r="DI580" s="519"/>
      <c r="DJ580" s="560"/>
      <c r="DK580" s="522"/>
      <c r="DL580" s="522"/>
      <c r="DM580" s="522"/>
      <c r="DN580" s="522"/>
      <c r="DO580" s="522"/>
      <c r="DP580" s="518"/>
      <c r="DQ580" s="518"/>
      <c r="DR580" s="518"/>
      <c r="DS580" s="518"/>
      <c r="DT580" s="518"/>
      <c r="DU580" s="519"/>
      <c r="DV580" s="527"/>
      <c r="DW580" s="518"/>
      <c r="DX580" s="518"/>
      <c r="DY580" s="520"/>
      <c r="DZ580" s="520"/>
      <c r="EA580" s="519"/>
      <c r="EB580" s="527"/>
      <c r="EC580" s="520"/>
      <c r="ED580" s="520"/>
      <c r="EE580" s="519"/>
      <c r="EF580" s="550"/>
      <c r="EG580" s="537"/>
      <c r="EH580" s="521"/>
      <c r="EI580" s="521"/>
      <c r="EJ580" s="521"/>
      <c r="EK580" s="521"/>
      <c r="EL580" s="521"/>
      <c r="EM580" s="521"/>
      <c r="EN580" s="521"/>
      <c r="EO580" s="521"/>
      <c r="EP580" s="521"/>
      <c r="EQ580" s="521"/>
      <c r="ER580" s="521"/>
      <c r="ES580" s="521"/>
      <c r="ET580" s="521"/>
      <c r="EU580" s="521"/>
      <c r="EV580" s="521"/>
      <c r="EW580" s="521"/>
      <c r="EX580" s="521"/>
      <c r="EY580" s="518"/>
      <c r="EZ580" s="523"/>
      <c r="FA580" s="523"/>
      <c r="FB580" s="524"/>
      <c r="FC580" s="524"/>
      <c r="FD580" s="518"/>
      <c r="FE580" s="518"/>
      <c r="FF580" s="518"/>
      <c r="FG580" s="518"/>
      <c r="FH580" s="518"/>
      <c r="FI580" s="518"/>
      <c r="FJ580" s="518"/>
      <c r="FK580" s="518"/>
      <c r="FL580" s="518"/>
      <c r="FM580" s="519"/>
    </row>
    <row r="581" spans="1:169" x14ac:dyDescent="0.25">
      <c r="A581" s="284"/>
      <c r="B581" s="317"/>
      <c r="C581" s="297"/>
      <c r="D581" s="298"/>
      <c r="E581" s="299"/>
      <c r="F581" s="340"/>
      <c r="G581" s="298"/>
      <c r="H581" s="299"/>
      <c r="I581" s="300"/>
      <c r="J581" s="370"/>
      <c r="K581" s="328"/>
      <c r="L581" s="300"/>
      <c r="M581" s="328"/>
      <c r="N581" s="331"/>
      <c r="O581" s="301"/>
      <c r="P581" s="301"/>
      <c r="Q581" s="328"/>
      <c r="R581" s="620"/>
      <c r="S581" s="512"/>
      <c r="T581" s="512"/>
      <c r="U581" s="513"/>
      <c r="V581" s="514"/>
      <c r="W581" s="512"/>
      <c r="X581" s="513"/>
      <c r="Y581" s="514"/>
      <c r="Z581" s="513"/>
      <c r="AA581" s="515"/>
      <c r="AB581" s="516"/>
      <c r="AC581" s="513"/>
      <c r="AD581" s="544"/>
      <c r="AE581" s="516"/>
      <c r="AF581" s="513"/>
      <c r="AG581" s="551"/>
      <c r="AH581" s="595"/>
      <c r="AI581" s="517"/>
      <c r="AJ581" s="518"/>
      <c r="AK581" s="518"/>
      <c r="AL581" s="518"/>
      <c r="AM581" s="519"/>
      <c r="AN581" s="517"/>
      <c r="AO581" s="520"/>
      <c r="AP581" s="525"/>
      <c r="AQ581" s="531"/>
      <c r="AR581" s="593"/>
      <c r="AS581" s="518"/>
      <c r="AT581" s="518"/>
      <c r="AU581" s="518"/>
      <c r="AV581" s="519"/>
      <c r="AW581" s="560"/>
      <c r="AX581" s="522"/>
      <c r="AY581" s="522"/>
      <c r="AZ581" s="522"/>
      <c r="BA581" s="522"/>
      <c r="BB581" s="522"/>
      <c r="BC581" s="518"/>
      <c r="BD581" s="518"/>
      <c r="BE581" s="518"/>
      <c r="BF581" s="518"/>
      <c r="BG581" s="518"/>
      <c r="BH581" s="519"/>
      <c r="BI581" s="527"/>
      <c r="BJ581" s="518"/>
      <c r="BK581" s="518"/>
      <c r="BL581" s="520"/>
      <c r="BM581" s="520"/>
      <c r="BN581" s="519"/>
      <c r="BO581" s="517"/>
      <c r="BP581" s="520"/>
      <c r="BQ581" s="520"/>
      <c r="BR581" s="519"/>
      <c r="BS581" s="548"/>
      <c r="BT581" s="537"/>
      <c r="BU581" s="521"/>
      <c r="BV581" s="521"/>
      <c r="BW581" s="521"/>
      <c r="BX581" s="521"/>
      <c r="BY581" s="521"/>
      <c r="BZ581" s="521"/>
      <c r="CA581" s="521"/>
      <c r="CB581" s="521"/>
      <c r="CC581" s="521"/>
      <c r="CD581" s="521"/>
      <c r="CE581" s="521"/>
      <c r="CF581" s="521"/>
      <c r="CG581" s="521"/>
      <c r="CH581" s="521"/>
      <c r="CI581" s="521"/>
      <c r="CJ581" s="521"/>
      <c r="CK581" s="521"/>
      <c r="CL581" s="518"/>
      <c r="CM581" s="523"/>
      <c r="CN581" s="523"/>
      <c r="CO581" s="524"/>
      <c r="CP581" s="524"/>
      <c r="CQ581" s="518"/>
      <c r="CR581" s="518"/>
      <c r="CS581" s="518"/>
      <c r="CT581" s="518"/>
      <c r="CU581" s="518"/>
      <c r="CV581" s="518"/>
      <c r="CW581" s="518"/>
      <c r="CX581" s="518"/>
      <c r="CY581" s="518"/>
      <c r="CZ581" s="519"/>
      <c r="DA581" s="527"/>
      <c r="DB581" s="520"/>
      <c r="DC581" s="525"/>
      <c r="DD581" s="531"/>
      <c r="DE581" s="593"/>
      <c r="DF581" s="518"/>
      <c r="DG581" s="518"/>
      <c r="DH581" s="518"/>
      <c r="DI581" s="519"/>
      <c r="DJ581" s="560"/>
      <c r="DK581" s="522"/>
      <c r="DL581" s="522"/>
      <c r="DM581" s="522"/>
      <c r="DN581" s="522"/>
      <c r="DO581" s="522"/>
      <c r="DP581" s="518"/>
      <c r="DQ581" s="518"/>
      <c r="DR581" s="518"/>
      <c r="DS581" s="518"/>
      <c r="DT581" s="518"/>
      <c r="DU581" s="519"/>
      <c r="DV581" s="527"/>
      <c r="DW581" s="518"/>
      <c r="DX581" s="518"/>
      <c r="DY581" s="520"/>
      <c r="DZ581" s="520"/>
      <c r="EA581" s="519"/>
      <c r="EB581" s="527"/>
      <c r="EC581" s="520"/>
      <c r="ED581" s="520"/>
      <c r="EE581" s="519"/>
      <c r="EF581" s="550"/>
      <c r="EG581" s="537"/>
      <c r="EH581" s="521"/>
      <c r="EI581" s="521"/>
      <c r="EJ581" s="521"/>
      <c r="EK581" s="521"/>
      <c r="EL581" s="521"/>
      <c r="EM581" s="521"/>
      <c r="EN581" s="521"/>
      <c r="EO581" s="521"/>
      <c r="EP581" s="521"/>
      <c r="EQ581" s="521"/>
      <c r="ER581" s="521"/>
      <c r="ES581" s="521"/>
      <c r="ET581" s="521"/>
      <c r="EU581" s="521"/>
      <c r="EV581" s="521"/>
      <c r="EW581" s="521"/>
      <c r="EX581" s="521"/>
      <c r="EY581" s="518"/>
      <c r="EZ581" s="523"/>
      <c r="FA581" s="523"/>
      <c r="FB581" s="524"/>
      <c r="FC581" s="524"/>
      <c r="FD581" s="518"/>
      <c r="FE581" s="518"/>
      <c r="FF581" s="518"/>
      <c r="FG581" s="518"/>
      <c r="FH581" s="518"/>
      <c r="FI581" s="518"/>
      <c r="FJ581" s="518"/>
      <c r="FK581" s="518"/>
      <c r="FL581" s="518"/>
      <c r="FM581" s="519"/>
    </row>
    <row r="582" spans="1:169" x14ac:dyDescent="0.25">
      <c r="A582" s="284"/>
      <c r="B582" s="317"/>
      <c r="C582" s="297"/>
      <c r="D582" s="298"/>
      <c r="E582" s="299"/>
      <c r="F582" s="340"/>
      <c r="G582" s="298"/>
      <c r="H582" s="299"/>
      <c r="I582" s="300"/>
      <c r="J582" s="370"/>
      <c r="K582" s="328"/>
      <c r="L582" s="300"/>
      <c r="M582" s="328"/>
      <c r="N582" s="331"/>
      <c r="O582" s="301"/>
      <c r="P582" s="301"/>
      <c r="Q582" s="328"/>
      <c r="R582" s="620"/>
      <c r="S582" s="512"/>
      <c r="T582" s="512"/>
      <c r="U582" s="513"/>
      <c r="V582" s="514"/>
      <c r="W582" s="512"/>
      <c r="X582" s="513"/>
      <c r="Y582" s="514"/>
      <c r="Z582" s="513"/>
      <c r="AA582" s="515"/>
      <c r="AB582" s="516"/>
      <c r="AC582" s="513"/>
      <c r="AD582" s="544"/>
      <c r="AE582" s="516"/>
      <c r="AF582" s="513"/>
      <c r="AG582" s="551"/>
      <c r="AH582" s="595"/>
      <c r="AI582" s="517"/>
      <c r="AJ582" s="518"/>
      <c r="AK582" s="518"/>
      <c r="AL582" s="518"/>
      <c r="AM582" s="519"/>
      <c r="AN582" s="517"/>
      <c r="AO582" s="520"/>
      <c r="AP582" s="525"/>
      <c r="AQ582" s="531"/>
      <c r="AR582" s="593"/>
      <c r="AS582" s="518"/>
      <c r="AT582" s="518"/>
      <c r="AU582" s="518"/>
      <c r="AV582" s="519"/>
      <c r="AW582" s="560"/>
      <c r="AX582" s="522"/>
      <c r="AY582" s="522"/>
      <c r="AZ582" s="522"/>
      <c r="BA582" s="522"/>
      <c r="BB582" s="522"/>
      <c r="BC582" s="518"/>
      <c r="BD582" s="518"/>
      <c r="BE582" s="518"/>
      <c r="BF582" s="518"/>
      <c r="BG582" s="518"/>
      <c r="BH582" s="519"/>
      <c r="BI582" s="527"/>
      <c r="BJ582" s="518"/>
      <c r="BK582" s="518"/>
      <c r="BL582" s="520"/>
      <c r="BM582" s="520"/>
      <c r="BN582" s="519"/>
      <c r="BO582" s="517"/>
      <c r="BP582" s="520"/>
      <c r="BQ582" s="520"/>
      <c r="BR582" s="519"/>
      <c r="BS582" s="548"/>
      <c r="BT582" s="537"/>
      <c r="BU582" s="521"/>
      <c r="BV582" s="521"/>
      <c r="BW582" s="521"/>
      <c r="BX582" s="521"/>
      <c r="BY582" s="521"/>
      <c r="BZ582" s="521"/>
      <c r="CA582" s="521"/>
      <c r="CB582" s="521"/>
      <c r="CC582" s="521"/>
      <c r="CD582" s="521"/>
      <c r="CE582" s="521"/>
      <c r="CF582" s="521"/>
      <c r="CG582" s="521"/>
      <c r="CH582" s="521"/>
      <c r="CI582" s="521"/>
      <c r="CJ582" s="521"/>
      <c r="CK582" s="521"/>
      <c r="CL582" s="518"/>
      <c r="CM582" s="523"/>
      <c r="CN582" s="523"/>
      <c r="CO582" s="524"/>
      <c r="CP582" s="524"/>
      <c r="CQ582" s="518"/>
      <c r="CR582" s="518"/>
      <c r="CS582" s="518"/>
      <c r="CT582" s="518"/>
      <c r="CU582" s="518"/>
      <c r="CV582" s="518"/>
      <c r="CW582" s="518"/>
      <c r="CX582" s="518"/>
      <c r="CY582" s="518"/>
      <c r="CZ582" s="519"/>
      <c r="DA582" s="527"/>
      <c r="DB582" s="520"/>
      <c r="DC582" s="525"/>
      <c r="DD582" s="531"/>
      <c r="DE582" s="593"/>
      <c r="DF582" s="518"/>
      <c r="DG582" s="518"/>
      <c r="DH582" s="518"/>
      <c r="DI582" s="519"/>
      <c r="DJ582" s="560"/>
      <c r="DK582" s="522"/>
      <c r="DL582" s="522"/>
      <c r="DM582" s="522"/>
      <c r="DN582" s="522"/>
      <c r="DO582" s="522"/>
      <c r="DP582" s="518"/>
      <c r="DQ582" s="518"/>
      <c r="DR582" s="518"/>
      <c r="DS582" s="518"/>
      <c r="DT582" s="518"/>
      <c r="DU582" s="519"/>
      <c r="DV582" s="527"/>
      <c r="DW582" s="518"/>
      <c r="DX582" s="518"/>
      <c r="DY582" s="520"/>
      <c r="DZ582" s="520"/>
      <c r="EA582" s="519"/>
      <c r="EB582" s="527"/>
      <c r="EC582" s="520"/>
      <c r="ED582" s="520"/>
      <c r="EE582" s="519"/>
      <c r="EF582" s="550"/>
      <c r="EG582" s="537"/>
      <c r="EH582" s="521"/>
      <c r="EI582" s="521"/>
      <c r="EJ582" s="521"/>
      <c r="EK582" s="521"/>
      <c r="EL582" s="521"/>
      <c r="EM582" s="521"/>
      <c r="EN582" s="521"/>
      <c r="EO582" s="521"/>
      <c r="EP582" s="521"/>
      <c r="EQ582" s="521"/>
      <c r="ER582" s="521"/>
      <c r="ES582" s="521"/>
      <c r="ET582" s="521"/>
      <c r="EU582" s="521"/>
      <c r="EV582" s="521"/>
      <c r="EW582" s="521"/>
      <c r="EX582" s="521"/>
      <c r="EY582" s="518"/>
      <c r="EZ582" s="523"/>
      <c r="FA582" s="523"/>
      <c r="FB582" s="524"/>
      <c r="FC582" s="524"/>
      <c r="FD582" s="518"/>
      <c r="FE582" s="518"/>
      <c r="FF582" s="518"/>
      <c r="FG582" s="518"/>
      <c r="FH582" s="518"/>
      <c r="FI582" s="518"/>
      <c r="FJ582" s="518"/>
      <c r="FK582" s="518"/>
      <c r="FL582" s="518"/>
      <c r="FM582" s="519"/>
    </row>
    <row r="583" spans="1:169" x14ac:dyDescent="0.25">
      <c r="A583" s="284"/>
      <c r="B583" s="317"/>
      <c r="C583" s="297"/>
      <c r="D583" s="298"/>
      <c r="E583" s="299"/>
      <c r="F583" s="340"/>
      <c r="G583" s="298"/>
      <c r="H583" s="299"/>
      <c r="I583" s="300"/>
      <c r="J583" s="370"/>
      <c r="K583" s="328"/>
      <c r="L583" s="300"/>
      <c r="M583" s="328"/>
      <c r="N583" s="331"/>
      <c r="O583" s="301"/>
      <c r="P583" s="301"/>
      <c r="Q583" s="328"/>
      <c r="R583" s="620"/>
      <c r="S583" s="512"/>
      <c r="T583" s="512"/>
      <c r="U583" s="513"/>
      <c r="V583" s="514"/>
      <c r="W583" s="512"/>
      <c r="X583" s="513"/>
      <c r="Y583" s="514"/>
      <c r="Z583" s="513"/>
      <c r="AA583" s="515"/>
      <c r="AB583" s="516"/>
      <c r="AC583" s="513"/>
      <c r="AD583" s="544"/>
      <c r="AE583" s="516"/>
      <c r="AF583" s="513"/>
      <c r="AG583" s="551"/>
      <c r="AH583" s="595"/>
      <c r="AI583" s="517"/>
      <c r="AJ583" s="518"/>
      <c r="AK583" s="518"/>
      <c r="AL583" s="518"/>
      <c r="AM583" s="519"/>
      <c r="AN583" s="517"/>
      <c r="AO583" s="520"/>
      <c r="AP583" s="525"/>
      <c r="AQ583" s="531"/>
      <c r="AR583" s="593"/>
      <c r="AS583" s="518"/>
      <c r="AT583" s="518"/>
      <c r="AU583" s="518"/>
      <c r="AV583" s="519"/>
      <c r="AW583" s="560"/>
      <c r="AX583" s="522"/>
      <c r="AY583" s="522"/>
      <c r="AZ583" s="522"/>
      <c r="BA583" s="522"/>
      <c r="BB583" s="522"/>
      <c r="BC583" s="518"/>
      <c r="BD583" s="518"/>
      <c r="BE583" s="518"/>
      <c r="BF583" s="518"/>
      <c r="BG583" s="518"/>
      <c r="BH583" s="519"/>
      <c r="BI583" s="527"/>
      <c r="BJ583" s="518"/>
      <c r="BK583" s="518"/>
      <c r="BL583" s="520"/>
      <c r="BM583" s="520"/>
      <c r="BN583" s="519"/>
      <c r="BO583" s="517"/>
      <c r="BP583" s="520"/>
      <c r="BQ583" s="520"/>
      <c r="BR583" s="519"/>
      <c r="BS583" s="548"/>
      <c r="BT583" s="537"/>
      <c r="BU583" s="521"/>
      <c r="BV583" s="521"/>
      <c r="BW583" s="521"/>
      <c r="BX583" s="521"/>
      <c r="BY583" s="521"/>
      <c r="BZ583" s="521"/>
      <c r="CA583" s="521"/>
      <c r="CB583" s="521"/>
      <c r="CC583" s="521"/>
      <c r="CD583" s="521"/>
      <c r="CE583" s="521"/>
      <c r="CF583" s="521"/>
      <c r="CG583" s="521"/>
      <c r="CH583" s="521"/>
      <c r="CI583" s="521"/>
      <c r="CJ583" s="521"/>
      <c r="CK583" s="521"/>
      <c r="CL583" s="518"/>
      <c r="CM583" s="523"/>
      <c r="CN583" s="523"/>
      <c r="CO583" s="524"/>
      <c r="CP583" s="524"/>
      <c r="CQ583" s="518"/>
      <c r="CR583" s="518"/>
      <c r="CS583" s="518"/>
      <c r="CT583" s="518"/>
      <c r="CU583" s="518"/>
      <c r="CV583" s="518"/>
      <c r="CW583" s="518"/>
      <c r="CX583" s="518"/>
      <c r="CY583" s="518"/>
      <c r="CZ583" s="519"/>
      <c r="DA583" s="527"/>
      <c r="DB583" s="520"/>
      <c r="DC583" s="525"/>
      <c r="DD583" s="531"/>
      <c r="DE583" s="593"/>
      <c r="DF583" s="518"/>
      <c r="DG583" s="518"/>
      <c r="DH583" s="518"/>
      <c r="DI583" s="519"/>
      <c r="DJ583" s="560"/>
      <c r="DK583" s="522"/>
      <c r="DL583" s="522"/>
      <c r="DM583" s="522"/>
      <c r="DN583" s="522"/>
      <c r="DO583" s="522"/>
      <c r="DP583" s="518"/>
      <c r="DQ583" s="518"/>
      <c r="DR583" s="518"/>
      <c r="DS583" s="518"/>
      <c r="DT583" s="518"/>
      <c r="DU583" s="519"/>
      <c r="DV583" s="527"/>
      <c r="DW583" s="518"/>
      <c r="DX583" s="518"/>
      <c r="DY583" s="520"/>
      <c r="DZ583" s="520"/>
      <c r="EA583" s="519"/>
      <c r="EB583" s="527"/>
      <c r="EC583" s="520"/>
      <c r="ED583" s="520"/>
      <c r="EE583" s="519"/>
      <c r="EF583" s="550"/>
      <c r="EG583" s="537"/>
      <c r="EH583" s="521"/>
      <c r="EI583" s="521"/>
      <c r="EJ583" s="521"/>
      <c r="EK583" s="521"/>
      <c r="EL583" s="521"/>
      <c r="EM583" s="521"/>
      <c r="EN583" s="521"/>
      <c r="EO583" s="521"/>
      <c r="EP583" s="521"/>
      <c r="EQ583" s="521"/>
      <c r="ER583" s="521"/>
      <c r="ES583" s="521"/>
      <c r="ET583" s="521"/>
      <c r="EU583" s="521"/>
      <c r="EV583" s="521"/>
      <c r="EW583" s="521"/>
      <c r="EX583" s="521"/>
      <c r="EY583" s="518"/>
      <c r="EZ583" s="523"/>
      <c r="FA583" s="523"/>
      <c r="FB583" s="524"/>
      <c r="FC583" s="524"/>
      <c r="FD583" s="518"/>
      <c r="FE583" s="518"/>
      <c r="FF583" s="518"/>
      <c r="FG583" s="518"/>
      <c r="FH583" s="518"/>
      <c r="FI583" s="518"/>
      <c r="FJ583" s="518"/>
      <c r="FK583" s="518"/>
      <c r="FL583" s="518"/>
      <c r="FM583" s="519"/>
    </row>
    <row r="584" spans="1:169" x14ac:dyDescent="0.25">
      <c r="A584" s="284"/>
      <c r="B584" s="317"/>
      <c r="C584" s="297"/>
      <c r="D584" s="298"/>
      <c r="E584" s="299"/>
      <c r="F584" s="340"/>
      <c r="G584" s="298"/>
      <c r="H584" s="299"/>
      <c r="I584" s="300"/>
      <c r="J584" s="370"/>
      <c r="K584" s="328"/>
      <c r="L584" s="300"/>
      <c r="M584" s="328"/>
      <c r="N584" s="331"/>
      <c r="O584" s="301"/>
      <c r="P584" s="301"/>
      <c r="Q584" s="328"/>
      <c r="R584" s="620"/>
      <c r="S584" s="512"/>
      <c r="T584" s="512"/>
      <c r="U584" s="513"/>
      <c r="V584" s="514"/>
      <c r="W584" s="512"/>
      <c r="X584" s="513"/>
      <c r="Y584" s="514"/>
      <c r="Z584" s="513"/>
      <c r="AA584" s="515"/>
      <c r="AB584" s="516"/>
      <c r="AC584" s="513"/>
      <c r="AD584" s="544"/>
      <c r="AE584" s="516"/>
      <c r="AF584" s="513"/>
      <c r="AG584" s="551"/>
      <c r="AH584" s="595"/>
      <c r="AI584" s="517"/>
      <c r="AJ584" s="518"/>
      <c r="AK584" s="518"/>
      <c r="AL584" s="518"/>
      <c r="AM584" s="519"/>
      <c r="AN584" s="517"/>
      <c r="AO584" s="520"/>
      <c r="AP584" s="525"/>
      <c r="AQ584" s="531"/>
      <c r="AR584" s="593"/>
      <c r="AS584" s="518"/>
      <c r="AT584" s="518"/>
      <c r="AU584" s="518"/>
      <c r="AV584" s="519"/>
      <c r="AW584" s="560"/>
      <c r="AX584" s="522"/>
      <c r="AY584" s="522"/>
      <c r="AZ584" s="522"/>
      <c r="BA584" s="522"/>
      <c r="BB584" s="522"/>
      <c r="BC584" s="518"/>
      <c r="BD584" s="518"/>
      <c r="BE584" s="518"/>
      <c r="BF584" s="518"/>
      <c r="BG584" s="518"/>
      <c r="BH584" s="519"/>
      <c r="BI584" s="527"/>
      <c r="BJ584" s="518"/>
      <c r="BK584" s="518"/>
      <c r="BL584" s="520"/>
      <c r="BM584" s="520"/>
      <c r="BN584" s="519"/>
      <c r="BO584" s="517"/>
      <c r="BP584" s="520"/>
      <c r="BQ584" s="520"/>
      <c r="BR584" s="519"/>
      <c r="BS584" s="548"/>
      <c r="BT584" s="537"/>
      <c r="BU584" s="521"/>
      <c r="BV584" s="521"/>
      <c r="BW584" s="521"/>
      <c r="BX584" s="521"/>
      <c r="BY584" s="521"/>
      <c r="BZ584" s="521"/>
      <c r="CA584" s="521"/>
      <c r="CB584" s="521"/>
      <c r="CC584" s="521"/>
      <c r="CD584" s="521"/>
      <c r="CE584" s="521"/>
      <c r="CF584" s="521"/>
      <c r="CG584" s="521"/>
      <c r="CH584" s="521"/>
      <c r="CI584" s="521"/>
      <c r="CJ584" s="521"/>
      <c r="CK584" s="521"/>
      <c r="CL584" s="518"/>
      <c r="CM584" s="523"/>
      <c r="CN584" s="523"/>
      <c r="CO584" s="524"/>
      <c r="CP584" s="524"/>
      <c r="CQ584" s="518"/>
      <c r="CR584" s="518"/>
      <c r="CS584" s="518"/>
      <c r="CT584" s="518"/>
      <c r="CU584" s="518"/>
      <c r="CV584" s="518"/>
      <c r="CW584" s="518"/>
      <c r="CX584" s="518"/>
      <c r="CY584" s="518"/>
      <c r="CZ584" s="519"/>
      <c r="DA584" s="527"/>
      <c r="DB584" s="520"/>
      <c r="DC584" s="525"/>
      <c r="DD584" s="531"/>
      <c r="DE584" s="593"/>
      <c r="DF584" s="518"/>
      <c r="DG584" s="518"/>
      <c r="DH584" s="518"/>
      <c r="DI584" s="519"/>
      <c r="DJ584" s="560"/>
      <c r="DK584" s="522"/>
      <c r="DL584" s="522"/>
      <c r="DM584" s="522"/>
      <c r="DN584" s="522"/>
      <c r="DO584" s="522"/>
      <c r="DP584" s="518"/>
      <c r="DQ584" s="518"/>
      <c r="DR584" s="518"/>
      <c r="DS584" s="518"/>
      <c r="DT584" s="518"/>
      <c r="DU584" s="519"/>
      <c r="DV584" s="527"/>
      <c r="DW584" s="518"/>
      <c r="DX584" s="518"/>
      <c r="DY584" s="520"/>
      <c r="DZ584" s="520"/>
      <c r="EA584" s="519"/>
      <c r="EB584" s="527"/>
      <c r="EC584" s="520"/>
      <c r="ED584" s="520"/>
      <c r="EE584" s="519"/>
      <c r="EF584" s="550"/>
      <c r="EG584" s="537"/>
      <c r="EH584" s="521"/>
      <c r="EI584" s="521"/>
      <c r="EJ584" s="521"/>
      <c r="EK584" s="521"/>
      <c r="EL584" s="521"/>
      <c r="EM584" s="521"/>
      <c r="EN584" s="521"/>
      <c r="EO584" s="521"/>
      <c r="EP584" s="521"/>
      <c r="EQ584" s="521"/>
      <c r="ER584" s="521"/>
      <c r="ES584" s="521"/>
      <c r="ET584" s="521"/>
      <c r="EU584" s="521"/>
      <c r="EV584" s="521"/>
      <c r="EW584" s="521"/>
      <c r="EX584" s="521"/>
      <c r="EY584" s="518"/>
      <c r="EZ584" s="523"/>
      <c r="FA584" s="523"/>
      <c r="FB584" s="524"/>
      <c r="FC584" s="524"/>
      <c r="FD584" s="518"/>
      <c r="FE584" s="518"/>
      <c r="FF584" s="518"/>
      <c r="FG584" s="518"/>
      <c r="FH584" s="518"/>
      <c r="FI584" s="518"/>
      <c r="FJ584" s="518"/>
      <c r="FK584" s="518"/>
      <c r="FL584" s="518"/>
      <c r="FM584" s="519"/>
    </row>
    <row r="585" spans="1:169" x14ac:dyDescent="0.25">
      <c r="A585" s="284"/>
      <c r="B585" s="317"/>
      <c r="C585" s="297"/>
      <c r="D585" s="298"/>
      <c r="E585" s="299"/>
      <c r="F585" s="340"/>
      <c r="G585" s="298"/>
      <c r="H585" s="299"/>
      <c r="I585" s="300"/>
      <c r="J585" s="370"/>
      <c r="K585" s="328"/>
      <c r="L585" s="300"/>
      <c r="M585" s="328"/>
      <c r="N585" s="331"/>
      <c r="O585" s="301"/>
      <c r="P585" s="301"/>
      <c r="Q585" s="328"/>
      <c r="R585" s="620"/>
      <c r="S585" s="512"/>
      <c r="T585" s="512"/>
      <c r="U585" s="513"/>
      <c r="V585" s="514"/>
      <c r="W585" s="512"/>
      <c r="X585" s="513"/>
      <c r="Y585" s="514"/>
      <c r="Z585" s="513"/>
      <c r="AA585" s="515"/>
      <c r="AB585" s="516"/>
      <c r="AC585" s="513"/>
      <c r="AD585" s="544"/>
      <c r="AE585" s="516"/>
      <c r="AF585" s="513"/>
      <c r="AG585" s="551"/>
      <c r="AH585" s="595"/>
      <c r="AI585" s="517"/>
      <c r="AJ585" s="518"/>
      <c r="AK585" s="518"/>
      <c r="AL585" s="518"/>
      <c r="AM585" s="519"/>
      <c r="AN585" s="517"/>
      <c r="AO585" s="520"/>
      <c r="AP585" s="525"/>
      <c r="AQ585" s="531"/>
      <c r="AR585" s="593"/>
      <c r="AS585" s="518"/>
      <c r="AT585" s="518"/>
      <c r="AU585" s="518"/>
      <c r="AV585" s="519"/>
      <c r="AW585" s="560"/>
      <c r="AX585" s="522"/>
      <c r="AY585" s="522"/>
      <c r="AZ585" s="522"/>
      <c r="BA585" s="522"/>
      <c r="BB585" s="522"/>
      <c r="BC585" s="518"/>
      <c r="BD585" s="518"/>
      <c r="BE585" s="518"/>
      <c r="BF585" s="518"/>
      <c r="BG585" s="518"/>
      <c r="BH585" s="519"/>
      <c r="BI585" s="527"/>
      <c r="BJ585" s="518"/>
      <c r="BK585" s="518"/>
      <c r="BL585" s="520"/>
      <c r="BM585" s="520"/>
      <c r="BN585" s="519"/>
      <c r="BO585" s="517"/>
      <c r="BP585" s="520"/>
      <c r="BQ585" s="520"/>
      <c r="BR585" s="519"/>
      <c r="BS585" s="548"/>
      <c r="BT585" s="537"/>
      <c r="BU585" s="521"/>
      <c r="BV585" s="521"/>
      <c r="BW585" s="521"/>
      <c r="BX585" s="521"/>
      <c r="BY585" s="521"/>
      <c r="BZ585" s="521"/>
      <c r="CA585" s="521"/>
      <c r="CB585" s="521"/>
      <c r="CC585" s="521"/>
      <c r="CD585" s="521"/>
      <c r="CE585" s="521"/>
      <c r="CF585" s="521"/>
      <c r="CG585" s="521"/>
      <c r="CH585" s="521"/>
      <c r="CI585" s="521"/>
      <c r="CJ585" s="521"/>
      <c r="CK585" s="521"/>
      <c r="CL585" s="518"/>
      <c r="CM585" s="523"/>
      <c r="CN585" s="523"/>
      <c r="CO585" s="524"/>
      <c r="CP585" s="524"/>
      <c r="CQ585" s="518"/>
      <c r="CR585" s="518"/>
      <c r="CS585" s="518"/>
      <c r="CT585" s="518"/>
      <c r="CU585" s="518"/>
      <c r="CV585" s="518"/>
      <c r="CW585" s="518"/>
      <c r="CX585" s="518"/>
      <c r="CY585" s="518"/>
      <c r="CZ585" s="519"/>
      <c r="DA585" s="527"/>
      <c r="DB585" s="520"/>
      <c r="DC585" s="525"/>
      <c r="DD585" s="531"/>
      <c r="DE585" s="593"/>
      <c r="DF585" s="518"/>
      <c r="DG585" s="518"/>
      <c r="DH585" s="518"/>
      <c r="DI585" s="519"/>
      <c r="DJ585" s="560"/>
      <c r="DK585" s="522"/>
      <c r="DL585" s="522"/>
      <c r="DM585" s="522"/>
      <c r="DN585" s="522"/>
      <c r="DO585" s="522"/>
      <c r="DP585" s="518"/>
      <c r="DQ585" s="518"/>
      <c r="DR585" s="518"/>
      <c r="DS585" s="518"/>
      <c r="DT585" s="518"/>
      <c r="DU585" s="519"/>
      <c r="DV585" s="527"/>
      <c r="DW585" s="518"/>
      <c r="DX585" s="518"/>
      <c r="DY585" s="520"/>
      <c r="DZ585" s="520"/>
      <c r="EA585" s="519"/>
      <c r="EB585" s="527"/>
      <c r="EC585" s="520"/>
      <c r="ED585" s="520"/>
      <c r="EE585" s="519"/>
      <c r="EF585" s="550"/>
      <c r="EG585" s="537"/>
      <c r="EH585" s="521"/>
      <c r="EI585" s="521"/>
      <c r="EJ585" s="521"/>
      <c r="EK585" s="521"/>
      <c r="EL585" s="521"/>
      <c r="EM585" s="521"/>
      <c r="EN585" s="521"/>
      <c r="EO585" s="521"/>
      <c r="EP585" s="521"/>
      <c r="EQ585" s="521"/>
      <c r="ER585" s="521"/>
      <c r="ES585" s="521"/>
      <c r="ET585" s="521"/>
      <c r="EU585" s="521"/>
      <c r="EV585" s="521"/>
      <c r="EW585" s="521"/>
      <c r="EX585" s="521"/>
      <c r="EY585" s="518"/>
      <c r="EZ585" s="523"/>
      <c r="FA585" s="523"/>
      <c r="FB585" s="524"/>
      <c r="FC585" s="524"/>
      <c r="FD585" s="518"/>
      <c r="FE585" s="518"/>
      <c r="FF585" s="518"/>
      <c r="FG585" s="518"/>
      <c r="FH585" s="518"/>
      <c r="FI585" s="518"/>
      <c r="FJ585" s="518"/>
      <c r="FK585" s="518"/>
      <c r="FL585" s="518"/>
      <c r="FM585" s="519"/>
    </row>
    <row r="586" spans="1:169" x14ac:dyDescent="0.25">
      <c r="A586" s="284"/>
      <c r="B586" s="317"/>
      <c r="C586" s="297"/>
      <c r="D586" s="298"/>
      <c r="E586" s="299"/>
      <c r="F586" s="340"/>
      <c r="G586" s="298"/>
      <c r="H586" s="299"/>
      <c r="I586" s="300"/>
      <c r="J586" s="370"/>
      <c r="K586" s="328"/>
      <c r="L586" s="300"/>
      <c r="M586" s="328"/>
      <c r="N586" s="331"/>
      <c r="O586" s="301"/>
      <c r="P586" s="301"/>
      <c r="Q586" s="328"/>
      <c r="R586" s="620"/>
      <c r="S586" s="512"/>
      <c r="T586" s="512"/>
      <c r="U586" s="513"/>
      <c r="V586" s="514"/>
      <c r="W586" s="512"/>
      <c r="X586" s="513"/>
      <c r="Y586" s="514"/>
      <c r="Z586" s="513"/>
      <c r="AA586" s="515"/>
      <c r="AB586" s="516"/>
      <c r="AC586" s="513"/>
      <c r="AD586" s="544"/>
      <c r="AE586" s="516"/>
      <c r="AF586" s="513"/>
      <c r="AG586" s="551"/>
      <c r="AH586" s="595"/>
      <c r="AI586" s="517"/>
      <c r="AJ586" s="518"/>
      <c r="AK586" s="518"/>
      <c r="AL586" s="518"/>
      <c r="AM586" s="519"/>
      <c r="AN586" s="517"/>
      <c r="AO586" s="520"/>
      <c r="AP586" s="525"/>
      <c r="AQ586" s="531"/>
      <c r="AR586" s="593"/>
      <c r="AS586" s="518"/>
      <c r="AT586" s="518"/>
      <c r="AU586" s="518"/>
      <c r="AV586" s="519"/>
      <c r="AW586" s="560"/>
      <c r="AX586" s="522"/>
      <c r="AY586" s="522"/>
      <c r="AZ586" s="522"/>
      <c r="BA586" s="522"/>
      <c r="BB586" s="522"/>
      <c r="BC586" s="518"/>
      <c r="BD586" s="518"/>
      <c r="BE586" s="518"/>
      <c r="BF586" s="518"/>
      <c r="BG586" s="518"/>
      <c r="BH586" s="519"/>
      <c r="BI586" s="527"/>
      <c r="BJ586" s="518"/>
      <c r="BK586" s="518"/>
      <c r="BL586" s="520"/>
      <c r="BM586" s="520"/>
      <c r="BN586" s="519"/>
      <c r="BO586" s="517"/>
      <c r="BP586" s="520"/>
      <c r="BQ586" s="520"/>
      <c r="BR586" s="519"/>
      <c r="BS586" s="548"/>
      <c r="BT586" s="537"/>
      <c r="BU586" s="521"/>
      <c r="BV586" s="521"/>
      <c r="BW586" s="521"/>
      <c r="BX586" s="521"/>
      <c r="BY586" s="521"/>
      <c r="BZ586" s="521"/>
      <c r="CA586" s="521"/>
      <c r="CB586" s="521"/>
      <c r="CC586" s="521"/>
      <c r="CD586" s="521"/>
      <c r="CE586" s="521"/>
      <c r="CF586" s="521"/>
      <c r="CG586" s="521"/>
      <c r="CH586" s="521"/>
      <c r="CI586" s="521"/>
      <c r="CJ586" s="521"/>
      <c r="CK586" s="521"/>
      <c r="CL586" s="518"/>
      <c r="CM586" s="523"/>
      <c r="CN586" s="523"/>
      <c r="CO586" s="524"/>
      <c r="CP586" s="524"/>
      <c r="CQ586" s="518"/>
      <c r="CR586" s="518"/>
      <c r="CS586" s="518"/>
      <c r="CT586" s="518"/>
      <c r="CU586" s="518"/>
      <c r="CV586" s="518"/>
      <c r="CW586" s="518"/>
      <c r="CX586" s="518"/>
      <c r="CY586" s="518"/>
      <c r="CZ586" s="519"/>
      <c r="DA586" s="527"/>
      <c r="DB586" s="520"/>
      <c r="DC586" s="525"/>
      <c r="DD586" s="531"/>
      <c r="DE586" s="593"/>
      <c r="DF586" s="518"/>
      <c r="DG586" s="518"/>
      <c r="DH586" s="518"/>
      <c r="DI586" s="519"/>
      <c r="DJ586" s="560"/>
      <c r="DK586" s="522"/>
      <c r="DL586" s="522"/>
      <c r="DM586" s="522"/>
      <c r="DN586" s="522"/>
      <c r="DO586" s="522"/>
      <c r="DP586" s="518"/>
      <c r="DQ586" s="518"/>
      <c r="DR586" s="518"/>
      <c r="DS586" s="518"/>
      <c r="DT586" s="518"/>
      <c r="DU586" s="519"/>
      <c r="DV586" s="527"/>
      <c r="DW586" s="518"/>
      <c r="DX586" s="518"/>
      <c r="DY586" s="520"/>
      <c r="DZ586" s="520"/>
      <c r="EA586" s="519"/>
      <c r="EB586" s="527"/>
      <c r="EC586" s="520"/>
      <c r="ED586" s="520"/>
      <c r="EE586" s="519"/>
      <c r="EF586" s="550"/>
      <c r="EG586" s="537"/>
      <c r="EH586" s="521"/>
      <c r="EI586" s="521"/>
      <c r="EJ586" s="521"/>
      <c r="EK586" s="521"/>
      <c r="EL586" s="521"/>
      <c r="EM586" s="521"/>
      <c r="EN586" s="521"/>
      <c r="EO586" s="521"/>
      <c r="EP586" s="521"/>
      <c r="EQ586" s="521"/>
      <c r="ER586" s="521"/>
      <c r="ES586" s="521"/>
      <c r="ET586" s="521"/>
      <c r="EU586" s="521"/>
      <c r="EV586" s="521"/>
      <c r="EW586" s="521"/>
      <c r="EX586" s="521"/>
      <c r="EY586" s="518"/>
      <c r="EZ586" s="523"/>
      <c r="FA586" s="523"/>
      <c r="FB586" s="524"/>
      <c r="FC586" s="524"/>
      <c r="FD586" s="518"/>
      <c r="FE586" s="518"/>
      <c r="FF586" s="518"/>
      <c r="FG586" s="518"/>
      <c r="FH586" s="518"/>
      <c r="FI586" s="518"/>
      <c r="FJ586" s="518"/>
      <c r="FK586" s="518"/>
      <c r="FL586" s="518"/>
      <c r="FM586" s="519"/>
    </row>
    <row r="587" spans="1:169" x14ac:dyDescent="0.25">
      <c r="A587" s="284"/>
      <c r="B587" s="317"/>
      <c r="C587" s="297"/>
      <c r="D587" s="298"/>
      <c r="E587" s="299"/>
      <c r="F587" s="340"/>
      <c r="G587" s="298"/>
      <c r="H587" s="299"/>
      <c r="I587" s="300"/>
      <c r="J587" s="370"/>
      <c r="K587" s="328"/>
      <c r="L587" s="300"/>
      <c r="M587" s="328"/>
      <c r="N587" s="331"/>
      <c r="O587" s="301"/>
      <c r="P587" s="301"/>
      <c r="Q587" s="328"/>
      <c r="R587" s="620"/>
      <c r="S587" s="512"/>
      <c r="T587" s="512"/>
      <c r="U587" s="513"/>
      <c r="V587" s="514"/>
      <c r="W587" s="512"/>
      <c r="X587" s="513"/>
      <c r="Y587" s="514"/>
      <c r="Z587" s="513"/>
      <c r="AA587" s="515"/>
      <c r="AB587" s="516"/>
      <c r="AC587" s="513"/>
      <c r="AD587" s="544"/>
      <c r="AE587" s="516"/>
      <c r="AF587" s="513"/>
      <c r="AG587" s="551"/>
      <c r="AH587" s="595"/>
      <c r="AI587" s="517"/>
      <c r="AJ587" s="518"/>
      <c r="AK587" s="518"/>
      <c r="AL587" s="518"/>
      <c r="AM587" s="519"/>
      <c r="AN587" s="517"/>
      <c r="AO587" s="520"/>
      <c r="AP587" s="525"/>
      <c r="AQ587" s="531"/>
      <c r="AR587" s="593"/>
      <c r="AS587" s="518"/>
      <c r="AT587" s="518"/>
      <c r="AU587" s="518"/>
      <c r="AV587" s="519"/>
      <c r="AW587" s="560"/>
      <c r="AX587" s="522"/>
      <c r="AY587" s="522"/>
      <c r="AZ587" s="522"/>
      <c r="BA587" s="522"/>
      <c r="BB587" s="522"/>
      <c r="BC587" s="518"/>
      <c r="BD587" s="518"/>
      <c r="BE587" s="518"/>
      <c r="BF587" s="518"/>
      <c r="BG587" s="518"/>
      <c r="BH587" s="519"/>
      <c r="BI587" s="527"/>
      <c r="BJ587" s="518"/>
      <c r="BK587" s="518"/>
      <c r="BL587" s="520"/>
      <c r="BM587" s="520"/>
      <c r="BN587" s="519"/>
      <c r="BO587" s="517"/>
      <c r="BP587" s="520"/>
      <c r="BQ587" s="520"/>
      <c r="BR587" s="519"/>
      <c r="BS587" s="548"/>
      <c r="BT587" s="537"/>
      <c r="BU587" s="521"/>
      <c r="BV587" s="521"/>
      <c r="BW587" s="521"/>
      <c r="BX587" s="521"/>
      <c r="BY587" s="521"/>
      <c r="BZ587" s="521"/>
      <c r="CA587" s="521"/>
      <c r="CB587" s="521"/>
      <c r="CC587" s="521"/>
      <c r="CD587" s="521"/>
      <c r="CE587" s="521"/>
      <c r="CF587" s="521"/>
      <c r="CG587" s="521"/>
      <c r="CH587" s="521"/>
      <c r="CI587" s="521"/>
      <c r="CJ587" s="521"/>
      <c r="CK587" s="521"/>
      <c r="CL587" s="518"/>
      <c r="CM587" s="523"/>
      <c r="CN587" s="523"/>
      <c r="CO587" s="524"/>
      <c r="CP587" s="524"/>
      <c r="CQ587" s="518"/>
      <c r="CR587" s="518"/>
      <c r="CS587" s="518"/>
      <c r="CT587" s="518"/>
      <c r="CU587" s="518"/>
      <c r="CV587" s="518"/>
      <c r="CW587" s="518"/>
      <c r="CX587" s="518"/>
      <c r="CY587" s="518"/>
      <c r="CZ587" s="519"/>
      <c r="DA587" s="527"/>
      <c r="DB587" s="520"/>
      <c r="DC587" s="525"/>
      <c r="DD587" s="531"/>
      <c r="DE587" s="593"/>
      <c r="DF587" s="518"/>
      <c r="DG587" s="518"/>
      <c r="DH587" s="518"/>
      <c r="DI587" s="519"/>
      <c r="DJ587" s="560"/>
      <c r="DK587" s="522"/>
      <c r="DL587" s="522"/>
      <c r="DM587" s="522"/>
      <c r="DN587" s="522"/>
      <c r="DO587" s="522"/>
      <c r="DP587" s="518"/>
      <c r="DQ587" s="518"/>
      <c r="DR587" s="518"/>
      <c r="DS587" s="518"/>
      <c r="DT587" s="518"/>
      <c r="DU587" s="519"/>
      <c r="DV587" s="527"/>
      <c r="DW587" s="518"/>
      <c r="DX587" s="518"/>
      <c r="DY587" s="520"/>
      <c r="DZ587" s="520"/>
      <c r="EA587" s="519"/>
      <c r="EB587" s="527"/>
      <c r="EC587" s="520"/>
      <c r="ED587" s="520"/>
      <c r="EE587" s="519"/>
      <c r="EF587" s="550"/>
      <c r="EG587" s="537"/>
      <c r="EH587" s="521"/>
      <c r="EI587" s="521"/>
      <c r="EJ587" s="521"/>
      <c r="EK587" s="521"/>
      <c r="EL587" s="521"/>
      <c r="EM587" s="521"/>
      <c r="EN587" s="521"/>
      <c r="EO587" s="521"/>
      <c r="EP587" s="521"/>
      <c r="EQ587" s="521"/>
      <c r="ER587" s="521"/>
      <c r="ES587" s="521"/>
      <c r="ET587" s="521"/>
      <c r="EU587" s="521"/>
      <c r="EV587" s="521"/>
      <c r="EW587" s="521"/>
      <c r="EX587" s="521"/>
      <c r="EY587" s="518"/>
      <c r="EZ587" s="523"/>
      <c r="FA587" s="523"/>
      <c r="FB587" s="524"/>
      <c r="FC587" s="524"/>
      <c r="FD587" s="518"/>
      <c r="FE587" s="518"/>
      <c r="FF587" s="518"/>
      <c r="FG587" s="518"/>
      <c r="FH587" s="518"/>
      <c r="FI587" s="518"/>
      <c r="FJ587" s="518"/>
      <c r="FK587" s="518"/>
      <c r="FL587" s="518"/>
      <c r="FM587" s="519"/>
    </row>
    <row r="588" spans="1:169" x14ac:dyDescent="0.25">
      <c r="A588" s="284"/>
      <c r="B588" s="317"/>
      <c r="C588" s="297"/>
      <c r="D588" s="298"/>
      <c r="E588" s="299"/>
      <c r="F588" s="340"/>
      <c r="G588" s="298"/>
      <c r="H588" s="299"/>
      <c r="I588" s="300"/>
      <c r="J588" s="370"/>
      <c r="K588" s="328"/>
      <c r="L588" s="300"/>
      <c r="M588" s="328"/>
      <c r="N588" s="331"/>
      <c r="O588" s="301"/>
      <c r="P588" s="301"/>
      <c r="Q588" s="328"/>
      <c r="R588" s="620"/>
      <c r="S588" s="512"/>
      <c r="T588" s="512"/>
      <c r="U588" s="513"/>
      <c r="V588" s="514"/>
      <c r="W588" s="512"/>
      <c r="X588" s="513"/>
      <c r="Y588" s="514"/>
      <c r="Z588" s="513"/>
      <c r="AA588" s="515"/>
      <c r="AB588" s="516"/>
      <c r="AC588" s="513"/>
      <c r="AD588" s="544"/>
      <c r="AE588" s="516"/>
      <c r="AF588" s="513"/>
      <c r="AG588" s="551"/>
      <c r="AH588" s="595"/>
      <c r="AI588" s="517"/>
      <c r="AJ588" s="518"/>
      <c r="AK588" s="518"/>
      <c r="AL588" s="518"/>
      <c r="AM588" s="519"/>
      <c r="AN588" s="517"/>
      <c r="AO588" s="520"/>
      <c r="AP588" s="525"/>
      <c r="AQ588" s="531"/>
      <c r="AR588" s="593"/>
      <c r="AS588" s="518"/>
      <c r="AT588" s="518"/>
      <c r="AU588" s="518"/>
      <c r="AV588" s="519"/>
      <c r="AW588" s="560"/>
      <c r="AX588" s="522"/>
      <c r="AY588" s="522"/>
      <c r="AZ588" s="522"/>
      <c r="BA588" s="522"/>
      <c r="BB588" s="522"/>
      <c r="BC588" s="518"/>
      <c r="BD588" s="518"/>
      <c r="BE588" s="518"/>
      <c r="BF588" s="518"/>
      <c r="BG588" s="518"/>
      <c r="BH588" s="519"/>
      <c r="BI588" s="527"/>
      <c r="BJ588" s="518"/>
      <c r="BK588" s="518"/>
      <c r="BL588" s="520"/>
      <c r="BM588" s="520"/>
      <c r="BN588" s="519"/>
      <c r="BO588" s="517"/>
      <c r="BP588" s="520"/>
      <c r="BQ588" s="520"/>
      <c r="BR588" s="519"/>
      <c r="BS588" s="548"/>
      <c r="BT588" s="537"/>
      <c r="BU588" s="521"/>
      <c r="BV588" s="521"/>
      <c r="BW588" s="521"/>
      <c r="BX588" s="521"/>
      <c r="BY588" s="521"/>
      <c r="BZ588" s="521"/>
      <c r="CA588" s="521"/>
      <c r="CB588" s="521"/>
      <c r="CC588" s="521"/>
      <c r="CD588" s="521"/>
      <c r="CE588" s="521"/>
      <c r="CF588" s="521"/>
      <c r="CG588" s="521"/>
      <c r="CH588" s="521"/>
      <c r="CI588" s="521"/>
      <c r="CJ588" s="521"/>
      <c r="CK588" s="521"/>
      <c r="CL588" s="518"/>
      <c r="CM588" s="523"/>
      <c r="CN588" s="523"/>
      <c r="CO588" s="524"/>
      <c r="CP588" s="524"/>
      <c r="CQ588" s="518"/>
      <c r="CR588" s="518"/>
      <c r="CS588" s="518"/>
      <c r="CT588" s="518"/>
      <c r="CU588" s="518"/>
      <c r="CV588" s="518"/>
      <c r="CW588" s="518"/>
      <c r="CX588" s="518"/>
      <c r="CY588" s="518"/>
      <c r="CZ588" s="519"/>
      <c r="DA588" s="527"/>
      <c r="DB588" s="520"/>
      <c r="DC588" s="525"/>
      <c r="DD588" s="531"/>
      <c r="DE588" s="593"/>
      <c r="DF588" s="518"/>
      <c r="DG588" s="518"/>
      <c r="DH588" s="518"/>
      <c r="DI588" s="519"/>
      <c r="DJ588" s="560"/>
      <c r="DK588" s="522"/>
      <c r="DL588" s="522"/>
      <c r="DM588" s="522"/>
      <c r="DN588" s="522"/>
      <c r="DO588" s="522"/>
      <c r="DP588" s="518"/>
      <c r="DQ588" s="518"/>
      <c r="DR588" s="518"/>
      <c r="DS588" s="518"/>
      <c r="DT588" s="518"/>
      <c r="DU588" s="519"/>
      <c r="DV588" s="527"/>
      <c r="DW588" s="518"/>
      <c r="DX588" s="518"/>
      <c r="DY588" s="520"/>
      <c r="DZ588" s="520"/>
      <c r="EA588" s="519"/>
      <c r="EB588" s="527"/>
      <c r="EC588" s="520"/>
      <c r="ED588" s="520"/>
      <c r="EE588" s="519"/>
      <c r="EF588" s="550"/>
      <c r="EG588" s="537"/>
      <c r="EH588" s="521"/>
      <c r="EI588" s="521"/>
      <c r="EJ588" s="521"/>
      <c r="EK588" s="521"/>
      <c r="EL588" s="521"/>
      <c r="EM588" s="521"/>
      <c r="EN588" s="521"/>
      <c r="EO588" s="521"/>
      <c r="EP588" s="521"/>
      <c r="EQ588" s="521"/>
      <c r="ER588" s="521"/>
      <c r="ES588" s="521"/>
      <c r="ET588" s="521"/>
      <c r="EU588" s="521"/>
      <c r="EV588" s="521"/>
      <c r="EW588" s="521"/>
      <c r="EX588" s="521"/>
      <c r="EY588" s="518"/>
      <c r="EZ588" s="523"/>
      <c r="FA588" s="523"/>
      <c r="FB588" s="524"/>
      <c r="FC588" s="524"/>
      <c r="FD588" s="518"/>
      <c r="FE588" s="518"/>
      <c r="FF588" s="518"/>
      <c r="FG588" s="518"/>
      <c r="FH588" s="518"/>
      <c r="FI588" s="518"/>
      <c r="FJ588" s="518"/>
      <c r="FK588" s="518"/>
      <c r="FL588" s="518"/>
      <c r="FM588" s="519"/>
    </row>
    <row r="589" spans="1:169" x14ac:dyDescent="0.25">
      <c r="A589" s="284"/>
      <c r="B589" s="317"/>
      <c r="C589" s="297"/>
      <c r="D589" s="298"/>
      <c r="E589" s="299"/>
      <c r="F589" s="340"/>
      <c r="G589" s="298"/>
      <c r="H589" s="299"/>
      <c r="I589" s="300"/>
      <c r="J589" s="370"/>
      <c r="K589" s="328"/>
      <c r="L589" s="300"/>
      <c r="M589" s="328"/>
      <c r="N589" s="331"/>
      <c r="O589" s="301"/>
      <c r="P589" s="301"/>
      <c r="Q589" s="328"/>
      <c r="R589" s="620"/>
      <c r="S589" s="512"/>
      <c r="T589" s="512"/>
      <c r="U589" s="513"/>
      <c r="V589" s="514"/>
      <c r="W589" s="512"/>
      <c r="X589" s="513"/>
      <c r="Y589" s="514"/>
      <c r="Z589" s="513"/>
      <c r="AA589" s="515"/>
      <c r="AB589" s="516"/>
      <c r="AC589" s="513"/>
      <c r="AD589" s="544"/>
      <c r="AE589" s="516"/>
      <c r="AF589" s="513"/>
      <c r="AG589" s="551"/>
      <c r="AH589" s="595"/>
      <c r="AI589" s="517"/>
      <c r="AJ589" s="518"/>
      <c r="AK589" s="518"/>
      <c r="AL589" s="518"/>
      <c r="AM589" s="519"/>
      <c r="AN589" s="517"/>
      <c r="AO589" s="520"/>
      <c r="AP589" s="525"/>
      <c r="AQ589" s="531"/>
      <c r="AR589" s="593"/>
      <c r="AS589" s="518"/>
      <c r="AT589" s="518"/>
      <c r="AU589" s="518"/>
      <c r="AV589" s="519"/>
      <c r="AW589" s="560"/>
      <c r="AX589" s="522"/>
      <c r="AY589" s="522"/>
      <c r="AZ589" s="522"/>
      <c r="BA589" s="522"/>
      <c r="BB589" s="522"/>
      <c r="BC589" s="518"/>
      <c r="BD589" s="518"/>
      <c r="BE589" s="518"/>
      <c r="BF589" s="518"/>
      <c r="BG589" s="518"/>
      <c r="BH589" s="519"/>
      <c r="BI589" s="527"/>
      <c r="BJ589" s="518"/>
      <c r="BK589" s="518"/>
      <c r="BL589" s="520"/>
      <c r="BM589" s="520"/>
      <c r="BN589" s="519"/>
      <c r="BO589" s="517"/>
      <c r="BP589" s="520"/>
      <c r="BQ589" s="520"/>
      <c r="BR589" s="519"/>
      <c r="BS589" s="548"/>
      <c r="BT589" s="537"/>
      <c r="BU589" s="521"/>
      <c r="BV589" s="521"/>
      <c r="BW589" s="521"/>
      <c r="BX589" s="521"/>
      <c r="BY589" s="521"/>
      <c r="BZ589" s="521"/>
      <c r="CA589" s="521"/>
      <c r="CB589" s="521"/>
      <c r="CC589" s="521"/>
      <c r="CD589" s="521"/>
      <c r="CE589" s="521"/>
      <c r="CF589" s="521"/>
      <c r="CG589" s="521"/>
      <c r="CH589" s="521"/>
      <c r="CI589" s="521"/>
      <c r="CJ589" s="521"/>
      <c r="CK589" s="521"/>
      <c r="CL589" s="518"/>
      <c r="CM589" s="523"/>
      <c r="CN589" s="523"/>
      <c r="CO589" s="524"/>
      <c r="CP589" s="524"/>
      <c r="CQ589" s="518"/>
      <c r="CR589" s="518"/>
      <c r="CS589" s="518"/>
      <c r="CT589" s="518"/>
      <c r="CU589" s="518"/>
      <c r="CV589" s="518"/>
      <c r="CW589" s="518"/>
      <c r="CX589" s="518"/>
      <c r="CY589" s="518"/>
      <c r="CZ589" s="519"/>
      <c r="DA589" s="527"/>
      <c r="DB589" s="520"/>
      <c r="DC589" s="525"/>
      <c r="DD589" s="531"/>
      <c r="DE589" s="593"/>
      <c r="DF589" s="518"/>
      <c r="DG589" s="518"/>
      <c r="DH589" s="518"/>
      <c r="DI589" s="519"/>
      <c r="DJ589" s="560"/>
      <c r="DK589" s="522"/>
      <c r="DL589" s="522"/>
      <c r="DM589" s="522"/>
      <c r="DN589" s="522"/>
      <c r="DO589" s="522"/>
      <c r="DP589" s="518"/>
      <c r="DQ589" s="518"/>
      <c r="DR589" s="518"/>
      <c r="DS589" s="518"/>
      <c r="DT589" s="518"/>
      <c r="DU589" s="519"/>
      <c r="DV589" s="527"/>
      <c r="DW589" s="518"/>
      <c r="DX589" s="518"/>
      <c r="DY589" s="520"/>
      <c r="DZ589" s="520"/>
      <c r="EA589" s="519"/>
      <c r="EB589" s="527"/>
      <c r="EC589" s="520"/>
      <c r="ED589" s="520"/>
      <c r="EE589" s="519"/>
      <c r="EF589" s="550"/>
      <c r="EG589" s="537"/>
      <c r="EH589" s="521"/>
      <c r="EI589" s="521"/>
      <c r="EJ589" s="521"/>
      <c r="EK589" s="521"/>
      <c r="EL589" s="521"/>
      <c r="EM589" s="521"/>
      <c r="EN589" s="521"/>
      <c r="EO589" s="521"/>
      <c r="EP589" s="521"/>
      <c r="EQ589" s="521"/>
      <c r="ER589" s="521"/>
      <c r="ES589" s="521"/>
      <c r="ET589" s="521"/>
      <c r="EU589" s="521"/>
      <c r="EV589" s="521"/>
      <c r="EW589" s="521"/>
      <c r="EX589" s="521"/>
      <c r="EY589" s="518"/>
      <c r="EZ589" s="523"/>
      <c r="FA589" s="523"/>
      <c r="FB589" s="524"/>
      <c r="FC589" s="524"/>
      <c r="FD589" s="518"/>
      <c r="FE589" s="518"/>
      <c r="FF589" s="518"/>
      <c r="FG589" s="518"/>
      <c r="FH589" s="518"/>
      <c r="FI589" s="518"/>
      <c r="FJ589" s="518"/>
      <c r="FK589" s="518"/>
      <c r="FL589" s="518"/>
      <c r="FM589" s="519"/>
    </row>
    <row r="590" spans="1:169" x14ac:dyDescent="0.25">
      <c r="A590" s="284"/>
      <c r="B590" s="317"/>
      <c r="C590" s="297"/>
      <c r="D590" s="298"/>
      <c r="E590" s="299"/>
      <c r="F590" s="340"/>
      <c r="G590" s="298"/>
      <c r="H590" s="299"/>
      <c r="I590" s="300"/>
      <c r="J590" s="370"/>
      <c r="K590" s="328"/>
      <c r="L590" s="300"/>
      <c r="M590" s="328"/>
      <c r="N590" s="331"/>
      <c r="O590" s="301"/>
      <c r="P590" s="301"/>
      <c r="Q590" s="328"/>
      <c r="R590" s="620"/>
      <c r="S590" s="512"/>
      <c r="T590" s="512"/>
      <c r="U590" s="513"/>
      <c r="V590" s="514"/>
      <c r="W590" s="512"/>
      <c r="X590" s="513"/>
      <c r="Y590" s="514"/>
      <c r="Z590" s="513"/>
      <c r="AA590" s="515"/>
      <c r="AB590" s="516"/>
      <c r="AC590" s="513"/>
      <c r="AD590" s="544"/>
      <c r="AE590" s="516"/>
      <c r="AF590" s="513"/>
      <c r="AG590" s="551"/>
      <c r="AH590" s="595"/>
      <c r="AI590" s="517"/>
      <c r="AJ590" s="518"/>
      <c r="AK590" s="518"/>
      <c r="AL590" s="518"/>
      <c r="AM590" s="519"/>
      <c r="AN590" s="517"/>
      <c r="AO590" s="520"/>
      <c r="AP590" s="525"/>
      <c r="AQ590" s="531"/>
      <c r="AR590" s="593"/>
      <c r="AS590" s="518"/>
      <c r="AT590" s="518"/>
      <c r="AU590" s="518"/>
      <c r="AV590" s="519"/>
      <c r="AW590" s="560"/>
      <c r="AX590" s="522"/>
      <c r="AY590" s="522"/>
      <c r="AZ590" s="522"/>
      <c r="BA590" s="522"/>
      <c r="BB590" s="522"/>
      <c r="BC590" s="518"/>
      <c r="BD590" s="518"/>
      <c r="BE590" s="518"/>
      <c r="BF590" s="518"/>
      <c r="BG590" s="518"/>
      <c r="BH590" s="519"/>
      <c r="BI590" s="527"/>
      <c r="BJ590" s="518"/>
      <c r="BK590" s="518"/>
      <c r="BL590" s="520"/>
      <c r="BM590" s="520"/>
      <c r="BN590" s="519"/>
      <c r="BO590" s="517"/>
      <c r="BP590" s="520"/>
      <c r="BQ590" s="520"/>
      <c r="BR590" s="519"/>
      <c r="BS590" s="548"/>
      <c r="BT590" s="537"/>
      <c r="BU590" s="521"/>
      <c r="BV590" s="521"/>
      <c r="BW590" s="521"/>
      <c r="BX590" s="521"/>
      <c r="BY590" s="521"/>
      <c r="BZ590" s="521"/>
      <c r="CA590" s="521"/>
      <c r="CB590" s="521"/>
      <c r="CC590" s="521"/>
      <c r="CD590" s="521"/>
      <c r="CE590" s="521"/>
      <c r="CF590" s="521"/>
      <c r="CG590" s="521"/>
      <c r="CH590" s="521"/>
      <c r="CI590" s="521"/>
      <c r="CJ590" s="521"/>
      <c r="CK590" s="521"/>
      <c r="CL590" s="518"/>
      <c r="CM590" s="523"/>
      <c r="CN590" s="523"/>
      <c r="CO590" s="524"/>
      <c r="CP590" s="524"/>
      <c r="CQ590" s="518"/>
      <c r="CR590" s="518"/>
      <c r="CS590" s="518"/>
      <c r="CT590" s="518"/>
      <c r="CU590" s="518"/>
      <c r="CV590" s="518"/>
      <c r="CW590" s="518"/>
      <c r="CX590" s="518"/>
      <c r="CY590" s="518"/>
      <c r="CZ590" s="519"/>
      <c r="DA590" s="527"/>
      <c r="DB590" s="520"/>
      <c r="DC590" s="525"/>
      <c r="DD590" s="531"/>
      <c r="DE590" s="593"/>
      <c r="DF590" s="518"/>
      <c r="DG590" s="518"/>
      <c r="DH590" s="518"/>
      <c r="DI590" s="519"/>
      <c r="DJ590" s="560"/>
      <c r="DK590" s="522"/>
      <c r="DL590" s="522"/>
      <c r="DM590" s="522"/>
      <c r="DN590" s="522"/>
      <c r="DO590" s="522"/>
      <c r="DP590" s="518"/>
      <c r="DQ590" s="518"/>
      <c r="DR590" s="518"/>
      <c r="DS590" s="518"/>
      <c r="DT590" s="518"/>
      <c r="DU590" s="519"/>
      <c r="DV590" s="527"/>
      <c r="DW590" s="518"/>
      <c r="DX590" s="518"/>
      <c r="DY590" s="520"/>
      <c r="DZ590" s="520"/>
      <c r="EA590" s="519"/>
      <c r="EB590" s="527"/>
      <c r="EC590" s="520"/>
      <c r="ED590" s="520"/>
      <c r="EE590" s="519"/>
      <c r="EF590" s="550"/>
      <c r="EG590" s="537"/>
      <c r="EH590" s="521"/>
      <c r="EI590" s="521"/>
      <c r="EJ590" s="521"/>
      <c r="EK590" s="521"/>
      <c r="EL590" s="521"/>
      <c r="EM590" s="521"/>
      <c r="EN590" s="521"/>
      <c r="EO590" s="521"/>
      <c r="EP590" s="521"/>
      <c r="EQ590" s="521"/>
      <c r="ER590" s="521"/>
      <c r="ES590" s="521"/>
      <c r="ET590" s="521"/>
      <c r="EU590" s="521"/>
      <c r="EV590" s="521"/>
      <c r="EW590" s="521"/>
      <c r="EX590" s="521"/>
      <c r="EY590" s="518"/>
      <c r="EZ590" s="523"/>
      <c r="FA590" s="523"/>
      <c r="FB590" s="524"/>
      <c r="FC590" s="524"/>
      <c r="FD590" s="518"/>
      <c r="FE590" s="518"/>
      <c r="FF590" s="518"/>
      <c r="FG590" s="518"/>
      <c r="FH590" s="518"/>
      <c r="FI590" s="518"/>
      <c r="FJ590" s="518"/>
      <c r="FK590" s="518"/>
      <c r="FL590" s="518"/>
      <c r="FM590" s="519"/>
    </row>
    <row r="591" spans="1:169" x14ac:dyDescent="0.25">
      <c r="A591" s="284"/>
      <c r="B591" s="317"/>
      <c r="C591" s="297"/>
      <c r="D591" s="298"/>
      <c r="E591" s="299"/>
      <c r="F591" s="340"/>
      <c r="G591" s="298"/>
      <c r="H591" s="299"/>
      <c r="I591" s="300"/>
      <c r="J591" s="370"/>
      <c r="K591" s="328"/>
      <c r="L591" s="300"/>
      <c r="M591" s="328"/>
      <c r="N591" s="331"/>
      <c r="O591" s="301"/>
      <c r="P591" s="301"/>
      <c r="Q591" s="328"/>
      <c r="R591" s="620"/>
      <c r="S591" s="512"/>
      <c r="T591" s="512"/>
      <c r="U591" s="513"/>
      <c r="V591" s="514"/>
      <c r="W591" s="512"/>
      <c r="X591" s="513"/>
      <c r="Y591" s="514"/>
      <c r="Z591" s="513"/>
      <c r="AA591" s="515"/>
      <c r="AB591" s="516"/>
      <c r="AC591" s="513"/>
      <c r="AD591" s="544"/>
      <c r="AE591" s="516"/>
      <c r="AF591" s="513"/>
      <c r="AG591" s="551"/>
      <c r="AH591" s="595"/>
      <c r="AI591" s="517"/>
      <c r="AJ591" s="518"/>
      <c r="AK591" s="518"/>
      <c r="AL591" s="518"/>
      <c r="AM591" s="519"/>
      <c r="AN591" s="517"/>
      <c r="AO591" s="520"/>
      <c r="AP591" s="525"/>
      <c r="AQ591" s="531"/>
      <c r="AR591" s="593"/>
      <c r="AS591" s="518"/>
      <c r="AT591" s="518"/>
      <c r="AU591" s="518"/>
      <c r="AV591" s="519"/>
      <c r="AW591" s="560"/>
      <c r="AX591" s="522"/>
      <c r="AY591" s="522"/>
      <c r="AZ591" s="522"/>
      <c r="BA591" s="522"/>
      <c r="BB591" s="522"/>
      <c r="BC591" s="518"/>
      <c r="BD591" s="518"/>
      <c r="BE591" s="518"/>
      <c r="BF591" s="518"/>
      <c r="BG591" s="518"/>
      <c r="BH591" s="519"/>
      <c r="BI591" s="527"/>
      <c r="BJ591" s="518"/>
      <c r="BK591" s="518"/>
      <c r="BL591" s="520"/>
      <c r="BM591" s="520"/>
      <c r="BN591" s="519"/>
      <c r="BO591" s="517"/>
      <c r="BP591" s="520"/>
      <c r="BQ591" s="520"/>
      <c r="BR591" s="519"/>
      <c r="BS591" s="548"/>
      <c r="BT591" s="537"/>
      <c r="BU591" s="521"/>
      <c r="BV591" s="521"/>
      <c r="BW591" s="521"/>
      <c r="BX591" s="521"/>
      <c r="BY591" s="521"/>
      <c r="BZ591" s="521"/>
      <c r="CA591" s="521"/>
      <c r="CB591" s="521"/>
      <c r="CC591" s="521"/>
      <c r="CD591" s="521"/>
      <c r="CE591" s="521"/>
      <c r="CF591" s="521"/>
      <c r="CG591" s="521"/>
      <c r="CH591" s="521"/>
      <c r="CI591" s="521"/>
      <c r="CJ591" s="521"/>
      <c r="CK591" s="521"/>
      <c r="CL591" s="518"/>
      <c r="CM591" s="523"/>
      <c r="CN591" s="523"/>
      <c r="CO591" s="524"/>
      <c r="CP591" s="524"/>
      <c r="CQ591" s="518"/>
      <c r="CR591" s="518"/>
      <c r="CS591" s="518"/>
      <c r="CT591" s="518"/>
      <c r="CU591" s="518"/>
      <c r="CV591" s="518"/>
      <c r="CW591" s="518"/>
      <c r="CX591" s="518"/>
      <c r="CY591" s="518"/>
      <c r="CZ591" s="519"/>
      <c r="DA591" s="527"/>
      <c r="DB591" s="520"/>
      <c r="DC591" s="525"/>
      <c r="DD591" s="531"/>
      <c r="DE591" s="593"/>
      <c r="DF591" s="518"/>
      <c r="DG591" s="518"/>
      <c r="DH591" s="518"/>
      <c r="DI591" s="519"/>
      <c r="DJ591" s="560"/>
      <c r="DK591" s="522"/>
      <c r="DL591" s="522"/>
      <c r="DM591" s="522"/>
      <c r="DN591" s="522"/>
      <c r="DO591" s="522"/>
      <c r="DP591" s="518"/>
      <c r="DQ591" s="518"/>
      <c r="DR591" s="518"/>
      <c r="DS591" s="518"/>
      <c r="DT591" s="518"/>
      <c r="DU591" s="519"/>
      <c r="DV591" s="527"/>
      <c r="DW591" s="518"/>
      <c r="DX591" s="518"/>
      <c r="DY591" s="520"/>
      <c r="DZ591" s="520"/>
      <c r="EA591" s="519"/>
      <c r="EB591" s="527"/>
      <c r="EC591" s="520"/>
      <c r="ED591" s="520"/>
      <c r="EE591" s="519"/>
      <c r="EF591" s="550"/>
      <c r="EG591" s="537"/>
      <c r="EH591" s="521"/>
      <c r="EI591" s="521"/>
      <c r="EJ591" s="521"/>
      <c r="EK591" s="521"/>
      <c r="EL591" s="521"/>
      <c r="EM591" s="521"/>
      <c r="EN591" s="521"/>
      <c r="EO591" s="521"/>
      <c r="EP591" s="521"/>
      <c r="EQ591" s="521"/>
      <c r="ER591" s="521"/>
      <c r="ES591" s="521"/>
      <c r="ET591" s="521"/>
      <c r="EU591" s="521"/>
      <c r="EV591" s="521"/>
      <c r="EW591" s="521"/>
      <c r="EX591" s="521"/>
      <c r="EY591" s="518"/>
      <c r="EZ591" s="523"/>
      <c r="FA591" s="523"/>
      <c r="FB591" s="524"/>
      <c r="FC591" s="524"/>
      <c r="FD591" s="518"/>
      <c r="FE591" s="518"/>
      <c r="FF591" s="518"/>
      <c r="FG591" s="518"/>
      <c r="FH591" s="518"/>
      <c r="FI591" s="518"/>
      <c r="FJ591" s="518"/>
      <c r="FK591" s="518"/>
      <c r="FL591" s="518"/>
      <c r="FM591" s="519"/>
    </row>
    <row r="592" spans="1:169" x14ac:dyDescent="0.25">
      <c r="A592" s="284"/>
      <c r="B592" s="317"/>
      <c r="C592" s="297"/>
      <c r="D592" s="298"/>
      <c r="E592" s="299"/>
      <c r="F592" s="340"/>
      <c r="G592" s="298"/>
      <c r="H592" s="299"/>
      <c r="I592" s="300"/>
      <c r="J592" s="370"/>
      <c r="K592" s="328"/>
      <c r="L592" s="300"/>
      <c r="M592" s="328"/>
      <c r="N592" s="331"/>
      <c r="O592" s="301"/>
      <c r="P592" s="301"/>
      <c r="Q592" s="328"/>
      <c r="R592" s="620"/>
      <c r="S592" s="512"/>
      <c r="T592" s="512"/>
      <c r="U592" s="513"/>
      <c r="V592" s="514"/>
      <c r="W592" s="512"/>
      <c r="X592" s="513"/>
      <c r="Y592" s="514"/>
      <c r="Z592" s="513"/>
      <c r="AA592" s="515"/>
      <c r="AB592" s="516"/>
      <c r="AC592" s="513"/>
      <c r="AD592" s="544"/>
      <c r="AE592" s="516"/>
      <c r="AF592" s="513"/>
      <c r="AG592" s="551"/>
      <c r="AH592" s="595"/>
      <c r="AI592" s="517"/>
      <c r="AJ592" s="518"/>
      <c r="AK592" s="518"/>
      <c r="AL592" s="518"/>
      <c r="AM592" s="519"/>
      <c r="AN592" s="517"/>
      <c r="AO592" s="520"/>
      <c r="AP592" s="525"/>
      <c r="AQ592" s="531"/>
      <c r="AR592" s="593"/>
      <c r="AS592" s="518"/>
      <c r="AT592" s="518"/>
      <c r="AU592" s="518"/>
      <c r="AV592" s="519"/>
      <c r="AW592" s="560"/>
      <c r="AX592" s="522"/>
      <c r="AY592" s="522"/>
      <c r="AZ592" s="522"/>
      <c r="BA592" s="522"/>
      <c r="BB592" s="522"/>
      <c r="BC592" s="518"/>
      <c r="BD592" s="518"/>
      <c r="BE592" s="518"/>
      <c r="BF592" s="518"/>
      <c r="BG592" s="518"/>
      <c r="BH592" s="519"/>
      <c r="BI592" s="527"/>
      <c r="BJ592" s="518"/>
      <c r="BK592" s="518"/>
      <c r="BL592" s="520"/>
      <c r="BM592" s="520"/>
      <c r="BN592" s="519"/>
      <c r="BO592" s="517"/>
      <c r="BP592" s="520"/>
      <c r="BQ592" s="520"/>
      <c r="BR592" s="519"/>
      <c r="BS592" s="548"/>
      <c r="BT592" s="537"/>
      <c r="BU592" s="521"/>
      <c r="BV592" s="521"/>
      <c r="BW592" s="521"/>
      <c r="BX592" s="521"/>
      <c r="BY592" s="521"/>
      <c r="BZ592" s="521"/>
      <c r="CA592" s="521"/>
      <c r="CB592" s="521"/>
      <c r="CC592" s="521"/>
      <c r="CD592" s="521"/>
      <c r="CE592" s="521"/>
      <c r="CF592" s="521"/>
      <c r="CG592" s="521"/>
      <c r="CH592" s="521"/>
      <c r="CI592" s="521"/>
      <c r="CJ592" s="521"/>
      <c r="CK592" s="521"/>
      <c r="CL592" s="518"/>
      <c r="CM592" s="523"/>
      <c r="CN592" s="523"/>
      <c r="CO592" s="524"/>
      <c r="CP592" s="524"/>
      <c r="CQ592" s="518"/>
      <c r="CR592" s="518"/>
      <c r="CS592" s="518"/>
      <c r="CT592" s="518"/>
      <c r="CU592" s="518"/>
      <c r="CV592" s="518"/>
      <c r="CW592" s="518"/>
      <c r="CX592" s="518"/>
      <c r="CY592" s="518"/>
      <c r="CZ592" s="519"/>
      <c r="DA592" s="527"/>
      <c r="DB592" s="520"/>
      <c r="DC592" s="525"/>
      <c r="DD592" s="531"/>
      <c r="DE592" s="593"/>
      <c r="DF592" s="518"/>
      <c r="DG592" s="518"/>
      <c r="DH592" s="518"/>
      <c r="DI592" s="519"/>
      <c r="DJ592" s="560"/>
      <c r="DK592" s="522"/>
      <c r="DL592" s="522"/>
      <c r="DM592" s="522"/>
      <c r="DN592" s="522"/>
      <c r="DO592" s="522"/>
      <c r="DP592" s="518"/>
      <c r="DQ592" s="518"/>
      <c r="DR592" s="518"/>
      <c r="DS592" s="518"/>
      <c r="DT592" s="518"/>
      <c r="DU592" s="519"/>
      <c r="DV592" s="527"/>
      <c r="DW592" s="518"/>
      <c r="DX592" s="518"/>
      <c r="DY592" s="520"/>
      <c r="DZ592" s="520"/>
      <c r="EA592" s="519"/>
      <c r="EB592" s="527"/>
      <c r="EC592" s="520"/>
      <c r="ED592" s="520"/>
      <c r="EE592" s="519"/>
      <c r="EF592" s="550"/>
      <c r="EG592" s="537"/>
      <c r="EH592" s="521"/>
      <c r="EI592" s="521"/>
      <c r="EJ592" s="521"/>
      <c r="EK592" s="521"/>
      <c r="EL592" s="521"/>
      <c r="EM592" s="521"/>
      <c r="EN592" s="521"/>
      <c r="EO592" s="521"/>
      <c r="EP592" s="521"/>
      <c r="EQ592" s="521"/>
      <c r="ER592" s="521"/>
      <c r="ES592" s="521"/>
      <c r="ET592" s="521"/>
      <c r="EU592" s="521"/>
      <c r="EV592" s="521"/>
      <c r="EW592" s="521"/>
      <c r="EX592" s="521"/>
      <c r="EY592" s="518"/>
      <c r="EZ592" s="523"/>
      <c r="FA592" s="523"/>
      <c r="FB592" s="524"/>
      <c r="FC592" s="524"/>
      <c r="FD592" s="518"/>
      <c r="FE592" s="518"/>
      <c r="FF592" s="518"/>
      <c r="FG592" s="518"/>
      <c r="FH592" s="518"/>
      <c r="FI592" s="518"/>
      <c r="FJ592" s="518"/>
      <c r="FK592" s="518"/>
      <c r="FL592" s="518"/>
      <c r="FM592" s="519"/>
    </row>
    <row r="593" spans="1:169" x14ac:dyDescent="0.25">
      <c r="A593" s="284"/>
      <c r="B593" s="317"/>
      <c r="C593" s="297"/>
      <c r="D593" s="298"/>
      <c r="E593" s="299"/>
      <c r="F593" s="340"/>
      <c r="G593" s="298"/>
      <c r="H593" s="299"/>
      <c r="I593" s="300"/>
      <c r="J593" s="370"/>
      <c r="K593" s="328"/>
      <c r="L593" s="300"/>
      <c r="M593" s="328"/>
      <c r="N593" s="331"/>
      <c r="O593" s="301"/>
      <c r="P593" s="301"/>
      <c r="Q593" s="328"/>
      <c r="R593" s="620"/>
      <c r="S593" s="512"/>
      <c r="T593" s="512"/>
      <c r="U593" s="513"/>
      <c r="V593" s="514"/>
      <c r="W593" s="512"/>
      <c r="X593" s="513"/>
      <c r="Y593" s="514"/>
      <c r="Z593" s="513"/>
      <c r="AA593" s="515"/>
      <c r="AB593" s="516"/>
      <c r="AC593" s="513"/>
      <c r="AD593" s="544"/>
      <c r="AE593" s="516"/>
      <c r="AF593" s="513"/>
      <c r="AG593" s="551"/>
      <c r="AH593" s="595"/>
      <c r="AI593" s="517"/>
      <c r="AJ593" s="518"/>
      <c r="AK593" s="518"/>
      <c r="AL593" s="518"/>
      <c r="AM593" s="519"/>
      <c r="AN593" s="517"/>
      <c r="AO593" s="520"/>
      <c r="AP593" s="525"/>
      <c r="AQ593" s="531"/>
      <c r="AR593" s="593"/>
      <c r="AS593" s="518"/>
      <c r="AT593" s="518"/>
      <c r="AU593" s="518"/>
      <c r="AV593" s="519"/>
      <c r="AW593" s="560"/>
      <c r="AX593" s="522"/>
      <c r="AY593" s="522"/>
      <c r="AZ593" s="522"/>
      <c r="BA593" s="522"/>
      <c r="BB593" s="522"/>
      <c r="BC593" s="518"/>
      <c r="BD593" s="518"/>
      <c r="BE593" s="518"/>
      <c r="BF593" s="518"/>
      <c r="BG593" s="518"/>
      <c r="BH593" s="519"/>
      <c r="BI593" s="527"/>
      <c r="BJ593" s="518"/>
      <c r="BK593" s="518"/>
      <c r="BL593" s="520"/>
      <c r="BM593" s="520"/>
      <c r="BN593" s="519"/>
      <c r="BO593" s="517"/>
      <c r="BP593" s="520"/>
      <c r="BQ593" s="520"/>
      <c r="BR593" s="519"/>
      <c r="BS593" s="548"/>
      <c r="BT593" s="537"/>
      <c r="BU593" s="521"/>
      <c r="BV593" s="521"/>
      <c r="BW593" s="521"/>
      <c r="BX593" s="521"/>
      <c r="BY593" s="521"/>
      <c r="BZ593" s="521"/>
      <c r="CA593" s="521"/>
      <c r="CB593" s="521"/>
      <c r="CC593" s="521"/>
      <c r="CD593" s="521"/>
      <c r="CE593" s="521"/>
      <c r="CF593" s="521"/>
      <c r="CG593" s="521"/>
      <c r="CH593" s="521"/>
      <c r="CI593" s="521"/>
      <c r="CJ593" s="521"/>
      <c r="CK593" s="521"/>
      <c r="CL593" s="518"/>
      <c r="CM593" s="523"/>
      <c r="CN593" s="523"/>
      <c r="CO593" s="524"/>
      <c r="CP593" s="524"/>
      <c r="CQ593" s="518"/>
      <c r="CR593" s="518"/>
      <c r="CS593" s="518"/>
      <c r="CT593" s="518"/>
      <c r="CU593" s="518"/>
      <c r="CV593" s="518"/>
      <c r="CW593" s="518"/>
      <c r="CX593" s="518"/>
      <c r="CY593" s="518"/>
      <c r="CZ593" s="519"/>
      <c r="DA593" s="527"/>
      <c r="DB593" s="520"/>
      <c r="DC593" s="525"/>
      <c r="DD593" s="531"/>
      <c r="DE593" s="593"/>
      <c r="DF593" s="518"/>
      <c r="DG593" s="518"/>
      <c r="DH593" s="518"/>
      <c r="DI593" s="519"/>
      <c r="DJ593" s="560"/>
      <c r="DK593" s="522"/>
      <c r="DL593" s="522"/>
      <c r="DM593" s="522"/>
      <c r="DN593" s="522"/>
      <c r="DO593" s="522"/>
      <c r="DP593" s="518"/>
      <c r="DQ593" s="518"/>
      <c r="DR593" s="518"/>
      <c r="DS593" s="518"/>
      <c r="DT593" s="518"/>
      <c r="DU593" s="519"/>
      <c r="DV593" s="527"/>
      <c r="DW593" s="518"/>
      <c r="DX593" s="518"/>
      <c r="DY593" s="520"/>
      <c r="DZ593" s="520"/>
      <c r="EA593" s="519"/>
      <c r="EB593" s="527"/>
      <c r="EC593" s="520"/>
      <c r="ED593" s="520"/>
      <c r="EE593" s="519"/>
      <c r="EF593" s="550"/>
      <c r="EG593" s="537"/>
      <c r="EH593" s="521"/>
      <c r="EI593" s="521"/>
      <c r="EJ593" s="521"/>
      <c r="EK593" s="521"/>
      <c r="EL593" s="521"/>
      <c r="EM593" s="521"/>
      <c r="EN593" s="521"/>
      <c r="EO593" s="521"/>
      <c r="EP593" s="521"/>
      <c r="EQ593" s="521"/>
      <c r="ER593" s="521"/>
      <c r="ES593" s="521"/>
      <c r="ET593" s="521"/>
      <c r="EU593" s="521"/>
      <c r="EV593" s="521"/>
      <c r="EW593" s="521"/>
      <c r="EX593" s="521"/>
      <c r="EY593" s="518"/>
      <c r="EZ593" s="523"/>
      <c r="FA593" s="523"/>
      <c r="FB593" s="524"/>
      <c r="FC593" s="524"/>
      <c r="FD593" s="518"/>
      <c r="FE593" s="518"/>
      <c r="FF593" s="518"/>
      <c r="FG593" s="518"/>
      <c r="FH593" s="518"/>
      <c r="FI593" s="518"/>
      <c r="FJ593" s="518"/>
      <c r="FK593" s="518"/>
      <c r="FL593" s="518"/>
      <c r="FM593" s="519"/>
    </row>
    <row r="594" spans="1:169" x14ac:dyDescent="0.25">
      <c r="A594" s="284"/>
      <c r="B594" s="317"/>
      <c r="C594" s="297"/>
      <c r="D594" s="298"/>
      <c r="E594" s="299"/>
      <c r="F594" s="340"/>
      <c r="G594" s="298"/>
      <c r="H594" s="299"/>
      <c r="I594" s="300"/>
      <c r="J594" s="370"/>
      <c r="K594" s="328"/>
      <c r="L594" s="300"/>
      <c r="M594" s="328"/>
      <c r="N594" s="331"/>
      <c r="O594" s="301"/>
      <c r="P594" s="301"/>
      <c r="Q594" s="328"/>
      <c r="R594" s="620"/>
      <c r="S594" s="512"/>
      <c r="T594" s="512"/>
      <c r="U594" s="513"/>
      <c r="V594" s="514"/>
      <c r="W594" s="512"/>
      <c r="X594" s="513"/>
      <c r="Y594" s="514"/>
      <c r="Z594" s="513"/>
      <c r="AA594" s="515"/>
      <c r="AB594" s="516"/>
      <c r="AC594" s="513"/>
      <c r="AD594" s="544"/>
      <c r="AE594" s="516"/>
      <c r="AF594" s="513"/>
      <c r="AG594" s="551"/>
      <c r="AH594" s="595"/>
      <c r="AI594" s="517"/>
      <c r="AJ594" s="518"/>
      <c r="AK594" s="518"/>
      <c r="AL594" s="518"/>
      <c r="AM594" s="519"/>
      <c r="AN594" s="517"/>
      <c r="AO594" s="520"/>
      <c r="AP594" s="525"/>
      <c r="AQ594" s="531"/>
      <c r="AR594" s="593"/>
      <c r="AS594" s="518"/>
      <c r="AT594" s="518"/>
      <c r="AU594" s="518"/>
      <c r="AV594" s="519"/>
      <c r="AW594" s="560"/>
      <c r="AX594" s="522"/>
      <c r="AY594" s="522"/>
      <c r="AZ594" s="522"/>
      <c r="BA594" s="522"/>
      <c r="BB594" s="522"/>
      <c r="BC594" s="518"/>
      <c r="BD594" s="518"/>
      <c r="BE594" s="518"/>
      <c r="BF594" s="518"/>
      <c r="BG594" s="518"/>
      <c r="BH594" s="519"/>
      <c r="BI594" s="527"/>
      <c r="BJ594" s="518"/>
      <c r="BK594" s="518"/>
      <c r="BL594" s="520"/>
      <c r="BM594" s="520"/>
      <c r="BN594" s="519"/>
      <c r="BO594" s="517"/>
      <c r="BP594" s="520"/>
      <c r="BQ594" s="520"/>
      <c r="BR594" s="519"/>
      <c r="BS594" s="548"/>
      <c r="BT594" s="537"/>
      <c r="BU594" s="521"/>
      <c r="BV594" s="521"/>
      <c r="BW594" s="521"/>
      <c r="BX594" s="521"/>
      <c r="BY594" s="521"/>
      <c r="BZ594" s="521"/>
      <c r="CA594" s="521"/>
      <c r="CB594" s="521"/>
      <c r="CC594" s="521"/>
      <c r="CD594" s="521"/>
      <c r="CE594" s="521"/>
      <c r="CF594" s="521"/>
      <c r="CG594" s="521"/>
      <c r="CH594" s="521"/>
      <c r="CI594" s="521"/>
      <c r="CJ594" s="521"/>
      <c r="CK594" s="521"/>
      <c r="CL594" s="518"/>
      <c r="CM594" s="523"/>
      <c r="CN594" s="523"/>
      <c r="CO594" s="524"/>
      <c r="CP594" s="524"/>
      <c r="CQ594" s="518"/>
      <c r="CR594" s="518"/>
      <c r="CS594" s="518"/>
      <c r="CT594" s="518"/>
      <c r="CU594" s="518"/>
      <c r="CV594" s="518"/>
      <c r="CW594" s="518"/>
      <c r="CX594" s="518"/>
      <c r="CY594" s="518"/>
      <c r="CZ594" s="519"/>
      <c r="DA594" s="527"/>
      <c r="DB594" s="520"/>
      <c r="DC594" s="525"/>
      <c r="DD594" s="531"/>
      <c r="DE594" s="593"/>
      <c r="DF594" s="518"/>
      <c r="DG594" s="518"/>
      <c r="DH594" s="518"/>
      <c r="DI594" s="519"/>
      <c r="DJ594" s="560"/>
      <c r="DK594" s="522"/>
      <c r="DL594" s="522"/>
      <c r="DM594" s="522"/>
      <c r="DN594" s="522"/>
      <c r="DO594" s="522"/>
      <c r="DP594" s="518"/>
      <c r="DQ594" s="518"/>
      <c r="DR594" s="518"/>
      <c r="DS594" s="518"/>
      <c r="DT594" s="518"/>
      <c r="DU594" s="519"/>
      <c r="DV594" s="527"/>
      <c r="DW594" s="518"/>
      <c r="DX594" s="518"/>
      <c r="DY594" s="520"/>
      <c r="DZ594" s="520"/>
      <c r="EA594" s="519"/>
      <c r="EB594" s="527"/>
      <c r="EC594" s="520"/>
      <c r="ED594" s="520"/>
      <c r="EE594" s="519"/>
      <c r="EF594" s="550"/>
      <c r="EG594" s="537"/>
      <c r="EH594" s="521"/>
      <c r="EI594" s="521"/>
      <c r="EJ594" s="521"/>
      <c r="EK594" s="521"/>
      <c r="EL594" s="521"/>
      <c r="EM594" s="521"/>
      <c r="EN594" s="521"/>
      <c r="EO594" s="521"/>
      <c r="EP594" s="521"/>
      <c r="EQ594" s="521"/>
      <c r="ER594" s="521"/>
      <c r="ES594" s="521"/>
      <c r="ET594" s="521"/>
      <c r="EU594" s="521"/>
      <c r="EV594" s="521"/>
      <c r="EW594" s="521"/>
      <c r="EX594" s="521"/>
      <c r="EY594" s="518"/>
      <c r="EZ594" s="523"/>
      <c r="FA594" s="523"/>
      <c r="FB594" s="524"/>
      <c r="FC594" s="524"/>
      <c r="FD594" s="518"/>
      <c r="FE594" s="518"/>
      <c r="FF594" s="518"/>
      <c r="FG594" s="518"/>
      <c r="FH594" s="518"/>
      <c r="FI594" s="518"/>
      <c r="FJ594" s="518"/>
      <c r="FK594" s="518"/>
      <c r="FL594" s="518"/>
      <c r="FM594" s="519"/>
    </row>
    <row r="595" spans="1:169" x14ac:dyDescent="0.25">
      <c r="A595" s="284"/>
      <c r="B595" s="317"/>
      <c r="C595" s="297"/>
      <c r="D595" s="298"/>
      <c r="E595" s="299"/>
      <c r="F595" s="340"/>
      <c r="G595" s="298"/>
      <c r="H595" s="299"/>
      <c r="I595" s="300"/>
      <c r="J595" s="370"/>
      <c r="K595" s="328"/>
      <c r="L595" s="300"/>
      <c r="M595" s="328"/>
      <c r="N595" s="331"/>
      <c r="O595" s="301"/>
      <c r="P595" s="301"/>
      <c r="Q595" s="328"/>
      <c r="R595" s="620"/>
      <c r="S595" s="512"/>
      <c r="T595" s="512"/>
      <c r="U595" s="513"/>
      <c r="V595" s="514"/>
      <c r="W595" s="512"/>
      <c r="X595" s="513"/>
      <c r="Y595" s="514"/>
      <c r="Z595" s="513"/>
      <c r="AA595" s="515"/>
      <c r="AB595" s="516"/>
      <c r="AC595" s="513"/>
      <c r="AD595" s="544"/>
      <c r="AE595" s="516"/>
      <c r="AF595" s="513"/>
      <c r="AG595" s="551"/>
      <c r="AH595" s="595"/>
      <c r="AI595" s="517"/>
      <c r="AJ595" s="518"/>
      <c r="AK595" s="518"/>
      <c r="AL595" s="518"/>
      <c r="AM595" s="519"/>
      <c r="AN595" s="517"/>
      <c r="AO595" s="520"/>
      <c r="AP595" s="525"/>
      <c r="AQ595" s="531"/>
      <c r="AR595" s="593"/>
      <c r="AS595" s="518"/>
      <c r="AT595" s="518"/>
      <c r="AU595" s="518"/>
      <c r="AV595" s="519"/>
      <c r="AW595" s="560"/>
      <c r="AX595" s="522"/>
      <c r="AY595" s="522"/>
      <c r="AZ595" s="522"/>
      <c r="BA595" s="522"/>
      <c r="BB595" s="522"/>
      <c r="BC595" s="518"/>
      <c r="BD595" s="518"/>
      <c r="BE595" s="518"/>
      <c r="BF595" s="518"/>
      <c r="BG595" s="518"/>
      <c r="BH595" s="519"/>
      <c r="BI595" s="527"/>
      <c r="BJ595" s="518"/>
      <c r="BK595" s="518"/>
      <c r="BL595" s="520"/>
      <c r="BM595" s="520"/>
      <c r="BN595" s="519"/>
      <c r="BO595" s="517"/>
      <c r="BP595" s="520"/>
      <c r="BQ595" s="520"/>
      <c r="BR595" s="519"/>
      <c r="BS595" s="548"/>
      <c r="BT595" s="537"/>
      <c r="BU595" s="521"/>
      <c r="BV595" s="521"/>
      <c r="BW595" s="521"/>
      <c r="BX595" s="521"/>
      <c r="BY595" s="521"/>
      <c r="BZ595" s="521"/>
      <c r="CA595" s="521"/>
      <c r="CB595" s="521"/>
      <c r="CC595" s="521"/>
      <c r="CD595" s="521"/>
      <c r="CE595" s="521"/>
      <c r="CF595" s="521"/>
      <c r="CG595" s="521"/>
      <c r="CH595" s="521"/>
      <c r="CI595" s="521"/>
      <c r="CJ595" s="521"/>
      <c r="CK595" s="521"/>
      <c r="CL595" s="518"/>
      <c r="CM595" s="523"/>
      <c r="CN595" s="523"/>
      <c r="CO595" s="524"/>
      <c r="CP595" s="524"/>
      <c r="CQ595" s="518"/>
      <c r="CR595" s="518"/>
      <c r="CS595" s="518"/>
      <c r="CT595" s="518"/>
      <c r="CU595" s="518"/>
      <c r="CV595" s="518"/>
      <c r="CW595" s="518"/>
      <c r="CX595" s="518"/>
      <c r="CY595" s="518"/>
      <c r="CZ595" s="519"/>
      <c r="DA595" s="527"/>
      <c r="DB595" s="520"/>
      <c r="DC595" s="525"/>
      <c r="DD595" s="531"/>
      <c r="DE595" s="593"/>
      <c r="DF595" s="518"/>
      <c r="DG595" s="518"/>
      <c r="DH595" s="518"/>
      <c r="DI595" s="519"/>
      <c r="DJ595" s="560"/>
      <c r="DK595" s="522"/>
      <c r="DL595" s="522"/>
      <c r="DM595" s="522"/>
      <c r="DN595" s="522"/>
      <c r="DO595" s="522"/>
      <c r="DP595" s="518"/>
      <c r="DQ595" s="518"/>
      <c r="DR595" s="518"/>
      <c r="DS595" s="518"/>
      <c r="DT595" s="518"/>
      <c r="DU595" s="519"/>
      <c r="DV595" s="527"/>
      <c r="DW595" s="518"/>
      <c r="DX595" s="518"/>
      <c r="DY595" s="520"/>
      <c r="DZ595" s="520"/>
      <c r="EA595" s="519"/>
      <c r="EB595" s="527"/>
      <c r="EC595" s="520"/>
      <c r="ED595" s="520"/>
      <c r="EE595" s="519"/>
      <c r="EF595" s="550"/>
      <c r="EG595" s="537"/>
      <c r="EH595" s="521"/>
      <c r="EI595" s="521"/>
      <c r="EJ595" s="521"/>
      <c r="EK595" s="521"/>
      <c r="EL595" s="521"/>
      <c r="EM595" s="521"/>
      <c r="EN595" s="521"/>
      <c r="EO595" s="521"/>
      <c r="EP595" s="521"/>
      <c r="EQ595" s="521"/>
      <c r="ER595" s="521"/>
      <c r="ES595" s="521"/>
      <c r="ET595" s="521"/>
      <c r="EU595" s="521"/>
      <c r="EV595" s="521"/>
      <c r="EW595" s="521"/>
      <c r="EX595" s="521"/>
      <c r="EY595" s="518"/>
      <c r="EZ595" s="523"/>
      <c r="FA595" s="523"/>
      <c r="FB595" s="524"/>
      <c r="FC595" s="524"/>
      <c r="FD595" s="518"/>
      <c r="FE595" s="518"/>
      <c r="FF595" s="518"/>
      <c r="FG595" s="518"/>
      <c r="FH595" s="518"/>
      <c r="FI595" s="518"/>
      <c r="FJ595" s="518"/>
      <c r="FK595" s="518"/>
      <c r="FL595" s="518"/>
      <c r="FM595" s="519"/>
    </row>
    <row r="596" spans="1:169" x14ac:dyDescent="0.25">
      <c r="A596" s="284"/>
      <c r="B596" s="317"/>
      <c r="C596" s="297"/>
      <c r="D596" s="298"/>
      <c r="E596" s="299"/>
      <c r="F596" s="340"/>
      <c r="G596" s="298"/>
      <c r="H596" s="299"/>
      <c r="I596" s="300"/>
      <c r="J596" s="370"/>
      <c r="K596" s="328"/>
      <c r="L596" s="300"/>
      <c r="M596" s="328"/>
      <c r="N596" s="331"/>
      <c r="O596" s="301"/>
      <c r="P596" s="301"/>
      <c r="Q596" s="328"/>
      <c r="R596" s="620"/>
      <c r="S596" s="512"/>
      <c r="T596" s="512"/>
      <c r="U596" s="513"/>
      <c r="V596" s="514"/>
      <c r="W596" s="512"/>
      <c r="X596" s="513"/>
      <c r="Y596" s="514"/>
      <c r="Z596" s="513"/>
      <c r="AA596" s="515"/>
      <c r="AB596" s="516"/>
      <c r="AC596" s="513"/>
      <c r="AD596" s="544"/>
      <c r="AE596" s="516"/>
      <c r="AF596" s="513"/>
      <c r="AG596" s="551"/>
      <c r="AH596" s="595"/>
      <c r="AI596" s="517"/>
      <c r="AJ596" s="518"/>
      <c r="AK596" s="518"/>
      <c r="AL596" s="518"/>
      <c r="AM596" s="519"/>
      <c r="AN596" s="517"/>
      <c r="AO596" s="520"/>
      <c r="AP596" s="525"/>
      <c r="AQ596" s="531"/>
      <c r="AR596" s="593"/>
      <c r="AS596" s="518"/>
      <c r="AT596" s="518"/>
      <c r="AU596" s="518"/>
      <c r="AV596" s="519"/>
      <c r="AW596" s="560"/>
      <c r="AX596" s="522"/>
      <c r="AY596" s="522"/>
      <c r="AZ596" s="522"/>
      <c r="BA596" s="522"/>
      <c r="BB596" s="522"/>
      <c r="BC596" s="518"/>
      <c r="BD596" s="518"/>
      <c r="BE596" s="518"/>
      <c r="BF596" s="518"/>
      <c r="BG596" s="518"/>
      <c r="BH596" s="519"/>
      <c r="BI596" s="527"/>
      <c r="BJ596" s="518"/>
      <c r="BK596" s="518"/>
      <c r="BL596" s="520"/>
      <c r="BM596" s="520"/>
      <c r="BN596" s="519"/>
      <c r="BO596" s="517"/>
      <c r="BP596" s="520"/>
      <c r="BQ596" s="520"/>
      <c r="BR596" s="519"/>
      <c r="BS596" s="548"/>
      <c r="BT596" s="537"/>
      <c r="BU596" s="521"/>
      <c r="BV596" s="521"/>
      <c r="BW596" s="521"/>
      <c r="BX596" s="521"/>
      <c r="BY596" s="521"/>
      <c r="BZ596" s="521"/>
      <c r="CA596" s="521"/>
      <c r="CB596" s="521"/>
      <c r="CC596" s="521"/>
      <c r="CD596" s="521"/>
      <c r="CE596" s="521"/>
      <c r="CF596" s="521"/>
      <c r="CG596" s="521"/>
      <c r="CH596" s="521"/>
      <c r="CI596" s="521"/>
      <c r="CJ596" s="521"/>
      <c r="CK596" s="521"/>
      <c r="CL596" s="518"/>
      <c r="CM596" s="523"/>
      <c r="CN596" s="523"/>
      <c r="CO596" s="524"/>
      <c r="CP596" s="524"/>
      <c r="CQ596" s="518"/>
      <c r="CR596" s="518"/>
      <c r="CS596" s="518"/>
      <c r="CT596" s="518"/>
      <c r="CU596" s="518"/>
      <c r="CV596" s="518"/>
      <c r="CW596" s="518"/>
      <c r="CX596" s="518"/>
      <c r="CY596" s="518"/>
      <c r="CZ596" s="519"/>
      <c r="DA596" s="527"/>
      <c r="DB596" s="520"/>
      <c r="DC596" s="525"/>
      <c r="DD596" s="531"/>
      <c r="DE596" s="593"/>
      <c r="DF596" s="518"/>
      <c r="DG596" s="518"/>
      <c r="DH596" s="518"/>
      <c r="DI596" s="519"/>
      <c r="DJ596" s="560"/>
      <c r="DK596" s="522"/>
      <c r="DL596" s="522"/>
      <c r="DM596" s="522"/>
      <c r="DN596" s="522"/>
      <c r="DO596" s="522"/>
      <c r="DP596" s="518"/>
      <c r="DQ596" s="518"/>
      <c r="DR596" s="518"/>
      <c r="DS596" s="518"/>
      <c r="DT596" s="518"/>
      <c r="DU596" s="519"/>
      <c r="DV596" s="527"/>
      <c r="DW596" s="518"/>
      <c r="DX596" s="518"/>
      <c r="DY596" s="520"/>
      <c r="DZ596" s="520"/>
      <c r="EA596" s="519"/>
      <c r="EB596" s="527"/>
      <c r="EC596" s="520"/>
      <c r="ED596" s="520"/>
      <c r="EE596" s="519"/>
      <c r="EF596" s="550"/>
      <c r="EG596" s="537"/>
      <c r="EH596" s="521"/>
      <c r="EI596" s="521"/>
      <c r="EJ596" s="521"/>
      <c r="EK596" s="521"/>
      <c r="EL596" s="521"/>
      <c r="EM596" s="521"/>
      <c r="EN596" s="521"/>
      <c r="EO596" s="521"/>
      <c r="EP596" s="521"/>
      <c r="EQ596" s="521"/>
      <c r="ER596" s="521"/>
      <c r="ES596" s="521"/>
      <c r="ET596" s="521"/>
      <c r="EU596" s="521"/>
      <c r="EV596" s="521"/>
      <c r="EW596" s="521"/>
      <c r="EX596" s="521"/>
      <c r="EY596" s="518"/>
      <c r="EZ596" s="523"/>
      <c r="FA596" s="523"/>
      <c r="FB596" s="524"/>
      <c r="FC596" s="524"/>
      <c r="FD596" s="518"/>
      <c r="FE596" s="518"/>
      <c r="FF596" s="518"/>
      <c r="FG596" s="518"/>
      <c r="FH596" s="518"/>
      <c r="FI596" s="518"/>
      <c r="FJ596" s="518"/>
      <c r="FK596" s="518"/>
      <c r="FL596" s="518"/>
      <c r="FM596" s="519"/>
    </row>
    <row r="597" spans="1:169" x14ac:dyDescent="0.25">
      <c r="A597" s="284"/>
      <c r="B597" s="317"/>
      <c r="C597" s="297"/>
      <c r="D597" s="298"/>
      <c r="E597" s="299"/>
      <c r="F597" s="340"/>
      <c r="G597" s="298"/>
      <c r="H597" s="299"/>
      <c r="I597" s="300"/>
      <c r="J597" s="370"/>
      <c r="K597" s="328"/>
      <c r="L597" s="300"/>
      <c r="M597" s="328"/>
      <c r="N597" s="331"/>
      <c r="O597" s="301"/>
      <c r="P597" s="301"/>
      <c r="Q597" s="328"/>
      <c r="R597" s="620"/>
      <c r="S597" s="512"/>
      <c r="T597" s="512"/>
      <c r="U597" s="513"/>
      <c r="V597" s="514"/>
      <c r="W597" s="512"/>
      <c r="X597" s="513"/>
      <c r="Y597" s="514"/>
      <c r="Z597" s="513"/>
      <c r="AA597" s="515"/>
      <c r="AB597" s="516"/>
      <c r="AC597" s="513"/>
      <c r="AD597" s="544"/>
      <c r="AE597" s="516"/>
      <c r="AF597" s="513"/>
      <c r="AG597" s="551"/>
      <c r="AH597" s="595"/>
      <c r="AI597" s="517"/>
      <c r="AJ597" s="518"/>
      <c r="AK597" s="518"/>
      <c r="AL597" s="518"/>
      <c r="AM597" s="519"/>
      <c r="AN597" s="517"/>
      <c r="AO597" s="520"/>
      <c r="AP597" s="525"/>
      <c r="AQ597" s="531"/>
      <c r="AR597" s="593"/>
      <c r="AS597" s="518"/>
      <c r="AT597" s="518"/>
      <c r="AU597" s="518"/>
      <c r="AV597" s="519"/>
      <c r="AW597" s="560"/>
      <c r="AX597" s="522"/>
      <c r="AY597" s="522"/>
      <c r="AZ597" s="522"/>
      <c r="BA597" s="522"/>
      <c r="BB597" s="522"/>
      <c r="BC597" s="518"/>
      <c r="BD597" s="518"/>
      <c r="BE597" s="518"/>
      <c r="BF597" s="518"/>
      <c r="BG597" s="518"/>
      <c r="BH597" s="519"/>
      <c r="BI597" s="527"/>
      <c r="BJ597" s="518"/>
      <c r="BK597" s="518"/>
      <c r="BL597" s="520"/>
      <c r="BM597" s="520"/>
      <c r="BN597" s="519"/>
      <c r="BO597" s="517"/>
      <c r="BP597" s="520"/>
      <c r="BQ597" s="520"/>
      <c r="BR597" s="519"/>
      <c r="BS597" s="548"/>
      <c r="BT597" s="537"/>
      <c r="BU597" s="521"/>
      <c r="BV597" s="521"/>
      <c r="BW597" s="521"/>
      <c r="BX597" s="521"/>
      <c r="BY597" s="521"/>
      <c r="BZ597" s="521"/>
      <c r="CA597" s="521"/>
      <c r="CB597" s="521"/>
      <c r="CC597" s="521"/>
      <c r="CD597" s="521"/>
      <c r="CE597" s="521"/>
      <c r="CF597" s="521"/>
      <c r="CG597" s="521"/>
      <c r="CH597" s="521"/>
      <c r="CI597" s="521"/>
      <c r="CJ597" s="521"/>
      <c r="CK597" s="521"/>
      <c r="CL597" s="518"/>
      <c r="CM597" s="523"/>
      <c r="CN597" s="523"/>
      <c r="CO597" s="524"/>
      <c r="CP597" s="524"/>
      <c r="CQ597" s="518"/>
      <c r="CR597" s="518"/>
      <c r="CS597" s="518"/>
      <c r="CT597" s="518"/>
      <c r="CU597" s="518"/>
      <c r="CV597" s="518"/>
      <c r="CW597" s="518"/>
      <c r="CX597" s="518"/>
      <c r="CY597" s="518"/>
      <c r="CZ597" s="519"/>
      <c r="DA597" s="527"/>
      <c r="DB597" s="520"/>
      <c r="DC597" s="525"/>
      <c r="DD597" s="531"/>
      <c r="DE597" s="593"/>
      <c r="DF597" s="518"/>
      <c r="DG597" s="518"/>
      <c r="DH597" s="518"/>
      <c r="DI597" s="519"/>
      <c r="DJ597" s="560"/>
      <c r="DK597" s="522"/>
      <c r="DL597" s="522"/>
      <c r="DM597" s="522"/>
      <c r="DN597" s="522"/>
      <c r="DO597" s="522"/>
      <c r="DP597" s="518"/>
      <c r="DQ597" s="518"/>
      <c r="DR597" s="518"/>
      <c r="DS597" s="518"/>
      <c r="DT597" s="518"/>
      <c r="DU597" s="519"/>
      <c r="DV597" s="527"/>
      <c r="DW597" s="518"/>
      <c r="DX597" s="518"/>
      <c r="DY597" s="520"/>
      <c r="DZ597" s="520"/>
      <c r="EA597" s="519"/>
      <c r="EB597" s="527"/>
      <c r="EC597" s="520"/>
      <c r="ED597" s="520"/>
      <c r="EE597" s="519"/>
      <c r="EF597" s="550"/>
      <c r="EG597" s="537"/>
      <c r="EH597" s="521"/>
      <c r="EI597" s="521"/>
      <c r="EJ597" s="521"/>
      <c r="EK597" s="521"/>
      <c r="EL597" s="521"/>
      <c r="EM597" s="521"/>
      <c r="EN597" s="521"/>
      <c r="EO597" s="521"/>
      <c r="EP597" s="521"/>
      <c r="EQ597" s="521"/>
      <c r="ER597" s="521"/>
      <c r="ES597" s="521"/>
      <c r="ET597" s="521"/>
      <c r="EU597" s="521"/>
      <c r="EV597" s="521"/>
      <c r="EW597" s="521"/>
      <c r="EX597" s="521"/>
      <c r="EY597" s="518"/>
      <c r="EZ597" s="523"/>
      <c r="FA597" s="523"/>
      <c r="FB597" s="524"/>
      <c r="FC597" s="524"/>
      <c r="FD597" s="518"/>
      <c r="FE597" s="518"/>
      <c r="FF597" s="518"/>
      <c r="FG597" s="518"/>
      <c r="FH597" s="518"/>
      <c r="FI597" s="518"/>
      <c r="FJ597" s="518"/>
      <c r="FK597" s="518"/>
      <c r="FL597" s="518"/>
      <c r="FM597" s="519"/>
    </row>
    <row r="598" spans="1:169" x14ac:dyDescent="0.25">
      <c r="A598" s="284"/>
      <c r="B598" s="317"/>
      <c r="C598" s="297"/>
      <c r="D598" s="298"/>
      <c r="E598" s="299"/>
      <c r="F598" s="340"/>
      <c r="G598" s="298"/>
      <c r="H598" s="299"/>
      <c r="I598" s="300"/>
      <c r="J598" s="370"/>
      <c r="K598" s="328"/>
      <c r="L598" s="300"/>
      <c r="M598" s="328"/>
      <c r="N598" s="331"/>
      <c r="O598" s="301"/>
      <c r="P598" s="301"/>
      <c r="Q598" s="328"/>
      <c r="R598" s="620"/>
      <c r="S598" s="512"/>
      <c r="T598" s="512"/>
      <c r="U598" s="513"/>
      <c r="V598" s="514"/>
      <c r="W598" s="512"/>
      <c r="X598" s="513"/>
      <c r="Y598" s="514"/>
      <c r="Z598" s="513"/>
      <c r="AA598" s="515"/>
      <c r="AB598" s="516"/>
      <c r="AC598" s="513"/>
      <c r="AD598" s="544"/>
      <c r="AE598" s="516"/>
      <c r="AF598" s="513"/>
      <c r="AG598" s="551"/>
      <c r="AH598" s="595"/>
      <c r="AI598" s="517"/>
      <c r="AJ598" s="518"/>
      <c r="AK598" s="518"/>
      <c r="AL598" s="518"/>
      <c r="AM598" s="519"/>
      <c r="AN598" s="517"/>
      <c r="AO598" s="520"/>
      <c r="AP598" s="525"/>
      <c r="AQ598" s="531"/>
      <c r="AR598" s="593"/>
      <c r="AS598" s="518"/>
      <c r="AT598" s="518"/>
      <c r="AU598" s="518"/>
      <c r="AV598" s="519"/>
      <c r="AW598" s="560"/>
      <c r="AX598" s="522"/>
      <c r="AY598" s="522"/>
      <c r="AZ598" s="522"/>
      <c r="BA598" s="522"/>
      <c r="BB598" s="522"/>
      <c r="BC598" s="518"/>
      <c r="BD598" s="518"/>
      <c r="BE598" s="518"/>
      <c r="BF598" s="518"/>
      <c r="BG598" s="518"/>
      <c r="BH598" s="519"/>
      <c r="BI598" s="527"/>
      <c r="BJ598" s="518"/>
      <c r="BK598" s="518"/>
      <c r="BL598" s="520"/>
      <c r="BM598" s="520"/>
      <c r="BN598" s="519"/>
      <c r="BO598" s="517"/>
      <c r="BP598" s="520"/>
      <c r="BQ598" s="520"/>
      <c r="BR598" s="519"/>
      <c r="BS598" s="548"/>
      <c r="BT598" s="537"/>
      <c r="BU598" s="521"/>
      <c r="BV598" s="521"/>
      <c r="BW598" s="521"/>
      <c r="BX598" s="521"/>
      <c r="BY598" s="521"/>
      <c r="BZ598" s="521"/>
      <c r="CA598" s="521"/>
      <c r="CB598" s="521"/>
      <c r="CC598" s="521"/>
      <c r="CD598" s="521"/>
      <c r="CE598" s="521"/>
      <c r="CF598" s="521"/>
      <c r="CG598" s="521"/>
      <c r="CH598" s="521"/>
      <c r="CI598" s="521"/>
      <c r="CJ598" s="521"/>
      <c r="CK598" s="521"/>
      <c r="CL598" s="518"/>
      <c r="CM598" s="523"/>
      <c r="CN598" s="523"/>
      <c r="CO598" s="524"/>
      <c r="CP598" s="524"/>
      <c r="CQ598" s="518"/>
      <c r="CR598" s="518"/>
      <c r="CS598" s="518"/>
      <c r="CT598" s="518"/>
      <c r="CU598" s="518"/>
      <c r="CV598" s="518"/>
      <c r="CW598" s="518"/>
      <c r="CX598" s="518"/>
      <c r="CY598" s="518"/>
      <c r="CZ598" s="519"/>
      <c r="DA598" s="527"/>
      <c r="DB598" s="520"/>
      <c r="DC598" s="525"/>
      <c r="DD598" s="531"/>
      <c r="DE598" s="593"/>
      <c r="DF598" s="518"/>
      <c r="DG598" s="518"/>
      <c r="DH598" s="518"/>
      <c r="DI598" s="519"/>
      <c r="DJ598" s="560"/>
      <c r="DK598" s="522"/>
      <c r="DL598" s="522"/>
      <c r="DM598" s="522"/>
      <c r="DN598" s="522"/>
      <c r="DO598" s="522"/>
      <c r="DP598" s="518"/>
      <c r="DQ598" s="518"/>
      <c r="DR598" s="518"/>
      <c r="DS598" s="518"/>
      <c r="DT598" s="518"/>
      <c r="DU598" s="519"/>
      <c r="DV598" s="527"/>
      <c r="DW598" s="518"/>
      <c r="DX598" s="518"/>
      <c r="DY598" s="520"/>
      <c r="DZ598" s="520"/>
      <c r="EA598" s="519"/>
      <c r="EB598" s="527"/>
      <c r="EC598" s="520"/>
      <c r="ED598" s="520"/>
      <c r="EE598" s="519"/>
      <c r="EF598" s="550"/>
      <c r="EG598" s="537"/>
      <c r="EH598" s="521"/>
      <c r="EI598" s="521"/>
      <c r="EJ598" s="521"/>
      <c r="EK598" s="521"/>
      <c r="EL598" s="521"/>
      <c r="EM598" s="521"/>
      <c r="EN598" s="521"/>
      <c r="EO598" s="521"/>
      <c r="EP598" s="521"/>
      <c r="EQ598" s="521"/>
      <c r="ER598" s="521"/>
      <c r="ES598" s="521"/>
      <c r="ET598" s="521"/>
      <c r="EU598" s="521"/>
      <c r="EV598" s="521"/>
      <c r="EW598" s="521"/>
      <c r="EX598" s="521"/>
      <c r="EY598" s="518"/>
      <c r="EZ598" s="523"/>
      <c r="FA598" s="523"/>
      <c r="FB598" s="524"/>
      <c r="FC598" s="524"/>
      <c r="FD598" s="518"/>
      <c r="FE598" s="518"/>
      <c r="FF598" s="518"/>
      <c r="FG598" s="518"/>
      <c r="FH598" s="518"/>
      <c r="FI598" s="518"/>
      <c r="FJ598" s="518"/>
      <c r="FK598" s="518"/>
      <c r="FL598" s="518"/>
      <c r="FM598" s="519"/>
    </row>
    <row r="599" spans="1:169" x14ac:dyDescent="0.25">
      <c r="A599" s="284"/>
      <c r="B599" s="317"/>
      <c r="C599" s="297"/>
      <c r="D599" s="298"/>
      <c r="E599" s="299"/>
      <c r="F599" s="340"/>
      <c r="G599" s="298"/>
      <c r="H599" s="299"/>
      <c r="I599" s="300"/>
      <c r="J599" s="370"/>
      <c r="K599" s="328"/>
      <c r="L599" s="300"/>
      <c r="M599" s="328"/>
      <c r="N599" s="331"/>
      <c r="O599" s="301"/>
      <c r="P599" s="301"/>
      <c r="Q599" s="328"/>
      <c r="R599" s="620"/>
      <c r="S599" s="512"/>
      <c r="T599" s="512"/>
      <c r="U599" s="513"/>
      <c r="V599" s="514"/>
      <c r="W599" s="512"/>
      <c r="X599" s="513"/>
      <c r="Y599" s="514"/>
      <c r="Z599" s="513"/>
      <c r="AA599" s="515"/>
      <c r="AB599" s="516"/>
      <c r="AC599" s="513"/>
      <c r="AD599" s="544"/>
      <c r="AE599" s="516"/>
      <c r="AF599" s="513"/>
      <c r="AG599" s="551"/>
      <c r="AH599" s="595"/>
      <c r="AI599" s="517"/>
      <c r="AJ599" s="518"/>
      <c r="AK599" s="518"/>
      <c r="AL599" s="518"/>
      <c r="AM599" s="519"/>
      <c r="AN599" s="517"/>
      <c r="AO599" s="520"/>
      <c r="AP599" s="525"/>
      <c r="AQ599" s="531"/>
      <c r="AR599" s="593"/>
      <c r="AS599" s="518"/>
      <c r="AT599" s="518"/>
      <c r="AU599" s="518"/>
      <c r="AV599" s="519"/>
      <c r="AW599" s="560"/>
      <c r="AX599" s="522"/>
      <c r="AY599" s="522"/>
      <c r="AZ599" s="522"/>
      <c r="BA599" s="522"/>
      <c r="BB599" s="522"/>
      <c r="BC599" s="518"/>
      <c r="BD599" s="518"/>
      <c r="BE599" s="518"/>
      <c r="BF599" s="518"/>
      <c r="BG599" s="518"/>
      <c r="BH599" s="519"/>
      <c r="BI599" s="527"/>
      <c r="BJ599" s="518"/>
      <c r="BK599" s="518"/>
      <c r="BL599" s="520"/>
      <c r="BM599" s="520"/>
      <c r="BN599" s="519"/>
      <c r="BO599" s="517"/>
      <c r="BP599" s="520"/>
      <c r="BQ599" s="520"/>
      <c r="BR599" s="519"/>
      <c r="BS599" s="548"/>
      <c r="BT599" s="537"/>
      <c r="BU599" s="521"/>
      <c r="BV599" s="521"/>
      <c r="BW599" s="521"/>
      <c r="BX599" s="521"/>
      <c r="BY599" s="521"/>
      <c r="BZ599" s="521"/>
      <c r="CA599" s="521"/>
      <c r="CB599" s="521"/>
      <c r="CC599" s="521"/>
      <c r="CD599" s="521"/>
      <c r="CE599" s="521"/>
      <c r="CF599" s="521"/>
      <c r="CG599" s="521"/>
      <c r="CH599" s="521"/>
      <c r="CI599" s="521"/>
      <c r="CJ599" s="521"/>
      <c r="CK599" s="521"/>
      <c r="CL599" s="518"/>
      <c r="CM599" s="523"/>
      <c r="CN599" s="523"/>
      <c r="CO599" s="524"/>
      <c r="CP599" s="524"/>
      <c r="CQ599" s="518"/>
      <c r="CR599" s="518"/>
      <c r="CS599" s="518"/>
      <c r="CT599" s="518"/>
      <c r="CU599" s="518"/>
      <c r="CV599" s="518"/>
      <c r="CW599" s="518"/>
      <c r="CX599" s="518"/>
      <c r="CY599" s="518"/>
      <c r="CZ599" s="519"/>
      <c r="DA599" s="527"/>
      <c r="DB599" s="520"/>
      <c r="DC599" s="525"/>
      <c r="DD599" s="531"/>
      <c r="DE599" s="593"/>
      <c r="DF599" s="518"/>
      <c r="DG599" s="518"/>
      <c r="DH599" s="518"/>
      <c r="DI599" s="519"/>
      <c r="DJ599" s="560"/>
      <c r="DK599" s="522"/>
      <c r="DL599" s="522"/>
      <c r="DM599" s="522"/>
      <c r="DN599" s="522"/>
      <c r="DO599" s="522"/>
      <c r="DP599" s="518"/>
      <c r="DQ599" s="518"/>
      <c r="DR599" s="518"/>
      <c r="DS599" s="518"/>
      <c r="DT599" s="518"/>
      <c r="DU599" s="519"/>
      <c r="DV599" s="527"/>
      <c r="DW599" s="518"/>
      <c r="DX599" s="518"/>
      <c r="DY599" s="520"/>
      <c r="DZ599" s="520"/>
      <c r="EA599" s="519"/>
      <c r="EB599" s="527"/>
      <c r="EC599" s="520"/>
      <c r="ED599" s="520"/>
      <c r="EE599" s="519"/>
      <c r="EF599" s="550"/>
      <c r="EG599" s="537"/>
      <c r="EH599" s="521"/>
      <c r="EI599" s="521"/>
      <c r="EJ599" s="521"/>
      <c r="EK599" s="521"/>
      <c r="EL599" s="521"/>
      <c r="EM599" s="521"/>
      <c r="EN599" s="521"/>
      <c r="EO599" s="521"/>
      <c r="EP599" s="521"/>
      <c r="EQ599" s="521"/>
      <c r="ER599" s="521"/>
      <c r="ES599" s="521"/>
      <c r="ET599" s="521"/>
      <c r="EU599" s="521"/>
      <c r="EV599" s="521"/>
      <c r="EW599" s="521"/>
      <c r="EX599" s="521"/>
      <c r="EY599" s="518"/>
      <c r="EZ599" s="523"/>
      <c r="FA599" s="523"/>
      <c r="FB599" s="524"/>
      <c r="FC599" s="524"/>
      <c r="FD599" s="518"/>
      <c r="FE599" s="518"/>
      <c r="FF599" s="518"/>
      <c r="FG599" s="518"/>
      <c r="FH599" s="518"/>
      <c r="FI599" s="518"/>
      <c r="FJ599" s="518"/>
      <c r="FK599" s="518"/>
      <c r="FL599" s="518"/>
      <c r="FM599" s="519"/>
    </row>
    <row r="600" spans="1:169" x14ac:dyDescent="0.25">
      <c r="A600" s="284"/>
      <c r="B600" s="317"/>
      <c r="C600" s="297"/>
      <c r="D600" s="298"/>
      <c r="E600" s="299"/>
      <c r="F600" s="340"/>
      <c r="G600" s="298"/>
      <c r="H600" s="299"/>
      <c r="I600" s="300"/>
      <c r="J600" s="370"/>
      <c r="K600" s="328"/>
      <c r="L600" s="300"/>
      <c r="M600" s="328"/>
      <c r="N600" s="331"/>
      <c r="O600" s="301"/>
      <c r="P600" s="301"/>
      <c r="Q600" s="328"/>
      <c r="R600" s="620"/>
      <c r="S600" s="512"/>
      <c r="T600" s="512"/>
      <c r="U600" s="513"/>
      <c r="V600" s="514"/>
      <c r="W600" s="512"/>
      <c r="X600" s="513"/>
      <c r="Y600" s="514"/>
      <c r="Z600" s="513"/>
      <c r="AA600" s="515"/>
      <c r="AB600" s="516"/>
      <c r="AC600" s="513"/>
      <c r="AD600" s="544"/>
      <c r="AE600" s="516"/>
      <c r="AF600" s="513"/>
      <c r="AG600" s="551"/>
      <c r="AH600" s="595"/>
      <c r="AI600" s="517"/>
      <c r="AJ600" s="518"/>
      <c r="AK600" s="518"/>
      <c r="AL600" s="518"/>
      <c r="AM600" s="519"/>
      <c r="AN600" s="517"/>
      <c r="AO600" s="520"/>
      <c r="AP600" s="525"/>
      <c r="AQ600" s="531"/>
      <c r="AR600" s="593"/>
      <c r="AS600" s="518"/>
      <c r="AT600" s="518"/>
      <c r="AU600" s="518"/>
      <c r="AV600" s="519"/>
      <c r="AW600" s="560"/>
      <c r="AX600" s="522"/>
      <c r="AY600" s="522"/>
      <c r="AZ600" s="522"/>
      <c r="BA600" s="522"/>
      <c r="BB600" s="522"/>
      <c r="BC600" s="518"/>
      <c r="BD600" s="518"/>
      <c r="BE600" s="518"/>
      <c r="BF600" s="518"/>
      <c r="BG600" s="518"/>
      <c r="BH600" s="519"/>
      <c r="BI600" s="527"/>
      <c r="BJ600" s="518"/>
      <c r="BK600" s="518"/>
      <c r="BL600" s="520"/>
      <c r="BM600" s="520"/>
      <c r="BN600" s="519"/>
      <c r="BO600" s="517"/>
      <c r="BP600" s="520"/>
      <c r="BQ600" s="520"/>
      <c r="BR600" s="519"/>
      <c r="BS600" s="548"/>
      <c r="BT600" s="537"/>
      <c r="BU600" s="521"/>
      <c r="BV600" s="521"/>
      <c r="BW600" s="521"/>
      <c r="BX600" s="521"/>
      <c r="BY600" s="521"/>
      <c r="BZ600" s="521"/>
      <c r="CA600" s="521"/>
      <c r="CB600" s="521"/>
      <c r="CC600" s="521"/>
      <c r="CD600" s="521"/>
      <c r="CE600" s="521"/>
      <c r="CF600" s="521"/>
      <c r="CG600" s="521"/>
      <c r="CH600" s="521"/>
      <c r="CI600" s="521"/>
      <c r="CJ600" s="521"/>
      <c r="CK600" s="521"/>
      <c r="CL600" s="518"/>
      <c r="CM600" s="523"/>
      <c r="CN600" s="523"/>
      <c r="CO600" s="524"/>
      <c r="CP600" s="524"/>
      <c r="CQ600" s="518"/>
      <c r="CR600" s="518"/>
      <c r="CS600" s="518"/>
      <c r="CT600" s="518"/>
      <c r="CU600" s="518"/>
      <c r="CV600" s="518"/>
      <c r="CW600" s="518"/>
      <c r="CX600" s="518"/>
      <c r="CY600" s="518"/>
      <c r="CZ600" s="519"/>
      <c r="DA600" s="527"/>
      <c r="DB600" s="520"/>
      <c r="DC600" s="525"/>
      <c r="DD600" s="531"/>
      <c r="DE600" s="593"/>
      <c r="DF600" s="518"/>
      <c r="DG600" s="518"/>
      <c r="DH600" s="518"/>
      <c r="DI600" s="519"/>
      <c r="DJ600" s="560"/>
      <c r="DK600" s="522"/>
      <c r="DL600" s="522"/>
      <c r="DM600" s="522"/>
      <c r="DN600" s="522"/>
      <c r="DO600" s="522"/>
      <c r="DP600" s="518"/>
      <c r="DQ600" s="518"/>
      <c r="DR600" s="518"/>
      <c r="DS600" s="518"/>
      <c r="DT600" s="518"/>
      <c r="DU600" s="519"/>
      <c r="DV600" s="527"/>
      <c r="DW600" s="518"/>
      <c r="DX600" s="518"/>
      <c r="DY600" s="520"/>
      <c r="DZ600" s="520"/>
      <c r="EA600" s="519"/>
      <c r="EB600" s="527"/>
      <c r="EC600" s="520"/>
      <c r="ED600" s="520"/>
      <c r="EE600" s="519"/>
      <c r="EF600" s="550"/>
      <c r="EG600" s="537"/>
      <c r="EH600" s="521"/>
      <c r="EI600" s="521"/>
      <c r="EJ600" s="521"/>
      <c r="EK600" s="521"/>
      <c r="EL600" s="521"/>
      <c r="EM600" s="521"/>
      <c r="EN600" s="521"/>
      <c r="EO600" s="521"/>
      <c r="EP600" s="521"/>
      <c r="EQ600" s="521"/>
      <c r="ER600" s="521"/>
      <c r="ES600" s="521"/>
      <c r="ET600" s="521"/>
      <c r="EU600" s="521"/>
      <c r="EV600" s="521"/>
      <c r="EW600" s="521"/>
      <c r="EX600" s="521"/>
      <c r="EY600" s="518"/>
      <c r="EZ600" s="523"/>
      <c r="FA600" s="523"/>
      <c r="FB600" s="524"/>
      <c r="FC600" s="524"/>
      <c r="FD600" s="518"/>
      <c r="FE600" s="518"/>
      <c r="FF600" s="518"/>
      <c r="FG600" s="518"/>
      <c r="FH600" s="518"/>
      <c r="FI600" s="518"/>
      <c r="FJ600" s="518"/>
      <c r="FK600" s="518"/>
      <c r="FL600" s="518"/>
      <c r="FM600" s="519"/>
    </row>
    <row r="601" spans="1:169" x14ac:dyDescent="0.25">
      <c r="A601" s="284"/>
      <c r="B601" s="317"/>
      <c r="C601" s="297"/>
      <c r="D601" s="298"/>
      <c r="E601" s="299"/>
      <c r="F601" s="340"/>
      <c r="G601" s="298"/>
      <c r="H601" s="299"/>
      <c r="I601" s="300"/>
      <c r="J601" s="370"/>
      <c r="K601" s="328"/>
      <c r="L601" s="300"/>
      <c r="M601" s="328"/>
      <c r="N601" s="331"/>
      <c r="O601" s="301"/>
      <c r="P601" s="301"/>
      <c r="Q601" s="328"/>
      <c r="R601" s="620"/>
      <c r="S601" s="512"/>
      <c r="T601" s="512"/>
      <c r="U601" s="513"/>
      <c r="V601" s="514"/>
      <c r="W601" s="512"/>
      <c r="X601" s="513"/>
      <c r="Y601" s="514"/>
      <c r="Z601" s="513"/>
      <c r="AA601" s="515"/>
      <c r="AB601" s="516"/>
      <c r="AC601" s="513"/>
      <c r="AD601" s="544"/>
      <c r="AE601" s="516"/>
      <c r="AF601" s="513"/>
      <c r="AG601" s="551"/>
      <c r="AH601" s="595"/>
      <c r="AI601" s="517"/>
      <c r="AJ601" s="518"/>
      <c r="AK601" s="518"/>
      <c r="AL601" s="518"/>
      <c r="AM601" s="519"/>
      <c r="AN601" s="517"/>
      <c r="AO601" s="520"/>
      <c r="AP601" s="525"/>
      <c r="AQ601" s="531"/>
      <c r="AR601" s="593"/>
      <c r="AS601" s="518"/>
      <c r="AT601" s="518"/>
      <c r="AU601" s="518"/>
      <c r="AV601" s="519"/>
      <c r="AW601" s="560"/>
      <c r="AX601" s="522"/>
      <c r="AY601" s="522"/>
      <c r="AZ601" s="522"/>
      <c r="BA601" s="522"/>
      <c r="BB601" s="522"/>
      <c r="BC601" s="518"/>
      <c r="BD601" s="518"/>
      <c r="BE601" s="518"/>
      <c r="BF601" s="518"/>
      <c r="BG601" s="518"/>
      <c r="BH601" s="519"/>
      <c r="BI601" s="527"/>
      <c r="BJ601" s="518"/>
      <c r="BK601" s="518"/>
      <c r="BL601" s="520"/>
      <c r="BM601" s="520"/>
      <c r="BN601" s="519"/>
      <c r="BO601" s="517"/>
      <c r="BP601" s="520"/>
      <c r="BQ601" s="520"/>
      <c r="BR601" s="519"/>
      <c r="BS601" s="548"/>
      <c r="BT601" s="537"/>
      <c r="BU601" s="521"/>
      <c r="BV601" s="521"/>
      <c r="BW601" s="521"/>
      <c r="BX601" s="521"/>
      <c r="BY601" s="521"/>
      <c r="BZ601" s="521"/>
      <c r="CA601" s="521"/>
      <c r="CB601" s="521"/>
      <c r="CC601" s="521"/>
      <c r="CD601" s="521"/>
      <c r="CE601" s="521"/>
      <c r="CF601" s="521"/>
      <c r="CG601" s="521"/>
      <c r="CH601" s="521"/>
      <c r="CI601" s="521"/>
      <c r="CJ601" s="521"/>
      <c r="CK601" s="521"/>
      <c r="CL601" s="518"/>
      <c r="CM601" s="523"/>
      <c r="CN601" s="523"/>
      <c r="CO601" s="524"/>
      <c r="CP601" s="524"/>
      <c r="CQ601" s="518"/>
      <c r="CR601" s="518"/>
      <c r="CS601" s="518"/>
      <c r="CT601" s="518"/>
      <c r="CU601" s="518"/>
      <c r="CV601" s="518"/>
      <c r="CW601" s="518"/>
      <c r="CX601" s="518"/>
      <c r="CY601" s="518"/>
      <c r="CZ601" s="519"/>
      <c r="DA601" s="527"/>
      <c r="DB601" s="520"/>
      <c r="DC601" s="525"/>
      <c r="DD601" s="531"/>
      <c r="DE601" s="593"/>
      <c r="DF601" s="518"/>
      <c r="DG601" s="518"/>
      <c r="DH601" s="518"/>
      <c r="DI601" s="519"/>
      <c r="DJ601" s="560"/>
      <c r="DK601" s="522"/>
      <c r="DL601" s="522"/>
      <c r="DM601" s="522"/>
      <c r="DN601" s="522"/>
      <c r="DO601" s="522"/>
      <c r="DP601" s="518"/>
      <c r="DQ601" s="518"/>
      <c r="DR601" s="518"/>
      <c r="DS601" s="518"/>
      <c r="DT601" s="518"/>
      <c r="DU601" s="519"/>
      <c r="DV601" s="527"/>
      <c r="DW601" s="518"/>
      <c r="DX601" s="518"/>
      <c r="DY601" s="520"/>
      <c r="DZ601" s="520"/>
      <c r="EA601" s="519"/>
      <c r="EB601" s="527"/>
      <c r="EC601" s="520"/>
      <c r="ED601" s="520"/>
      <c r="EE601" s="519"/>
      <c r="EF601" s="550"/>
      <c r="EG601" s="537"/>
      <c r="EH601" s="521"/>
      <c r="EI601" s="521"/>
      <c r="EJ601" s="521"/>
      <c r="EK601" s="521"/>
      <c r="EL601" s="521"/>
      <c r="EM601" s="521"/>
      <c r="EN601" s="521"/>
      <c r="EO601" s="521"/>
      <c r="EP601" s="521"/>
      <c r="EQ601" s="521"/>
      <c r="ER601" s="521"/>
      <c r="ES601" s="521"/>
      <c r="ET601" s="521"/>
      <c r="EU601" s="521"/>
      <c r="EV601" s="521"/>
      <c r="EW601" s="521"/>
      <c r="EX601" s="521"/>
      <c r="EY601" s="518"/>
      <c r="EZ601" s="523"/>
      <c r="FA601" s="523"/>
      <c r="FB601" s="524"/>
      <c r="FC601" s="524"/>
      <c r="FD601" s="518"/>
      <c r="FE601" s="518"/>
      <c r="FF601" s="518"/>
      <c r="FG601" s="518"/>
      <c r="FH601" s="518"/>
      <c r="FI601" s="518"/>
      <c r="FJ601" s="518"/>
      <c r="FK601" s="518"/>
      <c r="FL601" s="518"/>
      <c r="FM601" s="519"/>
    </row>
    <row r="602" spans="1:169" x14ac:dyDescent="0.25">
      <c r="A602" s="284"/>
      <c r="B602" s="317"/>
      <c r="C602" s="297"/>
      <c r="D602" s="298"/>
      <c r="E602" s="299"/>
      <c r="F602" s="340"/>
      <c r="G602" s="298"/>
      <c r="H602" s="299"/>
      <c r="I602" s="300"/>
      <c r="J602" s="370"/>
      <c r="K602" s="328"/>
      <c r="L602" s="300"/>
      <c r="M602" s="328"/>
      <c r="N602" s="331"/>
      <c r="O602" s="301"/>
      <c r="P602" s="301"/>
      <c r="Q602" s="328"/>
      <c r="R602" s="620"/>
      <c r="S602" s="512"/>
      <c r="T602" s="512"/>
      <c r="U602" s="513"/>
      <c r="V602" s="514"/>
      <c r="W602" s="512"/>
      <c r="X602" s="513"/>
      <c r="Y602" s="514"/>
      <c r="Z602" s="513"/>
      <c r="AA602" s="515"/>
      <c r="AB602" s="516"/>
      <c r="AC602" s="513"/>
      <c r="AD602" s="544"/>
      <c r="AE602" s="516"/>
      <c r="AF602" s="513"/>
      <c r="AG602" s="551"/>
      <c r="AH602" s="595"/>
      <c r="AI602" s="517"/>
      <c r="AJ602" s="518"/>
      <c r="AK602" s="518"/>
      <c r="AL602" s="518"/>
      <c r="AM602" s="519"/>
      <c r="AN602" s="517"/>
      <c r="AO602" s="520"/>
      <c r="AP602" s="525"/>
      <c r="AQ602" s="531"/>
      <c r="AR602" s="593"/>
      <c r="AS602" s="518"/>
      <c r="AT602" s="518"/>
      <c r="AU602" s="518"/>
      <c r="AV602" s="519"/>
      <c r="AW602" s="560"/>
      <c r="AX602" s="522"/>
      <c r="AY602" s="522"/>
      <c r="AZ602" s="522"/>
      <c r="BA602" s="522"/>
      <c r="BB602" s="522"/>
      <c r="BC602" s="518"/>
      <c r="BD602" s="518"/>
      <c r="BE602" s="518"/>
      <c r="BF602" s="518"/>
      <c r="BG602" s="518"/>
      <c r="BH602" s="519"/>
      <c r="BI602" s="527"/>
      <c r="BJ602" s="518"/>
      <c r="BK602" s="518"/>
      <c r="BL602" s="520"/>
      <c r="BM602" s="520"/>
      <c r="BN602" s="519"/>
      <c r="BO602" s="517"/>
      <c r="BP602" s="520"/>
      <c r="BQ602" s="520"/>
      <c r="BR602" s="519"/>
      <c r="BS602" s="548"/>
      <c r="BT602" s="537"/>
      <c r="BU602" s="521"/>
      <c r="BV602" s="521"/>
      <c r="BW602" s="521"/>
      <c r="BX602" s="521"/>
      <c r="BY602" s="521"/>
      <c r="BZ602" s="521"/>
      <c r="CA602" s="521"/>
      <c r="CB602" s="521"/>
      <c r="CC602" s="521"/>
      <c r="CD602" s="521"/>
      <c r="CE602" s="521"/>
      <c r="CF602" s="521"/>
      <c r="CG602" s="521"/>
      <c r="CH602" s="521"/>
      <c r="CI602" s="521"/>
      <c r="CJ602" s="521"/>
      <c r="CK602" s="521"/>
      <c r="CL602" s="518"/>
      <c r="CM602" s="523"/>
      <c r="CN602" s="523"/>
      <c r="CO602" s="524"/>
      <c r="CP602" s="524"/>
      <c r="CQ602" s="518"/>
      <c r="CR602" s="518"/>
      <c r="CS602" s="518"/>
      <c r="CT602" s="518"/>
      <c r="CU602" s="518"/>
      <c r="CV602" s="518"/>
      <c r="CW602" s="518"/>
      <c r="CX602" s="518"/>
      <c r="CY602" s="518"/>
      <c r="CZ602" s="519"/>
      <c r="DA602" s="527"/>
      <c r="DB602" s="520"/>
      <c r="DC602" s="525"/>
      <c r="DD602" s="531"/>
      <c r="DE602" s="593"/>
      <c r="DF602" s="518"/>
      <c r="DG602" s="518"/>
      <c r="DH602" s="518"/>
      <c r="DI602" s="519"/>
      <c r="DJ602" s="560"/>
      <c r="DK602" s="522"/>
      <c r="DL602" s="522"/>
      <c r="DM602" s="522"/>
      <c r="DN602" s="522"/>
      <c r="DO602" s="522"/>
      <c r="DP602" s="518"/>
      <c r="DQ602" s="518"/>
      <c r="DR602" s="518"/>
      <c r="DS602" s="518"/>
      <c r="DT602" s="518"/>
      <c r="DU602" s="519"/>
      <c r="DV602" s="527"/>
      <c r="DW602" s="518"/>
      <c r="DX602" s="518"/>
      <c r="DY602" s="520"/>
      <c r="DZ602" s="520"/>
      <c r="EA602" s="519"/>
      <c r="EB602" s="527"/>
      <c r="EC602" s="520"/>
      <c r="ED602" s="520"/>
      <c r="EE602" s="519"/>
      <c r="EF602" s="550"/>
      <c r="EG602" s="537"/>
      <c r="EH602" s="521"/>
      <c r="EI602" s="521"/>
      <c r="EJ602" s="521"/>
      <c r="EK602" s="521"/>
      <c r="EL602" s="521"/>
      <c r="EM602" s="521"/>
      <c r="EN602" s="521"/>
      <c r="EO602" s="521"/>
      <c r="EP602" s="521"/>
      <c r="EQ602" s="521"/>
      <c r="ER602" s="521"/>
      <c r="ES602" s="521"/>
      <c r="ET602" s="521"/>
      <c r="EU602" s="521"/>
      <c r="EV602" s="521"/>
      <c r="EW602" s="521"/>
      <c r="EX602" s="521"/>
      <c r="EY602" s="518"/>
      <c r="EZ602" s="523"/>
      <c r="FA602" s="523"/>
      <c r="FB602" s="524"/>
      <c r="FC602" s="524"/>
      <c r="FD602" s="518"/>
      <c r="FE602" s="518"/>
      <c r="FF602" s="518"/>
      <c r="FG602" s="518"/>
      <c r="FH602" s="518"/>
      <c r="FI602" s="518"/>
      <c r="FJ602" s="518"/>
      <c r="FK602" s="518"/>
      <c r="FL602" s="518"/>
      <c r="FM602" s="519"/>
    </row>
    <row r="603" spans="1:169" x14ac:dyDescent="0.25">
      <c r="A603" s="284"/>
      <c r="B603" s="317"/>
      <c r="C603" s="297"/>
      <c r="D603" s="298"/>
      <c r="E603" s="299"/>
      <c r="F603" s="340"/>
      <c r="G603" s="298"/>
      <c r="H603" s="299"/>
      <c r="I603" s="300"/>
      <c r="J603" s="370"/>
      <c r="K603" s="328"/>
      <c r="L603" s="300"/>
      <c r="M603" s="328"/>
      <c r="N603" s="331"/>
      <c r="O603" s="301"/>
      <c r="P603" s="301"/>
      <c r="Q603" s="328"/>
      <c r="R603" s="620"/>
      <c r="S603" s="512"/>
      <c r="T603" s="512"/>
      <c r="U603" s="513"/>
      <c r="V603" s="514"/>
      <c r="W603" s="512"/>
      <c r="X603" s="513"/>
      <c r="Y603" s="514"/>
      <c r="Z603" s="513"/>
      <c r="AA603" s="515"/>
      <c r="AB603" s="516"/>
      <c r="AC603" s="513"/>
      <c r="AD603" s="544"/>
      <c r="AE603" s="516"/>
      <c r="AF603" s="513"/>
      <c r="AG603" s="551"/>
      <c r="AH603" s="595"/>
      <c r="AI603" s="517"/>
      <c r="AJ603" s="518"/>
      <c r="AK603" s="518"/>
      <c r="AL603" s="518"/>
      <c r="AM603" s="519"/>
      <c r="AN603" s="517"/>
      <c r="AO603" s="520"/>
      <c r="AP603" s="525"/>
      <c r="AQ603" s="531"/>
      <c r="AR603" s="593"/>
      <c r="AS603" s="518"/>
      <c r="AT603" s="518"/>
      <c r="AU603" s="518"/>
      <c r="AV603" s="519"/>
      <c r="AW603" s="560"/>
      <c r="AX603" s="522"/>
      <c r="AY603" s="522"/>
      <c r="AZ603" s="522"/>
      <c r="BA603" s="522"/>
      <c r="BB603" s="522"/>
      <c r="BC603" s="518"/>
      <c r="BD603" s="518"/>
      <c r="BE603" s="518"/>
      <c r="BF603" s="518"/>
      <c r="BG603" s="518"/>
      <c r="BH603" s="519"/>
      <c r="BI603" s="527"/>
      <c r="BJ603" s="518"/>
      <c r="BK603" s="518"/>
      <c r="BL603" s="520"/>
      <c r="BM603" s="520"/>
      <c r="BN603" s="519"/>
      <c r="BO603" s="517"/>
      <c r="BP603" s="520"/>
      <c r="BQ603" s="520"/>
      <c r="BR603" s="519"/>
      <c r="BS603" s="548"/>
      <c r="BT603" s="537"/>
      <c r="BU603" s="521"/>
      <c r="BV603" s="521"/>
      <c r="BW603" s="521"/>
      <c r="BX603" s="521"/>
      <c r="BY603" s="521"/>
      <c r="BZ603" s="521"/>
      <c r="CA603" s="521"/>
      <c r="CB603" s="521"/>
      <c r="CC603" s="521"/>
      <c r="CD603" s="521"/>
      <c r="CE603" s="521"/>
      <c r="CF603" s="521"/>
      <c r="CG603" s="521"/>
      <c r="CH603" s="521"/>
      <c r="CI603" s="521"/>
      <c r="CJ603" s="521"/>
      <c r="CK603" s="521"/>
      <c r="CL603" s="518"/>
      <c r="CM603" s="523"/>
      <c r="CN603" s="523"/>
      <c r="CO603" s="524"/>
      <c r="CP603" s="524"/>
      <c r="CQ603" s="518"/>
      <c r="CR603" s="518"/>
      <c r="CS603" s="518"/>
      <c r="CT603" s="518"/>
      <c r="CU603" s="518"/>
      <c r="CV603" s="518"/>
      <c r="CW603" s="518"/>
      <c r="CX603" s="518"/>
      <c r="CY603" s="518"/>
      <c r="CZ603" s="519"/>
      <c r="DA603" s="527"/>
      <c r="DB603" s="520"/>
      <c r="DC603" s="525"/>
      <c r="DD603" s="531"/>
      <c r="DE603" s="593"/>
      <c r="DF603" s="518"/>
      <c r="DG603" s="518"/>
      <c r="DH603" s="518"/>
      <c r="DI603" s="519"/>
      <c r="DJ603" s="560"/>
      <c r="DK603" s="522"/>
      <c r="DL603" s="522"/>
      <c r="DM603" s="522"/>
      <c r="DN603" s="522"/>
      <c r="DO603" s="522"/>
      <c r="DP603" s="518"/>
      <c r="DQ603" s="518"/>
      <c r="DR603" s="518"/>
      <c r="DS603" s="518"/>
      <c r="DT603" s="518"/>
      <c r="DU603" s="519"/>
      <c r="DV603" s="527"/>
      <c r="DW603" s="518"/>
      <c r="DX603" s="518"/>
      <c r="DY603" s="520"/>
      <c r="DZ603" s="520"/>
      <c r="EA603" s="519"/>
      <c r="EB603" s="527"/>
      <c r="EC603" s="520"/>
      <c r="ED603" s="520"/>
      <c r="EE603" s="519"/>
      <c r="EF603" s="550"/>
      <c r="EG603" s="537"/>
      <c r="EH603" s="521"/>
      <c r="EI603" s="521"/>
      <c r="EJ603" s="521"/>
      <c r="EK603" s="521"/>
      <c r="EL603" s="521"/>
      <c r="EM603" s="521"/>
      <c r="EN603" s="521"/>
      <c r="EO603" s="521"/>
      <c r="EP603" s="521"/>
      <c r="EQ603" s="521"/>
      <c r="ER603" s="521"/>
      <c r="ES603" s="521"/>
      <c r="ET603" s="521"/>
      <c r="EU603" s="521"/>
      <c r="EV603" s="521"/>
      <c r="EW603" s="521"/>
      <c r="EX603" s="521"/>
      <c r="EY603" s="518"/>
      <c r="EZ603" s="523"/>
      <c r="FA603" s="523"/>
      <c r="FB603" s="524"/>
      <c r="FC603" s="524"/>
      <c r="FD603" s="518"/>
      <c r="FE603" s="518"/>
      <c r="FF603" s="518"/>
      <c r="FG603" s="518"/>
      <c r="FH603" s="518"/>
      <c r="FI603" s="518"/>
      <c r="FJ603" s="518"/>
      <c r="FK603" s="518"/>
      <c r="FL603" s="518"/>
      <c r="FM603" s="519"/>
    </row>
    <row r="604" spans="1:169" x14ac:dyDescent="0.25">
      <c r="A604" s="284"/>
      <c r="B604" s="317"/>
      <c r="C604" s="297"/>
      <c r="D604" s="298"/>
      <c r="E604" s="299"/>
      <c r="F604" s="340"/>
      <c r="G604" s="298"/>
      <c r="H604" s="299"/>
      <c r="I604" s="300"/>
      <c r="J604" s="370"/>
      <c r="K604" s="328"/>
      <c r="L604" s="300"/>
      <c r="M604" s="328"/>
      <c r="N604" s="331"/>
      <c r="O604" s="301"/>
      <c r="P604" s="301"/>
      <c r="Q604" s="328"/>
      <c r="R604" s="620"/>
      <c r="S604" s="512"/>
      <c r="T604" s="512"/>
      <c r="U604" s="513"/>
      <c r="V604" s="514"/>
      <c r="W604" s="512"/>
      <c r="X604" s="513"/>
      <c r="Y604" s="514"/>
      <c r="Z604" s="513"/>
      <c r="AA604" s="515"/>
      <c r="AB604" s="516"/>
      <c r="AC604" s="513"/>
      <c r="AD604" s="544"/>
      <c r="AE604" s="516"/>
      <c r="AF604" s="513"/>
      <c r="AG604" s="551"/>
      <c r="AH604" s="595"/>
      <c r="AI604" s="517"/>
      <c r="AJ604" s="518"/>
      <c r="AK604" s="518"/>
      <c r="AL604" s="518"/>
      <c r="AM604" s="519"/>
      <c r="AN604" s="517"/>
      <c r="AO604" s="520"/>
      <c r="AP604" s="525"/>
      <c r="AQ604" s="531"/>
      <c r="AR604" s="593"/>
      <c r="AS604" s="518"/>
      <c r="AT604" s="518"/>
      <c r="AU604" s="518"/>
      <c r="AV604" s="519"/>
      <c r="AW604" s="560"/>
      <c r="AX604" s="522"/>
      <c r="AY604" s="522"/>
      <c r="AZ604" s="522"/>
      <c r="BA604" s="522"/>
      <c r="BB604" s="522"/>
      <c r="BC604" s="518"/>
      <c r="BD604" s="518"/>
      <c r="BE604" s="518"/>
      <c r="BF604" s="518"/>
      <c r="BG604" s="518"/>
      <c r="BH604" s="519"/>
      <c r="BI604" s="527"/>
      <c r="BJ604" s="518"/>
      <c r="BK604" s="518"/>
      <c r="BL604" s="520"/>
      <c r="BM604" s="520"/>
      <c r="BN604" s="519"/>
      <c r="BO604" s="517"/>
      <c r="BP604" s="520"/>
      <c r="BQ604" s="520"/>
      <c r="BR604" s="519"/>
      <c r="BS604" s="548"/>
      <c r="BT604" s="537"/>
      <c r="BU604" s="521"/>
      <c r="BV604" s="521"/>
      <c r="BW604" s="521"/>
      <c r="BX604" s="521"/>
      <c r="BY604" s="521"/>
      <c r="BZ604" s="521"/>
      <c r="CA604" s="521"/>
      <c r="CB604" s="521"/>
      <c r="CC604" s="521"/>
      <c r="CD604" s="521"/>
      <c r="CE604" s="521"/>
      <c r="CF604" s="521"/>
      <c r="CG604" s="521"/>
      <c r="CH604" s="521"/>
      <c r="CI604" s="521"/>
      <c r="CJ604" s="521"/>
      <c r="CK604" s="521"/>
      <c r="CL604" s="518"/>
      <c r="CM604" s="523"/>
      <c r="CN604" s="523"/>
      <c r="CO604" s="524"/>
      <c r="CP604" s="524"/>
      <c r="CQ604" s="518"/>
      <c r="CR604" s="518"/>
      <c r="CS604" s="518"/>
      <c r="CT604" s="518"/>
      <c r="CU604" s="518"/>
      <c r="CV604" s="518"/>
      <c r="CW604" s="518"/>
      <c r="CX604" s="518"/>
      <c r="CY604" s="518"/>
      <c r="CZ604" s="519"/>
      <c r="DA604" s="527"/>
      <c r="DB604" s="520"/>
      <c r="DC604" s="525"/>
      <c r="DD604" s="531"/>
      <c r="DE604" s="593"/>
      <c r="DF604" s="518"/>
      <c r="DG604" s="518"/>
      <c r="DH604" s="518"/>
      <c r="DI604" s="519"/>
      <c r="DJ604" s="560"/>
      <c r="DK604" s="522"/>
      <c r="DL604" s="522"/>
      <c r="DM604" s="522"/>
      <c r="DN604" s="522"/>
      <c r="DO604" s="522"/>
      <c r="DP604" s="518"/>
      <c r="DQ604" s="518"/>
      <c r="DR604" s="518"/>
      <c r="DS604" s="518"/>
      <c r="DT604" s="518"/>
      <c r="DU604" s="519"/>
      <c r="DV604" s="527"/>
      <c r="DW604" s="518"/>
      <c r="DX604" s="518"/>
      <c r="DY604" s="520"/>
      <c r="DZ604" s="520"/>
      <c r="EA604" s="519"/>
      <c r="EB604" s="527"/>
      <c r="EC604" s="520"/>
      <c r="ED604" s="520"/>
      <c r="EE604" s="519"/>
      <c r="EF604" s="550"/>
      <c r="EG604" s="537"/>
      <c r="EH604" s="521"/>
      <c r="EI604" s="521"/>
      <c r="EJ604" s="521"/>
      <c r="EK604" s="521"/>
      <c r="EL604" s="521"/>
      <c r="EM604" s="521"/>
      <c r="EN604" s="521"/>
      <c r="EO604" s="521"/>
      <c r="EP604" s="521"/>
      <c r="EQ604" s="521"/>
      <c r="ER604" s="521"/>
      <c r="ES604" s="521"/>
      <c r="ET604" s="521"/>
      <c r="EU604" s="521"/>
      <c r="EV604" s="521"/>
      <c r="EW604" s="521"/>
      <c r="EX604" s="521"/>
      <c r="EY604" s="518"/>
      <c r="EZ604" s="523"/>
      <c r="FA604" s="523"/>
      <c r="FB604" s="524"/>
      <c r="FC604" s="524"/>
      <c r="FD604" s="518"/>
      <c r="FE604" s="518"/>
      <c r="FF604" s="518"/>
      <c r="FG604" s="518"/>
      <c r="FH604" s="518"/>
      <c r="FI604" s="518"/>
      <c r="FJ604" s="518"/>
      <c r="FK604" s="518"/>
      <c r="FL604" s="518"/>
      <c r="FM604" s="519"/>
    </row>
    <row r="605" spans="1:169" x14ac:dyDescent="0.25">
      <c r="A605" s="284"/>
      <c r="B605" s="317"/>
      <c r="C605" s="297"/>
      <c r="D605" s="298"/>
      <c r="E605" s="299"/>
      <c r="F605" s="340"/>
      <c r="G605" s="298"/>
      <c r="H605" s="299"/>
      <c r="I605" s="300"/>
      <c r="J605" s="370"/>
      <c r="K605" s="328"/>
      <c r="L605" s="300"/>
      <c r="M605" s="328"/>
      <c r="N605" s="331"/>
      <c r="O605" s="301"/>
      <c r="P605" s="301"/>
      <c r="Q605" s="328"/>
      <c r="R605" s="620"/>
      <c r="S605" s="512"/>
      <c r="T605" s="512"/>
      <c r="U605" s="513"/>
      <c r="V605" s="514"/>
      <c r="W605" s="512"/>
      <c r="X605" s="513"/>
      <c r="Y605" s="514"/>
      <c r="Z605" s="513"/>
      <c r="AA605" s="515"/>
      <c r="AB605" s="516"/>
      <c r="AC605" s="513"/>
      <c r="AD605" s="544"/>
      <c r="AE605" s="516"/>
      <c r="AF605" s="513"/>
      <c r="AG605" s="551"/>
      <c r="AH605" s="595"/>
      <c r="AI605" s="517"/>
      <c r="AJ605" s="518"/>
      <c r="AK605" s="518"/>
      <c r="AL605" s="518"/>
      <c r="AM605" s="519"/>
      <c r="AN605" s="517"/>
      <c r="AO605" s="520"/>
      <c r="AP605" s="525"/>
      <c r="AQ605" s="531"/>
      <c r="AR605" s="593"/>
      <c r="AS605" s="518"/>
      <c r="AT605" s="518"/>
      <c r="AU605" s="518"/>
      <c r="AV605" s="519"/>
      <c r="AW605" s="560"/>
      <c r="AX605" s="522"/>
      <c r="AY605" s="522"/>
      <c r="AZ605" s="522"/>
      <c r="BA605" s="522"/>
      <c r="BB605" s="522"/>
      <c r="BC605" s="518"/>
      <c r="BD605" s="518"/>
      <c r="BE605" s="518"/>
      <c r="BF605" s="518"/>
      <c r="BG605" s="518"/>
      <c r="BH605" s="519"/>
      <c r="BI605" s="527"/>
      <c r="BJ605" s="518"/>
      <c r="BK605" s="518"/>
      <c r="BL605" s="520"/>
      <c r="BM605" s="520"/>
      <c r="BN605" s="519"/>
      <c r="BO605" s="517"/>
      <c r="BP605" s="520"/>
      <c r="BQ605" s="520"/>
      <c r="BR605" s="519"/>
      <c r="BS605" s="548"/>
      <c r="BT605" s="537"/>
      <c r="BU605" s="521"/>
      <c r="BV605" s="521"/>
      <c r="BW605" s="521"/>
      <c r="BX605" s="521"/>
      <c r="BY605" s="521"/>
      <c r="BZ605" s="521"/>
      <c r="CA605" s="521"/>
      <c r="CB605" s="521"/>
      <c r="CC605" s="521"/>
      <c r="CD605" s="521"/>
      <c r="CE605" s="521"/>
      <c r="CF605" s="521"/>
      <c r="CG605" s="521"/>
      <c r="CH605" s="521"/>
      <c r="CI605" s="521"/>
      <c r="CJ605" s="521"/>
      <c r="CK605" s="521"/>
      <c r="CL605" s="518"/>
      <c r="CM605" s="523"/>
      <c r="CN605" s="523"/>
      <c r="CO605" s="524"/>
      <c r="CP605" s="524"/>
      <c r="CQ605" s="518"/>
      <c r="CR605" s="518"/>
      <c r="CS605" s="518"/>
      <c r="CT605" s="518"/>
      <c r="CU605" s="518"/>
      <c r="CV605" s="518"/>
      <c r="CW605" s="518"/>
      <c r="CX605" s="518"/>
      <c r="CY605" s="518"/>
      <c r="CZ605" s="519"/>
      <c r="DA605" s="527"/>
      <c r="DB605" s="520"/>
      <c r="DC605" s="525"/>
      <c r="DD605" s="531"/>
      <c r="DE605" s="593"/>
      <c r="DF605" s="518"/>
      <c r="DG605" s="518"/>
      <c r="DH605" s="518"/>
      <c r="DI605" s="519"/>
      <c r="DJ605" s="560"/>
      <c r="DK605" s="522"/>
      <c r="DL605" s="522"/>
      <c r="DM605" s="522"/>
      <c r="DN605" s="522"/>
      <c r="DO605" s="522"/>
      <c r="DP605" s="518"/>
      <c r="DQ605" s="518"/>
      <c r="DR605" s="518"/>
      <c r="DS605" s="518"/>
      <c r="DT605" s="518"/>
      <c r="DU605" s="519"/>
      <c r="DV605" s="527"/>
      <c r="DW605" s="518"/>
      <c r="DX605" s="518"/>
      <c r="DY605" s="520"/>
      <c r="DZ605" s="520"/>
      <c r="EA605" s="519"/>
      <c r="EB605" s="527"/>
      <c r="EC605" s="520"/>
      <c r="ED605" s="520"/>
      <c r="EE605" s="519"/>
      <c r="EF605" s="550"/>
      <c r="EG605" s="537"/>
      <c r="EH605" s="521"/>
      <c r="EI605" s="521"/>
      <c r="EJ605" s="521"/>
      <c r="EK605" s="521"/>
      <c r="EL605" s="521"/>
      <c r="EM605" s="521"/>
      <c r="EN605" s="521"/>
      <c r="EO605" s="521"/>
      <c r="EP605" s="521"/>
      <c r="EQ605" s="521"/>
      <c r="ER605" s="521"/>
      <c r="ES605" s="521"/>
      <c r="ET605" s="521"/>
      <c r="EU605" s="521"/>
      <c r="EV605" s="521"/>
      <c r="EW605" s="521"/>
      <c r="EX605" s="521"/>
      <c r="EY605" s="518"/>
      <c r="EZ605" s="523"/>
      <c r="FA605" s="523"/>
      <c r="FB605" s="524"/>
      <c r="FC605" s="524"/>
      <c r="FD605" s="518"/>
      <c r="FE605" s="518"/>
      <c r="FF605" s="518"/>
      <c r="FG605" s="518"/>
      <c r="FH605" s="518"/>
      <c r="FI605" s="518"/>
      <c r="FJ605" s="518"/>
      <c r="FK605" s="518"/>
      <c r="FL605" s="518"/>
      <c r="FM605" s="519"/>
    </row>
    <row r="606" spans="1:169" x14ac:dyDescent="0.25">
      <c r="A606" s="284"/>
      <c r="B606" s="317"/>
      <c r="C606" s="297"/>
      <c r="D606" s="298"/>
      <c r="E606" s="299"/>
      <c r="F606" s="340"/>
      <c r="G606" s="298"/>
      <c r="H606" s="299"/>
      <c r="I606" s="300"/>
      <c r="J606" s="370"/>
      <c r="K606" s="328"/>
      <c r="L606" s="300"/>
      <c r="M606" s="328"/>
      <c r="N606" s="331"/>
      <c r="O606" s="301"/>
      <c r="P606" s="301"/>
      <c r="Q606" s="328"/>
      <c r="R606" s="620"/>
      <c r="S606" s="512"/>
      <c r="T606" s="512"/>
      <c r="U606" s="513"/>
      <c r="V606" s="514"/>
      <c r="W606" s="512"/>
      <c r="X606" s="513"/>
      <c r="Y606" s="514"/>
      <c r="Z606" s="513"/>
      <c r="AA606" s="515"/>
      <c r="AB606" s="516"/>
      <c r="AC606" s="513"/>
      <c r="AD606" s="544"/>
      <c r="AE606" s="516"/>
      <c r="AF606" s="513"/>
      <c r="AG606" s="551"/>
      <c r="AH606" s="595"/>
      <c r="AI606" s="517"/>
      <c r="AJ606" s="518"/>
      <c r="AK606" s="518"/>
      <c r="AL606" s="518"/>
      <c r="AM606" s="519"/>
      <c r="AN606" s="517"/>
      <c r="AO606" s="520"/>
      <c r="AP606" s="525"/>
      <c r="AQ606" s="531"/>
      <c r="AR606" s="593"/>
      <c r="AS606" s="518"/>
      <c r="AT606" s="518"/>
      <c r="AU606" s="518"/>
      <c r="AV606" s="519"/>
      <c r="AW606" s="560"/>
      <c r="AX606" s="522"/>
      <c r="AY606" s="522"/>
      <c r="AZ606" s="522"/>
      <c r="BA606" s="522"/>
      <c r="BB606" s="522"/>
      <c r="BC606" s="518"/>
      <c r="BD606" s="518"/>
      <c r="BE606" s="518"/>
      <c r="BF606" s="518"/>
      <c r="BG606" s="518"/>
      <c r="BH606" s="519"/>
      <c r="BI606" s="527"/>
      <c r="BJ606" s="518"/>
      <c r="BK606" s="518"/>
      <c r="BL606" s="520"/>
      <c r="BM606" s="520"/>
      <c r="BN606" s="519"/>
      <c r="BO606" s="517"/>
      <c r="BP606" s="520"/>
      <c r="BQ606" s="520"/>
      <c r="BR606" s="519"/>
      <c r="BS606" s="548"/>
      <c r="BT606" s="537"/>
      <c r="BU606" s="521"/>
      <c r="BV606" s="521"/>
      <c r="BW606" s="521"/>
      <c r="BX606" s="521"/>
      <c r="BY606" s="521"/>
      <c r="BZ606" s="521"/>
      <c r="CA606" s="521"/>
      <c r="CB606" s="521"/>
      <c r="CC606" s="521"/>
      <c r="CD606" s="521"/>
      <c r="CE606" s="521"/>
      <c r="CF606" s="521"/>
      <c r="CG606" s="521"/>
      <c r="CH606" s="521"/>
      <c r="CI606" s="521"/>
      <c r="CJ606" s="521"/>
      <c r="CK606" s="521"/>
      <c r="CL606" s="518"/>
      <c r="CM606" s="523"/>
      <c r="CN606" s="523"/>
      <c r="CO606" s="524"/>
      <c r="CP606" s="524"/>
      <c r="CQ606" s="518"/>
      <c r="CR606" s="518"/>
      <c r="CS606" s="518"/>
      <c r="CT606" s="518"/>
      <c r="CU606" s="518"/>
      <c r="CV606" s="518"/>
      <c r="CW606" s="518"/>
      <c r="CX606" s="518"/>
      <c r="CY606" s="518"/>
      <c r="CZ606" s="519"/>
      <c r="DA606" s="527"/>
      <c r="DB606" s="520"/>
      <c r="DC606" s="525"/>
      <c r="DD606" s="531"/>
      <c r="DE606" s="593"/>
      <c r="DF606" s="518"/>
      <c r="DG606" s="518"/>
      <c r="DH606" s="518"/>
      <c r="DI606" s="519"/>
      <c r="DJ606" s="560"/>
      <c r="DK606" s="522"/>
      <c r="DL606" s="522"/>
      <c r="DM606" s="522"/>
      <c r="DN606" s="522"/>
      <c r="DO606" s="522"/>
      <c r="DP606" s="518"/>
      <c r="DQ606" s="518"/>
      <c r="DR606" s="518"/>
      <c r="DS606" s="518"/>
      <c r="DT606" s="518"/>
      <c r="DU606" s="519"/>
      <c r="DV606" s="527"/>
      <c r="DW606" s="518"/>
      <c r="DX606" s="518"/>
      <c r="DY606" s="520"/>
      <c r="DZ606" s="520"/>
      <c r="EA606" s="519"/>
      <c r="EB606" s="527"/>
      <c r="EC606" s="520"/>
      <c r="ED606" s="520"/>
      <c r="EE606" s="519"/>
      <c r="EF606" s="550"/>
      <c r="EG606" s="537"/>
      <c r="EH606" s="521"/>
      <c r="EI606" s="521"/>
      <c r="EJ606" s="521"/>
      <c r="EK606" s="521"/>
      <c r="EL606" s="521"/>
      <c r="EM606" s="521"/>
      <c r="EN606" s="521"/>
      <c r="EO606" s="521"/>
      <c r="EP606" s="521"/>
      <c r="EQ606" s="521"/>
      <c r="ER606" s="521"/>
      <c r="ES606" s="521"/>
      <c r="ET606" s="521"/>
      <c r="EU606" s="521"/>
      <c r="EV606" s="521"/>
      <c r="EW606" s="521"/>
      <c r="EX606" s="521"/>
      <c r="EY606" s="518"/>
      <c r="EZ606" s="523"/>
      <c r="FA606" s="523"/>
      <c r="FB606" s="524"/>
      <c r="FC606" s="524"/>
      <c r="FD606" s="518"/>
      <c r="FE606" s="518"/>
      <c r="FF606" s="518"/>
      <c r="FG606" s="518"/>
      <c r="FH606" s="518"/>
      <c r="FI606" s="518"/>
      <c r="FJ606" s="518"/>
      <c r="FK606" s="518"/>
      <c r="FL606" s="518"/>
      <c r="FM606" s="519"/>
    </row>
    <row r="607" spans="1:169" x14ac:dyDescent="0.25">
      <c r="A607" s="284"/>
      <c r="B607" s="317"/>
      <c r="C607" s="297"/>
      <c r="D607" s="298"/>
      <c r="E607" s="299"/>
      <c r="F607" s="340"/>
      <c r="G607" s="298"/>
      <c r="H607" s="299"/>
      <c r="I607" s="300"/>
      <c r="J607" s="370"/>
      <c r="K607" s="328"/>
      <c r="L607" s="300"/>
      <c r="M607" s="328"/>
      <c r="N607" s="331"/>
      <c r="O607" s="301"/>
      <c r="P607" s="301"/>
      <c r="Q607" s="328"/>
      <c r="R607" s="620"/>
      <c r="S607" s="512"/>
      <c r="T607" s="512"/>
      <c r="U607" s="513"/>
      <c r="V607" s="514"/>
      <c r="W607" s="512"/>
      <c r="X607" s="513"/>
      <c r="Y607" s="514"/>
      <c r="Z607" s="513"/>
      <c r="AA607" s="515"/>
      <c r="AB607" s="516"/>
      <c r="AC607" s="513"/>
      <c r="AD607" s="544"/>
      <c r="AE607" s="516"/>
      <c r="AF607" s="513"/>
      <c r="AG607" s="551"/>
      <c r="AH607" s="595"/>
      <c r="AI607" s="517"/>
      <c r="AJ607" s="518"/>
      <c r="AK607" s="518"/>
      <c r="AL607" s="518"/>
      <c r="AM607" s="519"/>
      <c r="AN607" s="517"/>
      <c r="AO607" s="520"/>
      <c r="AP607" s="525"/>
      <c r="AQ607" s="531"/>
      <c r="AR607" s="593"/>
      <c r="AS607" s="518"/>
      <c r="AT607" s="518"/>
      <c r="AU607" s="518"/>
      <c r="AV607" s="519"/>
      <c r="AW607" s="560"/>
      <c r="AX607" s="522"/>
      <c r="AY607" s="522"/>
      <c r="AZ607" s="522"/>
      <c r="BA607" s="522"/>
      <c r="BB607" s="522"/>
      <c r="BC607" s="518"/>
      <c r="BD607" s="518"/>
      <c r="BE607" s="518"/>
      <c r="BF607" s="518"/>
      <c r="BG607" s="518"/>
      <c r="BH607" s="519"/>
      <c r="BI607" s="527"/>
      <c r="BJ607" s="518"/>
      <c r="BK607" s="518"/>
      <c r="BL607" s="520"/>
      <c r="BM607" s="520"/>
      <c r="BN607" s="519"/>
      <c r="BO607" s="517"/>
      <c r="BP607" s="520"/>
      <c r="BQ607" s="520"/>
      <c r="BR607" s="519"/>
      <c r="BS607" s="548"/>
      <c r="BT607" s="537"/>
      <c r="BU607" s="521"/>
      <c r="BV607" s="521"/>
      <c r="BW607" s="521"/>
      <c r="BX607" s="521"/>
      <c r="BY607" s="521"/>
      <c r="BZ607" s="521"/>
      <c r="CA607" s="521"/>
      <c r="CB607" s="521"/>
      <c r="CC607" s="521"/>
      <c r="CD607" s="521"/>
      <c r="CE607" s="521"/>
      <c r="CF607" s="521"/>
      <c r="CG607" s="521"/>
      <c r="CH607" s="521"/>
      <c r="CI607" s="521"/>
      <c r="CJ607" s="521"/>
      <c r="CK607" s="521"/>
      <c r="CL607" s="518"/>
      <c r="CM607" s="523"/>
      <c r="CN607" s="523"/>
      <c r="CO607" s="524"/>
      <c r="CP607" s="524"/>
      <c r="CQ607" s="518"/>
      <c r="CR607" s="518"/>
      <c r="CS607" s="518"/>
      <c r="CT607" s="518"/>
      <c r="CU607" s="518"/>
      <c r="CV607" s="518"/>
      <c r="CW607" s="518"/>
      <c r="CX607" s="518"/>
      <c r="CY607" s="518"/>
      <c r="CZ607" s="519"/>
      <c r="DA607" s="527"/>
      <c r="DB607" s="520"/>
      <c r="DC607" s="525"/>
      <c r="DD607" s="531"/>
      <c r="DE607" s="593"/>
      <c r="DF607" s="518"/>
      <c r="DG607" s="518"/>
      <c r="DH607" s="518"/>
      <c r="DI607" s="519"/>
      <c r="DJ607" s="560"/>
      <c r="DK607" s="522"/>
      <c r="DL607" s="522"/>
      <c r="DM607" s="522"/>
      <c r="DN607" s="522"/>
      <c r="DO607" s="522"/>
      <c r="DP607" s="518"/>
      <c r="DQ607" s="518"/>
      <c r="DR607" s="518"/>
      <c r="DS607" s="518"/>
      <c r="DT607" s="518"/>
      <c r="DU607" s="519"/>
      <c r="DV607" s="527"/>
      <c r="DW607" s="518"/>
      <c r="DX607" s="518"/>
      <c r="DY607" s="520"/>
      <c r="DZ607" s="520"/>
      <c r="EA607" s="519"/>
      <c r="EB607" s="527"/>
      <c r="EC607" s="520"/>
      <c r="ED607" s="520"/>
      <c r="EE607" s="519"/>
      <c r="EF607" s="550"/>
      <c r="EG607" s="537"/>
      <c r="EH607" s="521"/>
      <c r="EI607" s="521"/>
      <c r="EJ607" s="521"/>
      <c r="EK607" s="521"/>
      <c r="EL607" s="521"/>
      <c r="EM607" s="521"/>
      <c r="EN607" s="521"/>
      <c r="EO607" s="521"/>
      <c r="EP607" s="521"/>
      <c r="EQ607" s="521"/>
      <c r="ER607" s="521"/>
      <c r="ES607" s="521"/>
      <c r="ET607" s="521"/>
      <c r="EU607" s="521"/>
      <c r="EV607" s="521"/>
      <c r="EW607" s="521"/>
      <c r="EX607" s="521"/>
      <c r="EY607" s="518"/>
      <c r="EZ607" s="523"/>
      <c r="FA607" s="523"/>
      <c r="FB607" s="524"/>
      <c r="FC607" s="524"/>
      <c r="FD607" s="518"/>
      <c r="FE607" s="518"/>
      <c r="FF607" s="518"/>
      <c r="FG607" s="518"/>
      <c r="FH607" s="518"/>
      <c r="FI607" s="518"/>
      <c r="FJ607" s="518"/>
      <c r="FK607" s="518"/>
      <c r="FL607" s="518"/>
      <c r="FM607" s="519"/>
    </row>
    <row r="608" spans="1:169" x14ac:dyDescent="0.25">
      <c r="A608" s="284"/>
      <c r="B608" s="317"/>
      <c r="C608" s="297"/>
      <c r="D608" s="298"/>
      <c r="E608" s="299"/>
      <c r="F608" s="340"/>
      <c r="G608" s="298"/>
      <c r="H608" s="299"/>
      <c r="I608" s="300"/>
      <c r="J608" s="370"/>
      <c r="K608" s="328"/>
      <c r="L608" s="300"/>
      <c r="M608" s="328"/>
      <c r="N608" s="331"/>
      <c r="O608" s="301"/>
      <c r="P608" s="301"/>
      <c r="Q608" s="328"/>
      <c r="R608" s="620"/>
      <c r="S608" s="512"/>
      <c r="T608" s="512"/>
      <c r="U608" s="513"/>
      <c r="V608" s="514"/>
      <c r="W608" s="512"/>
      <c r="X608" s="513"/>
      <c r="Y608" s="514"/>
      <c r="Z608" s="513"/>
      <c r="AA608" s="515"/>
      <c r="AB608" s="516"/>
      <c r="AC608" s="513"/>
      <c r="AD608" s="544"/>
      <c r="AE608" s="516"/>
      <c r="AF608" s="513"/>
      <c r="AG608" s="551"/>
      <c r="AH608" s="595"/>
      <c r="AI608" s="517"/>
      <c r="AJ608" s="518"/>
      <c r="AK608" s="518"/>
      <c r="AL608" s="518"/>
      <c r="AM608" s="519"/>
      <c r="AN608" s="517"/>
      <c r="AO608" s="520"/>
      <c r="AP608" s="525"/>
      <c r="AQ608" s="531"/>
      <c r="AR608" s="593"/>
      <c r="AS608" s="518"/>
      <c r="AT608" s="518"/>
      <c r="AU608" s="518"/>
      <c r="AV608" s="519"/>
      <c r="AW608" s="560"/>
      <c r="AX608" s="522"/>
      <c r="AY608" s="522"/>
      <c r="AZ608" s="522"/>
      <c r="BA608" s="522"/>
      <c r="BB608" s="522"/>
      <c r="BC608" s="518"/>
      <c r="BD608" s="518"/>
      <c r="BE608" s="518"/>
      <c r="BF608" s="518"/>
      <c r="BG608" s="518"/>
      <c r="BH608" s="519"/>
      <c r="BI608" s="527"/>
      <c r="BJ608" s="518"/>
      <c r="BK608" s="518"/>
      <c r="BL608" s="520"/>
      <c r="BM608" s="520"/>
      <c r="BN608" s="519"/>
      <c r="BO608" s="517"/>
      <c r="BP608" s="520"/>
      <c r="BQ608" s="520"/>
      <c r="BR608" s="519"/>
      <c r="BS608" s="548"/>
      <c r="BT608" s="537"/>
      <c r="BU608" s="521"/>
      <c r="BV608" s="521"/>
      <c r="BW608" s="521"/>
      <c r="BX608" s="521"/>
      <c r="BY608" s="521"/>
      <c r="BZ608" s="521"/>
      <c r="CA608" s="521"/>
      <c r="CB608" s="521"/>
      <c r="CC608" s="521"/>
      <c r="CD608" s="521"/>
      <c r="CE608" s="521"/>
      <c r="CF608" s="521"/>
      <c r="CG608" s="521"/>
      <c r="CH608" s="521"/>
      <c r="CI608" s="521"/>
      <c r="CJ608" s="521"/>
      <c r="CK608" s="521"/>
      <c r="CL608" s="518"/>
      <c r="CM608" s="523"/>
      <c r="CN608" s="523"/>
      <c r="CO608" s="524"/>
      <c r="CP608" s="524"/>
      <c r="CQ608" s="518"/>
      <c r="CR608" s="518"/>
      <c r="CS608" s="518"/>
      <c r="CT608" s="518"/>
      <c r="CU608" s="518"/>
      <c r="CV608" s="518"/>
      <c r="CW608" s="518"/>
      <c r="CX608" s="518"/>
      <c r="CY608" s="518"/>
      <c r="CZ608" s="519"/>
      <c r="DA608" s="527"/>
      <c r="DB608" s="520"/>
      <c r="DC608" s="525"/>
      <c r="DD608" s="531"/>
      <c r="DE608" s="593"/>
      <c r="DF608" s="518"/>
      <c r="DG608" s="518"/>
      <c r="DH608" s="518"/>
      <c r="DI608" s="519"/>
      <c r="DJ608" s="560"/>
      <c r="DK608" s="522"/>
      <c r="DL608" s="522"/>
      <c r="DM608" s="522"/>
      <c r="DN608" s="522"/>
      <c r="DO608" s="522"/>
      <c r="DP608" s="518"/>
      <c r="DQ608" s="518"/>
      <c r="DR608" s="518"/>
      <c r="DS608" s="518"/>
      <c r="DT608" s="518"/>
      <c r="DU608" s="519"/>
      <c r="DV608" s="527"/>
      <c r="DW608" s="518"/>
      <c r="DX608" s="518"/>
      <c r="DY608" s="520"/>
      <c r="DZ608" s="520"/>
      <c r="EA608" s="519"/>
      <c r="EB608" s="527"/>
      <c r="EC608" s="520"/>
      <c r="ED608" s="520"/>
      <c r="EE608" s="519"/>
      <c r="EF608" s="550"/>
      <c r="EG608" s="537"/>
      <c r="EH608" s="521"/>
      <c r="EI608" s="521"/>
      <c r="EJ608" s="521"/>
      <c r="EK608" s="521"/>
      <c r="EL608" s="521"/>
      <c r="EM608" s="521"/>
      <c r="EN608" s="521"/>
      <c r="EO608" s="521"/>
      <c r="EP608" s="521"/>
      <c r="EQ608" s="521"/>
      <c r="ER608" s="521"/>
      <c r="ES608" s="521"/>
      <c r="ET608" s="521"/>
      <c r="EU608" s="521"/>
      <c r="EV608" s="521"/>
      <c r="EW608" s="521"/>
      <c r="EX608" s="521"/>
      <c r="EY608" s="518"/>
      <c r="EZ608" s="523"/>
      <c r="FA608" s="523"/>
      <c r="FB608" s="524"/>
      <c r="FC608" s="524"/>
      <c r="FD608" s="518"/>
      <c r="FE608" s="518"/>
      <c r="FF608" s="518"/>
      <c r="FG608" s="518"/>
      <c r="FH608" s="518"/>
      <c r="FI608" s="518"/>
      <c r="FJ608" s="518"/>
      <c r="FK608" s="518"/>
      <c r="FL608" s="518"/>
      <c r="FM608" s="519"/>
    </row>
    <row r="609" spans="1:169" x14ac:dyDescent="0.25">
      <c r="A609" s="284"/>
      <c r="B609" s="317"/>
      <c r="C609" s="297"/>
      <c r="D609" s="298"/>
      <c r="E609" s="299"/>
      <c r="F609" s="340"/>
      <c r="G609" s="298"/>
      <c r="H609" s="299"/>
      <c r="I609" s="300"/>
      <c r="J609" s="370"/>
      <c r="K609" s="328"/>
      <c r="L609" s="300"/>
      <c r="M609" s="328"/>
      <c r="N609" s="331"/>
      <c r="O609" s="301"/>
      <c r="P609" s="301"/>
      <c r="Q609" s="328"/>
      <c r="R609" s="620"/>
      <c r="S609" s="512"/>
      <c r="T609" s="512"/>
      <c r="U609" s="513"/>
      <c r="V609" s="514"/>
      <c r="W609" s="512"/>
      <c r="X609" s="513"/>
      <c r="Y609" s="514"/>
      <c r="Z609" s="513"/>
      <c r="AA609" s="515"/>
      <c r="AB609" s="516"/>
      <c r="AC609" s="513"/>
      <c r="AD609" s="544"/>
      <c r="AE609" s="516"/>
      <c r="AF609" s="513"/>
      <c r="AG609" s="551"/>
      <c r="AH609" s="595"/>
      <c r="AI609" s="517"/>
      <c r="AJ609" s="518"/>
      <c r="AK609" s="518"/>
      <c r="AL609" s="518"/>
      <c r="AM609" s="519"/>
      <c r="AN609" s="517"/>
      <c r="AO609" s="520"/>
      <c r="AP609" s="525"/>
      <c r="AQ609" s="531"/>
      <c r="AR609" s="593"/>
      <c r="AS609" s="518"/>
      <c r="AT609" s="518"/>
      <c r="AU609" s="518"/>
      <c r="AV609" s="519"/>
      <c r="AW609" s="560"/>
      <c r="AX609" s="522"/>
      <c r="AY609" s="522"/>
      <c r="AZ609" s="522"/>
      <c r="BA609" s="522"/>
      <c r="BB609" s="522"/>
      <c r="BC609" s="518"/>
      <c r="BD609" s="518"/>
      <c r="BE609" s="518"/>
      <c r="BF609" s="518"/>
      <c r="BG609" s="518"/>
      <c r="BH609" s="519"/>
      <c r="BI609" s="527"/>
      <c r="BJ609" s="518"/>
      <c r="BK609" s="518"/>
      <c r="BL609" s="520"/>
      <c r="BM609" s="520"/>
      <c r="BN609" s="519"/>
      <c r="BO609" s="517"/>
      <c r="BP609" s="520"/>
      <c r="BQ609" s="520"/>
      <c r="BR609" s="519"/>
      <c r="BS609" s="548"/>
      <c r="BT609" s="537"/>
      <c r="BU609" s="521"/>
      <c r="BV609" s="521"/>
      <c r="BW609" s="521"/>
      <c r="BX609" s="521"/>
      <c r="BY609" s="521"/>
      <c r="BZ609" s="521"/>
      <c r="CA609" s="521"/>
      <c r="CB609" s="521"/>
      <c r="CC609" s="521"/>
      <c r="CD609" s="521"/>
      <c r="CE609" s="521"/>
      <c r="CF609" s="521"/>
      <c r="CG609" s="521"/>
      <c r="CH609" s="521"/>
      <c r="CI609" s="521"/>
      <c r="CJ609" s="521"/>
      <c r="CK609" s="521"/>
      <c r="CL609" s="518"/>
      <c r="CM609" s="523"/>
      <c r="CN609" s="523"/>
      <c r="CO609" s="524"/>
      <c r="CP609" s="524"/>
      <c r="CQ609" s="518"/>
      <c r="CR609" s="518"/>
      <c r="CS609" s="518"/>
      <c r="CT609" s="518"/>
      <c r="CU609" s="518"/>
      <c r="CV609" s="518"/>
      <c r="CW609" s="518"/>
      <c r="CX609" s="518"/>
      <c r="CY609" s="518"/>
      <c r="CZ609" s="519"/>
      <c r="DA609" s="527"/>
      <c r="DB609" s="520"/>
      <c r="DC609" s="525"/>
      <c r="DD609" s="531"/>
      <c r="DE609" s="593"/>
      <c r="DF609" s="518"/>
      <c r="DG609" s="518"/>
      <c r="DH609" s="518"/>
      <c r="DI609" s="519"/>
      <c r="DJ609" s="560"/>
      <c r="DK609" s="522"/>
      <c r="DL609" s="522"/>
      <c r="DM609" s="522"/>
      <c r="DN609" s="522"/>
      <c r="DO609" s="522"/>
      <c r="DP609" s="518"/>
      <c r="DQ609" s="518"/>
      <c r="DR609" s="518"/>
      <c r="DS609" s="518"/>
      <c r="DT609" s="518"/>
      <c r="DU609" s="519"/>
      <c r="DV609" s="527"/>
      <c r="DW609" s="518"/>
      <c r="DX609" s="518"/>
      <c r="DY609" s="520"/>
      <c r="DZ609" s="520"/>
      <c r="EA609" s="519"/>
      <c r="EB609" s="527"/>
      <c r="EC609" s="520"/>
      <c r="ED609" s="520"/>
      <c r="EE609" s="519"/>
      <c r="EF609" s="550"/>
      <c r="EG609" s="537"/>
      <c r="EH609" s="521"/>
      <c r="EI609" s="521"/>
      <c r="EJ609" s="521"/>
      <c r="EK609" s="521"/>
      <c r="EL609" s="521"/>
      <c r="EM609" s="521"/>
      <c r="EN609" s="521"/>
      <c r="EO609" s="521"/>
      <c r="EP609" s="521"/>
      <c r="EQ609" s="521"/>
      <c r="ER609" s="521"/>
      <c r="ES609" s="521"/>
      <c r="ET609" s="521"/>
      <c r="EU609" s="521"/>
      <c r="EV609" s="521"/>
      <c r="EW609" s="521"/>
      <c r="EX609" s="521"/>
      <c r="EY609" s="518"/>
      <c r="EZ609" s="523"/>
      <c r="FA609" s="523"/>
      <c r="FB609" s="524"/>
      <c r="FC609" s="524"/>
      <c r="FD609" s="518"/>
      <c r="FE609" s="518"/>
      <c r="FF609" s="518"/>
      <c r="FG609" s="518"/>
      <c r="FH609" s="518"/>
      <c r="FI609" s="518"/>
      <c r="FJ609" s="518"/>
      <c r="FK609" s="518"/>
      <c r="FL609" s="518"/>
      <c r="FM609" s="519"/>
    </row>
    <row r="610" spans="1:169" x14ac:dyDescent="0.25">
      <c r="A610" s="284"/>
      <c r="B610" s="317"/>
      <c r="C610" s="297"/>
      <c r="D610" s="298"/>
      <c r="E610" s="299"/>
      <c r="F610" s="340"/>
      <c r="G610" s="298"/>
      <c r="H610" s="299"/>
      <c r="I610" s="300"/>
      <c r="J610" s="370"/>
      <c r="K610" s="328"/>
      <c r="L610" s="300"/>
      <c r="M610" s="328"/>
      <c r="N610" s="331"/>
      <c r="O610" s="301"/>
      <c r="P610" s="301"/>
      <c r="Q610" s="328"/>
      <c r="R610" s="620"/>
      <c r="S610" s="512"/>
      <c r="T610" s="512"/>
      <c r="U610" s="513"/>
      <c r="V610" s="514"/>
      <c r="W610" s="512"/>
      <c r="X610" s="513"/>
      <c r="Y610" s="514"/>
      <c r="Z610" s="513"/>
      <c r="AA610" s="515"/>
      <c r="AB610" s="516"/>
      <c r="AC610" s="513"/>
      <c r="AD610" s="544"/>
      <c r="AE610" s="516"/>
      <c r="AF610" s="513"/>
      <c r="AG610" s="551"/>
      <c r="AH610" s="595"/>
      <c r="AI610" s="517"/>
      <c r="AJ610" s="518"/>
      <c r="AK610" s="518"/>
      <c r="AL610" s="518"/>
      <c r="AM610" s="519"/>
      <c r="AN610" s="517"/>
      <c r="AO610" s="520"/>
      <c r="AP610" s="525"/>
      <c r="AQ610" s="531"/>
      <c r="AR610" s="593"/>
      <c r="AS610" s="518"/>
      <c r="AT610" s="518"/>
      <c r="AU610" s="518"/>
      <c r="AV610" s="519"/>
      <c r="AW610" s="560"/>
      <c r="AX610" s="522"/>
      <c r="AY610" s="522"/>
      <c r="AZ610" s="522"/>
      <c r="BA610" s="522"/>
      <c r="BB610" s="522"/>
      <c r="BC610" s="518"/>
      <c r="BD610" s="518"/>
      <c r="BE610" s="518"/>
      <c r="BF610" s="518"/>
      <c r="BG610" s="518"/>
      <c r="BH610" s="519"/>
      <c r="BI610" s="527"/>
      <c r="BJ610" s="518"/>
      <c r="BK610" s="518"/>
      <c r="BL610" s="520"/>
      <c r="BM610" s="520"/>
      <c r="BN610" s="519"/>
      <c r="BO610" s="517"/>
      <c r="BP610" s="520"/>
      <c r="BQ610" s="520"/>
      <c r="BR610" s="519"/>
      <c r="BS610" s="548"/>
      <c r="BT610" s="537"/>
      <c r="BU610" s="521"/>
      <c r="BV610" s="521"/>
      <c r="BW610" s="521"/>
      <c r="BX610" s="521"/>
      <c r="BY610" s="521"/>
      <c r="BZ610" s="521"/>
      <c r="CA610" s="521"/>
      <c r="CB610" s="521"/>
      <c r="CC610" s="521"/>
      <c r="CD610" s="521"/>
      <c r="CE610" s="521"/>
      <c r="CF610" s="521"/>
      <c r="CG610" s="521"/>
      <c r="CH610" s="521"/>
      <c r="CI610" s="521"/>
      <c r="CJ610" s="521"/>
      <c r="CK610" s="521"/>
      <c r="CL610" s="518"/>
      <c r="CM610" s="523"/>
      <c r="CN610" s="523"/>
      <c r="CO610" s="524"/>
      <c r="CP610" s="524"/>
      <c r="CQ610" s="518"/>
      <c r="CR610" s="518"/>
      <c r="CS610" s="518"/>
      <c r="CT610" s="518"/>
      <c r="CU610" s="518"/>
      <c r="CV610" s="518"/>
      <c r="CW610" s="518"/>
      <c r="CX610" s="518"/>
      <c r="CY610" s="518"/>
      <c r="CZ610" s="519"/>
      <c r="DA610" s="527"/>
      <c r="DB610" s="520"/>
      <c r="DC610" s="525"/>
      <c r="DD610" s="531"/>
      <c r="DE610" s="593"/>
      <c r="DF610" s="518"/>
      <c r="DG610" s="518"/>
      <c r="DH610" s="518"/>
      <c r="DI610" s="519"/>
      <c r="DJ610" s="560"/>
      <c r="DK610" s="522"/>
      <c r="DL610" s="522"/>
      <c r="DM610" s="522"/>
      <c r="DN610" s="522"/>
      <c r="DO610" s="522"/>
      <c r="DP610" s="518"/>
      <c r="DQ610" s="518"/>
      <c r="DR610" s="518"/>
      <c r="DS610" s="518"/>
      <c r="DT610" s="518"/>
      <c r="DU610" s="519"/>
      <c r="DV610" s="527"/>
      <c r="DW610" s="518"/>
      <c r="DX610" s="518"/>
      <c r="DY610" s="520"/>
      <c r="DZ610" s="520"/>
      <c r="EA610" s="519"/>
      <c r="EB610" s="527"/>
      <c r="EC610" s="520"/>
      <c r="ED610" s="520"/>
      <c r="EE610" s="519"/>
      <c r="EF610" s="550"/>
      <c r="EG610" s="537"/>
      <c r="EH610" s="521"/>
      <c r="EI610" s="521"/>
      <c r="EJ610" s="521"/>
      <c r="EK610" s="521"/>
      <c r="EL610" s="521"/>
      <c r="EM610" s="521"/>
      <c r="EN610" s="521"/>
      <c r="EO610" s="521"/>
      <c r="EP610" s="521"/>
      <c r="EQ610" s="521"/>
      <c r="ER610" s="521"/>
      <c r="ES610" s="521"/>
      <c r="ET610" s="521"/>
      <c r="EU610" s="521"/>
      <c r="EV610" s="521"/>
      <c r="EW610" s="521"/>
      <c r="EX610" s="521"/>
      <c r="EY610" s="518"/>
      <c r="EZ610" s="523"/>
      <c r="FA610" s="523"/>
      <c r="FB610" s="524"/>
      <c r="FC610" s="524"/>
      <c r="FD610" s="518"/>
      <c r="FE610" s="518"/>
      <c r="FF610" s="518"/>
      <c r="FG610" s="518"/>
      <c r="FH610" s="518"/>
      <c r="FI610" s="518"/>
      <c r="FJ610" s="518"/>
      <c r="FK610" s="518"/>
      <c r="FL610" s="518"/>
      <c r="FM610" s="519"/>
    </row>
    <row r="611" spans="1:169" x14ac:dyDescent="0.25">
      <c r="A611" s="284"/>
      <c r="B611" s="317"/>
      <c r="C611" s="297"/>
      <c r="D611" s="298"/>
      <c r="E611" s="299"/>
      <c r="F611" s="340"/>
      <c r="G611" s="298"/>
      <c r="H611" s="299"/>
      <c r="I611" s="300"/>
      <c r="J611" s="370"/>
      <c r="K611" s="328"/>
      <c r="L611" s="300"/>
      <c r="M611" s="328"/>
      <c r="N611" s="331"/>
      <c r="O611" s="301"/>
      <c r="P611" s="301"/>
      <c r="Q611" s="328"/>
      <c r="R611" s="620"/>
      <c r="S611" s="512"/>
      <c r="T611" s="512"/>
      <c r="U611" s="513"/>
      <c r="V611" s="514"/>
      <c r="W611" s="512"/>
      <c r="X611" s="513"/>
      <c r="Y611" s="514"/>
      <c r="Z611" s="513"/>
      <c r="AA611" s="515"/>
      <c r="AB611" s="516"/>
      <c r="AC611" s="513"/>
      <c r="AD611" s="544"/>
      <c r="AE611" s="516"/>
      <c r="AF611" s="513"/>
      <c r="AG611" s="551"/>
      <c r="AH611" s="595"/>
      <c r="AI611" s="517"/>
      <c r="AJ611" s="518"/>
      <c r="AK611" s="518"/>
      <c r="AL611" s="518"/>
      <c r="AM611" s="519"/>
      <c r="AN611" s="517"/>
      <c r="AO611" s="520"/>
      <c r="AP611" s="525"/>
      <c r="AQ611" s="531"/>
      <c r="AR611" s="593"/>
      <c r="AS611" s="518"/>
      <c r="AT611" s="518"/>
      <c r="AU611" s="518"/>
      <c r="AV611" s="519"/>
      <c r="AW611" s="560"/>
      <c r="AX611" s="522"/>
      <c r="AY611" s="522"/>
      <c r="AZ611" s="522"/>
      <c r="BA611" s="522"/>
      <c r="BB611" s="522"/>
      <c r="BC611" s="518"/>
      <c r="BD611" s="518"/>
      <c r="BE611" s="518"/>
      <c r="BF611" s="518"/>
      <c r="BG611" s="518"/>
      <c r="BH611" s="519"/>
      <c r="BI611" s="527"/>
      <c r="BJ611" s="518"/>
      <c r="BK611" s="518"/>
      <c r="BL611" s="520"/>
      <c r="BM611" s="520"/>
      <c r="BN611" s="519"/>
      <c r="BO611" s="517"/>
      <c r="BP611" s="520"/>
      <c r="BQ611" s="520"/>
      <c r="BR611" s="519"/>
      <c r="BS611" s="548"/>
      <c r="BT611" s="537"/>
      <c r="BU611" s="521"/>
      <c r="BV611" s="521"/>
      <c r="BW611" s="521"/>
      <c r="BX611" s="521"/>
      <c r="BY611" s="521"/>
      <c r="BZ611" s="521"/>
      <c r="CA611" s="521"/>
      <c r="CB611" s="521"/>
      <c r="CC611" s="521"/>
      <c r="CD611" s="521"/>
      <c r="CE611" s="521"/>
      <c r="CF611" s="521"/>
      <c r="CG611" s="521"/>
      <c r="CH611" s="521"/>
      <c r="CI611" s="521"/>
      <c r="CJ611" s="521"/>
      <c r="CK611" s="521"/>
      <c r="CL611" s="518"/>
      <c r="CM611" s="523"/>
      <c r="CN611" s="523"/>
      <c r="CO611" s="524"/>
      <c r="CP611" s="524"/>
      <c r="CQ611" s="518"/>
      <c r="CR611" s="518"/>
      <c r="CS611" s="518"/>
      <c r="CT611" s="518"/>
      <c r="CU611" s="518"/>
      <c r="CV611" s="518"/>
      <c r="CW611" s="518"/>
      <c r="CX611" s="518"/>
      <c r="CY611" s="518"/>
      <c r="CZ611" s="519"/>
      <c r="DA611" s="527"/>
      <c r="DB611" s="520"/>
      <c r="DC611" s="525"/>
      <c r="DD611" s="531"/>
      <c r="DE611" s="593"/>
      <c r="DF611" s="518"/>
      <c r="DG611" s="518"/>
      <c r="DH611" s="518"/>
      <c r="DI611" s="519"/>
      <c r="DJ611" s="560"/>
      <c r="DK611" s="522"/>
      <c r="DL611" s="522"/>
      <c r="DM611" s="522"/>
      <c r="DN611" s="522"/>
      <c r="DO611" s="522"/>
      <c r="DP611" s="518"/>
      <c r="DQ611" s="518"/>
      <c r="DR611" s="518"/>
      <c r="DS611" s="518"/>
      <c r="DT611" s="518"/>
      <c r="DU611" s="519"/>
      <c r="DV611" s="527"/>
      <c r="DW611" s="518"/>
      <c r="DX611" s="518"/>
      <c r="DY611" s="520"/>
      <c r="DZ611" s="520"/>
      <c r="EA611" s="519"/>
      <c r="EB611" s="527"/>
      <c r="EC611" s="520"/>
      <c r="ED611" s="520"/>
      <c r="EE611" s="519"/>
      <c r="EF611" s="550"/>
      <c r="EG611" s="537"/>
      <c r="EH611" s="521"/>
      <c r="EI611" s="521"/>
      <c r="EJ611" s="521"/>
      <c r="EK611" s="521"/>
      <c r="EL611" s="521"/>
      <c r="EM611" s="521"/>
      <c r="EN611" s="521"/>
      <c r="EO611" s="521"/>
      <c r="EP611" s="521"/>
      <c r="EQ611" s="521"/>
      <c r="ER611" s="521"/>
      <c r="ES611" s="521"/>
      <c r="ET611" s="521"/>
      <c r="EU611" s="521"/>
      <c r="EV611" s="521"/>
      <c r="EW611" s="521"/>
      <c r="EX611" s="521"/>
      <c r="EY611" s="518"/>
      <c r="EZ611" s="523"/>
      <c r="FA611" s="523"/>
      <c r="FB611" s="524"/>
      <c r="FC611" s="524"/>
      <c r="FD611" s="518"/>
      <c r="FE611" s="518"/>
      <c r="FF611" s="518"/>
      <c r="FG611" s="518"/>
      <c r="FH611" s="518"/>
      <c r="FI611" s="518"/>
      <c r="FJ611" s="518"/>
      <c r="FK611" s="518"/>
      <c r="FL611" s="518"/>
      <c r="FM611" s="519"/>
    </row>
    <row r="612" spans="1:169" x14ac:dyDescent="0.25">
      <c r="A612" s="284"/>
      <c r="B612" s="317"/>
      <c r="C612" s="297"/>
      <c r="D612" s="298"/>
      <c r="E612" s="299"/>
      <c r="F612" s="340"/>
      <c r="G612" s="298"/>
      <c r="H612" s="299"/>
      <c r="I612" s="300"/>
      <c r="J612" s="370"/>
      <c r="K612" s="328"/>
      <c r="L612" s="300"/>
      <c r="M612" s="328"/>
      <c r="N612" s="331"/>
      <c r="O612" s="301"/>
      <c r="P612" s="301"/>
      <c r="Q612" s="328"/>
      <c r="R612" s="620"/>
      <c r="S612" s="512"/>
      <c r="T612" s="512"/>
      <c r="U612" s="513"/>
      <c r="V612" s="514"/>
      <c r="W612" s="512"/>
      <c r="X612" s="513"/>
      <c r="Y612" s="514"/>
      <c r="Z612" s="513"/>
      <c r="AA612" s="515"/>
      <c r="AB612" s="516"/>
      <c r="AC612" s="513"/>
      <c r="AD612" s="544"/>
      <c r="AE612" s="516"/>
      <c r="AF612" s="513"/>
      <c r="AG612" s="551"/>
      <c r="AH612" s="595"/>
      <c r="AI612" s="517"/>
      <c r="AJ612" s="518"/>
      <c r="AK612" s="518"/>
      <c r="AL612" s="518"/>
      <c r="AM612" s="519"/>
      <c r="AN612" s="517"/>
      <c r="AO612" s="520"/>
      <c r="AP612" s="525"/>
      <c r="AQ612" s="531"/>
      <c r="AR612" s="593"/>
      <c r="AS612" s="518"/>
      <c r="AT612" s="518"/>
      <c r="AU612" s="518"/>
      <c r="AV612" s="519"/>
      <c r="AW612" s="560"/>
      <c r="AX612" s="522"/>
      <c r="AY612" s="522"/>
      <c r="AZ612" s="522"/>
      <c r="BA612" s="522"/>
      <c r="BB612" s="522"/>
      <c r="BC612" s="518"/>
      <c r="BD612" s="518"/>
      <c r="BE612" s="518"/>
      <c r="BF612" s="518"/>
      <c r="BG612" s="518"/>
      <c r="BH612" s="519"/>
      <c r="BI612" s="527"/>
      <c r="BJ612" s="518"/>
      <c r="BK612" s="518"/>
      <c r="BL612" s="520"/>
      <c r="BM612" s="520"/>
      <c r="BN612" s="519"/>
      <c r="BO612" s="517"/>
      <c r="BP612" s="520"/>
      <c r="BQ612" s="520"/>
      <c r="BR612" s="519"/>
      <c r="BS612" s="548"/>
      <c r="BT612" s="537"/>
      <c r="BU612" s="521"/>
      <c r="BV612" s="521"/>
      <c r="BW612" s="521"/>
      <c r="BX612" s="521"/>
      <c r="BY612" s="521"/>
      <c r="BZ612" s="521"/>
      <c r="CA612" s="521"/>
      <c r="CB612" s="521"/>
      <c r="CC612" s="521"/>
      <c r="CD612" s="521"/>
      <c r="CE612" s="521"/>
      <c r="CF612" s="521"/>
      <c r="CG612" s="521"/>
      <c r="CH612" s="521"/>
      <c r="CI612" s="521"/>
      <c r="CJ612" s="521"/>
      <c r="CK612" s="521"/>
      <c r="CL612" s="518"/>
      <c r="CM612" s="523"/>
      <c r="CN612" s="523"/>
      <c r="CO612" s="524"/>
      <c r="CP612" s="524"/>
      <c r="CQ612" s="518"/>
      <c r="CR612" s="518"/>
      <c r="CS612" s="518"/>
      <c r="CT612" s="518"/>
      <c r="CU612" s="518"/>
      <c r="CV612" s="518"/>
      <c r="CW612" s="518"/>
      <c r="CX612" s="518"/>
      <c r="CY612" s="518"/>
      <c r="CZ612" s="519"/>
      <c r="DA612" s="527"/>
      <c r="DB612" s="520"/>
      <c r="DC612" s="525"/>
      <c r="DD612" s="531"/>
      <c r="DE612" s="593"/>
      <c r="DF612" s="518"/>
      <c r="DG612" s="518"/>
      <c r="DH612" s="518"/>
      <c r="DI612" s="519"/>
      <c r="DJ612" s="560"/>
      <c r="DK612" s="522"/>
      <c r="DL612" s="522"/>
      <c r="DM612" s="522"/>
      <c r="DN612" s="522"/>
      <c r="DO612" s="522"/>
      <c r="DP612" s="518"/>
      <c r="DQ612" s="518"/>
      <c r="DR612" s="518"/>
      <c r="DS612" s="518"/>
      <c r="DT612" s="518"/>
      <c r="DU612" s="519"/>
      <c r="DV612" s="527"/>
      <c r="DW612" s="518"/>
      <c r="DX612" s="518"/>
      <c r="DY612" s="520"/>
      <c r="DZ612" s="520"/>
      <c r="EA612" s="519"/>
      <c r="EB612" s="527"/>
      <c r="EC612" s="520"/>
      <c r="ED612" s="520"/>
      <c r="EE612" s="519"/>
      <c r="EF612" s="550"/>
      <c r="EG612" s="537"/>
      <c r="EH612" s="521"/>
      <c r="EI612" s="521"/>
      <c r="EJ612" s="521"/>
      <c r="EK612" s="521"/>
      <c r="EL612" s="521"/>
      <c r="EM612" s="521"/>
      <c r="EN612" s="521"/>
      <c r="EO612" s="521"/>
      <c r="EP612" s="521"/>
      <c r="EQ612" s="521"/>
      <c r="ER612" s="521"/>
      <c r="ES612" s="521"/>
      <c r="ET612" s="521"/>
      <c r="EU612" s="521"/>
      <c r="EV612" s="521"/>
      <c r="EW612" s="521"/>
      <c r="EX612" s="521"/>
      <c r="EY612" s="518"/>
      <c r="EZ612" s="523"/>
      <c r="FA612" s="523"/>
      <c r="FB612" s="524"/>
      <c r="FC612" s="524"/>
      <c r="FD612" s="518"/>
      <c r="FE612" s="518"/>
      <c r="FF612" s="518"/>
      <c r="FG612" s="518"/>
      <c r="FH612" s="518"/>
      <c r="FI612" s="518"/>
      <c r="FJ612" s="518"/>
      <c r="FK612" s="518"/>
      <c r="FL612" s="518"/>
      <c r="FM612" s="519"/>
    </row>
    <row r="613" spans="1:169" x14ac:dyDescent="0.25">
      <c r="A613" s="284"/>
      <c r="B613" s="317"/>
      <c r="C613" s="297"/>
      <c r="D613" s="298"/>
      <c r="E613" s="299"/>
      <c r="F613" s="340"/>
      <c r="G613" s="298"/>
      <c r="H613" s="299"/>
      <c r="I613" s="300"/>
      <c r="J613" s="370"/>
      <c r="K613" s="328"/>
      <c r="L613" s="300"/>
      <c r="M613" s="328"/>
      <c r="N613" s="331"/>
      <c r="O613" s="301"/>
      <c r="P613" s="301"/>
      <c r="Q613" s="328"/>
      <c r="R613" s="620"/>
      <c r="S613" s="512"/>
      <c r="T613" s="512"/>
      <c r="U613" s="513"/>
      <c r="V613" s="514"/>
      <c r="W613" s="512"/>
      <c r="X613" s="513"/>
      <c r="Y613" s="514"/>
      <c r="Z613" s="513"/>
      <c r="AA613" s="515"/>
      <c r="AB613" s="516"/>
      <c r="AC613" s="513"/>
      <c r="AD613" s="544"/>
      <c r="AE613" s="516"/>
      <c r="AF613" s="513"/>
      <c r="AG613" s="551"/>
      <c r="AH613" s="595"/>
      <c r="AI613" s="517"/>
      <c r="AJ613" s="518"/>
      <c r="AK613" s="518"/>
      <c r="AL613" s="518"/>
      <c r="AM613" s="519"/>
      <c r="AN613" s="517"/>
      <c r="AO613" s="520"/>
      <c r="AP613" s="525"/>
      <c r="AQ613" s="531"/>
      <c r="AR613" s="593"/>
      <c r="AS613" s="518"/>
      <c r="AT613" s="518"/>
      <c r="AU613" s="518"/>
      <c r="AV613" s="519"/>
      <c r="AW613" s="560"/>
      <c r="AX613" s="522"/>
      <c r="AY613" s="522"/>
      <c r="AZ613" s="522"/>
      <c r="BA613" s="522"/>
      <c r="BB613" s="522"/>
      <c r="BC613" s="518"/>
      <c r="BD613" s="518"/>
      <c r="BE613" s="518"/>
      <c r="BF613" s="518"/>
      <c r="BG613" s="518"/>
      <c r="BH613" s="519"/>
      <c r="BI613" s="527"/>
      <c r="BJ613" s="518"/>
      <c r="BK613" s="518"/>
      <c r="BL613" s="520"/>
      <c r="BM613" s="520"/>
      <c r="BN613" s="519"/>
      <c r="BO613" s="517"/>
      <c r="BP613" s="520"/>
      <c r="BQ613" s="520"/>
      <c r="BR613" s="519"/>
      <c r="BS613" s="548"/>
      <c r="BT613" s="537"/>
      <c r="BU613" s="521"/>
      <c r="BV613" s="521"/>
      <c r="BW613" s="521"/>
      <c r="BX613" s="521"/>
      <c r="BY613" s="521"/>
      <c r="BZ613" s="521"/>
      <c r="CA613" s="521"/>
      <c r="CB613" s="521"/>
      <c r="CC613" s="521"/>
      <c r="CD613" s="521"/>
      <c r="CE613" s="521"/>
      <c r="CF613" s="521"/>
      <c r="CG613" s="521"/>
      <c r="CH613" s="521"/>
      <c r="CI613" s="521"/>
      <c r="CJ613" s="521"/>
      <c r="CK613" s="521"/>
      <c r="CL613" s="518"/>
      <c r="CM613" s="523"/>
      <c r="CN613" s="523"/>
      <c r="CO613" s="524"/>
      <c r="CP613" s="524"/>
      <c r="CQ613" s="518"/>
      <c r="CR613" s="518"/>
      <c r="CS613" s="518"/>
      <c r="CT613" s="518"/>
      <c r="CU613" s="518"/>
      <c r="CV613" s="518"/>
      <c r="CW613" s="518"/>
      <c r="CX613" s="518"/>
      <c r="CY613" s="518"/>
      <c r="CZ613" s="519"/>
      <c r="DA613" s="527"/>
      <c r="DB613" s="520"/>
      <c r="DC613" s="525"/>
      <c r="DD613" s="531"/>
      <c r="DE613" s="593"/>
      <c r="DF613" s="518"/>
      <c r="DG613" s="518"/>
      <c r="DH613" s="518"/>
      <c r="DI613" s="519"/>
      <c r="DJ613" s="560"/>
      <c r="DK613" s="522"/>
      <c r="DL613" s="522"/>
      <c r="DM613" s="522"/>
      <c r="DN613" s="522"/>
      <c r="DO613" s="522"/>
      <c r="DP613" s="518"/>
      <c r="DQ613" s="518"/>
      <c r="DR613" s="518"/>
      <c r="DS613" s="518"/>
      <c r="DT613" s="518"/>
      <c r="DU613" s="519"/>
      <c r="DV613" s="527"/>
      <c r="DW613" s="518"/>
      <c r="DX613" s="518"/>
      <c r="DY613" s="520"/>
      <c r="DZ613" s="520"/>
      <c r="EA613" s="519"/>
      <c r="EB613" s="527"/>
      <c r="EC613" s="520"/>
      <c r="ED613" s="520"/>
      <c r="EE613" s="519"/>
      <c r="EF613" s="550"/>
      <c r="EG613" s="537"/>
      <c r="EH613" s="521"/>
      <c r="EI613" s="521"/>
      <c r="EJ613" s="521"/>
      <c r="EK613" s="521"/>
      <c r="EL613" s="521"/>
      <c r="EM613" s="521"/>
      <c r="EN613" s="521"/>
      <c r="EO613" s="521"/>
      <c r="EP613" s="521"/>
      <c r="EQ613" s="521"/>
      <c r="ER613" s="521"/>
      <c r="ES613" s="521"/>
      <c r="ET613" s="521"/>
      <c r="EU613" s="521"/>
      <c r="EV613" s="521"/>
      <c r="EW613" s="521"/>
      <c r="EX613" s="521"/>
      <c r="EY613" s="518"/>
      <c r="EZ613" s="523"/>
      <c r="FA613" s="523"/>
      <c r="FB613" s="524"/>
      <c r="FC613" s="524"/>
      <c r="FD613" s="518"/>
      <c r="FE613" s="518"/>
      <c r="FF613" s="518"/>
      <c r="FG613" s="518"/>
      <c r="FH613" s="518"/>
      <c r="FI613" s="518"/>
      <c r="FJ613" s="518"/>
      <c r="FK613" s="518"/>
      <c r="FL613" s="518"/>
      <c r="FM613" s="519"/>
    </row>
    <row r="614" spans="1:169" x14ac:dyDescent="0.25">
      <c r="A614" s="284"/>
      <c r="B614" s="317"/>
      <c r="C614" s="297"/>
      <c r="D614" s="298"/>
      <c r="E614" s="299"/>
      <c r="F614" s="340"/>
      <c r="G614" s="298"/>
      <c r="H614" s="299"/>
      <c r="I614" s="300"/>
      <c r="J614" s="370"/>
      <c r="K614" s="328"/>
      <c r="L614" s="300"/>
      <c r="M614" s="328"/>
      <c r="N614" s="331"/>
      <c r="O614" s="301"/>
      <c r="P614" s="301"/>
      <c r="Q614" s="328"/>
      <c r="R614" s="620"/>
      <c r="S614" s="512"/>
      <c r="T614" s="512"/>
      <c r="U614" s="513"/>
      <c r="V614" s="514"/>
      <c r="W614" s="512"/>
      <c r="X614" s="513"/>
      <c r="Y614" s="514"/>
      <c r="Z614" s="513"/>
      <c r="AA614" s="515"/>
      <c r="AB614" s="516"/>
      <c r="AC614" s="513"/>
      <c r="AD614" s="544"/>
      <c r="AE614" s="516"/>
      <c r="AF614" s="513"/>
      <c r="AG614" s="551"/>
      <c r="AH614" s="595"/>
      <c r="AI614" s="517"/>
      <c r="AJ614" s="518"/>
      <c r="AK614" s="518"/>
      <c r="AL614" s="518"/>
      <c r="AM614" s="519"/>
      <c r="AN614" s="517"/>
      <c r="AO614" s="520"/>
      <c r="AP614" s="525"/>
      <c r="AQ614" s="531"/>
      <c r="AR614" s="593"/>
      <c r="AS614" s="518"/>
      <c r="AT614" s="518"/>
      <c r="AU614" s="518"/>
      <c r="AV614" s="519"/>
      <c r="AW614" s="560"/>
      <c r="AX614" s="522"/>
      <c r="AY614" s="522"/>
      <c r="AZ614" s="522"/>
      <c r="BA614" s="522"/>
      <c r="BB614" s="522"/>
      <c r="BC614" s="518"/>
      <c r="BD614" s="518"/>
      <c r="BE614" s="518"/>
      <c r="BF614" s="518"/>
      <c r="BG614" s="518"/>
      <c r="BH614" s="519"/>
      <c r="BI614" s="527"/>
      <c r="BJ614" s="518"/>
      <c r="BK614" s="518"/>
      <c r="BL614" s="520"/>
      <c r="BM614" s="520"/>
      <c r="BN614" s="519"/>
      <c r="BO614" s="517"/>
      <c r="BP614" s="520"/>
      <c r="BQ614" s="520"/>
      <c r="BR614" s="519"/>
      <c r="BS614" s="548"/>
      <c r="BT614" s="537"/>
      <c r="BU614" s="521"/>
      <c r="BV614" s="521"/>
      <c r="BW614" s="521"/>
      <c r="BX614" s="521"/>
      <c r="BY614" s="521"/>
      <c r="BZ614" s="521"/>
      <c r="CA614" s="521"/>
      <c r="CB614" s="521"/>
      <c r="CC614" s="521"/>
      <c r="CD614" s="521"/>
      <c r="CE614" s="521"/>
      <c r="CF614" s="521"/>
      <c r="CG614" s="521"/>
      <c r="CH614" s="521"/>
      <c r="CI614" s="521"/>
      <c r="CJ614" s="521"/>
      <c r="CK614" s="521"/>
      <c r="CL614" s="518"/>
      <c r="CM614" s="523"/>
      <c r="CN614" s="523"/>
      <c r="CO614" s="524"/>
      <c r="CP614" s="524"/>
      <c r="CQ614" s="518"/>
      <c r="CR614" s="518"/>
      <c r="CS614" s="518"/>
      <c r="CT614" s="518"/>
      <c r="CU614" s="518"/>
      <c r="CV614" s="518"/>
      <c r="CW614" s="518"/>
      <c r="CX614" s="518"/>
      <c r="CY614" s="518"/>
      <c r="CZ614" s="519"/>
      <c r="DA614" s="527"/>
      <c r="DB614" s="520"/>
      <c r="DC614" s="525"/>
      <c r="DD614" s="531"/>
      <c r="DE614" s="593"/>
      <c r="DF614" s="518"/>
      <c r="DG614" s="518"/>
      <c r="DH614" s="518"/>
      <c r="DI614" s="519"/>
      <c r="DJ614" s="560"/>
      <c r="DK614" s="522"/>
      <c r="DL614" s="522"/>
      <c r="DM614" s="522"/>
      <c r="DN614" s="522"/>
      <c r="DO614" s="522"/>
      <c r="DP614" s="518"/>
      <c r="DQ614" s="518"/>
      <c r="DR614" s="518"/>
      <c r="DS614" s="518"/>
      <c r="DT614" s="518"/>
      <c r="DU614" s="519"/>
      <c r="DV614" s="527"/>
      <c r="DW614" s="518"/>
      <c r="DX614" s="518"/>
      <c r="DY614" s="520"/>
      <c r="DZ614" s="520"/>
      <c r="EA614" s="519"/>
      <c r="EB614" s="527"/>
      <c r="EC614" s="520"/>
      <c r="ED614" s="520"/>
      <c r="EE614" s="519"/>
      <c r="EF614" s="550"/>
      <c r="EG614" s="537"/>
      <c r="EH614" s="521"/>
      <c r="EI614" s="521"/>
      <c r="EJ614" s="521"/>
      <c r="EK614" s="521"/>
      <c r="EL614" s="521"/>
      <c r="EM614" s="521"/>
      <c r="EN614" s="521"/>
      <c r="EO614" s="521"/>
      <c r="EP614" s="521"/>
      <c r="EQ614" s="521"/>
      <c r="ER614" s="521"/>
      <c r="ES614" s="521"/>
      <c r="ET614" s="521"/>
      <c r="EU614" s="521"/>
      <c r="EV614" s="521"/>
      <c r="EW614" s="521"/>
      <c r="EX614" s="521"/>
      <c r="EY614" s="518"/>
      <c r="EZ614" s="523"/>
      <c r="FA614" s="523"/>
      <c r="FB614" s="524"/>
      <c r="FC614" s="524"/>
      <c r="FD614" s="518"/>
      <c r="FE614" s="518"/>
      <c r="FF614" s="518"/>
      <c r="FG614" s="518"/>
      <c r="FH614" s="518"/>
      <c r="FI614" s="518"/>
      <c r="FJ614" s="518"/>
      <c r="FK614" s="518"/>
      <c r="FL614" s="518"/>
      <c r="FM614" s="519"/>
    </row>
    <row r="615" spans="1:169" x14ac:dyDescent="0.25">
      <c r="A615" s="284"/>
      <c r="B615" s="317"/>
      <c r="C615" s="297"/>
      <c r="D615" s="298"/>
      <c r="E615" s="299"/>
      <c r="F615" s="340"/>
      <c r="G615" s="298"/>
      <c r="H615" s="299"/>
      <c r="I615" s="300"/>
      <c r="J615" s="370"/>
      <c r="K615" s="328"/>
      <c r="L615" s="300"/>
      <c r="M615" s="328"/>
      <c r="N615" s="331"/>
      <c r="O615" s="301"/>
      <c r="P615" s="301"/>
      <c r="Q615" s="328"/>
      <c r="R615" s="620"/>
      <c r="S615" s="512"/>
      <c r="T615" s="512"/>
      <c r="U615" s="513"/>
      <c r="V615" s="514"/>
      <c r="W615" s="512"/>
      <c r="X615" s="513"/>
      <c r="Y615" s="514"/>
      <c r="Z615" s="513"/>
      <c r="AA615" s="515"/>
      <c r="AB615" s="516"/>
      <c r="AC615" s="513"/>
      <c r="AD615" s="544"/>
      <c r="AE615" s="516"/>
      <c r="AF615" s="513"/>
      <c r="AG615" s="551"/>
      <c r="AH615" s="595"/>
      <c r="AI615" s="517"/>
      <c r="AJ615" s="518"/>
      <c r="AK615" s="518"/>
      <c r="AL615" s="518"/>
      <c r="AM615" s="519"/>
      <c r="AN615" s="517"/>
      <c r="AO615" s="520"/>
      <c r="AP615" s="525"/>
      <c r="AQ615" s="531"/>
      <c r="AR615" s="593"/>
      <c r="AS615" s="518"/>
      <c r="AT615" s="518"/>
      <c r="AU615" s="518"/>
      <c r="AV615" s="519"/>
      <c r="AW615" s="560"/>
      <c r="AX615" s="522"/>
      <c r="AY615" s="522"/>
      <c r="AZ615" s="522"/>
      <c r="BA615" s="522"/>
      <c r="BB615" s="522"/>
      <c r="BC615" s="518"/>
      <c r="BD615" s="518"/>
      <c r="BE615" s="518"/>
      <c r="BF615" s="518"/>
      <c r="BG615" s="518"/>
      <c r="BH615" s="519"/>
      <c r="BI615" s="527"/>
      <c r="BJ615" s="518"/>
      <c r="BK615" s="518"/>
      <c r="BL615" s="520"/>
      <c r="BM615" s="520"/>
      <c r="BN615" s="519"/>
      <c r="BO615" s="517"/>
      <c r="BP615" s="520"/>
      <c r="BQ615" s="520"/>
      <c r="BR615" s="519"/>
      <c r="BS615" s="548"/>
      <c r="BT615" s="537"/>
      <c r="BU615" s="521"/>
      <c r="BV615" s="521"/>
      <c r="BW615" s="521"/>
      <c r="BX615" s="521"/>
      <c r="BY615" s="521"/>
      <c r="BZ615" s="521"/>
      <c r="CA615" s="521"/>
      <c r="CB615" s="521"/>
      <c r="CC615" s="521"/>
      <c r="CD615" s="521"/>
      <c r="CE615" s="521"/>
      <c r="CF615" s="521"/>
      <c r="CG615" s="521"/>
      <c r="CH615" s="521"/>
      <c r="CI615" s="521"/>
      <c r="CJ615" s="521"/>
      <c r="CK615" s="521"/>
      <c r="CL615" s="518"/>
      <c r="CM615" s="523"/>
      <c r="CN615" s="523"/>
      <c r="CO615" s="524"/>
      <c r="CP615" s="524"/>
      <c r="CQ615" s="518"/>
      <c r="CR615" s="518"/>
      <c r="CS615" s="518"/>
      <c r="CT615" s="518"/>
      <c r="CU615" s="518"/>
      <c r="CV615" s="518"/>
      <c r="CW615" s="518"/>
      <c r="CX615" s="518"/>
      <c r="CY615" s="518"/>
      <c r="CZ615" s="519"/>
      <c r="DA615" s="527"/>
      <c r="DB615" s="520"/>
      <c r="DC615" s="525"/>
      <c r="DD615" s="531"/>
      <c r="DE615" s="593"/>
      <c r="DF615" s="518"/>
      <c r="DG615" s="518"/>
      <c r="DH615" s="518"/>
      <c r="DI615" s="519"/>
      <c r="DJ615" s="560"/>
      <c r="DK615" s="522"/>
      <c r="DL615" s="522"/>
      <c r="DM615" s="522"/>
      <c r="DN615" s="522"/>
      <c r="DO615" s="522"/>
      <c r="DP615" s="518"/>
      <c r="DQ615" s="518"/>
      <c r="DR615" s="518"/>
      <c r="DS615" s="518"/>
      <c r="DT615" s="518"/>
      <c r="DU615" s="519"/>
      <c r="DV615" s="527"/>
      <c r="DW615" s="518"/>
      <c r="DX615" s="518"/>
      <c r="DY615" s="520"/>
      <c r="DZ615" s="520"/>
      <c r="EA615" s="519"/>
      <c r="EB615" s="527"/>
      <c r="EC615" s="520"/>
      <c r="ED615" s="520"/>
      <c r="EE615" s="519"/>
      <c r="EF615" s="550"/>
      <c r="EG615" s="537"/>
      <c r="EH615" s="521"/>
      <c r="EI615" s="521"/>
      <c r="EJ615" s="521"/>
      <c r="EK615" s="521"/>
      <c r="EL615" s="521"/>
      <c r="EM615" s="521"/>
      <c r="EN615" s="521"/>
      <c r="EO615" s="521"/>
      <c r="EP615" s="521"/>
      <c r="EQ615" s="521"/>
      <c r="ER615" s="521"/>
      <c r="ES615" s="521"/>
      <c r="ET615" s="521"/>
      <c r="EU615" s="521"/>
      <c r="EV615" s="521"/>
      <c r="EW615" s="521"/>
      <c r="EX615" s="521"/>
      <c r="EY615" s="518"/>
      <c r="EZ615" s="523"/>
      <c r="FA615" s="523"/>
      <c r="FB615" s="524"/>
      <c r="FC615" s="524"/>
      <c r="FD615" s="518"/>
      <c r="FE615" s="518"/>
      <c r="FF615" s="518"/>
      <c r="FG615" s="518"/>
      <c r="FH615" s="518"/>
      <c r="FI615" s="518"/>
      <c r="FJ615" s="518"/>
      <c r="FK615" s="518"/>
      <c r="FL615" s="518"/>
      <c r="FM615" s="519"/>
    </row>
    <row r="616" spans="1:169" x14ac:dyDescent="0.25">
      <c r="A616" s="284"/>
      <c r="B616" s="317"/>
      <c r="C616" s="297"/>
      <c r="D616" s="298"/>
      <c r="E616" s="299"/>
      <c r="F616" s="340"/>
      <c r="G616" s="298"/>
      <c r="H616" s="299"/>
      <c r="I616" s="300"/>
      <c r="J616" s="370"/>
      <c r="K616" s="328"/>
      <c r="L616" s="300"/>
      <c r="M616" s="328"/>
      <c r="N616" s="331"/>
      <c r="O616" s="301"/>
      <c r="P616" s="301"/>
      <c r="Q616" s="328"/>
      <c r="R616" s="620"/>
      <c r="S616" s="512"/>
      <c r="T616" s="512"/>
      <c r="U616" s="513"/>
      <c r="V616" s="514"/>
      <c r="W616" s="512"/>
      <c r="X616" s="513"/>
      <c r="Y616" s="514"/>
      <c r="Z616" s="513"/>
      <c r="AA616" s="515"/>
      <c r="AB616" s="516"/>
      <c r="AC616" s="513"/>
      <c r="AD616" s="544"/>
      <c r="AE616" s="516"/>
      <c r="AF616" s="513"/>
      <c r="AG616" s="551"/>
      <c r="AH616" s="595"/>
      <c r="AI616" s="517"/>
      <c r="AJ616" s="518"/>
      <c r="AK616" s="518"/>
      <c r="AL616" s="518"/>
      <c r="AM616" s="519"/>
      <c r="AN616" s="517"/>
      <c r="AO616" s="520"/>
      <c r="AP616" s="525"/>
      <c r="AQ616" s="531"/>
      <c r="AR616" s="593"/>
      <c r="AS616" s="518"/>
      <c r="AT616" s="518"/>
      <c r="AU616" s="518"/>
      <c r="AV616" s="519"/>
      <c r="AW616" s="560"/>
      <c r="AX616" s="522"/>
      <c r="AY616" s="522"/>
      <c r="AZ616" s="522"/>
      <c r="BA616" s="522"/>
      <c r="BB616" s="522"/>
      <c r="BC616" s="518"/>
      <c r="BD616" s="518"/>
      <c r="BE616" s="518"/>
      <c r="BF616" s="518"/>
      <c r="BG616" s="518"/>
      <c r="BH616" s="519"/>
      <c r="BI616" s="527"/>
      <c r="BJ616" s="518"/>
      <c r="BK616" s="518"/>
      <c r="BL616" s="520"/>
      <c r="BM616" s="520"/>
      <c r="BN616" s="519"/>
      <c r="BO616" s="517"/>
      <c r="BP616" s="520"/>
      <c r="BQ616" s="520"/>
      <c r="BR616" s="519"/>
      <c r="BS616" s="548"/>
      <c r="BT616" s="537"/>
      <c r="BU616" s="521"/>
      <c r="BV616" s="521"/>
      <c r="BW616" s="521"/>
      <c r="BX616" s="521"/>
      <c r="BY616" s="521"/>
      <c r="BZ616" s="521"/>
      <c r="CA616" s="521"/>
      <c r="CB616" s="521"/>
      <c r="CC616" s="521"/>
      <c r="CD616" s="521"/>
      <c r="CE616" s="521"/>
      <c r="CF616" s="521"/>
      <c r="CG616" s="521"/>
      <c r="CH616" s="521"/>
      <c r="CI616" s="521"/>
      <c r="CJ616" s="521"/>
      <c r="CK616" s="521"/>
      <c r="CL616" s="518"/>
      <c r="CM616" s="523"/>
      <c r="CN616" s="523"/>
      <c r="CO616" s="524"/>
      <c r="CP616" s="524"/>
      <c r="CQ616" s="518"/>
      <c r="CR616" s="518"/>
      <c r="CS616" s="518"/>
      <c r="CT616" s="518"/>
      <c r="CU616" s="518"/>
      <c r="CV616" s="518"/>
      <c r="CW616" s="518"/>
      <c r="CX616" s="518"/>
      <c r="CY616" s="518"/>
      <c r="CZ616" s="519"/>
      <c r="DA616" s="527"/>
      <c r="DB616" s="520"/>
      <c r="DC616" s="525"/>
      <c r="DD616" s="531"/>
      <c r="DE616" s="593"/>
      <c r="DF616" s="518"/>
      <c r="DG616" s="518"/>
      <c r="DH616" s="518"/>
      <c r="DI616" s="519"/>
      <c r="DJ616" s="560"/>
      <c r="DK616" s="522"/>
      <c r="DL616" s="522"/>
      <c r="DM616" s="522"/>
      <c r="DN616" s="522"/>
      <c r="DO616" s="522"/>
      <c r="DP616" s="518"/>
      <c r="DQ616" s="518"/>
      <c r="DR616" s="518"/>
      <c r="DS616" s="518"/>
      <c r="DT616" s="518"/>
      <c r="DU616" s="519"/>
      <c r="DV616" s="527"/>
      <c r="DW616" s="518"/>
      <c r="DX616" s="518"/>
      <c r="DY616" s="520"/>
      <c r="DZ616" s="520"/>
      <c r="EA616" s="519"/>
      <c r="EB616" s="527"/>
      <c r="EC616" s="520"/>
      <c r="ED616" s="520"/>
      <c r="EE616" s="519"/>
      <c r="EF616" s="550"/>
      <c r="EG616" s="537"/>
      <c r="EH616" s="521"/>
      <c r="EI616" s="521"/>
      <c r="EJ616" s="521"/>
      <c r="EK616" s="521"/>
      <c r="EL616" s="521"/>
      <c r="EM616" s="521"/>
      <c r="EN616" s="521"/>
      <c r="EO616" s="521"/>
      <c r="EP616" s="521"/>
      <c r="EQ616" s="521"/>
      <c r="ER616" s="521"/>
      <c r="ES616" s="521"/>
      <c r="ET616" s="521"/>
      <c r="EU616" s="521"/>
      <c r="EV616" s="521"/>
      <c r="EW616" s="521"/>
      <c r="EX616" s="521"/>
      <c r="EY616" s="518"/>
      <c r="EZ616" s="523"/>
      <c r="FA616" s="523"/>
      <c r="FB616" s="524"/>
      <c r="FC616" s="524"/>
      <c r="FD616" s="518"/>
      <c r="FE616" s="518"/>
      <c r="FF616" s="518"/>
      <c r="FG616" s="518"/>
      <c r="FH616" s="518"/>
      <c r="FI616" s="518"/>
      <c r="FJ616" s="518"/>
      <c r="FK616" s="518"/>
      <c r="FL616" s="518"/>
      <c r="FM616" s="519"/>
    </row>
    <row r="617" spans="1:169" x14ac:dyDescent="0.25">
      <c r="A617" s="284"/>
      <c r="B617" s="317"/>
      <c r="C617" s="297"/>
      <c r="D617" s="298"/>
      <c r="E617" s="299"/>
      <c r="F617" s="340"/>
      <c r="G617" s="298"/>
      <c r="H617" s="299"/>
      <c r="I617" s="300"/>
      <c r="J617" s="370"/>
      <c r="K617" s="328"/>
      <c r="L617" s="300"/>
      <c r="M617" s="328"/>
      <c r="N617" s="331"/>
      <c r="O617" s="301"/>
      <c r="P617" s="301"/>
      <c r="Q617" s="328"/>
      <c r="R617" s="620"/>
      <c r="S617" s="512"/>
      <c r="T617" s="512"/>
      <c r="U617" s="513"/>
      <c r="V617" s="514"/>
      <c r="W617" s="512"/>
      <c r="X617" s="513"/>
      <c r="Y617" s="514"/>
      <c r="Z617" s="513"/>
      <c r="AA617" s="515"/>
      <c r="AB617" s="516"/>
      <c r="AC617" s="513"/>
      <c r="AD617" s="544"/>
      <c r="AE617" s="516"/>
      <c r="AF617" s="513"/>
      <c r="AG617" s="551"/>
      <c r="AH617" s="595"/>
      <c r="AI617" s="517"/>
      <c r="AJ617" s="518"/>
      <c r="AK617" s="518"/>
      <c r="AL617" s="518"/>
      <c r="AM617" s="519"/>
      <c r="AN617" s="517"/>
      <c r="AO617" s="520"/>
      <c r="AP617" s="525"/>
      <c r="AQ617" s="531"/>
      <c r="AR617" s="593"/>
      <c r="AS617" s="518"/>
      <c r="AT617" s="518"/>
      <c r="AU617" s="518"/>
      <c r="AV617" s="519"/>
      <c r="AW617" s="560"/>
      <c r="AX617" s="522"/>
      <c r="AY617" s="522"/>
      <c r="AZ617" s="522"/>
      <c r="BA617" s="522"/>
      <c r="BB617" s="522"/>
      <c r="BC617" s="518"/>
      <c r="BD617" s="518"/>
      <c r="BE617" s="518"/>
      <c r="BF617" s="518"/>
      <c r="BG617" s="518"/>
      <c r="BH617" s="519"/>
      <c r="BI617" s="527"/>
      <c r="BJ617" s="518"/>
      <c r="BK617" s="518"/>
      <c r="BL617" s="520"/>
      <c r="BM617" s="520"/>
      <c r="BN617" s="519"/>
      <c r="BO617" s="517"/>
      <c r="BP617" s="520"/>
      <c r="BQ617" s="520"/>
      <c r="BR617" s="519"/>
      <c r="BS617" s="548"/>
      <c r="BT617" s="537"/>
      <c r="BU617" s="521"/>
      <c r="BV617" s="521"/>
      <c r="BW617" s="521"/>
      <c r="BX617" s="521"/>
      <c r="BY617" s="521"/>
      <c r="BZ617" s="521"/>
      <c r="CA617" s="521"/>
      <c r="CB617" s="521"/>
      <c r="CC617" s="521"/>
      <c r="CD617" s="521"/>
      <c r="CE617" s="521"/>
      <c r="CF617" s="521"/>
      <c r="CG617" s="521"/>
      <c r="CH617" s="521"/>
      <c r="CI617" s="521"/>
      <c r="CJ617" s="521"/>
      <c r="CK617" s="521"/>
      <c r="CL617" s="518"/>
      <c r="CM617" s="523"/>
      <c r="CN617" s="523"/>
      <c r="CO617" s="524"/>
      <c r="CP617" s="524"/>
      <c r="CQ617" s="518"/>
      <c r="CR617" s="518"/>
      <c r="CS617" s="518"/>
      <c r="CT617" s="518"/>
      <c r="CU617" s="518"/>
      <c r="CV617" s="518"/>
      <c r="CW617" s="518"/>
      <c r="CX617" s="518"/>
      <c r="CY617" s="518"/>
      <c r="CZ617" s="519"/>
      <c r="DA617" s="527"/>
      <c r="DB617" s="520"/>
      <c r="DC617" s="525"/>
      <c r="DD617" s="531"/>
      <c r="DE617" s="593"/>
      <c r="DF617" s="518"/>
      <c r="DG617" s="518"/>
      <c r="DH617" s="518"/>
      <c r="DI617" s="519"/>
      <c r="DJ617" s="560"/>
      <c r="DK617" s="522"/>
      <c r="DL617" s="522"/>
      <c r="DM617" s="522"/>
      <c r="DN617" s="522"/>
      <c r="DO617" s="522"/>
      <c r="DP617" s="518"/>
      <c r="DQ617" s="518"/>
      <c r="DR617" s="518"/>
      <c r="DS617" s="518"/>
      <c r="DT617" s="518"/>
      <c r="DU617" s="519"/>
      <c r="DV617" s="527"/>
      <c r="DW617" s="518"/>
      <c r="DX617" s="518"/>
      <c r="DY617" s="520"/>
      <c r="DZ617" s="520"/>
      <c r="EA617" s="519"/>
      <c r="EB617" s="527"/>
      <c r="EC617" s="520"/>
      <c r="ED617" s="520"/>
      <c r="EE617" s="519"/>
      <c r="EF617" s="550"/>
      <c r="EG617" s="537"/>
      <c r="EH617" s="521"/>
      <c r="EI617" s="521"/>
      <c r="EJ617" s="521"/>
      <c r="EK617" s="521"/>
      <c r="EL617" s="521"/>
      <c r="EM617" s="521"/>
      <c r="EN617" s="521"/>
      <c r="EO617" s="521"/>
      <c r="EP617" s="521"/>
      <c r="EQ617" s="521"/>
      <c r="ER617" s="521"/>
      <c r="ES617" s="521"/>
      <c r="ET617" s="521"/>
      <c r="EU617" s="521"/>
      <c r="EV617" s="521"/>
      <c r="EW617" s="521"/>
      <c r="EX617" s="521"/>
      <c r="EY617" s="518"/>
      <c r="EZ617" s="523"/>
      <c r="FA617" s="523"/>
      <c r="FB617" s="524"/>
      <c r="FC617" s="524"/>
      <c r="FD617" s="518"/>
      <c r="FE617" s="518"/>
      <c r="FF617" s="518"/>
      <c r="FG617" s="518"/>
      <c r="FH617" s="518"/>
      <c r="FI617" s="518"/>
      <c r="FJ617" s="518"/>
      <c r="FK617" s="518"/>
      <c r="FL617" s="518"/>
      <c r="FM617" s="519"/>
    </row>
    <row r="618" spans="1:169" x14ac:dyDescent="0.25">
      <c r="A618" s="284"/>
      <c r="B618" s="317"/>
      <c r="C618" s="297"/>
      <c r="D618" s="298"/>
      <c r="E618" s="299"/>
      <c r="F618" s="340"/>
      <c r="G618" s="298"/>
      <c r="H618" s="299"/>
      <c r="I618" s="300"/>
      <c r="J618" s="370"/>
      <c r="K618" s="328"/>
      <c r="L618" s="300"/>
      <c r="M618" s="328"/>
      <c r="N618" s="331"/>
      <c r="O618" s="301"/>
      <c r="P618" s="301"/>
      <c r="Q618" s="328"/>
      <c r="R618" s="620"/>
      <c r="S618" s="512"/>
      <c r="T618" s="512"/>
      <c r="U618" s="513"/>
      <c r="V618" s="514"/>
      <c r="W618" s="512"/>
      <c r="X618" s="513"/>
      <c r="Y618" s="514"/>
      <c r="Z618" s="513"/>
      <c r="AA618" s="515"/>
      <c r="AB618" s="516"/>
      <c r="AC618" s="513"/>
      <c r="AD618" s="544"/>
      <c r="AE618" s="516"/>
      <c r="AF618" s="513"/>
      <c r="AG618" s="551"/>
      <c r="AH618" s="595"/>
      <c r="AI618" s="517"/>
      <c r="AJ618" s="518"/>
      <c r="AK618" s="518"/>
      <c r="AL618" s="518"/>
      <c r="AM618" s="519"/>
      <c r="AN618" s="517"/>
      <c r="AO618" s="520"/>
      <c r="AP618" s="525"/>
      <c r="AQ618" s="531"/>
      <c r="AR618" s="593"/>
      <c r="AS618" s="518"/>
      <c r="AT618" s="518"/>
      <c r="AU618" s="518"/>
      <c r="AV618" s="519"/>
      <c r="AW618" s="560"/>
      <c r="AX618" s="522"/>
      <c r="AY618" s="522"/>
      <c r="AZ618" s="522"/>
      <c r="BA618" s="522"/>
      <c r="BB618" s="522"/>
      <c r="BC618" s="518"/>
      <c r="BD618" s="518"/>
      <c r="BE618" s="518"/>
      <c r="BF618" s="518"/>
      <c r="BG618" s="518"/>
      <c r="BH618" s="519"/>
      <c r="BI618" s="527"/>
      <c r="BJ618" s="518"/>
      <c r="BK618" s="518"/>
      <c r="BL618" s="520"/>
      <c r="BM618" s="520"/>
      <c r="BN618" s="519"/>
      <c r="BO618" s="517"/>
      <c r="BP618" s="520"/>
      <c r="BQ618" s="520"/>
      <c r="BR618" s="519"/>
      <c r="BS618" s="548"/>
      <c r="BT618" s="537"/>
      <c r="BU618" s="521"/>
      <c r="BV618" s="521"/>
      <c r="BW618" s="521"/>
      <c r="BX618" s="521"/>
      <c r="BY618" s="521"/>
      <c r="BZ618" s="521"/>
      <c r="CA618" s="521"/>
      <c r="CB618" s="521"/>
      <c r="CC618" s="521"/>
      <c r="CD618" s="521"/>
      <c r="CE618" s="521"/>
      <c r="CF618" s="521"/>
      <c r="CG618" s="521"/>
      <c r="CH618" s="521"/>
      <c r="CI618" s="521"/>
      <c r="CJ618" s="521"/>
      <c r="CK618" s="521"/>
      <c r="CL618" s="518"/>
      <c r="CM618" s="523"/>
      <c r="CN618" s="523"/>
      <c r="CO618" s="524"/>
      <c r="CP618" s="524"/>
      <c r="CQ618" s="518"/>
      <c r="CR618" s="518"/>
      <c r="CS618" s="518"/>
      <c r="CT618" s="518"/>
      <c r="CU618" s="518"/>
      <c r="CV618" s="518"/>
      <c r="CW618" s="518"/>
      <c r="CX618" s="518"/>
      <c r="CY618" s="518"/>
      <c r="CZ618" s="519"/>
      <c r="DA618" s="527"/>
      <c r="DB618" s="520"/>
      <c r="DC618" s="525"/>
      <c r="DD618" s="531"/>
      <c r="DE618" s="593"/>
      <c r="DF618" s="518"/>
      <c r="DG618" s="518"/>
      <c r="DH618" s="518"/>
      <c r="DI618" s="519"/>
      <c r="DJ618" s="560"/>
      <c r="DK618" s="522"/>
      <c r="DL618" s="522"/>
      <c r="DM618" s="522"/>
      <c r="DN618" s="522"/>
      <c r="DO618" s="522"/>
      <c r="DP618" s="518"/>
      <c r="DQ618" s="518"/>
      <c r="DR618" s="518"/>
      <c r="DS618" s="518"/>
      <c r="DT618" s="518"/>
      <c r="DU618" s="519"/>
      <c r="DV618" s="527"/>
      <c r="DW618" s="518"/>
      <c r="DX618" s="518"/>
      <c r="DY618" s="520"/>
      <c r="DZ618" s="520"/>
      <c r="EA618" s="519"/>
      <c r="EB618" s="527"/>
      <c r="EC618" s="520"/>
      <c r="ED618" s="520"/>
      <c r="EE618" s="519"/>
      <c r="EF618" s="550"/>
      <c r="EG618" s="537"/>
      <c r="EH618" s="521"/>
      <c r="EI618" s="521"/>
      <c r="EJ618" s="521"/>
      <c r="EK618" s="521"/>
      <c r="EL618" s="521"/>
      <c r="EM618" s="521"/>
      <c r="EN618" s="521"/>
      <c r="EO618" s="521"/>
      <c r="EP618" s="521"/>
      <c r="EQ618" s="521"/>
      <c r="ER618" s="521"/>
      <c r="ES618" s="521"/>
      <c r="ET618" s="521"/>
      <c r="EU618" s="521"/>
      <c r="EV618" s="521"/>
      <c r="EW618" s="521"/>
      <c r="EX618" s="521"/>
      <c r="EY618" s="518"/>
      <c r="EZ618" s="523"/>
      <c r="FA618" s="523"/>
      <c r="FB618" s="524"/>
      <c r="FC618" s="524"/>
      <c r="FD618" s="518"/>
      <c r="FE618" s="518"/>
      <c r="FF618" s="518"/>
      <c r="FG618" s="518"/>
      <c r="FH618" s="518"/>
      <c r="FI618" s="518"/>
      <c r="FJ618" s="518"/>
      <c r="FK618" s="518"/>
      <c r="FL618" s="518"/>
      <c r="FM618" s="519"/>
    </row>
    <row r="619" spans="1:169" x14ac:dyDescent="0.25">
      <c r="A619" s="284"/>
      <c r="B619" s="317"/>
      <c r="C619" s="297"/>
      <c r="D619" s="298"/>
      <c r="E619" s="299"/>
      <c r="F619" s="340"/>
      <c r="G619" s="298"/>
      <c r="H619" s="299"/>
      <c r="I619" s="300"/>
      <c r="J619" s="370"/>
      <c r="K619" s="328"/>
      <c r="L619" s="300"/>
      <c r="M619" s="328"/>
      <c r="N619" s="331"/>
      <c r="O619" s="301"/>
      <c r="P619" s="301"/>
      <c r="Q619" s="328"/>
      <c r="R619" s="620"/>
      <c r="S619" s="512"/>
      <c r="T619" s="512"/>
      <c r="U619" s="513"/>
      <c r="V619" s="514"/>
      <c r="W619" s="512"/>
      <c r="X619" s="513"/>
      <c r="Y619" s="514"/>
      <c r="Z619" s="513"/>
      <c r="AA619" s="515"/>
      <c r="AB619" s="516"/>
      <c r="AC619" s="513"/>
      <c r="AD619" s="544"/>
      <c r="AE619" s="516"/>
      <c r="AF619" s="513"/>
      <c r="AG619" s="551"/>
      <c r="AH619" s="595"/>
      <c r="AI619" s="517"/>
      <c r="AJ619" s="518"/>
      <c r="AK619" s="518"/>
      <c r="AL619" s="518"/>
      <c r="AM619" s="519"/>
      <c r="AN619" s="517"/>
      <c r="AO619" s="520"/>
      <c r="AP619" s="525"/>
      <c r="AQ619" s="531"/>
      <c r="AR619" s="593"/>
      <c r="AS619" s="518"/>
      <c r="AT619" s="518"/>
      <c r="AU619" s="518"/>
      <c r="AV619" s="519"/>
      <c r="AW619" s="560"/>
      <c r="AX619" s="522"/>
      <c r="AY619" s="522"/>
      <c r="AZ619" s="522"/>
      <c r="BA619" s="522"/>
      <c r="BB619" s="522"/>
      <c r="BC619" s="518"/>
      <c r="BD619" s="518"/>
      <c r="BE619" s="518"/>
      <c r="BF619" s="518"/>
      <c r="BG619" s="518"/>
      <c r="BH619" s="519"/>
      <c r="BI619" s="527"/>
      <c r="BJ619" s="518"/>
      <c r="BK619" s="518"/>
      <c r="BL619" s="520"/>
      <c r="BM619" s="520"/>
      <c r="BN619" s="519"/>
      <c r="BO619" s="517"/>
      <c r="BP619" s="520"/>
      <c r="BQ619" s="520"/>
      <c r="BR619" s="519"/>
      <c r="BS619" s="548"/>
      <c r="BT619" s="537"/>
      <c r="BU619" s="521"/>
      <c r="BV619" s="521"/>
      <c r="BW619" s="521"/>
      <c r="BX619" s="521"/>
      <c r="BY619" s="521"/>
      <c r="BZ619" s="521"/>
      <c r="CA619" s="521"/>
      <c r="CB619" s="521"/>
      <c r="CC619" s="521"/>
      <c r="CD619" s="521"/>
      <c r="CE619" s="521"/>
      <c r="CF619" s="521"/>
      <c r="CG619" s="521"/>
      <c r="CH619" s="521"/>
      <c r="CI619" s="521"/>
      <c r="CJ619" s="521"/>
      <c r="CK619" s="521"/>
      <c r="CL619" s="518"/>
      <c r="CM619" s="523"/>
      <c r="CN619" s="523"/>
      <c r="CO619" s="524"/>
      <c r="CP619" s="524"/>
      <c r="CQ619" s="518"/>
      <c r="CR619" s="518"/>
      <c r="CS619" s="518"/>
      <c r="CT619" s="518"/>
      <c r="CU619" s="518"/>
      <c r="CV619" s="518"/>
      <c r="CW619" s="518"/>
      <c r="CX619" s="518"/>
      <c r="CY619" s="518"/>
      <c r="CZ619" s="519"/>
      <c r="DA619" s="527"/>
      <c r="DB619" s="520"/>
      <c r="DC619" s="525"/>
      <c r="DD619" s="531"/>
      <c r="DE619" s="593"/>
      <c r="DF619" s="518"/>
      <c r="DG619" s="518"/>
      <c r="DH619" s="518"/>
      <c r="DI619" s="519"/>
      <c r="DJ619" s="560"/>
      <c r="DK619" s="522"/>
      <c r="DL619" s="522"/>
      <c r="DM619" s="522"/>
      <c r="DN619" s="522"/>
      <c r="DO619" s="522"/>
      <c r="DP619" s="518"/>
      <c r="DQ619" s="518"/>
      <c r="DR619" s="518"/>
      <c r="DS619" s="518"/>
      <c r="DT619" s="518"/>
      <c r="DU619" s="519"/>
      <c r="DV619" s="527"/>
      <c r="DW619" s="518"/>
      <c r="DX619" s="518"/>
      <c r="DY619" s="520"/>
      <c r="DZ619" s="520"/>
      <c r="EA619" s="519"/>
      <c r="EB619" s="527"/>
      <c r="EC619" s="520"/>
      <c r="ED619" s="520"/>
      <c r="EE619" s="519"/>
      <c r="EF619" s="550"/>
      <c r="EG619" s="537"/>
      <c r="EH619" s="521"/>
      <c r="EI619" s="521"/>
      <c r="EJ619" s="521"/>
      <c r="EK619" s="521"/>
      <c r="EL619" s="521"/>
      <c r="EM619" s="521"/>
      <c r="EN619" s="521"/>
      <c r="EO619" s="521"/>
      <c r="EP619" s="521"/>
      <c r="EQ619" s="521"/>
      <c r="ER619" s="521"/>
      <c r="ES619" s="521"/>
      <c r="ET619" s="521"/>
      <c r="EU619" s="521"/>
      <c r="EV619" s="521"/>
      <c r="EW619" s="521"/>
      <c r="EX619" s="521"/>
      <c r="EY619" s="518"/>
      <c r="EZ619" s="523"/>
      <c r="FA619" s="523"/>
      <c r="FB619" s="524"/>
      <c r="FC619" s="524"/>
      <c r="FD619" s="518"/>
      <c r="FE619" s="518"/>
      <c r="FF619" s="518"/>
      <c r="FG619" s="518"/>
      <c r="FH619" s="518"/>
      <c r="FI619" s="518"/>
      <c r="FJ619" s="518"/>
      <c r="FK619" s="518"/>
      <c r="FL619" s="518"/>
      <c r="FM619" s="519"/>
    </row>
    <row r="620" spans="1:169" x14ac:dyDescent="0.25">
      <c r="A620" s="284"/>
      <c r="B620" s="317"/>
      <c r="C620" s="297"/>
      <c r="D620" s="298"/>
      <c r="E620" s="299"/>
      <c r="F620" s="340"/>
      <c r="G620" s="298"/>
      <c r="H620" s="299"/>
      <c r="I620" s="300"/>
      <c r="J620" s="370"/>
      <c r="K620" s="328"/>
      <c r="L620" s="300"/>
      <c r="M620" s="328"/>
      <c r="N620" s="331"/>
      <c r="O620" s="301"/>
      <c r="P620" s="301"/>
      <c r="Q620" s="328"/>
      <c r="R620" s="620"/>
      <c r="S620" s="512"/>
      <c r="T620" s="512"/>
      <c r="U620" s="513"/>
      <c r="V620" s="514"/>
      <c r="W620" s="512"/>
      <c r="X620" s="513"/>
      <c r="Y620" s="514"/>
      <c r="Z620" s="513"/>
      <c r="AA620" s="515"/>
      <c r="AB620" s="516"/>
      <c r="AC620" s="513"/>
      <c r="AD620" s="544"/>
      <c r="AE620" s="516"/>
      <c r="AF620" s="513"/>
      <c r="AG620" s="551"/>
      <c r="AH620" s="595"/>
      <c r="AI620" s="517"/>
      <c r="AJ620" s="518"/>
      <c r="AK620" s="518"/>
      <c r="AL620" s="518"/>
      <c r="AM620" s="519"/>
      <c r="AN620" s="517"/>
      <c r="AO620" s="520"/>
      <c r="AP620" s="525"/>
      <c r="AQ620" s="531"/>
      <c r="AR620" s="593"/>
      <c r="AS620" s="518"/>
      <c r="AT620" s="518"/>
      <c r="AU620" s="518"/>
      <c r="AV620" s="519"/>
      <c r="AW620" s="560"/>
      <c r="AX620" s="522"/>
      <c r="AY620" s="522"/>
      <c r="AZ620" s="522"/>
      <c r="BA620" s="522"/>
      <c r="BB620" s="522"/>
      <c r="BC620" s="518"/>
      <c r="BD620" s="518"/>
      <c r="BE620" s="518"/>
      <c r="BF620" s="518"/>
      <c r="BG620" s="518"/>
      <c r="BH620" s="519"/>
      <c r="BI620" s="527"/>
      <c r="BJ620" s="518"/>
      <c r="BK620" s="518"/>
      <c r="BL620" s="520"/>
      <c r="BM620" s="520"/>
      <c r="BN620" s="519"/>
      <c r="BO620" s="517"/>
      <c r="BP620" s="520"/>
      <c r="BQ620" s="520"/>
      <c r="BR620" s="519"/>
      <c r="BS620" s="548"/>
      <c r="BT620" s="537"/>
      <c r="BU620" s="521"/>
      <c r="BV620" s="521"/>
      <c r="BW620" s="521"/>
      <c r="BX620" s="521"/>
      <c r="BY620" s="521"/>
      <c r="BZ620" s="521"/>
      <c r="CA620" s="521"/>
      <c r="CB620" s="521"/>
      <c r="CC620" s="521"/>
      <c r="CD620" s="521"/>
      <c r="CE620" s="521"/>
      <c r="CF620" s="521"/>
      <c r="CG620" s="521"/>
      <c r="CH620" s="521"/>
      <c r="CI620" s="521"/>
      <c r="CJ620" s="521"/>
      <c r="CK620" s="521"/>
      <c r="CL620" s="518"/>
      <c r="CM620" s="523"/>
      <c r="CN620" s="523"/>
      <c r="CO620" s="524"/>
      <c r="CP620" s="524"/>
      <c r="CQ620" s="518"/>
      <c r="CR620" s="518"/>
      <c r="CS620" s="518"/>
      <c r="CT620" s="518"/>
      <c r="CU620" s="518"/>
      <c r="CV620" s="518"/>
      <c r="CW620" s="518"/>
      <c r="CX620" s="518"/>
      <c r="CY620" s="518"/>
      <c r="CZ620" s="519"/>
      <c r="DA620" s="527"/>
      <c r="DB620" s="520"/>
      <c r="DC620" s="525"/>
      <c r="DD620" s="531"/>
      <c r="DE620" s="593"/>
      <c r="DF620" s="518"/>
      <c r="DG620" s="518"/>
      <c r="DH620" s="518"/>
      <c r="DI620" s="519"/>
      <c r="DJ620" s="560"/>
      <c r="DK620" s="522"/>
      <c r="DL620" s="522"/>
      <c r="DM620" s="522"/>
      <c r="DN620" s="522"/>
      <c r="DO620" s="522"/>
      <c r="DP620" s="518"/>
      <c r="DQ620" s="518"/>
      <c r="DR620" s="518"/>
      <c r="DS620" s="518"/>
      <c r="DT620" s="518"/>
      <c r="DU620" s="519"/>
      <c r="DV620" s="527"/>
      <c r="DW620" s="518"/>
      <c r="DX620" s="518"/>
      <c r="DY620" s="520"/>
      <c r="DZ620" s="520"/>
      <c r="EA620" s="519"/>
      <c r="EB620" s="527"/>
      <c r="EC620" s="520"/>
      <c r="ED620" s="520"/>
      <c r="EE620" s="519"/>
      <c r="EF620" s="550"/>
      <c r="EG620" s="537"/>
      <c r="EH620" s="521"/>
      <c r="EI620" s="521"/>
      <c r="EJ620" s="521"/>
      <c r="EK620" s="521"/>
      <c r="EL620" s="521"/>
      <c r="EM620" s="521"/>
      <c r="EN620" s="521"/>
      <c r="EO620" s="521"/>
      <c r="EP620" s="521"/>
      <c r="EQ620" s="521"/>
      <c r="ER620" s="521"/>
      <c r="ES620" s="521"/>
      <c r="ET620" s="521"/>
      <c r="EU620" s="521"/>
      <c r="EV620" s="521"/>
      <c r="EW620" s="521"/>
      <c r="EX620" s="521"/>
      <c r="EY620" s="518"/>
      <c r="EZ620" s="523"/>
      <c r="FA620" s="523"/>
      <c r="FB620" s="524"/>
      <c r="FC620" s="524"/>
      <c r="FD620" s="518"/>
      <c r="FE620" s="518"/>
      <c r="FF620" s="518"/>
      <c r="FG620" s="518"/>
      <c r="FH620" s="518"/>
      <c r="FI620" s="518"/>
      <c r="FJ620" s="518"/>
      <c r="FK620" s="518"/>
      <c r="FL620" s="518"/>
      <c r="FM620" s="519"/>
    </row>
    <row r="621" spans="1:169" x14ac:dyDescent="0.25">
      <c r="A621" s="284"/>
      <c r="B621" s="317"/>
      <c r="C621" s="297"/>
      <c r="D621" s="298"/>
      <c r="E621" s="299"/>
      <c r="F621" s="340"/>
      <c r="G621" s="298"/>
      <c r="H621" s="299"/>
      <c r="I621" s="300"/>
      <c r="J621" s="370"/>
      <c r="K621" s="328"/>
      <c r="L621" s="300"/>
      <c r="M621" s="328"/>
      <c r="N621" s="331"/>
      <c r="O621" s="301"/>
      <c r="P621" s="301"/>
      <c r="Q621" s="328"/>
      <c r="R621" s="620"/>
      <c r="S621" s="512"/>
      <c r="T621" s="512"/>
      <c r="U621" s="513"/>
      <c r="V621" s="514"/>
      <c r="W621" s="512"/>
      <c r="X621" s="513"/>
      <c r="Y621" s="514"/>
      <c r="Z621" s="513"/>
      <c r="AA621" s="515"/>
      <c r="AB621" s="516"/>
      <c r="AC621" s="513"/>
      <c r="AD621" s="544"/>
      <c r="AE621" s="516"/>
      <c r="AF621" s="513"/>
      <c r="AG621" s="551"/>
      <c r="AH621" s="595"/>
      <c r="AI621" s="517"/>
      <c r="AJ621" s="518"/>
      <c r="AK621" s="518"/>
      <c r="AL621" s="518"/>
      <c r="AM621" s="519"/>
      <c r="AN621" s="517"/>
      <c r="AO621" s="520"/>
      <c r="AP621" s="525"/>
      <c r="AQ621" s="531"/>
      <c r="AR621" s="593"/>
      <c r="AS621" s="518"/>
      <c r="AT621" s="518"/>
      <c r="AU621" s="518"/>
      <c r="AV621" s="519"/>
      <c r="AW621" s="560"/>
      <c r="AX621" s="522"/>
      <c r="AY621" s="522"/>
      <c r="AZ621" s="522"/>
      <c r="BA621" s="522"/>
      <c r="BB621" s="522"/>
      <c r="BC621" s="518"/>
      <c r="BD621" s="518"/>
      <c r="BE621" s="518"/>
      <c r="BF621" s="518"/>
      <c r="BG621" s="518"/>
      <c r="BH621" s="519"/>
      <c r="BI621" s="527"/>
      <c r="BJ621" s="518"/>
      <c r="BK621" s="518"/>
      <c r="BL621" s="520"/>
      <c r="BM621" s="520"/>
      <c r="BN621" s="519"/>
      <c r="BO621" s="517"/>
      <c r="BP621" s="520"/>
      <c r="BQ621" s="520"/>
      <c r="BR621" s="519"/>
      <c r="BS621" s="548"/>
      <c r="BT621" s="537"/>
      <c r="BU621" s="521"/>
      <c r="BV621" s="521"/>
      <c r="BW621" s="521"/>
      <c r="BX621" s="521"/>
      <c r="BY621" s="521"/>
      <c r="BZ621" s="521"/>
      <c r="CA621" s="521"/>
      <c r="CB621" s="521"/>
      <c r="CC621" s="521"/>
      <c r="CD621" s="521"/>
      <c r="CE621" s="521"/>
      <c r="CF621" s="521"/>
      <c r="CG621" s="521"/>
      <c r="CH621" s="521"/>
      <c r="CI621" s="521"/>
      <c r="CJ621" s="521"/>
      <c r="CK621" s="521"/>
      <c r="CL621" s="518"/>
      <c r="CM621" s="523"/>
      <c r="CN621" s="523"/>
      <c r="CO621" s="524"/>
      <c r="CP621" s="524"/>
      <c r="CQ621" s="518"/>
      <c r="CR621" s="518"/>
      <c r="CS621" s="518"/>
      <c r="CT621" s="518"/>
      <c r="CU621" s="518"/>
      <c r="CV621" s="518"/>
      <c r="CW621" s="518"/>
      <c r="CX621" s="518"/>
      <c r="CY621" s="518"/>
      <c r="CZ621" s="519"/>
      <c r="DA621" s="527"/>
      <c r="DB621" s="520"/>
      <c r="DC621" s="525"/>
      <c r="DD621" s="531"/>
      <c r="DE621" s="593"/>
      <c r="DF621" s="518"/>
      <c r="DG621" s="518"/>
      <c r="DH621" s="518"/>
      <c r="DI621" s="519"/>
      <c r="DJ621" s="560"/>
      <c r="DK621" s="522"/>
      <c r="DL621" s="522"/>
      <c r="DM621" s="522"/>
      <c r="DN621" s="522"/>
      <c r="DO621" s="522"/>
      <c r="DP621" s="518"/>
      <c r="DQ621" s="518"/>
      <c r="DR621" s="518"/>
      <c r="DS621" s="518"/>
      <c r="DT621" s="518"/>
      <c r="DU621" s="519"/>
      <c r="DV621" s="527"/>
      <c r="DW621" s="518"/>
      <c r="DX621" s="518"/>
      <c r="DY621" s="520"/>
      <c r="DZ621" s="520"/>
      <c r="EA621" s="519"/>
      <c r="EB621" s="527"/>
      <c r="EC621" s="520"/>
      <c r="ED621" s="520"/>
      <c r="EE621" s="519"/>
      <c r="EF621" s="550"/>
      <c r="EG621" s="537"/>
      <c r="EH621" s="521"/>
      <c r="EI621" s="521"/>
      <c r="EJ621" s="521"/>
      <c r="EK621" s="521"/>
      <c r="EL621" s="521"/>
      <c r="EM621" s="521"/>
      <c r="EN621" s="521"/>
      <c r="EO621" s="521"/>
      <c r="EP621" s="521"/>
      <c r="EQ621" s="521"/>
      <c r="ER621" s="521"/>
      <c r="ES621" s="521"/>
      <c r="ET621" s="521"/>
      <c r="EU621" s="521"/>
      <c r="EV621" s="521"/>
      <c r="EW621" s="521"/>
      <c r="EX621" s="521"/>
      <c r="EY621" s="518"/>
      <c r="EZ621" s="523"/>
      <c r="FA621" s="523"/>
      <c r="FB621" s="524"/>
      <c r="FC621" s="524"/>
      <c r="FD621" s="518"/>
      <c r="FE621" s="518"/>
      <c r="FF621" s="518"/>
      <c r="FG621" s="518"/>
      <c r="FH621" s="518"/>
      <c r="FI621" s="518"/>
      <c r="FJ621" s="518"/>
      <c r="FK621" s="518"/>
      <c r="FL621" s="518"/>
      <c r="FM621" s="519"/>
    </row>
    <row r="622" spans="1:169" x14ac:dyDescent="0.25">
      <c r="A622" s="284"/>
      <c r="B622" s="317"/>
      <c r="C622" s="297"/>
      <c r="D622" s="298"/>
      <c r="E622" s="299"/>
      <c r="F622" s="340"/>
      <c r="G622" s="298"/>
      <c r="H622" s="299"/>
      <c r="I622" s="300"/>
      <c r="J622" s="370"/>
      <c r="K622" s="328"/>
      <c r="L622" s="300"/>
      <c r="M622" s="328"/>
      <c r="N622" s="331"/>
      <c r="O622" s="301"/>
      <c r="P622" s="301"/>
      <c r="Q622" s="328"/>
      <c r="R622" s="620"/>
      <c r="S622" s="512"/>
      <c r="T622" s="512"/>
      <c r="U622" s="513"/>
      <c r="V622" s="514"/>
      <c r="W622" s="512"/>
      <c r="X622" s="513"/>
      <c r="Y622" s="514"/>
      <c r="Z622" s="513"/>
      <c r="AA622" s="515"/>
      <c r="AB622" s="516"/>
      <c r="AC622" s="513"/>
      <c r="AD622" s="544"/>
      <c r="AE622" s="516"/>
      <c r="AF622" s="513"/>
      <c r="AG622" s="551"/>
      <c r="AH622" s="595"/>
      <c r="AI622" s="517"/>
      <c r="AJ622" s="518"/>
      <c r="AK622" s="518"/>
      <c r="AL622" s="518"/>
      <c r="AM622" s="519"/>
      <c r="AN622" s="517"/>
      <c r="AO622" s="520"/>
      <c r="AP622" s="525"/>
      <c r="AQ622" s="531"/>
      <c r="AR622" s="593"/>
      <c r="AS622" s="518"/>
      <c r="AT622" s="518"/>
      <c r="AU622" s="518"/>
      <c r="AV622" s="519"/>
      <c r="AW622" s="560"/>
      <c r="AX622" s="522"/>
      <c r="AY622" s="522"/>
      <c r="AZ622" s="522"/>
      <c r="BA622" s="522"/>
      <c r="BB622" s="522"/>
      <c r="BC622" s="518"/>
      <c r="BD622" s="518"/>
      <c r="BE622" s="518"/>
      <c r="BF622" s="518"/>
      <c r="BG622" s="518"/>
      <c r="BH622" s="519"/>
      <c r="BI622" s="527"/>
      <c r="BJ622" s="518"/>
      <c r="BK622" s="518"/>
      <c r="BL622" s="520"/>
      <c r="BM622" s="520"/>
      <c r="BN622" s="519"/>
      <c r="BO622" s="517"/>
      <c r="BP622" s="520"/>
      <c r="BQ622" s="520"/>
      <c r="BR622" s="519"/>
      <c r="BS622" s="548"/>
      <c r="BT622" s="537"/>
      <c r="BU622" s="521"/>
      <c r="BV622" s="521"/>
      <c r="BW622" s="521"/>
      <c r="BX622" s="521"/>
      <c r="BY622" s="521"/>
      <c r="BZ622" s="521"/>
      <c r="CA622" s="521"/>
      <c r="CB622" s="521"/>
      <c r="CC622" s="521"/>
      <c r="CD622" s="521"/>
      <c r="CE622" s="521"/>
      <c r="CF622" s="521"/>
      <c r="CG622" s="521"/>
      <c r="CH622" s="521"/>
      <c r="CI622" s="521"/>
      <c r="CJ622" s="521"/>
      <c r="CK622" s="521"/>
      <c r="CL622" s="518"/>
      <c r="CM622" s="523"/>
      <c r="CN622" s="523"/>
      <c r="CO622" s="524"/>
      <c r="CP622" s="524"/>
      <c r="CQ622" s="518"/>
      <c r="CR622" s="518"/>
      <c r="CS622" s="518"/>
      <c r="CT622" s="518"/>
      <c r="CU622" s="518"/>
      <c r="CV622" s="518"/>
      <c r="CW622" s="518"/>
      <c r="CX622" s="518"/>
      <c r="CY622" s="518"/>
      <c r="CZ622" s="519"/>
      <c r="DA622" s="527"/>
      <c r="DB622" s="520"/>
      <c r="DC622" s="525"/>
      <c r="DD622" s="531"/>
      <c r="DE622" s="593"/>
      <c r="DF622" s="518"/>
      <c r="DG622" s="518"/>
      <c r="DH622" s="518"/>
      <c r="DI622" s="519"/>
      <c r="DJ622" s="560"/>
      <c r="DK622" s="522"/>
      <c r="DL622" s="522"/>
      <c r="DM622" s="522"/>
      <c r="DN622" s="522"/>
      <c r="DO622" s="522"/>
      <c r="DP622" s="518"/>
      <c r="DQ622" s="518"/>
      <c r="DR622" s="518"/>
      <c r="DS622" s="518"/>
      <c r="DT622" s="518"/>
      <c r="DU622" s="519"/>
      <c r="DV622" s="527"/>
      <c r="DW622" s="518"/>
      <c r="DX622" s="518"/>
      <c r="DY622" s="520"/>
      <c r="DZ622" s="520"/>
      <c r="EA622" s="519"/>
      <c r="EB622" s="527"/>
      <c r="EC622" s="520"/>
      <c r="ED622" s="520"/>
      <c r="EE622" s="519"/>
      <c r="EF622" s="550"/>
      <c r="EG622" s="537"/>
      <c r="EH622" s="521"/>
      <c r="EI622" s="521"/>
      <c r="EJ622" s="521"/>
      <c r="EK622" s="521"/>
      <c r="EL622" s="521"/>
      <c r="EM622" s="521"/>
      <c r="EN622" s="521"/>
      <c r="EO622" s="521"/>
      <c r="EP622" s="521"/>
      <c r="EQ622" s="521"/>
      <c r="ER622" s="521"/>
      <c r="ES622" s="521"/>
      <c r="ET622" s="521"/>
      <c r="EU622" s="521"/>
      <c r="EV622" s="521"/>
      <c r="EW622" s="521"/>
      <c r="EX622" s="521"/>
      <c r="EY622" s="518"/>
      <c r="EZ622" s="523"/>
      <c r="FA622" s="523"/>
      <c r="FB622" s="524"/>
      <c r="FC622" s="524"/>
      <c r="FD622" s="518"/>
      <c r="FE622" s="518"/>
      <c r="FF622" s="518"/>
      <c r="FG622" s="518"/>
      <c r="FH622" s="518"/>
      <c r="FI622" s="518"/>
      <c r="FJ622" s="518"/>
      <c r="FK622" s="518"/>
      <c r="FL622" s="518"/>
      <c r="FM622" s="519"/>
    </row>
    <row r="623" spans="1:169" x14ac:dyDescent="0.25">
      <c r="A623" s="284"/>
      <c r="B623" s="317"/>
      <c r="C623" s="297"/>
      <c r="D623" s="298"/>
      <c r="E623" s="299"/>
      <c r="F623" s="340"/>
      <c r="G623" s="298"/>
      <c r="H623" s="299"/>
      <c r="I623" s="300"/>
      <c r="J623" s="370"/>
      <c r="K623" s="328"/>
      <c r="L623" s="300"/>
      <c r="M623" s="328"/>
      <c r="N623" s="331"/>
      <c r="O623" s="301"/>
      <c r="P623" s="301"/>
      <c r="Q623" s="328"/>
      <c r="R623" s="620"/>
      <c r="S623" s="512"/>
      <c r="T623" s="512"/>
      <c r="U623" s="513"/>
      <c r="V623" s="514"/>
      <c r="W623" s="512"/>
      <c r="X623" s="513"/>
      <c r="Y623" s="514"/>
      <c r="Z623" s="513"/>
      <c r="AA623" s="515"/>
      <c r="AB623" s="516"/>
      <c r="AC623" s="513"/>
      <c r="AD623" s="544"/>
      <c r="AE623" s="516"/>
      <c r="AF623" s="513"/>
      <c r="AG623" s="551"/>
      <c r="AH623" s="595"/>
      <c r="AI623" s="517"/>
      <c r="AJ623" s="518"/>
      <c r="AK623" s="518"/>
      <c r="AL623" s="518"/>
      <c r="AM623" s="519"/>
      <c r="AN623" s="517"/>
      <c r="AO623" s="520"/>
      <c r="AP623" s="525"/>
      <c r="AQ623" s="531"/>
      <c r="AR623" s="593"/>
      <c r="AS623" s="518"/>
      <c r="AT623" s="518"/>
      <c r="AU623" s="518"/>
      <c r="AV623" s="519"/>
      <c r="AW623" s="560"/>
      <c r="AX623" s="522"/>
      <c r="AY623" s="522"/>
      <c r="AZ623" s="522"/>
      <c r="BA623" s="522"/>
      <c r="BB623" s="522"/>
      <c r="BC623" s="518"/>
      <c r="BD623" s="518"/>
      <c r="BE623" s="518"/>
      <c r="BF623" s="518"/>
      <c r="BG623" s="518"/>
      <c r="BH623" s="519"/>
      <c r="BI623" s="527"/>
      <c r="BJ623" s="518"/>
      <c r="BK623" s="518"/>
      <c r="BL623" s="520"/>
      <c r="BM623" s="520"/>
      <c r="BN623" s="519"/>
      <c r="BO623" s="517"/>
      <c r="BP623" s="520"/>
      <c r="BQ623" s="520"/>
      <c r="BR623" s="519"/>
      <c r="BS623" s="548"/>
      <c r="BT623" s="537"/>
      <c r="BU623" s="521"/>
      <c r="BV623" s="521"/>
      <c r="BW623" s="521"/>
      <c r="BX623" s="521"/>
      <c r="BY623" s="521"/>
      <c r="BZ623" s="521"/>
      <c r="CA623" s="521"/>
      <c r="CB623" s="521"/>
      <c r="CC623" s="521"/>
      <c r="CD623" s="521"/>
      <c r="CE623" s="521"/>
      <c r="CF623" s="521"/>
      <c r="CG623" s="521"/>
      <c r="CH623" s="521"/>
      <c r="CI623" s="521"/>
      <c r="CJ623" s="521"/>
      <c r="CK623" s="521"/>
      <c r="CL623" s="518"/>
      <c r="CM623" s="523"/>
      <c r="CN623" s="523"/>
      <c r="CO623" s="524"/>
      <c r="CP623" s="524"/>
      <c r="CQ623" s="518"/>
      <c r="CR623" s="518"/>
      <c r="CS623" s="518"/>
      <c r="CT623" s="518"/>
      <c r="CU623" s="518"/>
      <c r="CV623" s="518"/>
      <c r="CW623" s="518"/>
      <c r="CX623" s="518"/>
      <c r="CY623" s="518"/>
      <c r="CZ623" s="519"/>
      <c r="DA623" s="527"/>
      <c r="DB623" s="520"/>
      <c r="DC623" s="525"/>
      <c r="DD623" s="531"/>
      <c r="DE623" s="593"/>
      <c r="DF623" s="518"/>
      <c r="DG623" s="518"/>
      <c r="DH623" s="518"/>
      <c r="DI623" s="519"/>
      <c r="DJ623" s="560"/>
      <c r="DK623" s="522"/>
      <c r="DL623" s="522"/>
      <c r="DM623" s="522"/>
      <c r="DN623" s="522"/>
      <c r="DO623" s="522"/>
      <c r="DP623" s="518"/>
      <c r="DQ623" s="518"/>
      <c r="DR623" s="518"/>
      <c r="DS623" s="518"/>
      <c r="DT623" s="518"/>
      <c r="DU623" s="519"/>
      <c r="DV623" s="527"/>
      <c r="DW623" s="518"/>
      <c r="DX623" s="518"/>
      <c r="DY623" s="520"/>
      <c r="DZ623" s="520"/>
      <c r="EA623" s="519"/>
      <c r="EB623" s="527"/>
      <c r="EC623" s="520"/>
      <c r="ED623" s="520"/>
      <c r="EE623" s="519"/>
      <c r="EF623" s="550"/>
      <c r="EG623" s="537"/>
      <c r="EH623" s="521"/>
      <c r="EI623" s="521"/>
      <c r="EJ623" s="521"/>
      <c r="EK623" s="521"/>
      <c r="EL623" s="521"/>
      <c r="EM623" s="521"/>
      <c r="EN623" s="521"/>
      <c r="EO623" s="521"/>
      <c r="EP623" s="521"/>
      <c r="EQ623" s="521"/>
      <c r="ER623" s="521"/>
      <c r="ES623" s="521"/>
      <c r="ET623" s="521"/>
      <c r="EU623" s="521"/>
      <c r="EV623" s="521"/>
      <c r="EW623" s="521"/>
      <c r="EX623" s="521"/>
      <c r="EY623" s="518"/>
      <c r="EZ623" s="523"/>
      <c r="FA623" s="523"/>
      <c r="FB623" s="524"/>
      <c r="FC623" s="524"/>
      <c r="FD623" s="518"/>
      <c r="FE623" s="518"/>
      <c r="FF623" s="518"/>
      <c r="FG623" s="518"/>
      <c r="FH623" s="518"/>
      <c r="FI623" s="518"/>
      <c r="FJ623" s="518"/>
      <c r="FK623" s="518"/>
      <c r="FL623" s="518"/>
      <c r="FM623" s="519"/>
    </row>
    <row r="624" spans="1:169" x14ac:dyDescent="0.25">
      <c r="A624" s="284"/>
      <c r="B624" s="317"/>
      <c r="C624" s="297"/>
      <c r="D624" s="298"/>
      <c r="E624" s="299"/>
      <c r="F624" s="340"/>
      <c r="G624" s="298"/>
      <c r="H624" s="299"/>
      <c r="I624" s="300"/>
      <c r="J624" s="370"/>
      <c r="K624" s="328"/>
      <c r="L624" s="300"/>
      <c r="M624" s="328"/>
      <c r="N624" s="331"/>
      <c r="O624" s="301"/>
      <c r="P624" s="301"/>
      <c r="Q624" s="328"/>
      <c r="R624" s="620"/>
      <c r="S624" s="512"/>
      <c r="T624" s="512"/>
      <c r="U624" s="513"/>
      <c r="V624" s="514"/>
      <c r="W624" s="512"/>
      <c r="X624" s="513"/>
      <c r="Y624" s="514"/>
      <c r="Z624" s="513"/>
      <c r="AA624" s="515"/>
      <c r="AB624" s="516"/>
      <c r="AC624" s="513"/>
      <c r="AD624" s="544"/>
      <c r="AE624" s="516"/>
      <c r="AF624" s="513"/>
      <c r="AG624" s="551"/>
      <c r="AH624" s="595"/>
      <c r="AI624" s="517"/>
      <c r="AJ624" s="518"/>
      <c r="AK624" s="518"/>
      <c r="AL624" s="518"/>
      <c r="AM624" s="519"/>
      <c r="AN624" s="517"/>
      <c r="AO624" s="520"/>
      <c r="AP624" s="525"/>
      <c r="AQ624" s="531"/>
      <c r="AR624" s="593"/>
      <c r="AS624" s="518"/>
      <c r="AT624" s="518"/>
      <c r="AU624" s="518"/>
      <c r="AV624" s="519"/>
      <c r="AW624" s="560"/>
      <c r="AX624" s="522"/>
      <c r="AY624" s="522"/>
      <c r="AZ624" s="522"/>
      <c r="BA624" s="522"/>
      <c r="BB624" s="522"/>
      <c r="BC624" s="518"/>
      <c r="BD624" s="518"/>
      <c r="BE624" s="518"/>
      <c r="BF624" s="518"/>
      <c r="BG624" s="518"/>
      <c r="BH624" s="519"/>
      <c r="BI624" s="527"/>
      <c r="BJ624" s="518"/>
      <c r="BK624" s="518"/>
      <c r="BL624" s="520"/>
      <c r="BM624" s="520"/>
      <c r="BN624" s="519"/>
      <c r="BO624" s="517"/>
      <c r="BP624" s="520"/>
      <c r="BQ624" s="520"/>
      <c r="BR624" s="519"/>
      <c r="BS624" s="548"/>
      <c r="BT624" s="537"/>
      <c r="BU624" s="521"/>
      <c r="BV624" s="521"/>
      <c r="BW624" s="521"/>
      <c r="BX624" s="521"/>
      <c r="BY624" s="521"/>
      <c r="BZ624" s="521"/>
      <c r="CA624" s="521"/>
      <c r="CB624" s="521"/>
      <c r="CC624" s="521"/>
      <c r="CD624" s="521"/>
      <c r="CE624" s="521"/>
      <c r="CF624" s="521"/>
      <c r="CG624" s="521"/>
      <c r="CH624" s="521"/>
      <c r="CI624" s="521"/>
      <c r="CJ624" s="521"/>
      <c r="CK624" s="521"/>
      <c r="CL624" s="518"/>
      <c r="CM624" s="523"/>
      <c r="CN624" s="523"/>
      <c r="CO624" s="524"/>
      <c r="CP624" s="524"/>
      <c r="CQ624" s="518"/>
      <c r="CR624" s="518"/>
      <c r="CS624" s="518"/>
      <c r="CT624" s="518"/>
      <c r="CU624" s="518"/>
      <c r="CV624" s="518"/>
      <c r="CW624" s="518"/>
      <c r="CX624" s="518"/>
      <c r="CY624" s="518"/>
      <c r="CZ624" s="519"/>
      <c r="DA624" s="527"/>
      <c r="DB624" s="520"/>
      <c r="DC624" s="525"/>
      <c r="DD624" s="531"/>
      <c r="DE624" s="593"/>
      <c r="DF624" s="518"/>
      <c r="DG624" s="518"/>
      <c r="DH624" s="518"/>
      <c r="DI624" s="519"/>
      <c r="DJ624" s="560"/>
      <c r="DK624" s="522"/>
      <c r="DL624" s="522"/>
      <c r="DM624" s="522"/>
      <c r="DN624" s="522"/>
      <c r="DO624" s="522"/>
      <c r="DP624" s="518"/>
      <c r="DQ624" s="518"/>
      <c r="DR624" s="518"/>
      <c r="DS624" s="518"/>
      <c r="DT624" s="518"/>
      <c r="DU624" s="519"/>
      <c r="DV624" s="527"/>
      <c r="DW624" s="518"/>
      <c r="DX624" s="518"/>
      <c r="DY624" s="520"/>
      <c r="DZ624" s="520"/>
      <c r="EA624" s="519"/>
      <c r="EB624" s="527"/>
      <c r="EC624" s="520"/>
      <c r="ED624" s="520"/>
      <c r="EE624" s="519"/>
      <c r="EF624" s="550"/>
      <c r="EG624" s="537"/>
      <c r="EH624" s="521"/>
      <c r="EI624" s="521"/>
      <c r="EJ624" s="521"/>
      <c r="EK624" s="521"/>
      <c r="EL624" s="521"/>
      <c r="EM624" s="521"/>
      <c r="EN624" s="521"/>
      <c r="EO624" s="521"/>
      <c r="EP624" s="521"/>
      <c r="EQ624" s="521"/>
      <c r="ER624" s="521"/>
      <c r="ES624" s="521"/>
      <c r="ET624" s="521"/>
      <c r="EU624" s="521"/>
      <c r="EV624" s="521"/>
      <c r="EW624" s="521"/>
      <c r="EX624" s="521"/>
      <c r="EY624" s="518"/>
      <c r="EZ624" s="523"/>
      <c r="FA624" s="523"/>
      <c r="FB624" s="524"/>
      <c r="FC624" s="524"/>
      <c r="FD624" s="518"/>
      <c r="FE624" s="518"/>
      <c r="FF624" s="518"/>
      <c r="FG624" s="518"/>
      <c r="FH624" s="518"/>
      <c r="FI624" s="518"/>
      <c r="FJ624" s="518"/>
      <c r="FK624" s="518"/>
      <c r="FL624" s="518"/>
      <c r="FM624" s="519"/>
    </row>
    <row r="625" spans="1:169" x14ac:dyDescent="0.25">
      <c r="A625" s="284"/>
      <c r="B625" s="317"/>
      <c r="C625" s="297"/>
      <c r="D625" s="298"/>
      <c r="E625" s="299"/>
      <c r="F625" s="340"/>
      <c r="G625" s="298"/>
      <c r="H625" s="299"/>
      <c r="I625" s="300"/>
      <c r="J625" s="370"/>
      <c r="K625" s="328"/>
      <c r="L625" s="300"/>
      <c r="M625" s="328"/>
      <c r="N625" s="331"/>
      <c r="O625" s="301"/>
      <c r="P625" s="301"/>
      <c r="Q625" s="328"/>
      <c r="R625" s="620"/>
      <c r="S625" s="512"/>
      <c r="T625" s="512"/>
      <c r="U625" s="513"/>
      <c r="V625" s="514"/>
      <c r="W625" s="512"/>
      <c r="X625" s="513"/>
      <c r="Y625" s="514"/>
      <c r="Z625" s="513"/>
      <c r="AA625" s="515"/>
      <c r="AB625" s="516"/>
      <c r="AC625" s="513"/>
      <c r="AD625" s="544"/>
      <c r="AE625" s="516"/>
      <c r="AF625" s="513"/>
      <c r="AG625" s="551"/>
      <c r="AH625" s="595"/>
      <c r="AI625" s="517"/>
      <c r="AJ625" s="518"/>
      <c r="AK625" s="518"/>
      <c r="AL625" s="518"/>
      <c r="AM625" s="519"/>
      <c r="AN625" s="517"/>
      <c r="AO625" s="520"/>
      <c r="AP625" s="525"/>
      <c r="AQ625" s="531"/>
      <c r="AR625" s="593"/>
      <c r="AS625" s="518"/>
      <c r="AT625" s="518"/>
      <c r="AU625" s="518"/>
      <c r="AV625" s="519"/>
      <c r="AW625" s="560"/>
      <c r="AX625" s="522"/>
      <c r="AY625" s="522"/>
      <c r="AZ625" s="522"/>
      <c r="BA625" s="522"/>
      <c r="BB625" s="522"/>
      <c r="BC625" s="518"/>
      <c r="BD625" s="518"/>
      <c r="BE625" s="518"/>
      <c r="BF625" s="518"/>
      <c r="BG625" s="518"/>
      <c r="BH625" s="519"/>
      <c r="BI625" s="527"/>
      <c r="BJ625" s="518"/>
      <c r="BK625" s="518"/>
      <c r="BL625" s="520"/>
      <c r="BM625" s="520"/>
      <c r="BN625" s="519"/>
      <c r="BO625" s="517"/>
      <c r="BP625" s="520"/>
      <c r="BQ625" s="520"/>
      <c r="BR625" s="519"/>
      <c r="BS625" s="548"/>
      <c r="BT625" s="537"/>
      <c r="BU625" s="521"/>
      <c r="BV625" s="521"/>
      <c r="BW625" s="521"/>
      <c r="BX625" s="521"/>
      <c r="BY625" s="521"/>
      <c r="BZ625" s="521"/>
      <c r="CA625" s="521"/>
      <c r="CB625" s="521"/>
      <c r="CC625" s="521"/>
      <c r="CD625" s="521"/>
      <c r="CE625" s="521"/>
      <c r="CF625" s="521"/>
      <c r="CG625" s="521"/>
      <c r="CH625" s="521"/>
      <c r="CI625" s="521"/>
      <c r="CJ625" s="521"/>
      <c r="CK625" s="521"/>
      <c r="CL625" s="518"/>
      <c r="CM625" s="523"/>
      <c r="CN625" s="523"/>
      <c r="CO625" s="524"/>
      <c r="CP625" s="524"/>
      <c r="CQ625" s="518"/>
      <c r="CR625" s="518"/>
      <c r="CS625" s="518"/>
      <c r="CT625" s="518"/>
      <c r="CU625" s="518"/>
      <c r="CV625" s="518"/>
      <c r="CW625" s="518"/>
      <c r="CX625" s="518"/>
      <c r="CY625" s="518"/>
      <c r="CZ625" s="519"/>
      <c r="DA625" s="527"/>
      <c r="DB625" s="520"/>
      <c r="DC625" s="525"/>
      <c r="DD625" s="531"/>
      <c r="DE625" s="593"/>
      <c r="DF625" s="518"/>
      <c r="DG625" s="518"/>
      <c r="DH625" s="518"/>
      <c r="DI625" s="519"/>
      <c r="DJ625" s="560"/>
      <c r="DK625" s="522"/>
      <c r="DL625" s="522"/>
      <c r="DM625" s="522"/>
      <c r="DN625" s="522"/>
      <c r="DO625" s="522"/>
      <c r="DP625" s="518"/>
      <c r="DQ625" s="518"/>
      <c r="DR625" s="518"/>
      <c r="DS625" s="518"/>
      <c r="DT625" s="518"/>
      <c r="DU625" s="519"/>
      <c r="DV625" s="527"/>
      <c r="DW625" s="518"/>
      <c r="DX625" s="518"/>
      <c r="DY625" s="520"/>
      <c r="DZ625" s="520"/>
      <c r="EA625" s="519"/>
      <c r="EB625" s="527"/>
      <c r="EC625" s="520"/>
      <c r="ED625" s="520"/>
      <c r="EE625" s="519"/>
      <c r="EF625" s="550"/>
      <c r="EG625" s="537"/>
      <c r="EH625" s="521"/>
      <c r="EI625" s="521"/>
      <c r="EJ625" s="521"/>
      <c r="EK625" s="521"/>
      <c r="EL625" s="521"/>
      <c r="EM625" s="521"/>
      <c r="EN625" s="521"/>
      <c r="EO625" s="521"/>
      <c r="EP625" s="521"/>
      <c r="EQ625" s="521"/>
      <c r="ER625" s="521"/>
      <c r="ES625" s="521"/>
      <c r="ET625" s="521"/>
      <c r="EU625" s="521"/>
      <c r="EV625" s="521"/>
      <c r="EW625" s="521"/>
      <c r="EX625" s="521"/>
      <c r="EY625" s="518"/>
      <c r="EZ625" s="523"/>
      <c r="FA625" s="523"/>
      <c r="FB625" s="524"/>
      <c r="FC625" s="524"/>
      <c r="FD625" s="518"/>
      <c r="FE625" s="518"/>
      <c r="FF625" s="518"/>
      <c r="FG625" s="518"/>
      <c r="FH625" s="518"/>
      <c r="FI625" s="518"/>
      <c r="FJ625" s="518"/>
      <c r="FK625" s="518"/>
      <c r="FL625" s="518"/>
      <c r="FM625" s="519"/>
    </row>
    <row r="626" spans="1:169" x14ac:dyDescent="0.25">
      <c r="A626" s="284"/>
      <c r="B626" s="317"/>
      <c r="C626" s="297"/>
      <c r="D626" s="298"/>
      <c r="E626" s="299"/>
      <c r="F626" s="340"/>
      <c r="G626" s="298"/>
      <c r="H626" s="299"/>
      <c r="I626" s="300"/>
      <c r="J626" s="370"/>
      <c r="K626" s="328"/>
      <c r="L626" s="300"/>
      <c r="M626" s="328"/>
      <c r="N626" s="331"/>
      <c r="O626" s="301"/>
      <c r="P626" s="301"/>
      <c r="Q626" s="328"/>
      <c r="R626" s="620"/>
      <c r="S626" s="512"/>
      <c r="T626" s="512"/>
      <c r="U626" s="513"/>
      <c r="V626" s="514"/>
      <c r="W626" s="512"/>
      <c r="X626" s="513"/>
      <c r="Y626" s="514"/>
      <c r="Z626" s="513"/>
      <c r="AA626" s="515"/>
      <c r="AB626" s="516"/>
      <c r="AC626" s="513"/>
      <c r="AD626" s="544"/>
      <c r="AE626" s="516"/>
      <c r="AF626" s="513"/>
      <c r="AG626" s="551"/>
      <c r="AH626" s="595"/>
      <c r="AI626" s="517"/>
      <c r="AJ626" s="518"/>
      <c r="AK626" s="518"/>
      <c r="AL626" s="518"/>
      <c r="AM626" s="519"/>
      <c r="AN626" s="517"/>
      <c r="AO626" s="520"/>
      <c r="AP626" s="525"/>
      <c r="AQ626" s="531"/>
      <c r="AR626" s="593"/>
      <c r="AS626" s="518"/>
      <c r="AT626" s="518"/>
      <c r="AU626" s="518"/>
      <c r="AV626" s="519"/>
      <c r="AW626" s="560"/>
      <c r="AX626" s="522"/>
      <c r="AY626" s="522"/>
      <c r="AZ626" s="522"/>
      <c r="BA626" s="522"/>
      <c r="BB626" s="522"/>
      <c r="BC626" s="518"/>
      <c r="BD626" s="518"/>
      <c r="BE626" s="518"/>
      <c r="BF626" s="518"/>
      <c r="BG626" s="518"/>
      <c r="BH626" s="519"/>
      <c r="BI626" s="527"/>
      <c r="BJ626" s="518"/>
      <c r="BK626" s="518"/>
      <c r="BL626" s="520"/>
      <c r="BM626" s="520"/>
      <c r="BN626" s="519"/>
      <c r="BO626" s="517"/>
      <c r="BP626" s="520"/>
      <c r="BQ626" s="520"/>
      <c r="BR626" s="519"/>
      <c r="BS626" s="548"/>
      <c r="BT626" s="537"/>
      <c r="BU626" s="521"/>
      <c r="BV626" s="521"/>
      <c r="BW626" s="521"/>
      <c r="BX626" s="521"/>
      <c r="BY626" s="521"/>
      <c r="BZ626" s="521"/>
      <c r="CA626" s="521"/>
      <c r="CB626" s="521"/>
      <c r="CC626" s="521"/>
      <c r="CD626" s="521"/>
      <c r="CE626" s="521"/>
      <c r="CF626" s="521"/>
      <c r="CG626" s="521"/>
      <c r="CH626" s="521"/>
      <c r="CI626" s="521"/>
      <c r="CJ626" s="521"/>
      <c r="CK626" s="521"/>
      <c r="CL626" s="518"/>
      <c r="CM626" s="523"/>
      <c r="CN626" s="523"/>
      <c r="CO626" s="524"/>
      <c r="CP626" s="524"/>
      <c r="CQ626" s="518"/>
      <c r="CR626" s="518"/>
      <c r="CS626" s="518"/>
      <c r="CT626" s="518"/>
      <c r="CU626" s="518"/>
      <c r="CV626" s="518"/>
      <c r="CW626" s="518"/>
      <c r="CX626" s="518"/>
      <c r="CY626" s="518"/>
      <c r="CZ626" s="519"/>
      <c r="DA626" s="527"/>
      <c r="DB626" s="520"/>
      <c r="DC626" s="525"/>
      <c r="DD626" s="531"/>
      <c r="DE626" s="593"/>
      <c r="DF626" s="518"/>
      <c r="DG626" s="518"/>
      <c r="DH626" s="518"/>
      <c r="DI626" s="519"/>
      <c r="DJ626" s="560"/>
      <c r="DK626" s="522"/>
      <c r="DL626" s="522"/>
      <c r="DM626" s="522"/>
      <c r="DN626" s="522"/>
      <c r="DO626" s="522"/>
      <c r="DP626" s="518"/>
      <c r="DQ626" s="518"/>
      <c r="DR626" s="518"/>
      <c r="DS626" s="518"/>
      <c r="DT626" s="518"/>
      <c r="DU626" s="519"/>
      <c r="DV626" s="527"/>
      <c r="DW626" s="518"/>
      <c r="DX626" s="518"/>
      <c r="DY626" s="520"/>
      <c r="DZ626" s="520"/>
      <c r="EA626" s="519"/>
      <c r="EB626" s="527"/>
      <c r="EC626" s="520"/>
      <c r="ED626" s="520"/>
      <c r="EE626" s="519"/>
      <c r="EF626" s="550"/>
      <c r="EG626" s="537"/>
      <c r="EH626" s="521"/>
      <c r="EI626" s="521"/>
      <c r="EJ626" s="521"/>
      <c r="EK626" s="521"/>
      <c r="EL626" s="521"/>
      <c r="EM626" s="521"/>
      <c r="EN626" s="521"/>
      <c r="EO626" s="521"/>
      <c r="EP626" s="521"/>
      <c r="EQ626" s="521"/>
      <c r="ER626" s="521"/>
      <c r="ES626" s="521"/>
      <c r="ET626" s="521"/>
      <c r="EU626" s="521"/>
      <c r="EV626" s="521"/>
      <c r="EW626" s="521"/>
      <c r="EX626" s="521"/>
      <c r="EY626" s="518"/>
      <c r="EZ626" s="523"/>
      <c r="FA626" s="523"/>
      <c r="FB626" s="524"/>
      <c r="FC626" s="524"/>
      <c r="FD626" s="518"/>
      <c r="FE626" s="518"/>
      <c r="FF626" s="518"/>
      <c r="FG626" s="518"/>
      <c r="FH626" s="518"/>
      <c r="FI626" s="518"/>
      <c r="FJ626" s="518"/>
      <c r="FK626" s="518"/>
      <c r="FL626" s="518"/>
      <c r="FM626" s="519"/>
    </row>
    <row r="627" spans="1:169" x14ac:dyDescent="0.25">
      <c r="A627" s="284"/>
      <c r="B627" s="317"/>
      <c r="C627" s="297"/>
      <c r="D627" s="298"/>
      <c r="E627" s="299"/>
      <c r="F627" s="340"/>
      <c r="G627" s="298"/>
      <c r="H627" s="299"/>
      <c r="I627" s="300"/>
      <c r="J627" s="370"/>
      <c r="K627" s="328"/>
      <c r="L627" s="300"/>
      <c r="M627" s="328"/>
      <c r="N627" s="331"/>
      <c r="O627" s="301"/>
      <c r="P627" s="301"/>
      <c r="Q627" s="328"/>
      <c r="R627" s="620"/>
      <c r="S627" s="512"/>
      <c r="T627" s="512"/>
      <c r="U627" s="513"/>
      <c r="V627" s="514"/>
      <c r="W627" s="512"/>
      <c r="X627" s="513"/>
      <c r="Y627" s="514"/>
      <c r="Z627" s="513"/>
      <c r="AA627" s="515"/>
      <c r="AB627" s="516"/>
      <c r="AC627" s="513"/>
      <c r="AD627" s="544"/>
      <c r="AE627" s="516"/>
      <c r="AF627" s="513"/>
      <c r="AG627" s="551"/>
      <c r="AH627" s="595"/>
      <c r="AI627" s="517"/>
      <c r="AJ627" s="518"/>
      <c r="AK627" s="518"/>
      <c r="AL627" s="518"/>
      <c r="AM627" s="519"/>
      <c r="AN627" s="517"/>
      <c r="AO627" s="520"/>
      <c r="AP627" s="525"/>
      <c r="AQ627" s="531"/>
      <c r="AR627" s="593"/>
      <c r="AS627" s="518"/>
      <c r="AT627" s="518"/>
      <c r="AU627" s="518"/>
      <c r="AV627" s="519"/>
      <c r="AW627" s="560"/>
      <c r="AX627" s="522"/>
      <c r="AY627" s="522"/>
      <c r="AZ627" s="522"/>
      <c r="BA627" s="522"/>
      <c r="BB627" s="522"/>
      <c r="BC627" s="518"/>
      <c r="BD627" s="518"/>
      <c r="BE627" s="518"/>
      <c r="BF627" s="518"/>
      <c r="BG627" s="518"/>
      <c r="BH627" s="519"/>
      <c r="BI627" s="527"/>
      <c r="BJ627" s="518"/>
      <c r="BK627" s="518"/>
      <c r="BL627" s="520"/>
      <c r="BM627" s="520"/>
      <c r="BN627" s="519"/>
      <c r="BO627" s="517"/>
      <c r="BP627" s="520"/>
      <c r="BQ627" s="520"/>
      <c r="BR627" s="519"/>
      <c r="BS627" s="548"/>
      <c r="BT627" s="537"/>
      <c r="BU627" s="521"/>
      <c r="BV627" s="521"/>
      <c r="BW627" s="521"/>
      <c r="BX627" s="521"/>
      <c r="BY627" s="521"/>
      <c r="BZ627" s="521"/>
      <c r="CA627" s="521"/>
      <c r="CB627" s="521"/>
      <c r="CC627" s="521"/>
      <c r="CD627" s="521"/>
      <c r="CE627" s="521"/>
      <c r="CF627" s="521"/>
      <c r="CG627" s="521"/>
      <c r="CH627" s="521"/>
      <c r="CI627" s="521"/>
      <c r="CJ627" s="521"/>
      <c r="CK627" s="521"/>
      <c r="CL627" s="518"/>
      <c r="CM627" s="523"/>
      <c r="CN627" s="523"/>
      <c r="CO627" s="524"/>
      <c r="CP627" s="524"/>
      <c r="CQ627" s="518"/>
      <c r="CR627" s="518"/>
      <c r="CS627" s="518"/>
      <c r="CT627" s="518"/>
      <c r="CU627" s="518"/>
      <c r="CV627" s="518"/>
      <c r="CW627" s="518"/>
      <c r="CX627" s="518"/>
      <c r="CY627" s="518"/>
      <c r="CZ627" s="519"/>
      <c r="DA627" s="527"/>
      <c r="DB627" s="520"/>
      <c r="DC627" s="525"/>
      <c r="DD627" s="531"/>
      <c r="DE627" s="593"/>
      <c r="DF627" s="518"/>
      <c r="DG627" s="518"/>
      <c r="DH627" s="518"/>
      <c r="DI627" s="519"/>
      <c r="DJ627" s="560"/>
      <c r="DK627" s="522"/>
      <c r="DL627" s="522"/>
      <c r="DM627" s="522"/>
      <c r="DN627" s="522"/>
      <c r="DO627" s="522"/>
      <c r="DP627" s="518"/>
      <c r="DQ627" s="518"/>
      <c r="DR627" s="518"/>
      <c r="DS627" s="518"/>
      <c r="DT627" s="518"/>
      <c r="DU627" s="519"/>
      <c r="DV627" s="527"/>
      <c r="DW627" s="518"/>
      <c r="DX627" s="518"/>
      <c r="DY627" s="520"/>
      <c r="DZ627" s="520"/>
      <c r="EA627" s="519"/>
      <c r="EB627" s="527"/>
      <c r="EC627" s="520"/>
      <c r="ED627" s="520"/>
      <c r="EE627" s="519"/>
      <c r="EF627" s="550"/>
      <c r="EG627" s="537"/>
      <c r="EH627" s="521"/>
      <c r="EI627" s="521"/>
      <c r="EJ627" s="521"/>
      <c r="EK627" s="521"/>
      <c r="EL627" s="521"/>
      <c r="EM627" s="521"/>
      <c r="EN627" s="521"/>
      <c r="EO627" s="521"/>
      <c r="EP627" s="521"/>
      <c r="EQ627" s="521"/>
      <c r="ER627" s="521"/>
      <c r="ES627" s="521"/>
      <c r="ET627" s="521"/>
      <c r="EU627" s="521"/>
      <c r="EV627" s="521"/>
      <c r="EW627" s="521"/>
      <c r="EX627" s="521"/>
      <c r="EY627" s="518"/>
      <c r="EZ627" s="523"/>
      <c r="FA627" s="523"/>
      <c r="FB627" s="524"/>
      <c r="FC627" s="524"/>
      <c r="FD627" s="518"/>
      <c r="FE627" s="518"/>
      <c r="FF627" s="518"/>
      <c r="FG627" s="518"/>
      <c r="FH627" s="518"/>
      <c r="FI627" s="518"/>
      <c r="FJ627" s="518"/>
      <c r="FK627" s="518"/>
      <c r="FL627" s="518"/>
      <c r="FM627" s="519"/>
    </row>
    <row r="628" spans="1:169" x14ac:dyDescent="0.25">
      <c r="A628" s="284"/>
      <c r="B628" s="317"/>
      <c r="C628" s="297"/>
      <c r="D628" s="298"/>
      <c r="E628" s="299"/>
      <c r="F628" s="340"/>
      <c r="G628" s="298"/>
      <c r="H628" s="299"/>
      <c r="I628" s="300"/>
      <c r="J628" s="370"/>
      <c r="K628" s="328"/>
      <c r="L628" s="300"/>
      <c r="M628" s="328"/>
      <c r="N628" s="331"/>
      <c r="O628" s="301"/>
      <c r="P628" s="301"/>
      <c r="Q628" s="328"/>
      <c r="R628" s="620"/>
      <c r="S628" s="512"/>
      <c r="T628" s="512"/>
      <c r="U628" s="513"/>
      <c r="V628" s="514"/>
      <c r="W628" s="512"/>
      <c r="X628" s="513"/>
      <c r="Y628" s="514"/>
      <c r="Z628" s="513"/>
      <c r="AA628" s="515"/>
      <c r="AB628" s="516"/>
      <c r="AC628" s="513"/>
      <c r="AD628" s="544"/>
      <c r="AE628" s="516"/>
      <c r="AF628" s="513"/>
      <c r="AG628" s="551"/>
      <c r="AH628" s="595"/>
      <c r="AI628" s="517"/>
      <c r="AJ628" s="518"/>
      <c r="AK628" s="518"/>
      <c r="AL628" s="518"/>
      <c r="AM628" s="519"/>
      <c r="AN628" s="517"/>
      <c r="AO628" s="520"/>
      <c r="AP628" s="525"/>
      <c r="AQ628" s="531"/>
      <c r="AR628" s="593"/>
      <c r="AS628" s="518"/>
      <c r="AT628" s="518"/>
      <c r="AU628" s="518"/>
      <c r="AV628" s="519"/>
      <c r="AW628" s="560"/>
      <c r="AX628" s="522"/>
      <c r="AY628" s="522"/>
      <c r="AZ628" s="522"/>
      <c r="BA628" s="522"/>
      <c r="BB628" s="522"/>
      <c r="BC628" s="518"/>
      <c r="BD628" s="518"/>
      <c r="BE628" s="518"/>
      <c r="BF628" s="518"/>
      <c r="BG628" s="518"/>
      <c r="BH628" s="519"/>
      <c r="BI628" s="527"/>
      <c r="BJ628" s="518"/>
      <c r="BK628" s="518"/>
      <c r="BL628" s="520"/>
      <c r="BM628" s="520"/>
      <c r="BN628" s="519"/>
      <c r="BO628" s="517"/>
      <c r="BP628" s="520"/>
      <c r="BQ628" s="520"/>
      <c r="BR628" s="519"/>
      <c r="BS628" s="548"/>
      <c r="BT628" s="537"/>
      <c r="BU628" s="521"/>
      <c r="BV628" s="521"/>
      <c r="BW628" s="521"/>
      <c r="BX628" s="521"/>
      <c r="BY628" s="521"/>
      <c r="BZ628" s="521"/>
      <c r="CA628" s="521"/>
      <c r="CB628" s="521"/>
      <c r="CC628" s="521"/>
      <c r="CD628" s="521"/>
      <c r="CE628" s="521"/>
      <c r="CF628" s="521"/>
      <c r="CG628" s="521"/>
      <c r="CH628" s="521"/>
      <c r="CI628" s="521"/>
      <c r="CJ628" s="521"/>
      <c r="CK628" s="521"/>
      <c r="CL628" s="518"/>
      <c r="CM628" s="523"/>
      <c r="CN628" s="523"/>
      <c r="CO628" s="524"/>
      <c r="CP628" s="524"/>
      <c r="CQ628" s="518"/>
      <c r="CR628" s="518"/>
      <c r="CS628" s="518"/>
      <c r="CT628" s="518"/>
      <c r="CU628" s="518"/>
      <c r="CV628" s="518"/>
      <c r="CW628" s="518"/>
      <c r="CX628" s="518"/>
      <c r="CY628" s="518"/>
      <c r="CZ628" s="519"/>
      <c r="DA628" s="527"/>
      <c r="DB628" s="520"/>
      <c r="DC628" s="525"/>
      <c r="DD628" s="531"/>
      <c r="DE628" s="593"/>
      <c r="DF628" s="518"/>
      <c r="DG628" s="518"/>
      <c r="DH628" s="518"/>
      <c r="DI628" s="519"/>
      <c r="DJ628" s="560"/>
      <c r="DK628" s="522"/>
      <c r="DL628" s="522"/>
      <c r="DM628" s="522"/>
      <c r="DN628" s="522"/>
      <c r="DO628" s="522"/>
      <c r="DP628" s="518"/>
      <c r="DQ628" s="518"/>
      <c r="DR628" s="518"/>
      <c r="DS628" s="518"/>
      <c r="DT628" s="518"/>
      <c r="DU628" s="519"/>
      <c r="DV628" s="527"/>
      <c r="DW628" s="518"/>
      <c r="DX628" s="518"/>
      <c r="DY628" s="520"/>
      <c r="DZ628" s="520"/>
      <c r="EA628" s="519"/>
      <c r="EB628" s="527"/>
      <c r="EC628" s="520"/>
      <c r="ED628" s="520"/>
      <c r="EE628" s="519"/>
      <c r="EF628" s="550"/>
      <c r="EG628" s="537"/>
      <c r="EH628" s="521"/>
      <c r="EI628" s="521"/>
      <c r="EJ628" s="521"/>
      <c r="EK628" s="521"/>
      <c r="EL628" s="521"/>
      <c r="EM628" s="521"/>
      <c r="EN628" s="521"/>
      <c r="EO628" s="521"/>
      <c r="EP628" s="521"/>
      <c r="EQ628" s="521"/>
      <c r="ER628" s="521"/>
      <c r="ES628" s="521"/>
      <c r="ET628" s="521"/>
      <c r="EU628" s="521"/>
      <c r="EV628" s="521"/>
      <c r="EW628" s="521"/>
      <c r="EX628" s="521"/>
      <c r="EY628" s="518"/>
      <c r="EZ628" s="523"/>
      <c r="FA628" s="523"/>
      <c r="FB628" s="524"/>
      <c r="FC628" s="524"/>
      <c r="FD628" s="518"/>
      <c r="FE628" s="518"/>
      <c r="FF628" s="518"/>
      <c r="FG628" s="518"/>
      <c r="FH628" s="518"/>
      <c r="FI628" s="518"/>
      <c r="FJ628" s="518"/>
      <c r="FK628" s="518"/>
      <c r="FL628" s="518"/>
      <c r="FM628" s="519"/>
    </row>
    <row r="629" spans="1:169" x14ac:dyDescent="0.25">
      <c r="A629" s="284"/>
      <c r="B629" s="317"/>
      <c r="C629" s="297"/>
      <c r="D629" s="298"/>
      <c r="E629" s="299"/>
      <c r="F629" s="340"/>
      <c r="G629" s="298"/>
      <c r="H629" s="299"/>
      <c r="I629" s="300"/>
      <c r="J629" s="370"/>
      <c r="K629" s="328"/>
      <c r="L629" s="300"/>
      <c r="M629" s="328"/>
      <c r="N629" s="331"/>
      <c r="O629" s="301"/>
      <c r="P629" s="301"/>
      <c r="Q629" s="328"/>
      <c r="R629" s="620"/>
      <c r="S629" s="512"/>
      <c r="T629" s="512"/>
      <c r="U629" s="513"/>
      <c r="V629" s="514"/>
      <c r="W629" s="512"/>
      <c r="X629" s="513"/>
      <c r="Y629" s="514"/>
      <c r="Z629" s="513"/>
      <c r="AA629" s="515"/>
      <c r="AB629" s="516"/>
      <c r="AC629" s="513"/>
      <c r="AD629" s="544"/>
      <c r="AE629" s="516"/>
      <c r="AF629" s="513"/>
      <c r="AG629" s="551"/>
      <c r="AH629" s="595"/>
      <c r="AI629" s="517"/>
      <c r="AJ629" s="518"/>
      <c r="AK629" s="518"/>
      <c r="AL629" s="518"/>
      <c r="AM629" s="519"/>
      <c r="AN629" s="517"/>
      <c r="AO629" s="520"/>
      <c r="AP629" s="525"/>
      <c r="AQ629" s="531"/>
      <c r="AR629" s="593"/>
      <c r="AS629" s="518"/>
      <c r="AT629" s="518"/>
      <c r="AU629" s="518"/>
      <c r="AV629" s="519"/>
      <c r="AW629" s="560"/>
      <c r="AX629" s="522"/>
      <c r="AY629" s="522"/>
      <c r="AZ629" s="522"/>
      <c r="BA629" s="522"/>
      <c r="BB629" s="522"/>
      <c r="BC629" s="518"/>
      <c r="BD629" s="518"/>
      <c r="BE629" s="518"/>
      <c r="BF629" s="518"/>
      <c r="BG629" s="518"/>
      <c r="BH629" s="519"/>
      <c r="BI629" s="527"/>
      <c r="BJ629" s="518"/>
      <c r="BK629" s="518"/>
      <c r="BL629" s="520"/>
      <c r="BM629" s="520"/>
      <c r="BN629" s="519"/>
      <c r="BO629" s="517"/>
      <c r="BP629" s="520"/>
      <c r="BQ629" s="520"/>
      <c r="BR629" s="519"/>
      <c r="BS629" s="548"/>
      <c r="BT629" s="537"/>
      <c r="BU629" s="521"/>
      <c r="BV629" s="521"/>
      <c r="BW629" s="521"/>
      <c r="BX629" s="521"/>
      <c r="BY629" s="521"/>
      <c r="BZ629" s="521"/>
      <c r="CA629" s="521"/>
      <c r="CB629" s="521"/>
      <c r="CC629" s="521"/>
      <c r="CD629" s="521"/>
      <c r="CE629" s="521"/>
      <c r="CF629" s="521"/>
      <c r="CG629" s="521"/>
      <c r="CH629" s="521"/>
      <c r="CI629" s="521"/>
      <c r="CJ629" s="521"/>
      <c r="CK629" s="521"/>
      <c r="CL629" s="518"/>
      <c r="CM629" s="523"/>
      <c r="CN629" s="523"/>
      <c r="CO629" s="524"/>
      <c r="CP629" s="524"/>
      <c r="CQ629" s="518"/>
      <c r="CR629" s="518"/>
      <c r="CS629" s="518"/>
      <c r="CT629" s="518"/>
      <c r="CU629" s="518"/>
      <c r="CV629" s="518"/>
      <c r="CW629" s="518"/>
      <c r="CX629" s="518"/>
      <c r="CY629" s="518"/>
      <c r="CZ629" s="519"/>
      <c r="DA629" s="527"/>
      <c r="DB629" s="520"/>
      <c r="DC629" s="525"/>
      <c r="DD629" s="531"/>
      <c r="DE629" s="593"/>
      <c r="DF629" s="518"/>
      <c r="DG629" s="518"/>
      <c r="DH629" s="518"/>
      <c r="DI629" s="519"/>
      <c r="DJ629" s="560"/>
      <c r="DK629" s="522"/>
      <c r="DL629" s="522"/>
      <c r="DM629" s="522"/>
      <c r="DN629" s="522"/>
      <c r="DO629" s="522"/>
      <c r="DP629" s="518"/>
      <c r="DQ629" s="518"/>
      <c r="DR629" s="518"/>
      <c r="DS629" s="518"/>
      <c r="DT629" s="518"/>
      <c r="DU629" s="519"/>
      <c r="DV629" s="527"/>
      <c r="DW629" s="518"/>
      <c r="DX629" s="518"/>
      <c r="DY629" s="520"/>
      <c r="DZ629" s="520"/>
      <c r="EA629" s="519"/>
      <c r="EB629" s="527"/>
      <c r="EC629" s="520"/>
      <c r="ED629" s="520"/>
      <c r="EE629" s="519"/>
      <c r="EF629" s="550"/>
      <c r="EG629" s="537"/>
      <c r="EH629" s="521"/>
      <c r="EI629" s="521"/>
      <c r="EJ629" s="521"/>
      <c r="EK629" s="521"/>
      <c r="EL629" s="521"/>
      <c r="EM629" s="521"/>
      <c r="EN629" s="521"/>
      <c r="EO629" s="521"/>
      <c r="EP629" s="521"/>
      <c r="EQ629" s="521"/>
      <c r="ER629" s="521"/>
      <c r="ES629" s="521"/>
      <c r="ET629" s="521"/>
      <c r="EU629" s="521"/>
      <c r="EV629" s="521"/>
      <c r="EW629" s="521"/>
      <c r="EX629" s="521"/>
      <c r="EY629" s="518"/>
      <c r="EZ629" s="523"/>
      <c r="FA629" s="523"/>
      <c r="FB629" s="524"/>
      <c r="FC629" s="524"/>
      <c r="FD629" s="518"/>
      <c r="FE629" s="518"/>
      <c r="FF629" s="518"/>
      <c r="FG629" s="518"/>
      <c r="FH629" s="518"/>
      <c r="FI629" s="518"/>
      <c r="FJ629" s="518"/>
      <c r="FK629" s="518"/>
      <c r="FL629" s="518"/>
      <c r="FM629" s="519"/>
    </row>
    <row r="630" spans="1:169" x14ac:dyDescent="0.25">
      <c r="A630" s="284"/>
      <c r="B630" s="317"/>
      <c r="C630" s="297"/>
      <c r="D630" s="298"/>
      <c r="E630" s="299"/>
      <c r="F630" s="340"/>
      <c r="G630" s="298"/>
      <c r="H630" s="299"/>
      <c r="I630" s="300"/>
      <c r="J630" s="370"/>
      <c r="K630" s="328"/>
      <c r="L630" s="300"/>
      <c r="M630" s="328"/>
      <c r="N630" s="331"/>
      <c r="O630" s="301"/>
      <c r="P630" s="301"/>
      <c r="Q630" s="328"/>
      <c r="R630" s="620"/>
      <c r="S630" s="512"/>
      <c r="T630" s="512"/>
      <c r="U630" s="513"/>
      <c r="V630" s="514"/>
      <c r="W630" s="512"/>
      <c r="X630" s="513"/>
      <c r="Y630" s="514"/>
      <c r="Z630" s="513"/>
      <c r="AA630" s="515"/>
      <c r="AB630" s="516"/>
      <c r="AC630" s="513"/>
      <c r="AD630" s="544"/>
      <c r="AE630" s="516"/>
      <c r="AF630" s="513"/>
      <c r="AG630" s="551"/>
      <c r="AH630" s="595"/>
      <c r="AI630" s="517"/>
      <c r="AJ630" s="518"/>
      <c r="AK630" s="518"/>
      <c r="AL630" s="518"/>
      <c r="AM630" s="519"/>
      <c r="AN630" s="517"/>
      <c r="AO630" s="520"/>
      <c r="AP630" s="525"/>
      <c r="AQ630" s="531"/>
      <c r="AR630" s="593"/>
      <c r="AS630" s="518"/>
      <c r="AT630" s="518"/>
      <c r="AU630" s="518"/>
      <c r="AV630" s="519"/>
      <c r="AW630" s="560"/>
      <c r="AX630" s="522"/>
      <c r="AY630" s="522"/>
      <c r="AZ630" s="522"/>
      <c r="BA630" s="522"/>
      <c r="BB630" s="522"/>
      <c r="BC630" s="518"/>
      <c r="BD630" s="518"/>
      <c r="BE630" s="518"/>
      <c r="BF630" s="518"/>
      <c r="BG630" s="518"/>
      <c r="BH630" s="519"/>
      <c r="BI630" s="527"/>
      <c r="BJ630" s="518"/>
      <c r="BK630" s="518"/>
      <c r="BL630" s="520"/>
      <c r="BM630" s="520"/>
      <c r="BN630" s="519"/>
      <c r="BO630" s="517"/>
      <c r="BP630" s="520"/>
      <c r="BQ630" s="520"/>
      <c r="BR630" s="519"/>
      <c r="BS630" s="548"/>
      <c r="BT630" s="537"/>
      <c r="BU630" s="521"/>
      <c r="BV630" s="521"/>
      <c r="BW630" s="521"/>
      <c r="BX630" s="521"/>
      <c r="BY630" s="521"/>
      <c r="BZ630" s="521"/>
      <c r="CA630" s="521"/>
      <c r="CB630" s="521"/>
      <c r="CC630" s="521"/>
      <c r="CD630" s="521"/>
      <c r="CE630" s="521"/>
      <c r="CF630" s="521"/>
      <c r="CG630" s="521"/>
      <c r="CH630" s="521"/>
      <c r="CI630" s="521"/>
      <c r="CJ630" s="521"/>
      <c r="CK630" s="521"/>
      <c r="CL630" s="518"/>
      <c r="CM630" s="523"/>
      <c r="CN630" s="523"/>
      <c r="CO630" s="524"/>
      <c r="CP630" s="524"/>
      <c r="CQ630" s="518"/>
      <c r="CR630" s="518"/>
      <c r="CS630" s="518"/>
      <c r="CT630" s="518"/>
      <c r="CU630" s="518"/>
      <c r="CV630" s="518"/>
      <c r="CW630" s="518"/>
      <c r="CX630" s="518"/>
      <c r="CY630" s="518"/>
      <c r="CZ630" s="519"/>
      <c r="DA630" s="527"/>
      <c r="DB630" s="520"/>
      <c r="DC630" s="525"/>
      <c r="DD630" s="531"/>
      <c r="DE630" s="593"/>
      <c r="DF630" s="518"/>
      <c r="DG630" s="518"/>
      <c r="DH630" s="518"/>
      <c r="DI630" s="519"/>
      <c r="DJ630" s="560"/>
      <c r="DK630" s="522"/>
      <c r="DL630" s="522"/>
      <c r="DM630" s="522"/>
      <c r="DN630" s="522"/>
      <c r="DO630" s="522"/>
      <c r="DP630" s="518"/>
      <c r="DQ630" s="518"/>
      <c r="DR630" s="518"/>
      <c r="DS630" s="518"/>
      <c r="DT630" s="518"/>
      <c r="DU630" s="519"/>
      <c r="DV630" s="527"/>
      <c r="DW630" s="518"/>
      <c r="DX630" s="518"/>
      <c r="DY630" s="520"/>
      <c r="DZ630" s="520"/>
      <c r="EA630" s="519"/>
      <c r="EB630" s="527"/>
      <c r="EC630" s="520"/>
      <c r="ED630" s="520"/>
      <c r="EE630" s="519"/>
      <c r="EF630" s="550"/>
      <c r="EG630" s="537"/>
      <c r="EH630" s="521"/>
      <c r="EI630" s="521"/>
      <c r="EJ630" s="521"/>
      <c r="EK630" s="521"/>
      <c r="EL630" s="521"/>
      <c r="EM630" s="521"/>
      <c r="EN630" s="521"/>
      <c r="EO630" s="521"/>
      <c r="EP630" s="521"/>
      <c r="EQ630" s="521"/>
      <c r="ER630" s="521"/>
      <c r="ES630" s="521"/>
      <c r="ET630" s="521"/>
      <c r="EU630" s="521"/>
      <c r="EV630" s="521"/>
      <c r="EW630" s="521"/>
      <c r="EX630" s="521"/>
      <c r="EY630" s="518"/>
      <c r="EZ630" s="523"/>
      <c r="FA630" s="523"/>
      <c r="FB630" s="524"/>
      <c r="FC630" s="524"/>
      <c r="FD630" s="518"/>
      <c r="FE630" s="518"/>
      <c r="FF630" s="518"/>
      <c r="FG630" s="518"/>
      <c r="FH630" s="518"/>
      <c r="FI630" s="518"/>
      <c r="FJ630" s="518"/>
      <c r="FK630" s="518"/>
      <c r="FL630" s="518"/>
      <c r="FM630" s="519"/>
    </row>
    <row r="631" spans="1:169" x14ac:dyDescent="0.25">
      <c r="A631" s="284"/>
      <c r="B631" s="317"/>
      <c r="C631" s="297"/>
      <c r="D631" s="298"/>
      <c r="E631" s="299"/>
      <c r="F631" s="340"/>
      <c r="G631" s="298"/>
      <c r="H631" s="299"/>
      <c r="I631" s="300"/>
      <c r="J631" s="370"/>
      <c r="K631" s="328"/>
      <c r="L631" s="300"/>
      <c r="M631" s="328"/>
      <c r="N631" s="331"/>
      <c r="O631" s="301"/>
      <c r="P631" s="301"/>
      <c r="Q631" s="328"/>
      <c r="R631" s="620"/>
      <c r="S631" s="512"/>
      <c r="T631" s="512"/>
      <c r="U631" s="513"/>
      <c r="V631" s="514"/>
      <c r="W631" s="512"/>
      <c r="X631" s="513"/>
      <c r="Y631" s="514"/>
      <c r="Z631" s="513"/>
      <c r="AA631" s="515"/>
      <c r="AB631" s="516"/>
      <c r="AC631" s="513"/>
      <c r="AD631" s="544"/>
      <c r="AE631" s="516"/>
      <c r="AF631" s="513"/>
      <c r="AG631" s="551"/>
      <c r="AH631" s="595"/>
      <c r="AI631" s="517"/>
      <c r="AJ631" s="518"/>
      <c r="AK631" s="518"/>
      <c r="AL631" s="518"/>
      <c r="AM631" s="519"/>
      <c r="AN631" s="517"/>
      <c r="AO631" s="520"/>
      <c r="AP631" s="525"/>
      <c r="AQ631" s="531"/>
      <c r="AR631" s="593"/>
      <c r="AS631" s="518"/>
      <c r="AT631" s="518"/>
      <c r="AU631" s="518"/>
      <c r="AV631" s="519"/>
      <c r="AW631" s="560"/>
      <c r="AX631" s="522"/>
      <c r="AY631" s="522"/>
      <c r="AZ631" s="522"/>
      <c r="BA631" s="522"/>
      <c r="BB631" s="522"/>
      <c r="BC631" s="518"/>
      <c r="BD631" s="518"/>
      <c r="BE631" s="518"/>
      <c r="BF631" s="518"/>
      <c r="BG631" s="518"/>
      <c r="BH631" s="519"/>
      <c r="BI631" s="527"/>
      <c r="BJ631" s="518"/>
      <c r="BK631" s="518"/>
      <c r="BL631" s="520"/>
      <c r="BM631" s="520"/>
      <c r="BN631" s="519"/>
      <c r="BO631" s="517"/>
      <c r="BP631" s="520"/>
      <c r="BQ631" s="520"/>
      <c r="BR631" s="519"/>
      <c r="BS631" s="548"/>
      <c r="BT631" s="537"/>
      <c r="BU631" s="521"/>
      <c r="BV631" s="521"/>
      <c r="BW631" s="521"/>
      <c r="BX631" s="521"/>
      <c r="BY631" s="521"/>
      <c r="BZ631" s="521"/>
      <c r="CA631" s="521"/>
      <c r="CB631" s="521"/>
      <c r="CC631" s="521"/>
      <c r="CD631" s="521"/>
      <c r="CE631" s="521"/>
      <c r="CF631" s="521"/>
      <c r="CG631" s="521"/>
      <c r="CH631" s="521"/>
      <c r="CI631" s="521"/>
      <c r="CJ631" s="521"/>
      <c r="CK631" s="521"/>
      <c r="CL631" s="518"/>
      <c r="CM631" s="523"/>
      <c r="CN631" s="523"/>
      <c r="CO631" s="524"/>
      <c r="CP631" s="524"/>
      <c r="CQ631" s="518"/>
      <c r="CR631" s="518"/>
      <c r="CS631" s="518"/>
      <c r="CT631" s="518"/>
      <c r="CU631" s="518"/>
      <c r="CV631" s="518"/>
      <c r="CW631" s="518"/>
      <c r="CX631" s="518"/>
      <c r="CY631" s="518"/>
      <c r="CZ631" s="519"/>
      <c r="DA631" s="527"/>
      <c r="DB631" s="520"/>
      <c r="DC631" s="525"/>
      <c r="DD631" s="531"/>
      <c r="DE631" s="593"/>
      <c r="DF631" s="518"/>
      <c r="DG631" s="518"/>
      <c r="DH631" s="518"/>
      <c r="DI631" s="519"/>
      <c r="DJ631" s="560"/>
      <c r="DK631" s="522"/>
      <c r="DL631" s="522"/>
      <c r="DM631" s="522"/>
      <c r="DN631" s="522"/>
      <c r="DO631" s="522"/>
      <c r="DP631" s="518"/>
      <c r="DQ631" s="518"/>
      <c r="DR631" s="518"/>
      <c r="DS631" s="518"/>
      <c r="DT631" s="518"/>
      <c r="DU631" s="519"/>
      <c r="DV631" s="527"/>
      <c r="DW631" s="518"/>
      <c r="DX631" s="518"/>
      <c r="DY631" s="520"/>
      <c r="DZ631" s="520"/>
      <c r="EA631" s="519"/>
      <c r="EB631" s="527"/>
      <c r="EC631" s="520"/>
      <c r="ED631" s="520"/>
      <c r="EE631" s="519"/>
      <c r="EF631" s="550"/>
      <c r="EG631" s="537"/>
      <c r="EH631" s="521"/>
      <c r="EI631" s="521"/>
      <c r="EJ631" s="521"/>
      <c r="EK631" s="521"/>
      <c r="EL631" s="521"/>
      <c r="EM631" s="521"/>
      <c r="EN631" s="521"/>
      <c r="EO631" s="521"/>
      <c r="EP631" s="521"/>
      <c r="EQ631" s="521"/>
      <c r="ER631" s="521"/>
      <c r="ES631" s="521"/>
      <c r="ET631" s="521"/>
      <c r="EU631" s="521"/>
      <c r="EV631" s="521"/>
      <c r="EW631" s="521"/>
      <c r="EX631" s="521"/>
      <c r="EY631" s="518"/>
      <c r="EZ631" s="523"/>
      <c r="FA631" s="523"/>
      <c r="FB631" s="524"/>
      <c r="FC631" s="524"/>
      <c r="FD631" s="518"/>
      <c r="FE631" s="518"/>
      <c r="FF631" s="518"/>
      <c r="FG631" s="518"/>
      <c r="FH631" s="518"/>
      <c r="FI631" s="518"/>
      <c r="FJ631" s="518"/>
      <c r="FK631" s="518"/>
      <c r="FL631" s="518"/>
      <c r="FM631" s="519"/>
    </row>
    <row r="632" spans="1:169" x14ac:dyDescent="0.25">
      <c r="A632" s="284"/>
      <c r="B632" s="317"/>
      <c r="C632" s="297"/>
      <c r="D632" s="298"/>
      <c r="E632" s="299"/>
      <c r="F632" s="340"/>
      <c r="G632" s="298"/>
      <c r="H632" s="299"/>
      <c r="I632" s="300"/>
      <c r="J632" s="370"/>
      <c r="K632" s="328"/>
      <c r="L632" s="300"/>
      <c r="M632" s="328"/>
      <c r="N632" s="331"/>
      <c r="O632" s="301"/>
      <c r="P632" s="301"/>
      <c r="Q632" s="328"/>
      <c r="R632" s="620"/>
      <c r="S632" s="512"/>
      <c r="T632" s="512"/>
      <c r="U632" s="513"/>
      <c r="V632" s="514"/>
      <c r="W632" s="512"/>
      <c r="X632" s="513"/>
      <c r="Y632" s="514"/>
      <c r="Z632" s="513"/>
      <c r="AA632" s="515"/>
      <c r="AB632" s="516"/>
      <c r="AC632" s="513"/>
      <c r="AD632" s="544"/>
      <c r="AE632" s="516"/>
      <c r="AF632" s="513"/>
      <c r="AG632" s="551"/>
      <c r="AH632" s="595"/>
      <c r="AI632" s="517"/>
      <c r="AJ632" s="518"/>
      <c r="AK632" s="518"/>
      <c r="AL632" s="518"/>
      <c r="AM632" s="519"/>
      <c r="AN632" s="517"/>
      <c r="AO632" s="520"/>
      <c r="AP632" s="525"/>
      <c r="AQ632" s="531"/>
      <c r="AR632" s="593"/>
      <c r="AS632" s="518"/>
      <c r="AT632" s="518"/>
      <c r="AU632" s="518"/>
      <c r="AV632" s="519"/>
      <c r="AW632" s="560"/>
      <c r="AX632" s="522"/>
      <c r="AY632" s="522"/>
      <c r="AZ632" s="522"/>
      <c r="BA632" s="522"/>
      <c r="BB632" s="522"/>
      <c r="BC632" s="518"/>
      <c r="BD632" s="518"/>
      <c r="BE632" s="518"/>
      <c r="BF632" s="518"/>
      <c r="BG632" s="518"/>
      <c r="BH632" s="519"/>
      <c r="BI632" s="527"/>
      <c r="BJ632" s="518"/>
      <c r="BK632" s="518"/>
      <c r="BL632" s="520"/>
      <c r="BM632" s="520"/>
      <c r="BN632" s="519"/>
      <c r="BO632" s="517"/>
      <c r="BP632" s="520"/>
      <c r="BQ632" s="520"/>
      <c r="BR632" s="519"/>
      <c r="BS632" s="548"/>
      <c r="BT632" s="537"/>
      <c r="BU632" s="521"/>
      <c r="BV632" s="521"/>
      <c r="BW632" s="521"/>
      <c r="BX632" s="521"/>
      <c r="BY632" s="521"/>
      <c r="BZ632" s="521"/>
      <c r="CA632" s="521"/>
      <c r="CB632" s="521"/>
      <c r="CC632" s="521"/>
      <c r="CD632" s="521"/>
      <c r="CE632" s="521"/>
      <c r="CF632" s="521"/>
      <c r="CG632" s="521"/>
      <c r="CH632" s="521"/>
      <c r="CI632" s="521"/>
      <c r="CJ632" s="521"/>
      <c r="CK632" s="521"/>
      <c r="CL632" s="518"/>
      <c r="CM632" s="523"/>
      <c r="CN632" s="523"/>
      <c r="CO632" s="524"/>
      <c r="CP632" s="524"/>
      <c r="CQ632" s="518"/>
      <c r="CR632" s="518"/>
      <c r="CS632" s="518"/>
      <c r="CT632" s="518"/>
      <c r="CU632" s="518"/>
      <c r="CV632" s="518"/>
      <c r="CW632" s="518"/>
      <c r="CX632" s="518"/>
      <c r="CY632" s="518"/>
      <c r="CZ632" s="519"/>
      <c r="DA632" s="527"/>
      <c r="DB632" s="520"/>
      <c r="DC632" s="525"/>
      <c r="DD632" s="531"/>
      <c r="DE632" s="593"/>
      <c r="DF632" s="518"/>
      <c r="DG632" s="518"/>
      <c r="DH632" s="518"/>
      <c r="DI632" s="519"/>
      <c r="DJ632" s="560"/>
      <c r="DK632" s="522"/>
      <c r="DL632" s="522"/>
      <c r="DM632" s="522"/>
      <c r="DN632" s="522"/>
      <c r="DO632" s="522"/>
      <c r="DP632" s="518"/>
      <c r="DQ632" s="518"/>
      <c r="DR632" s="518"/>
      <c r="DS632" s="518"/>
      <c r="DT632" s="518"/>
      <c r="DU632" s="519"/>
      <c r="DV632" s="527"/>
      <c r="DW632" s="518"/>
      <c r="DX632" s="518"/>
      <c r="DY632" s="520"/>
      <c r="DZ632" s="520"/>
      <c r="EA632" s="519"/>
      <c r="EB632" s="527"/>
      <c r="EC632" s="520"/>
      <c r="ED632" s="520"/>
      <c r="EE632" s="519"/>
      <c r="EF632" s="550"/>
      <c r="EG632" s="537"/>
      <c r="EH632" s="521"/>
      <c r="EI632" s="521"/>
      <c r="EJ632" s="521"/>
      <c r="EK632" s="521"/>
      <c r="EL632" s="521"/>
      <c r="EM632" s="521"/>
      <c r="EN632" s="521"/>
      <c r="EO632" s="521"/>
      <c r="EP632" s="521"/>
      <c r="EQ632" s="521"/>
      <c r="ER632" s="521"/>
      <c r="ES632" s="521"/>
      <c r="ET632" s="521"/>
      <c r="EU632" s="521"/>
      <c r="EV632" s="521"/>
      <c r="EW632" s="521"/>
      <c r="EX632" s="521"/>
      <c r="EY632" s="518"/>
      <c r="EZ632" s="523"/>
      <c r="FA632" s="523"/>
      <c r="FB632" s="524"/>
      <c r="FC632" s="524"/>
      <c r="FD632" s="518"/>
      <c r="FE632" s="518"/>
      <c r="FF632" s="518"/>
      <c r="FG632" s="518"/>
      <c r="FH632" s="518"/>
      <c r="FI632" s="518"/>
      <c r="FJ632" s="518"/>
      <c r="FK632" s="518"/>
      <c r="FL632" s="518"/>
      <c r="FM632" s="519"/>
    </row>
    <row r="633" spans="1:169" x14ac:dyDescent="0.25">
      <c r="A633" s="284"/>
      <c r="B633" s="317"/>
      <c r="C633" s="297"/>
      <c r="D633" s="298"/>
      <c r="E633" s="299"/>
      <c r="F633" s="340"/>
      <c r="G633" s="298"/>
      <c r="H633" s="299"/>
      <c r="I633" s="300"/>
      <c r="J633" s="370"/>
      <c r="K633" s="328"/>
      <c r="L633" s="300"/>
      <c r="M633" s="328"/>
      <c r="N633" s="331"/>
      <c r="O633" s="301"/>
      <c r="P633" s="301"/>
      <c r="Q633" s="328"/>
      <c r="R633" s="620"/>
      <c r="S633" s="512"/>
      <c r="T633" s="512"/>
      <c r="U633" s="513"/>
      <c r="V633" s="514"/>
      <c r="W633" s="512"/>
      <c r="X633" s="513"/>
      <c r="Y633" s="514"/>
      <c r="Z633" s="513"/>
      <c r="AA633" s="515"/>
      <c r="AB633" s="516"/>
      <c r="AC633" s="513"/>
      <c r="AD633" s="544"/>
      <c r="AE633" s="516"/>
      <c r="AF633" s="513"/>
      <c r="AG633" s="551"/>
      <c r="AH633" s="595"/>
      <c r="AI633" s="517"/>
      <c r="AJ633" s="518"/>
      <c r="AK633" s="518"/>
      <c r="AL633" s="518"/>
      <c r="AM633" s="519"/>
      <c r="AN633" s="517"/>
      <c r="AO633" s="520"/>
      <c r="AP633" s="525"/>
      <c r="AQ633" s="531"/>
      <c r="AR633" s="593"/>
      <c r="AS633" s="518"/>
      <c r="AT633" s="518"/>
      <c r="AU633" s="518"/>
      <c r="AV633" s="519"/>
      <c r="AW633" s="560"/>
      <c r="AX633" s="522"/>
      <c r="AY633" s="522"/>
      <c r="AZ633" s="522"/>
      <c r="BA633" s="522"/>
      <c r="BB633" s="522"/>
      <c r="BC633" s="518"/>
      <c r="BD633" s="518"/>
      <c r="BE633" s="518"/>
      <c r="BF633" s="518"/>
      <c r="BG633" s="518"/>
      <c r="BH633" s="519"/>
      <c r="BI633" s="527"/>
      <c r="BJ633" s="518"/>
      <c r="BK633" s="518"/>
      <c r="BL633" s="520"/>
      <c r="BM633" s="520"/>
      <c r="BN633" s="519"/>
      <c r="BO633" s="517"/>
      <c r="BP633" s="520"/>
      <c r="BQ633" s="520"/>
      <c r="BR633" s="519"/>
      <c r="BS633" s="548"/>
      <c r="BT633" s="537"/>
      <c r="BU633" s="521"/>
      <c r="BV633" s="521"/>
      <c r="BW633" s="521"/>
      <c r="BX633" s="521"/>
      <c r="BY633" s="521"/>
      <c r="BZ633" s="521"/>
      <c r="CA633" s="521"/>
      <c r="CB633" s="521"/>
      <c r="CC633" s="521"/>
      <c r="CD633" s="521"/>
      <c r="CE633" s="521"/>
      <c r="CF633" s="521"/>
      <c r="CG633" s="521"/>
      <c r="CH633" s="521"/>
      <c r="CI633" s="521"/>
      <c r="CJ633" s="521"/>
      <c r="CK633" s="521"/>
      <c r="CL633" s="518"/>
      <c r="CM633" s="523"/>
      <c r="CN633" s="523"/>
      <c r="CO633" s="524"/>
      <c r="CP633" s="524"/>
      <c r="CQ633" s="518"/>
      <c r="CR633" s="518"/>
      <c r="CS633" s="518"/>
      <c r="CT633" s="518"/>
      <c r="CU633" s="518"/>
      <c r="CV633" s="518"/>
      <c r="CW633" s="518"/>
      <c r="CX633" s="518"/>
      <c r="CY633" s="518"/>
      <c r="CZ633" s="519"/>
      <c r="DA633" s="527"/>
      <c r="DB633" s="520"/>
      <c r="DC633" s="525"/>
      <c r="DD633" s="531"/>
      <c r="DE633" s="593"/>
      <c r="DF633" s="518"/>
      <c r="DG633" s="518"/>
      <c r="DH633" s="518"/>
      <c r="DI633" s="519"/>
      <c r="DJ633" s="560"/>
      <c r="DK633" s="522"/>
      <c r="DL633" s="522"/>
      <c r="DM633" s="522"/>
      <c r="DN633" s="522"/>
      <c r="DO633" s="522"/>
      <c r="DP633" s="518"/>
      <c r="DQ633" s="518"/>
      <c r="DR633" s="518"/>
      <c r="DS633" s="518"/>
      <c r="DT633" s="518"/>
      <c r="DU633" s="519"/>
      <c r="DV633" s="527"/>
      <c r="DW633" s="518"/>
      <c r="DX633" s="518"/>
      <c r="DY633" s="520"/>
      <c r="DZ633" s="520"/>
      <c r="EA633" s="519"/>
      <c r="EB633" s="527"/>
      <c r="EC633" s="520"/>
      <c r="ED633" s="520"/>
      <c r="EE633" s="519"/>
      <c r="EF633" s="550"/>
      <c r="EG633" s="537"/>
      <c r="EH633" s="521"/>
      <c r="EI633" s="521"/>
      <c r="EJ633" s="521"/>
      <c r="EK633" s="521"/>
      <c r="EL633" s="521"/>
      <c r="EM633" s="521"/>
      <c r="EN633" s="521"/>
      <c r="EO633" s="521"/>
      <c r="EP633" s="521"/>
      <c r="EQ633" s="521"/>
      <c r="ER633" s="521"/>
      <c r="ES633" s="521"/>
      <c r="ET633" s="521"/>
      <c r="EU633" s="521"/>
      <c r="EV633" s="521"/>
      <c r="EW633" s="521"/>
      <c r="EX633" s="521"/>
      <c r="EY633" s="518"/>
      <c r="EZ633" s="523"/>
      <c r="FA633" s="523"/>
      <c r="FB633" s="524"/>
      <c r="FC633" s="524"/>
      <c r="FD633" s="518"/>
      <c r="FE633" s="518"/>
      <c r="FF633" s="518"/>
      <c r="FG633" s="518"/>
      <c r="FH633" s="518"/>
      <c r="FI633" s="518"/>
      <c r="FJ633" s="518"/>
      <c r="FK633" s="518"/>
      <c r="FL633" s="518"/>
      <c r="FM633" s="519"/>
    </row>
    <row r="634" spans="1:169" x14ac:dyDescent="0.25">
      <c r="A634" s="284"/>
      <c r="B634" s="317"/>
      <c r="C634" s="297"/>
      <c r="D634" s="298"/>
      <c r="E634" s="299"/>
      <c r="F634" s="340"/>
      <c r="G634" s="298"/>
      <c r="H634" s="299"/>
      <c r="I634" s="300"/>
      <c r="J634" s="370"/>
      <c r="K634" s="328"/>
      <c r="L634" s="300"/>
      <c r="M634" s="328"/>
      <c r="N634" s="331"/>
      <c r="O634" s="301"/>
      <c r="P634" s="301"/>
      <c r="Q634" s="328"/>
      <c r="R634" s="620"/>
      <c r="S634" s="512"/>
      <c r="T634" s="512"/>
      <c r="U634" s="513"/>
      <c r="V634" s="514"/>
      <c r="W634" s="512"/>
      <c r="X634" s="513"/>
      <c r="Y634" s="514"/>
      <c r="Z634" s="513"/>
      <c r="AA634" s="515"/>
      <c r="AB634" s="516"/>
      <c r="AC634" s="513"/>
      <c r="AD634" s="544"/>
      <c r="AE634" s="516"/>
      <c r="AF634" s="513"/>
      <c r="AG634" s="551"/>
      <c r="AH634" s="595"/>
      <c r="AI634" s="517"/>
      <c r="AJ634" s="518"/>
      <c r="AK634" s="518"/>
      <c r="AL634" s="518"/>
      <c r="AM634" s="519"/>
      <c r="AN634" s="517"/>
      <c r="AO634" s="520"/>
      <c r="AP634" s="525"/>
      <c r="AQ634" s="531"/>
      <c r="AR634" s="593"/>
      <c r="AS634" s="518"/>
      <c r="AT634" s="518"/>
      <c r="AU634" s="518"/>
      <c r="AV634" s="519"/>
      <c r="AW634" s="560"/>
      <c r="AX634" s="522"/>
      <c r="AY634" s="522"/>
      <c r="AZ634" s="522"/>
      <c r="BA634" s="522"/>
      <c r="BB634" s="522"/>
      <c r="BC634" s="518"/>
      <c r="BD634" s="518"/>
      <c r="BE634" s="518"/>
      <c r="BF634" s="518"/>
      <c r="BG634" s="518"/>
      <c r="BH634" s="519"/>
      <c r="BI634" s="527"/>
      <c r="BJ634" s="518"/>
      <c r="BK634" s="518"/>
      <c r="BL634" s="520"/>
      <c r="BM634" s="520"/>
      <c r="BN634" s="519"/>
      <c r="BO634" s="517"/>
      <c r="BP634" s="520"/>
      <c r="BQ634" s="520"/>
      <c r="BR634" s="519"/>
      <c r="BS634" s="548"/>
      <c r="BT634" s="537"/>
      <c r="BU634" s="521"/>
      <c r="BV634" s="521"/>
      <c r="BW634" s="521"/>
      <c r="BX634" s="521"/>
      <c r="BY634" s="521"/>
      <c r="BZ634" s="521"/>
      <c r="CA634" s="521"/>
      <c r="CB634" s="521"/>
      <c r="CC634" s="521"/>
      <c r="CD634" s="521"/>
      <c r="CE634" s="521"/>
      <c r="CF634" s="521"/>
      <c r="CG634" s="521"/>
      <c r="CH634" s="521"/>
      <c r="CI634" s="521"/>
      <c r="CJ634" s="521"/>
      <c r="CK634" s="521"/>
      <c r="CL634" s="518"/>
      <c r="CM634" s="523"/>
      <c r="CN634" s="523"/>
      <c r="CO634" s="524"/>
      <c r="CP634" s="524"/>
      <c r="CQ634" s="518"/>
      <c r="CR634" s="518"/>
      <c r="CS634" s="518"/>
      <c r="CT634" s="518"/>
      <c r="CU634" s="518"/>
      <c r="CV634" s="518"/>
      <c r="CW634" s="518"/>
      <c r="CX634" s="518"/>
      <c r="CY634" s="518"/>
      <c r="CZ634" s="519"/>
      <c r="DA634" s="527"/>
      <c r="DB634" s="520"/>
      <c r="DC634" s="525"/>
      <c r="DD634" s="531"/>
      <c r="DE634" s="593"/>
      <c r="DF634" s="518"/>
      <c r="DG634" s="518"/>
      <c r="DH634" s="518"/>
      <c r="DI634" s="519"/>
      <c r="DJ634" s="560"/>
      <c r="DK634" s="522"/>
      <c r="DL634" s="522"/>
      <c r="DM634" s="522"/>
      <c r="DN634" s="522"/>
      <c r="DO634" s="522"/>
      <c r="DP634" s="518"/>
      <c r="DQ634" s="518"/>
      <c r="DR634" s="518"/>
      <c r="DS634" s="518"/>
      <c r="DT634" s="518"/>
      <c r="DU634" s="519"/>
      <c r="DV634" s="527"/>
      <c r="DW634" s="518"/>
      <c r="DX634" s="518"/>
      <c r="DY634" s="520"/>
      <c r="DZ634" s="520"/>
      <c r="EA634" s="519"/>
      <c r="EB634" s="527"/>
      <c r="EC634" s="520"/>
      <c r="ED634" s="520"/>
      <c r="EE634" s="519"/>
      <c r="EF634" s="550"/>
      <c r="EG634" s="537"/>
      <c r="EH634" s="521"/>
      <c r="EI634" s="521"/>
      <c r="EJ634" s="521"/>
      <c r="EK634" s="521"/>
      <c r="EL634" s="521"/>
      <c r="EM634" s="521"/>
      <c r="EN634" s="521"/>
      <c r="EO634" s="521"/>
      <c r="EP634" s="521"/>
      <c r="EQ634" s="521"/>
      <c r="ER634" s="521"/>
      <c r="ES634" s="521"/>
      <c r="ET634" s="521"/>
      <c r="EU634" s="521"/>
      <c r="EV634" s="521"/>
      <c r="EW634" s="521"/>
      <c r="EX634" s="521"/>
      <c r="EY634" s="518"/>
      <c r="EZ634" s="523"/>
      <c r="FA634" s="523"/>
      <c r="FB634" s="524"/>
      <c r="FC634" s="524"/>
      <c r="FD634" s="518"/>
      <c r="FE634" s="518"/>
      <c r="FF634" s="518"/>
      <c r="FG634" s="518"/>
      <c r="FH634" s="518"/>
      <c r="FI634" s="518"/>
      <c r="FJ634" s="518"/>
      <c r="FK634" s="518"/>
      <c r="FL634" s="518"/>
      <c r="FM634" s="519"/>
    </row>
    <row r="635" spans="1:169" x14ac:dyDescent="0.25">
      <c r="A635" s="284"/>
      <c r="B635" s="317"/>
      <c r="C635" s="297"/>
      <c r="D635" s="298"/>
      <c r="E635" s="299"/>
      <c r="F635" s="340"/>
      <c r="G635" s="298"/>
      <c r="H635" s="299"/>
      <c r="I635" s="300"/>
      <c r="J635" s="370"/>
      <c r="K635" s="328"/>
      <c r="L635" s="300"/>
      <c r="M635" s="328"/>
      <c r="N635" s="331"/>
      <c r="O635" s="301"/>
      <c r="P635" s="301"/>
      <c r="Q635" s="328"/>
      <c r="R635" s="620"/>
      <c r="S635" s="512"/>
      <c r="T635" s="512"/>
      <c r="U635" s="513"/>
      <c r="V635" s="514"/>
      <c r="W635" s="512"/>
      <c r="X635" s="513"/>
      <c r="Y635" s="514"/>
      <c r="Z635" s="513"/>
      <c r="AA635" s="515"/>
      <c r="AB635" s="516"/>
      <c r="AC635" s="513"/>
      <c r="AD635" s="544"/>
      <c r="AE635" s="516"/>
      <c r="AF635" s="513"/>
      <c r="AG635" s="551"/>
      <c r="AH635" s="595"/>
      <c r="AI635" s="517"/>
      <c r="AJ635" s="518"/>
      <c r="AK635" s="518"/>
      <c r="AL635" s="518"/>
      <c r="AM635" s="519"/>
      <c r="AN635" s="517"/>
      <c r="AO635" s="520"/>
      <c r="AP635" s="525"/>
      <c r="AQ635" s="531"/>
      <c r="AR635" s="593"/>
      <c r="AS635" s="518"/>
      <c r="AT635" s="518"/>
      <c r="AU635" s="518"/>
      <c r="AV635" s="519"/>
      <c r="AW635" s="560"/>
      <c r="AX635" s="522"/>
      <c r="AY635" s="522"/>
      <c r="AZ635" s="522"/>
      <c r="BA635" s="522"/>
      <c r="BB635" s="522"/>
      <c r="BC635" s="518"/>
      <c r="BD635" s="518"/>
      <c r="BE635" s="518"/>
      <c r="BF635" s="518"/>
      <c r="BG635" s="518"/>
      <c r="BH635" s="519"/>
      <c r="BI635" s="527"/>
      <c r="BJ635" s="518"/>
      <c r="BK635" s="518"/>
      <c r="BL635" s="520"/>
      <c r="BM635" s="520"/>
      <c r="BN635" s="519"/>
      <c r="BO635" s="517"/>
      <c r="BP635" s="520"/>
      <c r="BQ635" s="520"/>
      <c r="BR635" s="519"/>
      <c r="BS635" s="548"/>
      <c r="BT635" s="537"/>
      <c r="BU635" s="521"/>
      <c r="BV635" s="521"/>
      <c r="BW635" s="521"/>
      <c r="BX635" s="521"/>
      <c r="BY635" s="521"/>
      <c r="BZ635" s="521"/>
      <c r="CA635" s="521"/>
      <c r="CB635" s="521"/>
      <c r="CC635" s="521"/>
      <c r="CD635" s="521"/>
      <c r="CE635" s="521"/>
      <c r="CF635" s="521"/>
      <c r="CG635" s="521"/>
      <c r="CH635" s="521"/>
      <c r="CI635" s="521"/>
      <c r="CJ635" s="521"/>
      <c r="CK635" s="521"/>
      <c r="CL635" s="518"/>
      <c r="CM635" s="523"/>
      <c r="CN635" s="523"/>
      <c r="CO635" s="524"/>
      <c r="CP635" s="524"/>
      <c r="CQ635" s="518"/>
      <c r="CR635" s="518"/>
      <c r="CS635" s="518"/>
      <c r="CT635" s="518"/>
      <c r="CU635" s="518"/>
      <c r="CV635" s="518"/>
      <c r="CW635" s="518"/>
      <c r="CX635" s="518"/>
      <c r="CY635" s="518"/>
      <c r="CZ635" s="519"/>
      <c r="DA635" s="527"/>
      <c r="DB635" s="520"/>
      <c r="DC635" s="525"/>
      <c r="DD635" s="531"/>
      <c r="DE635" s="593"/>
      <c r="DF635" s="518"/>
      <c r="DG635" s="518"/>
      <c r="DH635" s="518"/>
      <c r="DI635" s="519"/>
      <c r="DJ635" s="560"/>
      <c r="DK635" s="522"/>
      <c r="DL635" s="522"/>
      <c r="DM635" s="522"/>
      <c r="DN635" s="522"/>
      <c r="DO635" s="522"/>
      <c r="DP635" s="518"/>
      <c r="DQ635" s="518"/>
      <c r="DR635" s="518"/>
      <c r="DS635" s="518"/>
      <c r="DT635" s="518"/>
      <c r="DU635" s="519"/>
      <c r="DV635" s="527"/>
      <c r="DW635" s="518"/>
      <c r="DX635" s="518"/>
      <c r="DY635" s="520"/>
      <c r="DZ635" s="520"/>
      <c r="EA635" s="519"/>
      <c r="EB635" s="527"/>
      <c r="EC635" s="520"/>
      <c r="ED635" s="520"/>
      <c r="EE635" s="519"/>
      <c r="EF635" s="550"/>
      <c r="EG635" s="537"/>
      <c r="EH635" s="521"/>
      <c r="EI635" s="521"/>
      <c r="EJ635" s="521"/>
      <c r="EK635" s="521"/>
      <c r="EL635" s="521"/>
      <c r="EM635" s="521"/>
      <c r="EN635" s="521"/>
      <c r="EO635" s="521"/>
      <c r="EP635" s="521"/>
      <c r="EQ635" s="521"/>
      <c r="ER635" s="521"/>
      <c r="ES635" s="521"/>
      <c r="ET635" s="521"/>
      <c r="EU635" s="521"/>
      <c r="EV635" s="521"/>
      <c r="EW635" s="521"/>
      <c r="EX635" s="521"/>
      <c r="EY635" s="518"/>
      <c r="EZ635" s="523"/>
      <c r="FA635" s="523"/>
      <c r="FB635" s="524"/>
      <c r="FC635" s="524"/>
      <c r="FD635" s="518"/>
      <c r="FE635" s="518"/>
      <c r="FF635" s="518"/>
      <c r="FG635" s="518"/>
      <c r="FH635" s="518"/>
      <c r="FI635" s="518"/>
      <c r="FJ635" s="518"/>
      <c r="FK635" s="518"/>
      <c r="FL635" s="518"/>
      <c r="FM635" s="519"/>
    </row>
    <row r="636" spans="1:169" x14ac:dyDescent="0.25">
      <c r="A636" s="284"/>
      <c r="B636" s="317"/>
      <c r="C636" s="297"/>
      <c r="D636" s="298"/>
      <c r="E636" s="299"/>
      <c r="F636" s="340"/>
      <c r="G636" s="298"/>
      <c r="H636" s="299"/>
      <c r="I636" s="300"/>
      <c r="J636" s="370"/>
      <c r="K636" s="328"/>
      <c r="L636" s="300"/>
      <c r="M636" s="328"/>
      <c r="N636" s="331"/>
      <c r="O636" s="301"/>
      <c r="P636" s="301"/>
      <c r="Q636" s="328"/>
      <c r="R636" s="620"/>
      <c r="S636" s="512"/>
      <c r="T636" s="512"/>
      <c r="U636" s="513"/>
      <c r="V636" s="514"/>
      <c r="W636" s="512"/>
      <c r="X636" s="513"/>
      <c r="Y636" s="514"/>
      <c r="Z636" s="513"/>
      <c r="AA636" s="515"/>
      <c r="AB636" s="516"/>
      <c r="AC636" s="513"/>
      <c r="AD636" s="544"/>
      <c r="AE636" s="516"/>
      <c r="AF636" s="513"/>
      <c r="AG636" s="551"/>
      <c r="AH636" s="595"/>
      <c r="AI636" s="517"/>
      <c r="AJ636" s="518"/>
      <c r="AK636" s="518"/>
      <c r="AL636" s="518"/>
      <c r="AM636" s="519"/>
      <c r="AN636" s="517"/>
      <c r="AO636" s="520"/>
      <c r="AP636" s="525"/>
      <c r="AQ636" s="531"/>
      <c r="AR636" s="593"/>
      <c r="AS636" s="518"/>
      <c r="AT636" s="518"/>
      <c r="AU636" s="518"/>
      <c r="AV636" s="519"/>
      <c r="AW636" s="560"/>
      <c r="AX636" s="522"/>
      <c r="AY636" s="522"/>
      <c r="AZ636" s="522"/>
      <c r="BA636" s="522"/>
      <c r="BB636" s="522"/>
      <c r="BC636" s="518"/>
      <c r="BD636" s="518"/>
      <c r="BE636" s="518"/>
      <c r="BF636" s="518"/>
      <c r="BG636" s="518"/>
      <c r="BH636" s="519"/>
      <c r="BI636" s="527"/>
      <c r="BJ636" s="518"/>
      <c r="BK636" s="518"/>
      <c r="BL636" s="520"/>
      <c r="BM636" s="520"/>
      <c r="BN636" s="519"/>
      <c r="BO636" s="517"/>
      <c r="BP636" s="520"/>
      <c r="BQ636" s="520"/>
      <c r="BR636" s="519"/>
      <c r="BS636" s="548"/>
      <c r="BT636" s="537"/>
      <c r="BU636" s="521"/>
      <c r="BV636" s="521"/>
      <c r="BW636" s="521"/>
      <c r="BX636" s="521"/>
      <c r="BY636" s="521"/>
      <c r="BZ636" s="521"/>
      <c r="CA636" s="521"/>
      <c r="CB636" s="521"/>
      <c r="CC636" s="521"/>
      <c r="CD636" s="521"/>
      <c r="CE636" s="521"/>
      <c r="CF636" s="521"/>
      <c r="CG636" s="521"/>
      <c r="CH636" s="521"/>
      <c r="CI636" s="521"/>
      <c r="CJ636" s="521"/>
      <c r="CK636" s="521"/>
      <c r="CL636" s="518"/>
      <c r="CM636" s="523"/>
      <c r="CN636" s="523"/>
      <c r="CO636" s="524"/>
      <c r="CP636" s="524"/>
      <c r="CQ636" s="518"/>
      <c r="CR636" s="518"/>
      <c r="CS636" s="518"/>
      <c r="CT636" s="518"/>
      <c r="CU636" s="518"/>
      <c r="CV636" s="518"/>
      <c r="CW636" s="518"/>
      <c r="CX636" s="518"/>
      <c r="CY636" s="518"/>
      <c r="CZ636" s="519"/>
      <c r="DA636" s="527"/>
      <c r="DB636" s="520"/>
      <c r="DC636" s="525"/>
      <c r="DD636" s="531"/>
      <c r="DE636" s="593"/>
      <c r="DF636" s="518"/>
      <c r="DG636" s="518"/>
      <c r="DH636" s="518"/>
      <c r="DI636" s="519"/>
      <c r="DJ636" s="560"/>
      <c r="DK636" s="522"/>
      <c r="DL636" s="522"/>
      <c r="DM636" s="522"/>
      <c r="DN636" s="522"/>
      <c r="DO636" s="522"/>
      <c r="DP636" s="518"/>
      <c r="DQ636" s="518"/>
      <c r="DR636" s="518"/>
      <c r="DS636" s="518"/>
      <c r="DT636" s="518"/>
      <c r="DU636" s="519"/>
      <c r="DV636" s="527"/>
      <c r="DW636" s="518"/>
      <c r="DX636" s="518"/>
      <c r="DY636" s="520"/>
      <c r="DZ636" s="520"/>
      <c r="EA636" s="519"/>
      <c r="EB636" s="527"/>
      <c r="EC636" s="520"/>
      <c r="ED636" s="520"/>
      <c r="EE636" s="519"/>
      <c r="EF636" s="550"/>
      <c r="EG636" s="537"/>
      <c r="EH636" s="521"/>
      <c r="EI636" s="521"/>
      <c r="EJ636" s="521"/>
      <c r="EK636" s="521"/>
      <c r="EL636" s="521"/>
      <c r="EM636" s="521"/>
      <c r="EN636" s="521"/>
      <c r="EO636" s="521"/>
      <c r="EP636" s="521"/>
      <c r="EQ636" s="521"/>
      <c r="ER636" s="521"/>
      <c r="ES636" s="521"/>
      <c r="ET636" s="521"/>
      <c r="EU636" s="521"/>
      <c r="EV636" s="521"/>
      <c r="EW636" s="521"/>
      <c r="EX636" s="521"/>
      <c r="EY636" s="518"/>
      <c r="EZ636" s="523"/>
      <c r="FA636" s="523"/>
      <c r="FB636" s="524"/>
      <c r="FC636" s="524"/>
      <c r="FD636" s="518"/>
      <c r="FE636" s="518"/>
      <c r="FF636" s="518"/>
      <c r="FG636" s="518"/>
      <c r="FH636" s="518"/>
      <c r="FI636" s="518"/>
      <c r="FJ636" s="518"/>
      <c r="FK636" s="518"/>
      <c r="FL636" s="518"/>
      <c r="FM636" s="519"/>
    </row>
    <row r="637" spans="1:169" x14ac:dyDescent="0.25">
      <c r="A637" s="284"/>
      <c r="B637" s="317"/>
      <c r="C637" s="297"/>
      <c r="D637" s="298"/>
      <c r="E637" s="299"/>
      <c r="F637" s="340"/>
      <c r="G637" s="298"/>
      <c r="H637" s="299"/>
      <c r="I637" s="300"/>
      <c r="J637" s="370"/>
      <c r="K637" s="328"/>
      <c r="L637" s="300"/>
      <c r="M637" s="328"/>
      <c r="N637" s="331"/>
      <c r="O637" s="301"/>
      <c r="P637" s="301"/>
      <c r="Q637" s="328"/>
      <c r="R637" s="620"/>
      <c r="S637" s="512"/>
      <c r="T637" s="512"/>
      <c r="U637" s="513"/>
      <c r="V637" s="514"/>
      <c r="W637" s="512"/>
      <c r="X637" s="513"/>
      <c r="Y637" s="514"/>
      <c r="Z637" s="513"/>
      <c r="AA637" s="515"/>
      <c r="AB637" s="516"/>
      <c r="AC637" s="513"/>
      <c r="AD637" s="544"/>
      <c r="AE637" s="516"/>
      <c r="AF637" s="513"/>
      <c r="AG637" s="551"/>
      <c r="AH637" s="595"/>
      <c r="AI637" s="517"/>
      <c r="AJ637" s="518"/>
      <c r="AK637" s="518"/>
      <c r="AL637" s="518"/>
      <c r="AM637" s="519"/>
      <c r="AN637" s="517"/>
      <c r="AO637" s="520"/>
      <c r="AP637" s="525"/>
      <c r="AQ637" s="531"/>
      <c r="AR637" s="593"/>
      <c r="AS637" s="518"/>
      <c r="AT637" s="518"/>
      <c r="AU637" s="518"/>
      <c r="AV637" s="519"/>
      <c r="AW637" s="560"/>
      <c r="AX637" s="522"/>
      <c r="AY637" s="522"/>
      <c r="AZ637" s="522"/>
      <c r="BA637" s="522"/>
      <c r="BB637" s="522"/>
      <c r="BC637" s="518"/>
      <c r="BD637" s="518"/>
      <c r="BE637" s="518"/>
      <c r="BF637" s="518"/>
      <c r="BG637" s="518"/>
      <c r="BH637" s="519"/>
      <c r="BI637" s="527"/>
      <c r="BJ637" s="518"/>
      <c r="BK637" s="518"/>
      <c r="BL637" s="520"/>
      <c r="BM637" s="520"/>
      <c r="BN637" s="519"/>
      <c r="BO637" s="517"/>
      <c r="BP637" s="520"/>
      <c r="BQ637" s="520"/>
      <c r="BR637" s="519"/>
      <c r="BS637" s="548"/>
      <c r="BT637" s="537"/>
      <c r="BU637" s="521"/>
      <c r="BV637" s="521"/>
      <c r="BW637" s="521"/>
      <c r="BX637" s="521"/>
      <c r="BY637" s="521"/>
      <c r="BZ637" s="521"/>
      <c r="CA637" s="521"/>
      <c r="CB637" s="521"/>
      <c r="CC637" s="521"/>
      <c r="CD637" s="521"/>
      <c r="CE637" s="521"/>
      <c r="CF637" s="521"/>
      <c r="CG637" s="521"/>
      <c r="CH637" s="521"/>
      <c r="CI637" s="521"/>
      <c r="CJ637" s="521"/>
      <c r="CK637" s="521"/>
      <c r="CL637" s="518"/>
      <c r="CM637" s="523"/>
      <c r="CN637" s="523"/>
      <c r="CO637" s="524"/>
      <c r="CP637" s="524"/>
      <c r="CQ637" s="518"/>
      <c r="CR637" s="518"/>
      <c r="CS637" s="518"/>
      <c r="CT637" s="518"/>
      <c r="CU637" s="518"/>
      <c r="CV637" s="518"/>
      <c r="CW637" s="518"/>
      <c r="CX637" s="518"/>
      <c r="CY637" s="518"/>
      <c r="CZ637" s="519"/>
      <c r="DA637" s="527"/>
      <c r="DB637" s="520"/>
      <c r="DC637" s="525"/>
      <c r="DD637" s="531"/>
      <c r="DE637" s="593"/>
      <c r="DF637" s="518"/>
      <c r="DG637" s="518"/>
      <c r="DH637" s="518"/>
      <c r="DI637" s="519"/>
      <c r="DJ637" s="560"/>
      <c r="DK637" s="522"/>
      <c r="DL637" s="522"/>
      <c r="DM637" s="522"/>
      <c r="DN637" s="522"/>
      <c r="DO637" s="522"/>
      <c r="DP637" s="518"/>
      <c r="DQ637" s="518"/>
      <c r="DR637" s="518"/>
      <c r="DS637" s="518"/>
      <c r="DT637" s="518"/>
      <c r="DU637" s="519"/>
      <c r="DV637" s="527"/>
      <c r="DW637" s="518"/>
      <c r="DX637" s="518"/>
      <c r="DY637" s="520"/>
      <c r="DZ637" s="520"/>
      <c r="EA637" s="519"/>
      <c r="EB637" s="527"/>
      <c r="EC637" s="520"/>
      <c r="ED637" s="520"/>
      <c r="EE637" s="519"/>
      <c r="EF637" s="550"/>
      <c r="EG637" s="537"/>
      <c r="EH637" s="521"/>
      <c r="EI637" s="521"/>
      <c r="EJ637" s="521"/>
      <c r="EK637" s="521"/>
      <c r="EL637" s="521"/>
      <c r="EM637" s="521"/>
      <c r="EN637" s="521"/>
      <c r="EO637" s="521"/>
      <c r="EP637" s="521"/>
      <c r="EQ637" s="521"/>
      <c r="ER637" s="521"/>
      <c r="ES637" s="521"/>
      <c r="ET637" s="521"/>
      <c r="EU637" s="521"/>
      <c r="EV637" s="521"/>
      <c r="EW637" s="521"/>
      <c r="EX637" s="521"/>
      <c r="EY637" s="518"/>
      <c r="EZ637" s="523"/>
      <c r="FA637" s="523"/>
      <c r="FB637" s="524"/>
      <c r="FC637" s="524"/>
      <c r="FD637" s="518"/>
      <c r="FE637" s="518"/>
      <c r="FF637" s="518"/>
      <c r="FG637" s="518"/>
      <c r="FH637" s="518"/>
      <c r="FI637" s="518"/>
      <c r="FJ637" s="518"/>
      <c r="FK637" s="518"/>
      <c r="FL637" s="518"/>
      <c r="FM637" s="519"/>
    </row>
    <row r="638" spans="1:169" x14ac:dyDescent="0.25">
      <c r="A638" s="284"/>
      <c r="B638" s="317"/>
      <c r="C638" s="297"/>
      <c r="D638" s="298"/>
      <c r="E638" s="299"/>
      <c r="F638" s="340"/>
      <c r="G638" s="298"/>
      <c r="H638" s="299"/>
      <c r="I638" s="300"/>
      <c r="J638" s="370"/>
      <c r="K638" s="328"/>
      <c r="L638" s="300"/>
      <c r="M638" s="328"/>
      <c r="N638" s="331"/>
      <c r="O638" s="301"/>
      <c r="P638" s="301"/>
      <c r="Q638" s="328"/>
      <c r="R638" s="620"/>
      <c r="S638" s="512"/>
      <c r="T638" s="512"/>
      <c r="U638" s="513"/>
      <c r="V638" s="514"/>
      <c r="W638" s="512"/>
      <c r="X638" s="513"/>
      <c r="Y638" s="514"/>
      <c r="Z638" s="513"/>
      <c r="AA638" s="515"/>
      <c r="AB638" s="516"/>
      <c r="AC638" s="513"/>
      <c r="AD638" s="544"/>
      <c r="AE638" s="516"/>
      <c r="AF638" s="513"/>
      <c r="AG638" s="551"/>
      <c r="AH638" s="595"/>
      <c r="AI638" s="517"/>
      <c r="AJ638" s="518"/>
      <c r="AK638" s="518"/>
      <c r="AL638" s="518"/>
      <c r="AM638" s="519"/>
      <c r="AN638" s="517"/>
      <c r="AO638" s="520"/>
      <c r="AP638" s="525"/>
      <c r="AQ638" s="531"/>
      <c r="AR638" s="593"/>
      <c r="AS638" s="518"/>
      <c r="AT638" s="518"/>
      <c r="AU638" s="518"/>
      <c r="AV638" s="519"/>
      <c r="AW638" s="560"/>
      <c r="AX638" s="522"/>
      <c r="AY638" s="522"/>
      <c r="AZ638" s="522"/>
      <c r="BA638" s="522"/>
      <c r="BB638" s="522"/>
      <c r="BC638" s="518"/>
      <c r="BD638" s="518"/>
      <c r="BE638" s="518"/>
      <c r="BF638" s="518"/>
      <c r="BG638" s="518"/>
      <c r="BH638" s="519"/>
      <c r="BI638" s="527"/>
      <c r="BJ638" s="518"/>
      <c r="BK638" s="518"/>
      <c r="BL638" s="520"/>
      <c r="BM638" s="520"/>
      <c r="BN638" s="519"/>
      <c r="BO638" s="517"/>
      <c r="BP638" s="520"/>
      <c r="BQ638" s="520"/>
      <c r="BR638" s="519"/>
      <c r="BS638" s="548"/>
      <c r="BT638" s="537"/>
      <c r="BU638" s="521"/>
      <c r="BV638" s="521"/>
      <c r="BW638" s="521"/>
      <c r="BX638" s="521"/>
      <c r="BY638" s="521"/>
      <c r="BZ638" s="521"/>
      <c r="CA638" s="521"/>
      <c r="CB638" s="521"/>
      <c r="CC638" s="521"/>
      <c r="CD638" s="521"/>
      <c r="CE638" s="521"/>
      <c r="CF638" s="521"/>
      <c r="CG638" s="521"/>
      <c r="CH638" s="521"/>
      <c r="CI638" s="521"/>
      <c r="CJ638" s="521"/>
      <c r="CK638" s="521"/>
      <c r="CL638" s="518"/>
      <c r="CM638" s="523"/>
      <c r="CN638" s="523"/>
      <c r="CO638" s="524"/>
      <c r="CP638" s="524"/>
      <c r="CQ638" s="518"/>
      <c r="CR638" s="518"/>
      <c r="CS638" s="518"/>
      <c r="CT638" s="518"/>
      <c r="CU638" s="518"/>
      <c r="CV638" s="518"/>
      <c r="CW638" s="518"/>
      <c r="CX638" s="518"/>
      <c r="CY638" s="518"/>
      <c r="CZ638" s="519"/>
      <c r="DA638" s="527"/>
      <c r="DB638" s="520"/>
      <c r="DC638" s="525"/>
      <c r="DD638" s="531"/>
      <c r="DE638" s="593"/>
      <c r="DF638" s="518"/>
      <c r="DG638" s="518"/>
      <c r="DH638" s="518"/>
      <c r="DI638" s="519"/>
      <c r="DJ638" s="560"/>
      <c r="DK638" s="522"/>
      <c r="DL638" s="522"/>
      <c r="DM638" s="522"/>
      <c r="DN638" s="522"/>
      <c r="DO638" s="522"/>
      <c r="DP638" s="518"/>
      <c r="DQ638" s="518"/>
      <c r="DR638" s="518"/>
      <c r="DS638" s="518"/>
      <c r="DT638" s="518"/>
      <c r="DU638" s="519"/>
      <c r="DV638" s="527"/>
      <c r="DW638" s="518"/>
      <c r="DX638" s="518"/>
      <c r="DY638" s="520"/>
      <c r="DZ638" s="520"/>
      <c r="EA638" s="519"/>
      <c r="EB638" s="527"/>
      <c r="EC638" s="520"/>
      <c r="ED638" s="520"/>
      <c r="EE638" s="519"/>
      <c r="EF638" s="550"/>
      <c r="EG638" s="537"/>
      <c r="EH638" s="521"/>
      <c r="EI638" s="521"/>
      <c r="EJ638" s="521"/>
      <c r="EK638" s="521"/>
      <c r="EL638" s="521"/>
      <c r="EM638" s="521"/>
      <c r="EN638" s="521"/>
      <c r="EO638" s="521"/>
      <c r="EP638" s="521"/>
      <c r="EQ638" s="521"/>
      <c r="ER638" s="521"/>
      <c r="ES638" s="521"/>
      <c r="ET638" s="521"/>
      <c r="EU638" s="521"/>
      <c r="EV638" s="521"/>
      <c r="EW638" s="521"/>
      <c r="EX638" s="521"/>
      <c r="EY638" s="518"/>
      <c r="EZ638" s="523"/>
      <c r="FA638" s="523"/>
      <c r="FB638" s="524"/>
      <c r="FC638" s="524"/>
      <c r="FD638" s="518"/>
      <c r="FE638" s="518"/>
      <c r="FF638" s="518"/>
      <c r="FG638" s="518"/>
      <c r="FH638" s="518"/>
      <c r="FI638" s="518"/>
      <c r="FJ638" s="518"/>
      <c r="FK638" s="518"/>
      <c r="FL638" s="518"/>
      <c r="FM638" s="519"/>
    </row>
    <row r="639" spans="1:169" x14ac:dyDescent="0.25">
      <c r="A639" s="284"/>
      <c r="B639" s="317"/>
      <c r="C639" s="297"/>
      <c r="D639" s="298"/>
      <c r="E639" s="299"/>
      <c r="F639" s="340"/>
      <c r="G639" s="298"/>
      <c r="H639" s="299"/>
      <c r="I639" s="300"/>
      <c r="J639" s="370"/>
      <c r="K639" s="328"/>
      <c r="L639" s="300"/>
      <c r="M639" s="328"/>
      <c r="N639" s="331"/>
      <c r="O639" s="301"/>
      <c r="P639" s="301"/>
      <c r="Q639" s="328"/>
      <c r="R639" s="620"/>
      <c r="S639" s="512"/>
      <c r="T639" s="512"/>
      <c r="U639" s="513"/>
      <c r="V639" s="514"/>
      <c r="W639" s="512"/>
      <c r="X639" s="513"/>
      <c r="Y639" s="514"/>
      <c r="Z639" s="513"/>
      <c r="AA639" s="515"/>
      <c r="AB639" s="516"/>
      <c r="AC639" s="513"/>
      <c r="AD639" s="544"/>
      <c r="AE639" s="516"/>
      <c r="AF639" s="513"/>
      <c r="AG639" s="551"/>
      <c r="AH639" s="595"/>
      <c r="AI639" s="517"/>
      <c r="AJ639" s="518"/>
      <c r="AK639" s="518"/>
      <c r="AL639" s="518"/>
      <c r="AM639" s="519"/>
      <c r="AN639" s="517"/>
      <c r="AO639" s="520"/>
      <c r="AP639" s="525"/>
      <c r="AQ639" s="531"/>
      <c r="AR639" s="593"/>
      <c r="AS639" s="518"/>
      <c r="AT639" s="518"/>
      <c r="AU639" s="518"/>
      <c r="AV639" s="519"/>
      <c r="AW639" s="560"/>
      <c r="AX639" s="522"/>
      <c r="AY639" s="522"/>
      <c r="AZ639" s="522"/>
      <c r="BA639" s="522"/>
      <c r="BB639" s="522"/>
      <c r="BC639" s="518"/>
      <c r="BD639" s="518"/>
      <c r="BE639" s="518"/>
      <c r="BF639" s="518"/>
      <c r="BG639" s="518"/>
      <c r="BH639" s="519"/>
      <c r="BI639" s="527"/>
      <c r="BJ639" s="518"/>
      <c r="BK639" s="518"/>
      <c r="BL639" s="520"/>
      <c r="BM639" s="520"/>
      <c r="BN639" s="519"/>
      <c r="BO639" s="517"/>
      <c r="BP639" s="520"/>
      <c r="BQ639" s="520"/>
      <c r="BR639" s="519"/>
      <c r="BS639" s="548"/>
      <c r="BT639" s="537"/>
      <c r="BU639" s="521"/>
      <c r="BV639" s="521"/>
      <c r="BW639" s="521"/>
      <c r="BX639" s="521"/>
      <c r="BY639" s="521"/>
      <c r="BZ639" s="521"/>
      <c r="CA639" s="521"/>
      <c r="CB639" s="521"/>
      <c r="CC639" s="521"/>
      <c r="CD639" s="521"/>
      <c r="CE639" s="521"/>
      <c r="CF639" s="521"/>
      <c r="CG639" s="521"/>
      <c r="CH639" s="521"/>
      <c r="CI639" s="521"/>
      <c r="CJ639" s="521"/>
      <c r="CK639" s="521"/>
      <c r="CL639" s="518"/>
      <c r="CM639" s="523"/>
      <c r="CN639" s="523"/>
      <c r="CO639" s="524"/>
      <c r="CP639" s="524"/>
      <c r="CQ639" s="518"/>
      <c r="CR639" s="518"/>
      <c r="CS639" s="518"/>
      <c r="CT639" s="518"/>
      <c r="CU639" s="518"/>
      <c r="CV639" s="518"/>
      <c r="CW639" s="518"/>
      <c r="CX639" s="518"/>
      <c r="CY639" s="518"/>
      <c r="CZ639" s="519"/>
      <c r="DA639" s="527"/>
      <c r="DB639" s="520"/>
      <c r="DC639" s="525"/>
      <c r="DD639" s="531"/>
      <c r="DE639" s="593"/>
      <c r="DF639" s="518"/>
      <c r="DG639" s="518"/>
      <c r="DH639" s="518"/>
      <c r="DI639" s="519"/>
      <c r="DJ639" s="560"/>
      <c r="DK639" s="522"/>
      <c r="DL639" s="522"/>
      <c r="DM639" s="522"/>
      <c r="DN639" s="522"/>
      <c r="DO639" s="522"/>
      <c r="DP639" s="518"/>
      <c r="DQ639" s="518"/>
      <c r="DR639" s="518"/>
      <c r="DS639" s="518"/>
      <c r="DT639" s="518"/>
      <c r="DU639" s="519"/>
      <c r="DV639" s="527"/>
      <c r="DW639" s="518"/>
      <c r="DX639" s="518"/>
      <c r="DY639" s="520"/>
      <c r="DZ639" s="520"/>
      <c r="EA639" s="519"/>
      <c r="EB639" s="527"/>
      <c r="EC639" s="520"/>
      <c r="ED639" s="520"/>
      <c r="EE639" s="519"/>
      <c r="EF639" s="550"/>
      <c r="EG639" s="537"/>
      <c r="EH639" s="521"/>
      <c r="EI639" s="521"/>
      <c r="EJ639" s="521"/>
      <c r="EK639" s="521"/>
      <c r="EL639" s="521"/>
      <c r="EM639" s="521"/>
      <c r="EN639" s="521"/>
      <c r="EO639" s="521"/>
      <c r="EP639" s="521"/>
      <c r="EQ639" s="521"/>
      <c r="ER639" s="521"/>
      <c r="ES639" s="521"/>
      <c r="ET639" s="521"/>
      <c r="EU639" s="521"/>
      <c r="EV639" s="521"/>
      <c r="EW639" s="521"/>
      <c r="EX639" s="521"/>
      <c r="EY639" s="518"/>
      <c r="EZ639" s="523"/>
      <c r="FA639" s="523"/>
      <c r="FB639" s="524"/>
      <c r="FC639" s="524"/>
      <c r="FD639" s="518"/>
      <c r="FE639" s="518"/>
      <c r="FF639" s="518"/>
      <c r="FG639" s="518"/>
      <c r="FH639" s="518"/>
      <c r="FI639" s="518"/>
      <c r="FJ639" s="518"/>
      <c r="FK639" s="518"/>
      <c r="FL639" s="518"/>
      <c r="FM639" s="519"/>
    </row>
    <row r="640" spans="1:169" x14ac:dyDescent="0.25">
      <c r="A640" s="284"/>
      <c r="B640" s="317"/>
      <c r="C640" s="297"/>
      <c r="D640" s="298"/>
      <c r="E640" s="299"/>
      <c r="F640" s="340"/>
      <c r="G640" s="298"/>
      <c r="H640" s="299"/>
      <c r="I640" s="300"/>
      <c r="J640" s="370"/>
      <c r="K640" s="328"/>
      <c r="L640" s="300"/>
      <c r="M640" s="328"/>
      <c r="N640" s="331"/>
      <c r="O640" s="301"/>
      <c r="P640" s="301"/>
      <c r="Q640" s="328"/>
      <c r="R640" s="620"/>
      <c r="S640" s="512"/>
      <c r="T640" s="512"/>
      <c r="U640" s="513"/>
      <c r="V640" s="514"/>
      <c r="W640" s="512"/>
      <c r="X640" s="513"/>
      <c r="Y640" s="514"/>
      <c r="Z640" s="513"/>
      <c r="AA640" s="515"/>
      <c r="AB640" s="516"/>
      <c r="AC640" s="513"/>
      <c r="AD640" s="544"/>
      <c r="AE640" s="516"/>
      <c r="AF640" s="513"/>
      <c r="AG640" s="551"/>
      <c r="AH640" s="595"/>
      <c r="AI640" s="517"/>
      <c r="AJ640" s="518"/>
      <c r="AK640" s="518"/>
      <c r="AL640" s="518"/>
      <c r="AM640" s="519"/>
      <c r="AN640" s="517"/>
      <c r="AO640" s="520"/>
      <c r="AP640" s="525"/>
      <c r="AQ640" s="531"/>
      <c r="AR640" s="593"/>
      <c r="AS640" s="518"/>
      <c r="AT640" s="518"/>
      <c r="AU640" s="518"/>
      <c r="AV640" s="519"/>
      <c r="AW640" s="560"/>
      <c r="AX640" s="522"/>
      <c r="AY640" s="522"/>
      <c r="AZ640" s="522"/>
      <c r="BA640" s="522"/>
      <c r="BB640" s="522"/>
      <c r="BC640" s="518"/>
      <c r="BD640" s="518"/>
      <c r="BE640" s="518"/>
      <c r="BF640" s="518"/>
      <c r="BG640" s="518"/>
      <c r="BH640" s="519"/>
      <c r="BI640" s="527"/>
      <c r="BJ640" s="518"/>
      <c r="BK640" s="518"/>
      <c r="BL640" s="520"/>
      <c r="BM640" s="520"/>
      <c r="BN640" s="519"/>
      <c r="BO640" s="517"/>
      <c r="BP640" s="520"/>
      <c r="BQ640" s="520"/>
      <c r="BR640" s="519"/>
      <c r="BS640" s="548"/>
      <c r="BT640" s="537"/>
      <c r="BU640" s="521"/>
      <c r="BV640" s="521"/>
      <c r="BW640" s="521"/>
      <c r="BX640" s="521"/>
      <c r="BY640" s="521"/>
      <c r="BZ640" s="521"/>
      <c r="CA640" s="521"/>
      <c r="CB640" s="521"/>
      <c r="CC640" s="521"/>
      <c r="CD640" s="521"/>
      <c r="CE640" s="521"/>
      <c r="CF640" s="521"/>
      <c r="CG640" s="521"/>
      <c r="CH640" s="521"/>
      <c r="CI640" s="521"/>
      <c r="CJ640" s="521"/>
      <c r="CK640" s="521"/>
      <c r="CL640" s="518"/>
      <c r="CM640" s="523"/>
      <c r="CN640" s="523"/>
      <c r="CO640" s="524"/>
      <c r="CP640" s="524"/>
      <c r="CQ640" s="518"/>
      <c r="CR640" s="518"/>
      <c r="CS640" s="518"/>
      <c r="CT640" s="518"/>
      <c r="CU640" s="518"/>
      <c r="CV640" s="518"/>
      <c r="CW640" s="518"/>
      <c r="CX640" s="518"/>
      <c r="CY640" s="518"/>
      <c r="CZ640" s="519"/>
      <c r="DA640" s="527"/>
      <c r="DB640" s="520"/>
      <c r="DC640" s="525"/>
      <c r="DD640" s="531"/>
      <c r="DE640" s="593"/>
      <c r="DF640" s="518"/>
      <c r="DG640" s="518"/>
      <c r="DH640" s="518"/>
      <c r="DI640" s="519"/>
      <c r="DJ640" s="560"/>
      <c r="DK640" s="522"/>
      <c r="DL640" s="522"/>
      <c r="DM640" s="522"/>
      <c r="DN640" s="522"/>
      <c r="DO640" s="522"/>
      <c r="DP640" s="518"/>
      <c r="DQ640" s="518"/>
      <c r="DR640" s="518"/>
      <c r="DS640" s="518"/>
      <c r="DT640" s="518"/>
      <c r="DU640" s="519"/>
      <c r="DV640" s="527"/>
      <c r="DW640" s="518"/>
      <c r="DX640" s="518"/>
      <c r="DY640" s="520"/>
      <c r="DZ640" s="520"/>
      <c r="EA640" s="519"/>
      <c r="EB640" s="527"/>
      <c r="EC640" s="520"/>
      <c r="ED640" s="520"/>
      <c r="EE640" s="519"/>
      <c r="EF640" s="550"/>
      <c r="EG640" s="537"/>
      <c r="EH640" s="521"/>
      <c r="EI640" s="521"/>
      <c r="EJ640" s="521"/>
      <c r="EK640" s="521"/>
      <c r="EL640" s="521"/>
      <c r="EM640" s="521"/>
      <c r="EN640" s="521"/>
      <c r="EO640" s="521"/>
      <c r="EP640" s="521"/>
      <c r="EQ640" s="521"/>
      <c r="ER640" s="521"/>
      <c r="ES640" s="521"/>
      <c r="ET640" s="521"/>
      <c r="EU640" s="521"/>
      <c r="EV640" s="521"/>
      <c r="EW640" s="521"/>
      <c r="EX640" s="521"/>
      <c r="EY640" s="518"/>
      <c r="EZ640" s="523"/>
      <c r="FA640" s="523"/>
      <c r="FB640" s="524"/>
      <c r="FC640" s="524"/>
      <c r="FD640" s="518"/>
      <c r="FE640" s="518"/>
      <c r="FF640" s="518"/>
      <c r="FG640" s="518"/>
      <c r="FH640" s="518"/>
      <c r="FI640" s="518"/>
      <c r="FJ640" s="518"/>
      <c r="FK640" s="518"/>
      <c r="FL640" s="518"/>
      <c r="FM640" s="519"/>
    </row>
    <row r="641" spans="1:169" x14ac:dyDescent="0.25">
      <c r="A641" s="284"/>
      <c r="B641" s="317"/>
      <c r="C641" s="297"/>
      <c r="D641" s="298"/>
      <c r="E641" s="299"/>
      <c r="F641" s="340"/>
      <c r="G641" s="298"/>
      <c r="H641" s="299"/>
      <c r="I641" s="300"/>
      <c r="J641" s="370"/>
      <c r="K641" s="328"/>
      <c r="L641" s="300"/>
      <c r="M641" s="328"/>
      <c r="N641" s="331"/>
      <c r="O641" s="301"/>
      <c r="P641" s="301"/>
      <c r="Q641" s="328"/>
      <c r="R641" s="620"/>
      <c r="S641" s="512"/>
      <c r="T641" s="512"/>
      <c r="U641" s="513"/>
      <c r="V641" s="514"/>
      <c r="W641" s="512"/>
      <c r="X641" s="513"/>
      <c r="Y641" s="514"/>
      <c r="Z641" s="513"/>
      <c r="AA641" s="515"/>
      <c r="AB641" s="516"/>
      <c r="AC641" s="513"/>
      <c r="AD641" s="544"/>
      <c r="AE641" s="516"/>
      <c r="AF641" s="513"/>
      <c r="AG641" s="551"/>
      <c r="AH641" s="595"/>
      <c r="AI641" s="517"/>
      <c r="AJ641" s="518"/>
      <c r="AK641" s="518"/>
      <c r="AL641" s="518"/>
      <c r="AM641" s="519"/>
      <c r="AN641" s="517"/>
      <c r="AO641" s="520"/>
      <c r="AP641" s="525"/>
      <c r="AQ641" s="531"/>
      <c r="AR641" s="593"/>
      <c r="AS641" s="518"/>
      <c r="AT641" s="518"/>
      <c r="AU641" s="518"/>
      <c r="AV641" s="519"/>
      <c r="AW641" s="560"/>
      <c r="AX641" s="522"/>
      <c r="AY641" s="522"/>
      <c r="AZ641" s="522"/>
      <c r="BA641" s="522"/>
      <c r="BB641" s="522"/>
      <c r="BC641" s="518"/>
      <c r="BD641" s="518"/>
      <c r="BE641" s="518"/>
      <c r="BF641" s="518"/>
      <c r="BG641" s="518"/>
      <c r="BH641" s="519"/>
      <c r="BI641" s="527"/>
      <c r="BJ641" s="518"/>
      <c r="BK641" s="518"/>
      <c r="BL641" s="520"/>
      <c r="BM641" s="520"/>
      <c r="BN641" s="519"/>
      <c r="BO641" s="517"/>
      <c r="BP641" s="520"/>
      <c r="BQ641" s="520"/>
      <c r="BR641" s="519"/>
      <c r="BS641" s="548"/>
      <c r="BT641" s="537"/>
      <c r="BU641" s="521"/>
      <c r="BV641" s="521"/>
      <c r="BW641" s="521"/>
      <c r="BX641" s="521"/>
      <c r="BY641" s="521"/>
      <c r="BZ641" s="521"/>
      <c r="CA641" s="521"/>
      <c r="CB641" s="521"/>
      <c r="CC641" s="521"/>
      <c r="CD641" s="521"/>
      <c r="CE641" s="521"/>
      <c r="CF641" s="521"/>
      <c r="CG641" s="521"/>
      <c r="CH641" s="521"/>
      <c r="CI641" s="521"/>
      <c r="CJ641" s="521"/>
      <c r="CK641" s="521"/>
      <c r="CL641" s="518"/>
      <c r="CM641" s="523"/>
      <c r="CN641" s="523"/>
      <c r="CO641" s="524"/>
      <c r="CP641" s="524"/>
      <c r="CQ641" s="518"/>
      <c r="CR641" s="518"/>
      <c r="CS641" s="518"/>
      <c r="CT641" s="518"/>
      <c r="CU641" s="518"/>
      <c r="CV641" s="518"/>
      <c r="CW641" s="518"/>
      <c r="CX641" s="518"/>
      <c r="CY641" s="518"/>
      <c r="CZ641" s="519"/>
      <c r="DA641" s="527"/>
      <c r="DB641" s="520"/>
      <c r="DC641" s="525"/>
      <c r="DD641" s="531"/>
      <c r="DE641" s="593"/>
      <c r="DF641" s="518"/>
      <c r="DG641" s="518"/>
      <c r="DH641" s="518"/>
      <c r="DI641" s="519"/>
      <c r="DJ641" s="560"/>
      <c r="DK641" s="522"/>
      <c r="DL641" s="522"/>
      <c r="DM641" s="522"/>
      <c r="DN641" s="522"/>
      <c r="DO641" s="522"/>
      <c r="DP641" s="518"/>
      <c r="DQ641" s="518"/>
      <c r="DR641" s="518"/>
      <c r="DS641" s="518"/>
      <c r="DT641" s="518"/>
      <c r="DU641" s="519"/>
      <c r="DV641" s="527"/>
      <c r="DW641" s="518"/>
      <c r="DX641" s="518"/>
      <c r="DY641" s="520"/>
      <c r="DZ641" s="520"/>
      <c r="EA641" s="519"/>
      <c r="EB641" s="527"/>
      <c r="EC641" s="520"/>
      <c r="ED641" s="520"/>
      <c r="EE641" s="519"/>
      <c r="EF641" s="550"/>
      <c r="EG641" s="537"/>
      <c r="EH641" s="521"/>
      <c r="EI641" s="521"/>
      <c r="EJ641" s="521"/>
      <c r="EK641" s="521"/>
      <c r="EL641" s="521"/>
      <c r="EM641" s="521"/>
      <c r="EN641" s="521"/>
      <c r="EO641" s="521"/>
      <c r="EP641" s="521"/>
      <c r="EQ641" s="521"/>
      <c r="ER641" s="521"/>
      <c r="ES641" s="521"/>
      <c r="ET641" s="521"/>
      <c r="EU641" s="521"/>
      <c r="EV641" s="521"/>
      <c r="EW641" s="521"/>
      <c r="EX641" s="521"/>
      <c r="EY641" s="518"/>
      <c r="EZ641" s="523"/>
      <c r="FA641" s="523"/>
      <c r="FB641" s="524"/>
      <c r="FC641" s="524"/>
      <c r="FD641" s="518"/>
      <c r="FE641" s="518"/>
      <c r="FF641" s="518"/>
      <c r="FG641" s="518"/>
      <c r="FH641" s="518"/>
      <c r="FI641" s="518"/>
      <c r="FJ641" s="518"/>
      <c r="FK641" s="518"/>
      <c r="FL641" s="518"/>
      <c r="FM641" s="519"/>
    </row>
    <row r="642" spans="1:169" x14ac:dyDescent="0.25">
      <c r="A642" s="284"/>
      <c r="B642" s="317"/>
      <c r="C642" s="297"/>
      <c r="D642" s="298"/>
      <c r="E642" s="299"/>
      <c r="F642" s="340"/>
      <c r="G642" s="298"/>
      <c r="H642" s="299"/>
      <c r="I642" s="300"/>
      <c r="J642" s="370"/>
      <c r="K642" s="328"/>
      <c r="L642" s="300"/>
      <c r="M642" s="328"/>
      <c r="N642" s="331"/>
      <c r="O642" s="301"/>
      <c r="P642" s="301"/>
      <c r="Q642" s="328"/>
      <c r="R642" s="620"/>
      <c r="S642" s="512"/>
      <c r="T642" s="512"/>
      <c r="U642" s="513"/>
      <c r="V642" s="514"/>
      <c r="W642" s="512"/>
      <c r="X642" s="513"/>
      <c r="Y642" s="514"/>
      <c r="Z642" s="513"/>
      <c r="AA642" s="515"/>
      <c r="AB642" s="516"/>
      <c r="AC642" s="513"/>
      <c r="AD642" s="544"/>
      <c r="AE642" s="516"/>
      <c r="AF642" s="513"/>
      <c r="AG642" s="551"/>
      <c r="AH642" s="595"/>
      <c r="AI642" s="517"/>
      <c r="AJ642" s="518"/>
      <c r="AK642" s="518"/>
      <c r="AL642" s="518"/>
      <c r="AM642" s="519"/>
      <c r="AN642" s="517"/>
      <c r="AO642" s="520"/>
      <c r="AP642" s="525"/>
      <c r="AQ642" s="531"/>
      <c r="AR642" s="593"/>
      <c r="AS642" s="518"/>
      <c r="AT642" s="518"/>
      <c r="AU642" s="518"/>
      <c r="AV642" s="519"/>
      <c r="AW642" s="560"/>
      <c r="AX642" s="522"/>
      <c r="AY642" s="522"/>
      <c r="AZ642" s="522"/>
      <c r="BA642" s="522"/>
      <c r="BB642" s="522"/>
      <c r="BC642" s="518"/>
      <c r="BD642" s="518"/>
      <c r="BE642" s="518"/>
      <c r="BF642" s="518"/>
      <c r="BG642" s="518"/>
      <c r="BH642" s="519"/>
      <c r="BI642" s="527"/>
      <c r="BJ642" s="518"/>
      <c r="BK642" s="518"/>
      <c r="BL642" s="520"/>
      <c r="BM642" s="520"/>
      <c r="BN642" s="519"/>
      <c r="BO642" s="517"/>
      <c r="BP642" s="520"/>
      <c r="BQ642" s="520"/>
      <c r="BR642" s="519"/>
      <c r="BS642" s="548"/>
      <c r="BT642" s="537"/>
      <c r="BU642" s="521"/>
      <c r="BV642" s="521"/>
      <c r="BW642" s="521"/>
      <c r="BX642" s="521"/>
      <c r="BY642" s="521"/>
      <c r="BZ642" s="521"/>
      <c r="CA642" s="521"/>
      <c r="CB642" s="521"/>
      <c r="CC642" s="521"/>
      <c r="CD642" s="521"/>
      <c r="CE642" s="521"/>
      <c r="CF642" s="521"/>
      <c r="CG642" s="521"/>
      <c r="CH642" s="521"/>
      <c r="CI642" s="521"/>
      <c r="CJ642" s="521"/>
      <c r="CK642" s="521"/>
      <c r="CL642" s="518"/>
      <c r="CM642" s="523"/>
      <c r="CN642" s="523"/>
      <c r="CO642" s="524"/>
      <c r="CP642" s="524"/>
      <c r="CQ642" s="518"/>
      <c r="CR642" s="518"/>
      <c r="CS642" s="518"/>
      <c r="CT642" s="518"/>
      <c r="CU642" s="518"/>
      <c r="CV642" s="518"/>
      <c r="CW642" s="518"/>
      <c r="CX642" s="518"/>
      <c r="CY642" s="518"/>
      <c r="CZ642" s="519"/>
      <c r="DA642" s="527"/>
      <c r="DB642" s="520"/>
      <c r="DC642" s="525"/>
      <c r="DD642" s="531"/>
      <c r="DE642" s="593"/>
      <c r="DF642" s="518"/>
      <c r="DG642" s="518"/>
      <c r="DH642" s="518"/>
      <c r="DI642" s="519"/>
      <c r="DJ642" s="560"/>
      <c r="DK642" s="522"/>
      <c r="DL642" s="522"/>
      <c r="DM642" s="522"/>
      <c r="DN642" s="522"/>
      <c r="DO642" s="522"/>
      <c r="DP642" s="518"/>
      <c r="DQ642" s="518"/>
      <c r="DR642" s="518"/>
      <c r="DS642" s="518"/>
      <c r="DT642" s="518"/>
      <c r="DU642" s="519"/>
      <c r="DV642" s="527"/>
      <c r="DW642" s="518"/>
      <c r="DX642" s="518"/>
      <c r="DY642" s="520"/>
      <c r="DZ642" s="520"/>
      <c r="EA642" s="519"/>
      <c r="EB642" s="527"/>
      <c r="EC642" s="520"/>
      <c r="ED642" s="520"/>
      <c r="EE642" s="519"/>
      <c r="EF642" s="550"/>
      <c r="EG642" s="537"/>
      <c r="EH642" s="521"/>
      <c r="EI642" s="521"/>
      <c r="EJ642" s="521"/>
      <c r="EK642" s="521"/>
      <c r="EL642" s="521"/>
      <c r="EM642" s="521"/>
      <c r="EN642" s="521"/>
      <c r="EO642" s="521"/>
      <c r="EP642" s="521"/>
      <c r="EQ642" s="521"/>
      <c r="ER642" s="521"/>
      <c r="ES642" s="521"/>
      <c r="ET642" s="521"/>
      <c r="EU642" s="521"/>
      <c r="EV642" s="521"/>
      <c r="EW642" s="521"/>
      <c r="EX642" s="521"/>
      <c r="EY642" s="518"/>
      <c r="EZ642" s="523"/>
      <c r="FA642" s="523"/>
      <c r="FB642" s="524"/>
      <c r="FC642" s="524"/>
      <c r="FD642" s="518"/>
      <c r="FE642" s="518"/>
      <c r="FF642" s="518"/>
      <c r="FG642" s="518"/>
      <c r="FH642" s="518"/>
      <c r="FI642" s="518"/>
      <c r="FJ642" s="518"/>
      <c r="FK642" s="518"/>
      <c r="FL642" s="518"/>
      <c r="FM642" s="519"/>
    </row>
    <row r="643" spans="1:169" x14ac:dyDescent="0.25">
      <c r="A643" s="284"/>
      <c r="B643" s="317"/>
      <c r="C643" s="297"/>
      <c r="D643" s="298"/>
      <c r="E643" s="299"/>
      <c r="F643" s="340"/>
      <c r="G643" s="298"/>
      <c r="H643" s="299"/>
      <c r="I643" s="300"/>
      <c r="J643" s="370"/>
      <c r="K643" s="328"/>
      <c r="L643" s="300"/>
      <c r="M643" s="328"/>
      <c r="N643" s="331"/>
      <c r="O643" s="301"/>
      <c r="P643" s="301"/>
      <c r="Q643" s="328"/>
      <c r="R643" s="620"/>
      <c r="S643" s="512"/>
      <c r="T643" s="512"/>
      <c r="U643" s="513"/>
      <c r="V643" s="514"/>
      <c r="W643" s="512"/>
      <c r="X643" s="513"/>
      <c r="Y643" s="514"/>
      <c r="Z643" s="513"/>
      <c r="AA643" s="515"/>
      <c r="AB643" s="516"/>
      <c r="AC643" s="513"/>
      <c r="AD643" s="544"/>
      <c r="AE643" s="516"/>
      <c r="AF643" s="513"/>
      <c r="AG643" s="551"/>
      <c r="AH643" s="595"/>
      <c r="AI643" s="517"/>
      <c r="AJ643" s="518"/>
      <c r="AK643" s="518"/>
      <c r="AL643" s="518"/>
      <c r="AM643" s="519"/>
      <c r="AN643" s="517"/>
      <c r="AO643" s="520"/>
      <c r="AP643" s="525"/>
      <c r="AQ643" s="531"/>
      <c r="AR643" s="593"/>
      <c r="AS643" s="518"/>
      <c r="AT643" s="518"/>
      <c r="AU643" s="518"/>
      <c r="AV643" s="519"/>
      <c r="AW643" s="560"/>
      <c r="AX643" s="522"/>
      <c r="AY643" s="522"/>
      <c r="AZ643" s="522"/>
      <c r="BA643" s="522"/>
      <c r="BB643" s="522"/>
      <c r="BC643" s="518"/>
      <c r="BD643" s="518"/>
      <c r="BE643" s="518"/>
      <c r="BF643" s="518"/>
      <c r="BG643" s="518"/>
      <c r="BH643" s="519"/>
      <c r="BI643" s="527"/>
      <c r="BJ643" s="518"/>
      <c r="BK643" s="518"/>
      <c r="BL643" s="520"/>
      <c r="BM643" s="520"/>
      <c r="BN643" s="519"/>
      <c r="BO643" s="517"/>
      <c r="BP643" s="520"/>
      <c r="BQ643" s="520"/>
      <c r="BR643" s="519"/>
      <c r="BS643" s="548"/>
      <c r="BT643" s="537"/>
      <c r="BU643" s="521"/>
      <c r="BV643" s="521"/>
      <c r="BW643" s="521"/>
      <c r="BX643" s="521"/>
      <c r="BY643" s="521"/>
      <c r="BZ643" s="521"/>
      <c r="CA643" s="521"/>
      <c r="CB643" s="521"/>
      <c r="CC643" s="521"/>
      <c r="CD643" s="521"/>
      <c r="CE643" s="521"/>
      <c r="CF643" s="521"/>
      <c r="CG643" s="521"/>
      <c r="CH643" s="521"/>
      <c r="CI643" s="521"/>
      <c r="CJ643" s="521"/>
      <c r="CK643" s="521"/>
      <c r="CL643" s="518"/>
      <c r="CM643" s="523"/>
      <c r="CN643" s="523"/>
      <c r="CO643" s="524"/>
      <c r="CP643" s="524"/>
      <c r="CQ643" s="518"/>
      <c r="CR643" s="518"/>
      <c r="CS643" s="518"/>
      <c r="CT643" s="518"/>
      <c r="CU643" s="518"/>
      <c r="CV643" s="518"/>
      <c r="CW643" s="518"/>
      <c r="CX643" s="518"/>
      <c r="CY643" s="518"/>
      <c r="CZ643" s="519"/>
      <c r="DA643" s="527"/>
      <c r="DB643" s="520"/>
      <c r="DC643" s="525"/>
      <c r="DD643" s="531"/>
      <c r="DE643" s="593"/>
      <c r="DF643" s="518"/>
      <c r="DG643" s="518"/>
      <c r="DH643" s="518"/>
      <c r="DI643" s="519"/>
      <c r="DJ643" s="560"/>
      <c r="DK643" s="522"/>
      <c r="DL643" s="522"/>
      <c r="DM643" s="522"/>
      <c r="DN643" s="522"/>
      <c r="DO643" s="522"/>
      <c r="DP643" s="518"/>
      <c r="DQ643" s="518"/>
      <c r="DR643" s="518"/>
      <c r="DS643" s="518"/>
      <c r="DT643" s="518"/>
      <c r="DU643" s="519"/>
      <c r="DV643" s="527"/>
      <c r="DW643" s="518"/>
      <c r="DX643" s="518"/>
      <c r="DY643" s="520"/>
      <c r="DZ643" s="520"/>
      <c r="EA643" s="519"/>
      <c r="EB643" s="527"/>
      <c r="EC643" s="520"/>
      <c r="ED643" s="520"/>
      <c r="EE643" s="519"/>
      <c r="EF643" s="550"/>
      <c r="EG643" s="537"/>
      <c r="EH643" s="521"/>
      <c r="EI643" s="521"/>
      <c r="EJ643" s="521"/>
      <c r="EK643" s="521"/>
      <c r="EL643" s="521"/>
      <c r="EM643" s="521"/>
      <c r="EN643" s="521"/>
      <c r="EO643" s="521"/>
      <c r="EP643" s="521"/>
      <c r="EQ643" s="521"/>
      <c r="ER643" s="521"/>
      <c r="ES643" s="521"/>
      <c r="ET643" s="521"/>
      <c r="EU643" s="521"/>
      <c r="EV643" s="521"/>
      <c r="EW643" s="521"/>
      <c r="EX643" s="521"/>
      <c r="EY643" s="518"/>
      <c r="EZ643" s="523"/>
      <c r="FA643" s="523"/>
      <c r="FB643" s="524"/>
      <c r="FC643" s="524"/>
      <c r="FD643" s="518"/>
      <c r="FE643" s="518"/>
      <c r="FF643" s="518"/>
      <c r="FG643" s="518"/>
      <c r="FH643" s="518"/>
      <c r="FI643" s="518"/>
      <c r="FJ643" s="518"/>
      <c r="FK643" s="518"/>
      <c r="FL643" s="518"/>
      <c r="FM643" s="519"/>
    </row>
    <row r="644" spans="1:169" x14ac:dyDescent="0.25">
      <c r="A644" s="284"/>
      <c r="B644" s="317"/>
      <c r="C644" s="297"/>
      <c r="D644" s="298"/>
      <c r="E644" s="299"/>
      <c r="F644" s="340"/>
      <c r="G644" s="298"/>
      <c r="H644" s="299"/>
      <c r="I644" s="300"/>
      <c r="J644" s="370"/>
      <c r="K644" s="328"/>
      <c r="L644" s="300"/>
      <c r="M644" s="328"/>
      <c r="N644" s="331"/>
      <c r="O644" s="301"/>
      <c r="P644" s="301"/>
      <c r="Q644" s="328"/>
      <c r="R644" s="620"/>
      <c r="S644" s="512"/>
      <c r="T644" s="512"/>
      <c r="U644" s="513"/>
      <c r="V644" s="514"/>
      <c r="W644" s="512"/>
      <c r="X644" s="513"/>
      <c r="Y644" s="514"/>
      <c r="Z644" s="513"/>
      <c r="AA644" s="515"/>
      <c r="AB644" s="516"/>
      <c r="AC644" s="513"/>
      <c r="AD644" s="544"/>
      <c r="AE644" s="516"/>
      <c r="AF644" s="513"/>
      <c r="AG644" s="551"/>
      <c r="AH644" s="595"/>
      <c r="AI644" s="517"/>
      <c r="AJ644" s="518"/>
      <c r="AK644" s="518"/>
      <c r="AL644" s="518"/>
      <c r="AM644" s="519"/>
      <c r="AN644" s="517"/>
      <c r="AO644" s="520"/>
      <c r="AP644" s="525"/>
      <c r="AQ644" s="531"/>
      <c r="AR644" s="593"/>
      <c r="AS644" s="518"/>
      <c r="AT644" s="518"/>
      <c r="AU644" s="518"/>
      <c r="AV644" s="519"/>
      <c r="AW644" s="560"/>
      <c r="AX644" s="522"/>
      <c r="AY644" s="522"/>
      <c r="AZ644" s="522"/>
      <c r="BA644" s="522"/>
      <c r="BB644" s="522"/>
      <c r="BC644" s="518"/>
      <c r="BD644" s="518"/>
      <c r="BE644" s="518"/>
      <c r="BF644" s="518"/>
      <c r="BG644" s="518"/>
      <c r="BH644" s="519"/>
      <c r="BI644" s="527"/>
      <c r="BJ644" s="518"/>
      <c r="BK644" s="518"/>
      <c r="BL644" s="520"/>
      <c r="BM644" s="520"/>
      <c r="BN644" s="519"/>
      <c r="BO644" s="517"/>
      <c r="BP644" s="520"/>
      <c r="BQ644" s="520"/>
      <c r="BR644" s="519"/>
      <c r="BS644" s="548"/>
      <c r="BT644" s="537"/>
      <c r="BU644" s="521"/>
      <c r="BV644" s="521"/>
      <c r="BW644" s="521"/>
      <c r="BX644" s="521"/>
      <c r="BY644" s="521"/>
      <c r="BZ644" s="521"/>
      <c r="CA644" s="521"/>
      <c r="CB644" s="521"/>
      <c r="CC644" s="521"/>
      <c r="CD644" s="521"/>
      <c r="CE644" s="521"/>
      <c r="CF644" s="521"/>
      <c r="CG644" s="521"/>
      <c r="CH644" s="521"/>
      <c r="CI644" s="521"/>
      <c r="CJ644" s="521"/>
      <c r="CK644" s="521"/>
      <c r="CL644" s="518"/>
      <c r="CM644" s="523"/>
      <c r="CN644" s="523"/>
      <c r="CO644" s="524"/>
      <c r="CP644" s="524"/>
      <c r="CQ644" s="518"/>
      <c r="CR644" s="518"/>
      <c r="CS644" s="518"/>
      <c r="CT644" s="518"/>
      <c r="CU644" s="518"/>
      <c r="CV644" s="518"/>
      <c r="CW644" s="518"/>
      <c r="CX644" s="518"/>
      <c r="CY644" s="518"/>
      <c r="CZ644" s="519"/>
      <c r="DA644" s="527"/>
      <c r="DB644" s="520"/>
      <c r="DC644" s="525"/>
      <c r="DD644" s="531"/>
      <c r="DE644" s="593"/>
      <c r="DF644" s="518"/>
      <c r="DG644" s="518"/>
      <c r="DH644" s="518"/>
      <c r="DI644" s="519"/>
      <c r="DJ644" s="560"/>
      <c r="DK644" s="522"/>
      <c r="DL644" s="522"/>
      <c r="DM644" s="522"/>
      <c r="DN644" s="522"/>
      <c r="DO644" s="522"/>
      <c r="DP644" s="518"/>
      <c r="DQ644" s="518"/>
      <c r="DR644" s="518"/>
      <c r="DS644" s="518"/>
      <c r="DT644" s="518"/>
      <c r="DU644" s="519"/>
      <c r="DV644" s="527"/>
      <c r="DW644" s="518"/>
      <c r="DX644" s="518"/>
      <c r="DY644" s="520"/>
      <c r="DZ644" s="520"/>
      <c r="EA644" s="519"/>
      <c r="EB644" s="527"/>
      <c r="EC644" s="520"/>
      <c r="ED644" s="520"/>
      <c r="EE644" s="519"/>
      <c r="EF644" s="550"/>
      <c r="EG644" s="537"/>
      <c r="EH644" s="521"/>
      <c r="EI644" s="521"/>
      <c r="EJ644" s="521"/>
      <c r="EK644" s="521"/>
      <c r="EL644" s="521"/>
      <c r="EM644" s="521"/>
      <c r="EN644" s="521"/>
      <c r="EO644" s="521"/>
      <c r="EP644" s="521"/>
      <c r="EQ644" s="521"/>
      <c r="ER644" s="521"/>
      <c r="ES644" s="521"/>
      <c r="ET644" s="521"/>
      <c r="EU644" s="521"/>
      <c r="EV644" s="521"/>
      <c r="EW644" s="521"/>
      <c r="EX644" s="521"/>
      <c r="EY644" s="518"/>
      <c r="EZ644" s="523"/>
      <c r="FA644" s="523"/>
      <c r="FB644" s="524"/>
      <c r="FC644" s="524"/>
      <c r="FD644" s="518"/>
      <c r="FE644" s="518"/>
      <c r="FF644" s="518"/>
      <c r="FG644" s="518"/>
      <c r="FH644" s="518"/>
      <c r="FI644" s="518"/>
      <c r="FJ644" s="518"/>
      <c r="FK644" s="518"/>
      <c r="FL644" s="518"/>
      <c r="FM644" s="519"/>
    </row>
    <row r="645" spans="1:169" x14ac:dyDescent="0.25">
      <c r="A645" s="284"/>
      <c r="B645" s="317"/>
      <c r="C645" s="297"/>
      <c r="D645" s="298"/>
      <c r="E645" s="299"/>
      <c r="F645" s="340"/>
      <c r="G645" s="298"/>
      <c r="H645" s="299"/>
      <c r="I645" s="300"/>
      <c r="J645" s="370"/>
      <c r="K645" s="328"/>
      <c r="L645" s="300"/>
      <c r="M645" s="328"/>
      <c r="N645" s="331"/>
      <c r="O645" s="301"/>
      <c r="P645" s="301"/>
      <c r="Q645" s="328"/>
      <c r="R645" s="620"/>
      <c r="S645" s="512"/>
      <c r="T645" s="512"/>
      <c r="U645" s="513"/>
      <c r="V645" s="514"/>
      <c r="W645" s="512"/>
      <c r="X645" s="513"/>
      <c r="Y645" s="514"/>
      <c r="Z645" s="513"/>
      <c r="AA645" s="515"/>
      <c r="AB645" s="516"/>
      <c r="AC645" s="513"/>
      <c r="AD645" s="544"/>
      <c r="AE645" s="516"/>
      <c r="AF645" s="513"/>
      <c r="AG645" s="551"/>
      <c r="AH645" s="595"/>
      <c r="AI645" s="517"/>
      <c r="AJ645" s="518"/>
      <c r="AK645" s="518"/>
      <c r="AL645" s="518"/>
      <c r="AM645" s="519"/>
      <c r="AN645" s="517"/>
      <c r="AO645" s="520"/>
      <c r="AP645" s="525"/>
      <c r="AQ645" s="531"/>
      <c r="AR645" s="593"/>
      <c r="AS645" s="518"/>
      <c r="AT645" s="518"/>
      <c r="AU645" s="518"/>
      <c r="AV645" s="519"/>
      <c r="AW645" s="560"/>
      <c r="AX645" s="522"/>
      <c r="AY645" s="522"/>
      <c r="AZ645" s="522"/>
      <c r="BA645" s="522"/>
      <c r="BB645" s="522"/>
      <c r="BC645" s="518"/>
      <c r="BD645" s="518"/>
      <c r="BE645" s="518"/>
      <c r="BF645" s="518"/>
      <c r="BG645" s="518"/>
      <c r="BH645" s="519"/>
      <c r="BI645" s="527"/>
      <c r="BJ645" s="518"/>
      <c r="BK645" s="518"/>
      <c r="BL645" s="520"/>
      <c r="BM645" s="520"/>
      <c r="BN645" s="519"/>
      <c r="BO645" s="517"/>
      <c r="BP645" s="520"/>
      <c r="BQ645" s="520"/>
      <c r="BR645" s="519"/>
      <c r="BS645" s="548"/>
      <c r="BT645" s="537"/>
      <c r="BU645" s="521"/>
      <c r="BV645" s="521"/>
      <c r="BW645" s="521"/>
      <c r="BX645" s="521"/>
      <c r="BY645" s="521"/>
      <c r="BZ645" s="521"/>
      <c r="CA645" s="521"/>
      <c r="CB645" s="521"/>
      <c r="CC645" s="521"/>
      <c r="CD645" s="521"/>
      <c r="CE645" s="521"/>
      <c r="CF645" s="521"/>
      <c r="CG645" s="521"/>
      <c r="CH645" s="521"/>
      <c r="CI645" s="521"/>
      <c r="CJ645" s="521"/>
      <c r="CK645" s="521"/>
      <c r="CL645" s="518"/>
      <c r="CM645" s="523"/>
      <c r="CN645" s="523"/>
      <c r="CO645" s="524"/>
      <c r="CP645" s="524"/>
      <c r="CQ645" s="518"/>
      <c r="CR645" s="518"/>
      <c r="CS645" s="518"/>
      <c r="CT645" s="518"/>
      <c r="CU645" s="518"/>
      <c r="CV645" s="518"/>
      <c r="CW645" s="518"/>
      <c r="CX645" s="518"/>
      <c r="CY645" s="518"/>
      <c r="CZ645" s="519"/>
      <c r="DA645" s="527"/>
      <c r="DB645" s="520"/>
      <c r="DC645" s="525"/>
      <c r="DD645" s="531"/>
      <c r="DE645" s="593"/>
      <c r="DF645" s="518"/>
      <c r="DG645" s="518"/>
      <c r="DH645" s="518"/>
      <c r="DI645" s="519"/>
      <c r="DJ645" s="560"/>
      <c r="DK645" s="522"/>
      <c r="DL645" s="522"/>
      <c r="DM645" s="522"/>
      <c r="DN645" s="522"/>
      <c r="DO645" s="522"/>
      <c r="DP645" s="518"/>
      <c r="DQ645" s="518"/>
      <c r="DR645" s="518"/>
      <c r="DS645" s="518"/>
      <c r="DT645" s="518"/>
      <c r="DU645" s="519"/>
      <c r="DV645" s="527"/>
      <c r="DW645" s="518"/>
      <c r="DX645" s="518"/>
      <c r="DY645" s="520"/>
      <c r="DZ645" s="520"/>
      <c r="EA645" s="519"/>
      <c r="EB645" s="527"/>
      <c r="EC645" s="520"/>
      <c r="ED645" s="520"/>
      <c r="EE645" s="519"/>
      <c r="EF645" s="550"/>
      <c r="EG645" s="537"/>
      <c r="EH645" s="521"/>
      <c r="EI645" s="521"/>
      <c r="EJ645" s="521"/>
      <c r="EK645" s="521"/>
      <c r="EL645" s="521"/>
      <c r="EM645" s="521"/>
      <c r="EN645" s="521"/>
      <c r="EO645" s="521"/>
      <c r="EP645" s="521"/>
      <c r="EQ645" s="521"/>
      <c r="ER645" s="521"/>
      <c r="ES645" s="521"/>
      <c r="ET645" s="521"/>
      <c r="EU645" s="521"/>
      <c r="EV645" s="521"/>
      <c r="EW645" s="521"/>
      <c r="EX645" s="521"/>
      <c r="EY645" s="518"/>
      <c r="EZ645" s="523"/>
      <c r="FA645" s="523"/>
      <c r="FB645" s="524"/>
      <c r="FC645" s="524"/>
      <c r="FD645" s="518"/>
      <c r="FE645" s="518"/>
      <c r="FF645" s="518"/>
      <c r="FG645" s="518"/>
      <c r="FH645" s="518"/>
      <c r="FI645" s="518"/>
      <c r="FJ645" s="518"/>
      <c r="FK645" s="518"/>
      <c r="FL645" s="518"/>
      <c r="FM645" s="519"/>
    </row>
    <row r="646" spans="1:169" x14ac:dyDescent="0.25">
      <c r="A646" s="284"/>
      <c r="B646" s="317"/>
      <c r="C646" s="297"/>
      <c r="D646" s="298"/>
      <c r="E646" s="299"/>
      <c r="F646" s="340"/>
      <c r="G646" s="298"/>
      <c r="H646" s="299"/>
      <c r="I646" s="300"/>
      <c r="J646" s="370"/>
      <c r="K646" s="328"/>
      <c r="L646" s="300"/>
      <c r="M646" s="328"/>
      <c r="N646" s="331"/>
      <c r="O646" s="301"/>
      <c r="P646" s="301"/>
      <c r="Q646" s="328"/>
      <c r="R646" s="620"/>
      <c r="S646" s="512"/>
      <c r="T646" s="512"/>
      <c r="U646" s="513"/>
      <c r="V646" s="514"/>
      <c r="W646" s="512"/>
      <c r="X646" s="513"/>
      <c r="Y646" s="514"/>
      <c r="Z646" s="513"/>
      <c r="AA646" s="515"/>
      <c r="AB646" s="516"/>
      <c r="AC646" s="513"/>
      <c r="AD646" s="544"/>
      <c r="AE646" s="516"/>
      <c r="AF646" s="513"/>
      <c r="AG646" s="551"/>
      <c r="AH646" s="595"/>
      <c r="AI646" s="517"/>
      <c r="AJ646" s="518"/>
      <c r="AK646" s="518"/>
      <c r="AL646" s="518"/>
      <c r="AM646" s="519"/>
      <c r="AN646" s="517"/>
      <c r="AO646" s="520"/>
      <c r="AP646" s="525"/>
      <c r="AQ646" s="531"/>
      <c r="AR646" s="593"/>
      <c r="AS646" s="518"/>
      <c r="AT646" s="518"/>
      <c r="AU646" s="518"/>
      <c r="AV646" s="519"/>
      <c r="AW646" s="560"/>
      <c r="AX646" s="522"/>
      <c r="AY646" s="522"/>
      <c r="AZ646" s="522"/>
      <c r="BA646" s="522"/>
      <c r="BB646" s="522"/>
      <c r="BC646" s="518"/>
      <c r="BD646" s="518"/>
      <c r="BE646" s="518"/>
      <c r="BF646" s="518"/>
      <c r="BG646" s="518"/>
      <c r="BH646" s="519"/>
      <c r="BI646" s="527"/>
      <c r="BJ646" s="518"/>
      <c r="BK646" s="518"/>
      <c r="BL646" s="520"/>
      <c r="BM646" s="520"/>
      <c r="BN646" s="519"/>
      <c r="BO646" s="517"/>
      <c r="BP646" s="520"/>
      <c r="BQ646" s="520"/>
      <c r="BR646" s="519"/>
      <c r="BS646" s="548"/>
      <c r="BT646" s="537"/>
      <c r="BU646" s="521"/>
      <c r="BV646" s="521"/>
      <c r="BW646" s="521"/>
      <c r="BX646" s="521"/>
      <c r="BY646" s="521"/>
      <c r="BZ646" s="521"/>
      <c r="CA646" s="521"/>
      <c r="CB646" s="521"/>
      <c r="CC646" s="521"/>
      <c r="CD646" s="521"/>
      <c r="CE646" s="521"/>
      <c r="CF646" s="521"/>
      <c r="CG646" s="521"/>
      <c r="CH646" s="521"/>
      <c r="CI646" s="521"/>
      <c r="CJ646" s="521"/>
      <c r="CK646" s="521"/>
      <c r="CL646" s="518"/>
      <c r="CM646" s="523"/>
      <c r="CN646" s="523"/>
      <c r="CO646" s="524"/>
      <c r="CP646" s="524"/>
      <c r="CQ646" s="518"/>
      <c r="CR646" s="518"/>
      <c r="CS646" s="518"/>
      <c r="CT646" s="518"/>
      <c r="CU646" s="518"/>
      <c r="CV646" s="518"/>
      <c r="CW646" s="518"/>
      <c r="CX646" s="518"/>
      <c r="CY646" s="518"/>
      <c r="CZ646" s="519"/>
      <c r="DA646" s="527"/>
      <c r="DB646" s="520"/>
      <c r="DC646" s="525"/>
      <c r="DD646" s="531"/>
      <c r="DE646" s="593"/>
      <c r="DF646" s="518"/>
      <c r="DG646" s="518"/>
      <c r="DH646" s="518"/>
      <c r="DI646" s="519"/>
      <c r="DJ646" s="560"/>
      <c r="DK646" s="522"/>
      <c r="DL646" s="522"/>
      <c r="DM646" s="522"/>
      <c r="DN646" s="522"/>
      <c r="DO646" s="522"/>
      <c r="DP646" s="518"/>
      <c r="DQ646" s="518"/>
      <c r="DR646" s="518"/>
      <c r="DS646" s="518"/>
      <c r="DT646" s="518"/>
      <c r="DU646" s="519"/>
      <c r="DV646" s="527"/>
      <c r="DW646" s="518"/>
      <c r="DX646" s="518"/>
      <c r="DY646" s="520"/>
      <c r="DZ646" s="520"/>
      <c r="EA646" s="519"/>
      <c r="EB646" s="527"/>
      <c r="EC646" s="520"/>
      <c r="ED646" s="520"/>
      <c r="EE646" s="519"/>
      <c r="EF646" s="550"/>
      <c r="EG646" s="537"/>
      <c r="EH646" s="521"/>
      <c r="EI646" s="521"/>
      <c r="EJ646" s="521"/>
      <c r="EK646" s="521"/>
      <c r="EL646" s="521"/>
      <c r="EM646" s="521"/>
      <c r="EN646" s="521"/>
      <c r="EO646" s="521"/>
      <c r="EP646" s="521"/>
      <c r="EQ646" s="521"/>
      <c r="ER646" s="521"/>
      <c r="ES646" s="521"/>
      <c r="ET646" s="521"/>
      <c r="EU646" s="521"/>
      <c r="EV646" s="521"/>
      <c r="EW646" s="521"/>
      <c r="EX646" s="521"/>
      <c r="EY646" s="518"/>
      <c r="EZ646" s="523"/>
      <c r="FA646" s="523"/>
      <c r="FB646" s="524"/>
      <c r="FC646" s="524"/>
      <c r="FD646" s="518"/>
      <c r="FE646" s="518"/>
      <c r="FF646" s="518"/>
      <c r="FG646" s="518"/>
      <c r="FH646" s="518"/>
      <c r="FI646" s="518"/>
      <c r="FJ646" s="518"/>
      <c r="FK646" s="518"/>
      <c r="FL646" s="518"/>
      <c r="FM646" s="519"/>
    </row>
    <row r="647" spans="1:169" x14ac:dyDescent="0.25">
      <c r="A647" s="284"/>
      <c r="B647" s="317"/>
      <c r="C647" s="297"/>
      <c r="D647" s="298"/>
      <c r="E647" s="299"/>
      <c r="F647" s="340"/>
      <c r="G647" s="298"/>
      <c r="H647" s="299"/>
      <c r="I647" s="300"/>
      <c r="J647" s="370"/>
      <c r="K647" s="328"/>
      <c r="L647" s="300"/>
      <c r="M647" s="328"/>
      <c r="N647" s="331"/>
      <c r="O647" s="301"/>
      <c r="P647" s="301"/>
      <c r="Q647" s="328"/>
      <c r="R647" s="620"/>
      <c r="S647" s="512"/>
      <c r="T647" s="512"/>
      <c r="U647" s="513"/>
      <c r="V647" s="514"/>
      <c r="W647" s="512"/>
      <c r="X647" s="513"/>
      <c r="Y647" s="514"/>
      <c r="Z647" s="513"/>
      <c r="AA647" s="515"/>
      <c r="AB647" s="516"/>
      <c r="AC647" s="513"/>
      <c r="AD647" s="544"/>
      <c r="AE647" s="516"/>
      <c r="AF647" s="513"/>
      <c r="AG647" s="551"/>
      <c r="AH647" s="595"/>
      <c r="AI647" s="517"/>
      <c r="AJ647" s="518"/>
      <c r="AK647" s="518"/>
      <c r="AL647" s="518"/>
      <c r="AM647" s="519"/>
      <c r="AN647" s="517"/>
      <c r="AO647" s="520"/>
      <c r="AP647" s="525"/>
      <c r="AQ647" s="531"/>
      <c r="AR647" s="593"/>
      <c r="AS647" s="518"/>
      <c r="AT647" s="518"/>
      <c r="AU647" s="518"/>
      <c r="AV647" s="519"/>
      <c r="AW647" s="560"/>
      <c r="AX647" s="522"/>
      <c r="AY647" s="522"/>
      <c r="AZ647" s="522"/>
      <c r="BA647" s="522"/>
      <c r="BB647" s="522"/>
      <c r="BC647" s="518"/>
      <c r="BD647" s="518"/>
      <c r="BE647" s="518"/>
      <c r="BF647" s="518"/>
      <c r="BG647" s="518"/>
      <c r="BH647" s="519"/>
      <c r="BI647" s="527"/>
      <c r="BJ647" s="518"/>
      <c r="BK647" s="518"/>
      <c r="BL647" s="520"/>
      <c r="BM647" s="520"/>
      <c r="BN647" s="519"/>
      <c r="BO647" s="517"/>
      <c r="BP647" s="520"/>
      <c r="BQ647" s="520"/>
      <c r="BR647" s="519"/>
      <c r="BS647" s="548"/>
      <c r="BT647" s="537"/>
      <c r="BU647" s="521"/>
      <c r="BV647" s="521"/>
      <c r="BW647" s="521"/>
      <c r="BX647" s="521"/>
      <c r="BY647" s="521"/>
      <c r="BZ647" s="521"/>
      <c r="CA647" s="521"/>
      <c r="CB647" s="521"/>
      <c r="CC647" s="521"/>
      <c r="CD647" s="521"/>
      <c r="CE647" s="521"/>
      <c r="CF647" s="521"/>
      <c r="CG647" s="521"/>
      <c r="CH647" s="521"/>
      <c r="CI647" s="521"/>
      <c r="CJ647" s="521"/>
      <c r="CK647" s="521"/>
      <c r="CL647" s="518"/>
      <c r="CM647" s="523"/>
      <c r="CN647" s="523"/>
      <c r="CO647" s="524"/>
      <c r="CP647" s="524"/>
      <c r="CQ647" s="518"/>
      <c r="CR647" s="518"/>
      <c r="CS647" s="518"/>
      <c r="CT647" s="518"/>
      <c r="CU647" s="518"/>
      <c r="CV647" s="518"/>
      <c r="CW647" s="518"/>
      <c r="CX647" s="518"/>
      <c r="CY647" s="518"/>
      <c r="CZ647" s="519"/>
      <c r="DA647" s="527"/>
      <c r="DB647" s="520"/>
      <c r="DC647" s="525"/>
      <c r="DD647" s="531"/>
      <c r="DE647" s="593"/>
      <c r="DF647" s="518"/>
      <c r="DG647" s="518"/>
      <c r="DH647" s="518"/>
      <c r="DI647" s="519"/>
      <c r="DJ647" s="560"/>
      <c r="DK647" s="522"/>
      <c r="DL647" s="522"/>
      <c r="DM647" s="522"/>
      <c r="DN647" s="522"/>
      <c r="DO647" s="522"/>
      <c r="DP647" s="518"/>
      <c r="DQ647" s="518"/>
      <c r="DR647" s="518"/>
      <c r="DS647" s="518"/>
      <c r="DT647" s="518"/>
      <c r="DU647" s="519"/>
      <c r="DV647" s="527"/>
      <c r="DW647" s="518"/>
      <c r="DX647" s="518"/>
      <c r="DY647" s="520"/>
      <c r="DZ647" s="520"/>
      <c r="EA647" s="519"/>
      <c r="EB647" s="527"/>
      <c r="EC647" s="520"/>
      <c r="ED647" s="520"/>
      <c r="EE647" s="519"/>
      <c r="EF647" s="550"/>
      <c r="EG647" s="537"/>
      <c r="EH647" s="521"/>
      <c r="EI647" s="521"/>
      <c r="EJ647" s="521"/>
      <c r="EK647" s="521"/>
      <c r="EL647" s="521"/>
      <c r="EM647" s="521"/>
      <c r="EN647" s="521"/>
      <c r="EO647" s="521"/>
      <c r="EP647" s="521"/>
      <c r="EQ647" s="521"/>
      <c r="ER647" s="521"/>
      <c r="ES647" s="521"/>
      <c r="ET647" s="521"/>
      <c r="EU647" s="521"/>
      <c r="EV647" s="521"/>
      <c r="EW647" s="521"/>
      <c r="EX647" s="521"/>
      <c r="EY647" s="518"/>
      <c r="EZ647" s="523"/>
      <c r="FA647" s="523"/>
      <c r="FB647" s="524"/>
      <c r="FC647" s="524"/>
      <c r="FD647" s="518"/>
      <c r="FE647" s="518"/>
      <c r="FF647" s="518"/>
      <c r="FG647" s="518"/>
      <c r="FH647" s="518"/>
      <c r="FI647" s="518"/>
      <c r="FJ647" s="518"/>
      <c r="FK647" s="518"/>
      <c r="FL647" s="518"/>
      <c r="FM647" s="519"/>
    </row>
    <row r="648" spans="1:169" x14ac:dyDescent="0.25">
      <c r="A648" s="284"/>
      <c r="B648" s="317"/>
      <c r="C648" s="297"/>
      <c r="D648" s="298"/>
      <c r="E648" s="299"/>
      <c r="F648" s="340"/>
      <c r="G648" s="298"/>
      <c r="H648" s="299"/>
      <c r="I648" s="300"/>
      <c r="J648" s="370"/>
      <c r="K648" s="328"/>
      <c r="L648" s="300"/>
      <c r="M648" s="328"/>
      <c r="N648" s="331"/>
      <c r="O648" s="301"/>
      <c r="P648" s="301"/>
      <c r="Q648" s="328"/>
      <c r="R648" s="620"/>
      <c r="S648" s="512"/>
      <c r="T648" s="512"/>
      <c r="U648" s="513"/>
      <c r="V648" s="514"/>
      <c r="W648" s="512"/>
      <c r="X648" s="513"/>
      <c r="Y648" s="514"/>
      <c r="Z648" s="513"/>
      <c r="AA648" s="515"/>
      <c r="AB648" s="516"/>
      <c r="AC648" s="513"/>
      <c r="AD648" s="544"/>
      <c r="AE648" s="516"/>
      <c r="AF648" s="513"/>
      <c r="AG648" s="551"/>
      <c r="AH648" s="595"/>
      <c r="AI648" s="517"/>
      <c r="AJ648" s="518"/>
      <c r="AK648" s="518"/>
      <c r="AL648" s="518"/>
      <c r="AM648" s="519"/>
      <c r="AN648" s="517"/>
      <c r="AO648" s="520"/>
      <c r="AP648" s="525"/>
      <c r="AQ648" s="531"/>
      <c r="AR648" s="593"/>
      <c r="AS648" s="518"/>
      <c r="AT648" s="518"/>
      <c r="AU648" s="518"/>
      <c r="AV648" s="519"/>
      <c r="AW648" s="560"/>
      <c r="AX648" s="522"/>
      <c r="AY648" s="522"/>
      <c r="AZ648" s="522"/>
      <c r="BA648" s="522"/>
      <c r="BB648" s="522"/>
      <c r="BC648" s="518"/>
      <c r="BD648" s="518"/>
      <c r="BE648" s="518"/>
      <c r="BF648" s="518"/>
      <c r="BG648" s="518"/>
      <c r="BH648" s="519"/>
      <c r="BI648" s="527"/>
      <c r="BJ648" s="518"/>
      <c r="BK648" s="518"/>
      <c r="BL648" s="520"/>
      <c r="BM648" s="520"/>
      <c r="BN648" s="519"/>
      <c r="BO648" s="517"/>
      <c r="BP648" s="520"/>
      <c r="BQ648" s="520"/>
      <c r="BR648" s="519"/>
      <c r="BS648" s="548"/>
      <c r="BT648" s="537"/>
      <c r="BU648" s="521"/>
      <c r="BV648" s="521"/>
      <c r="BW648" s="521"/>
      <c r="BX648" s="521"/>
      <c r="BY648" s="521"/>
      <c r="BZ648" s="521"/>
      <c r="CA648" s="521"/>
      <c r="CB648" s="521"/>
      <c r="CC648" s="521"/>
      <c r="CD648" s="521"/>
      <c r="CE648" s="521"/>
      <c r="CF648" s="521"/>
      <c r="CG648" s="521"/>
      <c r="CH648" s="521"/>
      <c r="CI648" s="521"/>
      <c r="CJ648" s="521"/>
      <c r="CK648" s="521"/>
      <c r="CL648" s="518"/>
      <c r="CM648" s="523"/>
      <c r="CN648" s="523"/>
      <c r="CO648" s="524"/>
      <c r="CP648" s="524"/>
      <c r="CQ648" s="518"/>
      <c r="CR648" s="518"/>
      <c r="CS648" s="518"/>
      <c r="CT648" s="518"/>
      <c r="CU648" s="518"/>
      <c r="CV648" s="518"/>
      <c r="CW648" s="518"/>
      <c r="CX648" s="518"/>
      <c r="CY648" s="518"/>
      <c r="CZ648" s="519"/>
      <c r="DA648" s="527"/>
      <c r="DB648" s="520"/>
      <c r="DC648" s="525"/>
      <c r="DD648" s="531"/>
      <c r="DE648" s="593"/>
      <c r="DF648" s="518"/>
      <c r="DG648" s="518"/>
      <c r="DH648" s="518"/>
      <c r="DI648" s="519"/>
      <c r="DJ648" s="560"/>
      <c r="DK648" s="522"/>
      <c r="DL648" s="522"/>
      <c r="DM648" s="522"/>
      <c r="DN648" s="522"/>
      <c r="DO648" s="522"/>
      <c r="DP648" s="518"/>
      <c r="DQ648" s="518"/>
      <c r="DR648" s="518"/>
      <c r="DS648" s="518"/>
      <c r="DT648" s="518"/>
      <c r="DU648" s="519"/>
      <c r="DV648" s="527"/>
      <c r="DW648" s="518"/>
      <c r="DX648" s="518"/>
      <c r="DY648" s="520"/>
      <c r="DZ648" s="520"/>
      <c r="EA648" s="519"/>
      <c r="EB648" s="527"/>
      <c r="EC648" s="520"/>
      <c r="ED648" s="520"/>
      <c r="EE648" s="519"/>
      <c r="EF648" s="550"/>
      <c r="EG648" s="537"/>
      <c r="EH648" s="521"/>
      <c r="EI648" s="521"/>
      <c r="EJ648" s="521"/>
      <c r="EK648" s="521"/>
      <c r="EL648" s="521"/>
      <c r="EM648" s="521"/>
      <c r="EN648" s="521"/>
      <c r="EO648" s="521"/>
      <c r="EP648" s="521"/>
      <c r="EQ648" s="521"/>
      <c r="ER648" s="521"/>
      <c r="ES648" s="521"/>
      <c r="ET648" s="521"/>
      <c r="EU648" s="521"/>
      <c r="EV648" s="521"/>
      <c r="EW648" s="521"/>
      <c r="EX648" s="521"/>
      <c r="EY648" s="518"/>
      <c r="EZ648" s="523"/>
      <c r="FA648" s="523"/>
      <c r="FB648" s="524"/>
      <c r="FC648" s="524"/>
      <c r="FD648" s="518"/>
      <c r="FE648" s="518"/>
      <c r="FF648" s="518"/>
      <c r="FG648" s="518"/>
      <c r="FH648" s="518"/>
      <c r="FI648" s="518"/>
      <c r="FJ648" s="518"/>
      <c r="FK648" s="518"/>
      <c r="FL648" s="518"/>
      <c r="FM648" s="519"/>
    </row>
    <row r="649" spans="1:169" x14ac:dyDescent="0.25">
      <c r="A649" s="284"/>
      <c r="B649" s="317"/>
      <c r="C649" s="297"/>
      <c r="D649" s="298"/>
      <c r="E649" s="299"/>
      <c r="F649" s="340"/>
      <c r="G649" s="298"/>
      <c r="H649" s="299"/>
      <c r="I649" s="300"/>
      <c r="J649" s="370"/>
      <c r="K649" s="328"/>
      <c r="L649" s="300"/>
      <c r="M649" s="328"/>
      <c r="N649" s="331"/>
      <c r="O649" s="301"/>
      <c r="P649" s="301"/>
      <c r="Q649" s="328"/>
      <c r="R649" s="620"/>
      <c r="S649" s="512"/>
      <c r="T649" s="512"/>
      <c r="U649" s="513"/>
      <c r="V649" s="514"/>
      <c r="W649" s="512"/>
      <c r="X649" s="513"/>
      <c r="Y649" s="514"/>
      <c r="Z649" s="513"/>
      <c r="AA649" s="515"/>
      <c r="AB649" s="516"/>
      <c r="AC649" s="513"/>
      <c r="AD649" s="544"/>
      <c r="AE649" s="516"/>
      <c r="AF649" s="513"/>
      <c r="AG649" s="551"/>
      <c r="AH649" s="595"/>
      <c r="AI649" s="517"/>
      <c r="AJ649" s="518"/>
      <c r="AK649" s="518"/>
      <c r="AL649" s="518"/>
      <c r="AM649" s="519"/>
      <c r="AN649" s="517"/>
      <c r="AO649" s="520"/>
      <c r="AP649" s="525"/>
      <c r="AQ649" s="531"/>
      <c r="AR649" s="593"/>
      <c r="AS649" s="518"/>
      <c r="AT649" s="518"/>
      <c r="AU649" s="518"/>
      <c r="AV649" s="519"/>
      <c r="AW649" s="560"/>
      <c r="AX649" s="522"/>
      <c r="AY649" s="522"/>
      <c r="AZ649" s="522"/>
      <c r="BA649" s="522"/>
      <c r="BB649" s="522"/>
      <c r="BC649" s="518"/>
      <c r="BD649" s="518"/>
      <c r="BE649" s="518"/>
      <c r="BF649" s="518"/>
      <c r="BG649" s="518"/>
      <c r="BH649" s="519"/>
      <c r="BI649" s="527"/>
      <c r="BJ649" s="518"/>
      <c r="BK649" s="518"/>
      <c r="BL649" s="520"/>
      <c r="BM649" s="520"/>
      <c r="BN649" s="519"/>
      <c r="BO649" s="517"/>
      <c r="BP649" s="520"/>
      <c r="BQ649" s="520"/>
      <c r="BR649" s="519"/>
      <c r="BS649" s="548"/>
      <c r="BT649" s="537"/>
      <c r="BU649" s="521"/>
      <c r="BV649" s="521"/>
      <c r="BW649" s="521"/>
      <c r="BX649" s="521"/>
      <c r="BY649" s="521"/>
      <c r="BZ649" s="521"/>
      <c r="CA649" s="521"/>
      <c r="CB649" s="521"/>
      <c r="CC649" s="521"/>
      <c r="CD649" s="521"/>
      <c r="CE649" s="521"/>
      <c r="CF649" s="521"/>
      <c r="CG649" s="521"/>
      <c r="CH649" s="521"/>
      <c r="CI649" s="521"/>
      <c r="CJ649" s="521"/>
      <c r="CK649" s="521"/>
      <c r="CL649" s="518"/>
      <c r="CM649" s="523"/>
      <c r="CN649" s="523"/>
      <c r="CO649" s="524"/>
      <c r="CP649" s="524"/>
      <c r="CQ649" s="518"/>
      <c r="CR649" s="518"/>
      <c r="CS649" s="518"/>
      <c r="CT649" s="518"/>
      <c r="CU649" s="518"/>
      <c r="CV649" s="518"/>
      <c r="CW649" s="518"/>
      <c r="CX649" s="518"/>
      <c r="CY649" s="518"/>
      <c r="CZ649" s="519"/>
      <c r="DA649" s="527"/>
      <c r="DB649" s="520"/>
      <c r="DC649" s="525"/>
      <c r="DD649" s="531"/>
      <c r="DE649" s="593"/>
      <c r="DF649" s="518"/>
      <c r="DG649" s="518"/>
      <c r="DH649" s="518"/>
      <c r="DI649" s="519"/>
      <c r="DJ649" s="560"/>
      <c r="DK649" s="522"/>
      <c r="DL649" s="522"/>
      <c r="DM649" s="522"/>
      <c r="DN649" s="522"/>
      <c r="DO649" s="522"/>
      <c r="DP649" s="518"/>
      <c r="DQ649" s="518"/>
      <c r="DR649" s="518"/>
      <c r="DS649" s="518"/>
      <c r="DT649" s="518"/>
      <c r="DU649" s="519"/>
      <c r="DV649" s="527"/>
      <c r="DW649" s="518"/>
      <c r="DX649" s="518"/>
      <c r="DY649" s="520"/>
      <c r="DZ649" s="520"/>
      <c r="EA649" s="519"/>
      <c r="EB649" s="527"/>
      <c r="EC649" s="520"/>
      <c r="ED649" s="520"/>
      <c r="EE649" s="519"/>
      <c r="EF649" s="550"/>
      <c r="EG649" s="537"/>
      <c r="EH649" s="521"/>
      <c r="EI649" s="521"/>
      <c r="EJ649" s="521"/>
      <c r="EK649" s="521"/>
      <c r="EL649" s="521"/>
      <c r="EM649" s="521"/>
      <c r="EN649" s="521"/>
      <c r="EO649" s="521"/>
      <c r="EP649" s="521"/>
      <c r="EQ649" s="521"/>
      <c r="ER649" s="521"/>
      <c r="ES649" s="521"/>
      <c r="ET649" s="521"/>
      <c r="EU649" s="521"/>
      <c r="EV649" s="521"/>
      <c r="EW649" s="521"/>
      <c r="EX649" s="521"/>
      <c r="EY649" s="518"/>
      <c r="EZ649" s="523"/>
      <c r="FA649" s="523"/>
      <c r="FB649" s="524"/>
      <c r="FC649" s="524"/>
      <c r="FD649" s="518"/>
      <c r="FE649" s="518"/>
      <c r="FF649" s="518"/>
      <c r="FG649" s="518"/>
      <c r="FH649" s="518"/>
      <c r="FI649" s="518"/>
      <c r="FJ649" s="518"/>
      <c r="FK649" s="518"/>
      <c r="FL649" s="518"/>
      <c r="FM649" s="519"/>
    </row>
    <row r="650" spans="1:169" x14ac:dyDescent="0.25">
      <c r="A650" s="284"/>
      <c r="B650" s="317"/>
      <c r="C650" s="297"/>
      <c r="D650" s="298"/>
      <c r="E650" s="299"/>
      <c r="F650" s="340"/>
      <c r="G650" s="298"/>
      <c r="H650" s="299"/>
      <c r="I650" s="300"/>
      <c r="J650" s="370"/>
      <c r="K650" s="328"/>
      <c r="L650" s="300"/>
      <c r="M650" s="328"/>
      <c r="N650" s="331"/>
      <c r="O650" s="301"/>
      <c r="P650" s="301"/>
      <c r="Q650" s="328"/>
      <c r="R650" s="620"/>
      <c r="S650" s="512"/>
      <c r="T650" s="512"/>
      <c r="U650" s="513"/>
      <c r="V650" s="514"/>
      <c r="W650" s="512"/>
      <c r="X650" s="513"/>
      <c r="Y650" s="514"/>
      <c r="Z650" s="513"/>
      <c r="AA650" s="515"/>
      <c r="AB650" s="516"/>
      <c r="AC650" s="513"/>
      <c r="AD650" s="544"/>
      <c r="AE650" s="516"/>
      <c r="AF650" s="513"/>
      <c r="AG650" s="551"/>
      <c r="AH650" s="595"/>
      <c r="AI650" s="517"/>
      <c r="AJ650" s="518"/>
      <c r="AK650" s="518"/>
      <c r="AL650" s="518"/>
      <c r="AM650" s="519"/>
      <c r="AN650" s="517"/>
      <c r="AO650" s="520"/>
      <c r="AP650" s="525"/>
      <c r="AQ650" s="531"/>
      <c r="AR650" s="593"/>
      <c r="AS650" s="518"/>
      <c r="AT650" s="518"/>
      <c r="AU650" s="518"/>
      <c r="AV650" s="519"/>
      <c r="AW650" s="560"/>
      <c r="AX650" s="522"/>
      <c r="AY650" s="522"/>
      <c r="AZ650" s="522"/>
      <c r="BA650" s="522"/>
      <c r="BB650" s="522"/>
      <c r="BC650" s="518"/>
      <c r="BD650" s="518"/>
      <c r="BE650" s="518"/>
      <c r="BF650" s="518"/>
      <c r="BG650" s="518"/>
      <c r="BH650" s="519"/>
      <c r="BI650" s="527"/>
      <c r="BJ650" s="518"/>
      <c r="BK650" s="518"/>
      <c r="BL650" s="520"/>
      <c r="BM650" s="520"/>
      <c r="BN650" s="519"/>
      <c r="BO650" s="517"/>
      <c r="BP650" s="520"/>
      <c r="BQ650" s="520"/>
      <c r="BR650" s="519"/>
      <c r="BS650" s="548"/>
      <c r="BT650" s="537"/>
      <c r="BU650" s="521"/>
      <c r="BV650" s="521"/>
      <c r="BW650" s="521"/>
      <c r="BX650" s="521"/>
      <c r="BY650" s="521"/>
      <c r="BZ650" s="521"/>
      <c r="CA650" s="521"/>
      <c r="CB650" s="521"/>
      <c r="CC650" s="521"/>
      <c r="CD650" s="521"/>
      <c r="CE650" s="521"/>
      <c r="CF650" s="521"/>
      <c r="CG650" s="521"/>
      <c r="CH650" s="521"/>
      <c r="CI650" s="521"/>
      <c r="CJ650" s="521"/>
      <c r="CK650" s="521"/>
      <c r="CL650" s="518"/>
      <c r="CM650" s="523"/>
      <c r="CN650" s="523"/>
      <c r="CO650" s="524"/>
      <c r="CP650" s="524"/>
      <c r="CQ650" s="518"/>
      <c r="CR650" s="518"/>
      <c r="CS650" s="518"/>
      <c r="CT650" s="518"/>
      <c r="CU650" s="518"/>
      <c r="CV650" s="518"/>
      <c r="CW650" s="518"/>
      <c r="CX650" s="518"/>
      <c r="CY650" s="518"/>
      <c r="CZ650" s="519"/>
      <c r="DA650" s="527"/>
      <c r="DB650" s="520"/>
      <c r="DC650" s="525"/>
      <c r="DD650" s="531"/>
      <c r="DE650" s="593"/>
      <c r="DF650" s="518"/>
      <c r="DG650" s="518"/>
      <c r="DH650" s="518"/>
      <c r="DI650" s="519"/>
      <c r="DJ650" s="560"/>
      <c r="DK650" s="522"/>
      <c r="DL650" s="522"/>
      <c r="DM650" s="522"/>
      <c r="DN650" s="522"/>
      <c r="DO650" s="522"/>
      <c r="DP650" s="518"/>
      <c r="DQ650" s="518"/>
      <c r="DR650" s="518"/>
      <c r="DS650" s="518"/>
      <c r="DT650" s="518"/>
      <c r="DU650" s="519"/>
      <c r="DV650" s="527"/>
      <c r="DW650" s="518"/>
      <c r="DX650" s="518"/>
      <c r="DY650" s="520"/>
      <c r="DZ650" s="520"/>
      <c r="EA650" s="519"/>
      <c r="EB650" s="527"/>
      <c r="EC650" s="520"/>
      <c r="ED650" s="520"/>
      <c r="EE650" s="519"/>
      <c r="EF650" s="550"/>
      <c r="EG650" s="537"/>
      <c r="EH650" s="521"/>
      <c r="EI650" s="521"/>
      <c r="EJ650" s="521"/>
      <c r="EK650" s="521"/>
      <c r="EL650" s="521"/>
      <c r="EM650" s="521"/>
      <c r="EN650" s="521"/>
      <c r="EO650" s="521"/>
      <c r="EP650" s="521"/>
      <c r="EQ650" s="521"/>
      <c r="ER650" s="521"/>
      <c r="ES650" s="521"/>
      <c r="ET650" s="521"/>
      <c r="EU650" s="521"/>
      <c r="EV650" s="521"/>
      <c r="EW650" s="521"/>
      <c r="EX650" s="521"/>
      <c r="EY650" s="518"/>
      <c r="EZ650" s="523"/>
      <c r="FA650" s="523"/>
      <c r="FB650" s="524"/>
      <c r="FC650" s="524"/>
      <c r="FD650" s="518"/>
      <c r="FE650" s="518"/>
      <c r="FF650" s="518"/>
      <c r="FG650" s="518"/>
      <c r="FH650" s="518"/>
      <c r="FI650" s="518"/>
      <c r="FJ650" s="518"/>
      <c r="FK650" s="518"/>
      <c r="FL650" s="518"/>
      <c r="FM650" s="519"/>
    </row>
    <row r="651" spans="1:169" x14ac:dyDescent="0.25">
      <c r="A651" s="284"/>
      <c r="B651" s="317"/>
      <c r="C651" s="297"/>
      <c r="D651" s="298"/>
      <c r="E651" s="299"/>
      <c r="F651" s="340"/>
      <c r="G651" s="298"/>
      <c r="H651" s="299"/>
      <c r="I651" s="300"/>
      <c r="J651" s="370"/>
      <c r="K651" s="328"/>
      <c r="L651" s="300"/>
      <c r="M651" s="328"/>
      <c r="N651" s="331"/>
      <c r="O651" s="301"/>
      <c r="P651" s="301"/>
      <c r="Q651" s="328"/>
      <c r="R651" s="620"/>
      <c r="S651" s="512"/>
      <c r="T651" s="512"/>
      <c r="U651" s="513"/>
      <c r="V651" s="514"/>
      <c r="W651" s="512"/>
      <c r="X651" s="513"/>
      <c r="Y651" s="514"/>
      <c r="Z651" s="513"/>
      <c r="AA651" s="515"/>
      <c r="AB651" s="516"/>
      <c r="AC651" s="513"/>
      <c r="AD651" s="544"/>
      <c r="AE651" s="516"/>
      <c r="AF651" s="513"/>
      <c r="AG651" s="551"/>
      <c r="AH651" s="595"/>
      <c r="AI651" s="517"/>
      <c r="AJ651" s="518"/>
      <c r="AK651" s="518"/>
      <c r="AL651" s="518"/>
      <c r="AM651" s="519"/>
      <c r="AN651" s="517"/>
      <c r="AO651" s="520"/>
      <c r="AP651" s="525"/>
      <c r="AQ651" s="531"/>
      <c r="AR651" s="593"/>
      <c r="AS651" s="518"/>
      <c r="AT651" s="518"/>
      <c r="AU651" s="518"/>
      <c r="AV651" s="519"/>
      <c r="AW651" s="560"/>
      <c r="AX651" s="522"/>
      <c r="AY651" s="522"/>
      <c r="AZ651" s="522"/>
      <c r="BA651" s="522"/>
      <c r="BB651" s="522"/>
      <c r="BC651" s="518"/>
      <c r="BD651" s="518"/>
      <c r="BE651" s="518"/>
      <c r="BF651" s="518"/>
      <c r="BG651" s="518"/>
      <c r="BH651" s="519"/>
      <c r="BI651" s="527"/>
      <c r="BJ651" s="518"/>
      <c r="BK651" s="518"/>
      <c r="BL651" s="520"/>
      <c r="BM651" s="520"/>
      <c r="BN651" s="519"/>
      <c r="BO651" s="517"/>
      <c r="BP651" s="520"/>
      <c r="BQ651" s="520"/>
      <c r="BR651" s="519"/>
      <c r="BS651" s="548"/>
      <c r="BT651" s="537"/>
      <c r="BU651" s="521"/>
      <c r="BV651" s="521"/>
      <c r="BW651" s="521"/>
      <c r="BX651" s="521"/>
      <c r="BY651" s="521"/>
      <c r="BZ651" s="521"/>
      <c r="CA651" s="521"/>
      <c r="CB651" s="521"/>
      <c r="CC651" s="521"/>
      <c r="CD651" s="521"/>
      <c r="CE651" s="521"/>
      <c r="CF651" s="521"/>
      <c r="CG651" s="521"/>
      <c r="CH651" s="521"/>
      <c r="CI651" s="521"/>
      <c r="CJ651" s="521"/>
      <c r="CK651" s="521"/>
      <c r="CL651" s="518"/>
      <c r="CM651" s="523"/>
      <c r="CN651" s="523"/>
      <c r="CO651" s="524"/>
      <c r="CP651" s="524"/>
      <c r="CQ651" s="518"/>
      <c r="CR651" s="518"/>
      <c r="CS651" s="518"/>
      <c r="CT651" s="518"/>
      <c r="CU651" s="518"/>
      <c r="CV651" s="518"/>
      <c r="CW651" s="518"/>
      <c r="CX651" s="518"/>
      <c r="CY651" s="518"/>
      <c r="CZ651" s="519"/>
      <c r="DA651" s="527"/>
      <c r="DB651" s="520"/>
      <c r="DC651" s="525"/>
      <c r="DD651" s="531"/>
      <c r="DE651" s="593"/>
      <c r="DF651" s="518"/>
      <c r="DG651" s="518"/>
      <c r="DH651" s="518"/>
      <c r="DI651" s="519"/>
      <c r="DJ651" s="560"/>
      <c r="DK651" s="522"/>
      <c r="DL651" s="522"/>
      <c r="DM651" s="522"/>
      <c r="DN651" s="522"/>
      <c r="DO651" s="522"/>
      <c r="DP651" s="518"/>
      <c r="DQ651" s="518"/>
      <c r="DR651" s="518"/>
      <c r="DS651" s="518"/>
      <c r="DT651" s="518"/>
      <c r="DU651" s="519"/>
      <c r="DV651" s="527"/>
      <c r="DW651" s="518"/>
      <c r="DX651" s="518"/>
      <c r="DY651" s="520"/>
      <c r="DZ651" s="520"/>
      <c r="EA651" s="519"/>
      <c r="EB651" s="527"/>
      <c r="EC651" s="520"/>
      <c r="ED651" s="520"/>
      <c r="EE651" s="519"/>
      <c r="EF651" s="550"/>
      <c r="EG651" s="537"/>
      <c r="EH651" s="521"/>
      <c r="EI651" s="521"/>
      <c r="EJ651" s="521"/>
      <c r="EK651" s="521"/>
      <c r="EL651" s="521"/>
      <c r="EM651" s="521"/>
      <c r="EN651" s="521"/>
      <c r="EO651" s="521"/>
      <c r="EP651" s="521"/>
      <c r="EQ651" s="521"/>
      <c r="ER651" s="521"/>
      <c r="ES651" s="521"/>
      <c r="ET651" s="521"/>
      <c r="EU651" s="521"/>
      <c r="EV651" s="521"/>
      <c r="EW651" s="521"/>
      <c r="EX651" s="521"/>
      <c r="EY651" s="518"/>
      <c r="EZ651" s="523"/>
      <c r="FA651" s="523"/>
      <c r="FB651" s="524"/>
      <c r="FC651" s="524"/>
      <c r="FD651" s="518"/>
      <c r="FE651" s="518"/>
      <c r="FF651" s="518"/>
      <c r="FG651" s="518"/>
      <c r="FH651" s="518"/>
      <c r="FI651" s="518"/>
      <c r="FJ651" s="518"/>
      <c r="FK651" s="518"/>
      <c r="FL651" s="518"/>
      <c r="FM651" s="519"/>
    </row>
    <row r="652" spans="1:169" x14ac:dyDescent="0.25">
      <c r="A652" s="284"/>
      <c r="B652" s="317"/>
      <c r="C652" s="297"/>
      <c r="D652" s="298"/>
      <c r="E652" s="299"/>
      <c r="F652" s="340"/>
      <c r="G652" s="298"/>
      <c r="H652" s="299"/>
      <c r="I652" s="300"/>
      <c r="J652" s="370"/>
      <c r="K652" s="328"/>
      <c r="L652" s="300"/>
      <c r="M652" s="328"/>
      <c r="N652" s="331"/>
      <c r="O652" s="301"/>
      <c r="P652" s="301"/>
      <c r="Q652" s="328"/>
      <c r="R652" s="620"/>
      <c r="S652" s="512"/>
      <c r="T652" s="512"/>
      <c r="U652" s="513"/>
      <c r="V652" s="514"/>
      <c r="W652" s="512"/>
      <c r="X652" s="513"/>
      <c r="Y652" s="514"/>
      <c r="Z652" s="513"/>
      <c r="AA652" s="515"/>
      <c r="AB652" s="516"/>
      <c r="AC652" s="513"/>
      <c r="AD652" s="544"/>
      <c r="AE652" s="516"/>
      <c r="AF652" s="513"/>
      <c r="AG652" s="551"/>
      <c r="AH652" s="595"/>
      <c r="AI652" s="517"/>
      <c r="AJ652" s="518"/>
      <c r="AK652" s="518"/>
      <c r="AL652" s="518"/>
      <c r="AM652" s="519"/>
      <c r="AN652" s="517"/>
      <c r="AO652" s="520"/>
      <c r="AP652" s="525"/>
      <c r="AQ652" s="531"/>
      <c r="AR652" s="593"/>
      <c r="AS652" s="518"/>
      <c r="AT652" s="518"/>
      <c r="AU652" s="518"/>
      <c r="AV652" s="519"/>
      <c r="AW652" s="560"/>
      <c r="AX652" s="522"/>
      <c r="AY652" s="522"/>
      <c r="AZ652" s="522"/>
      <c r="BA652" s="522"/>
      <c r="BB652" s="522"/>
      <c r="BC652" s="518"/>
      <c r="BD652" s="518"/>
      <c r="BE652" s="518"/>
      <c r="BF652" s="518"/>
      <c r="BG652" s="518"/>
      <c r="BH652" s="519"/>
      <c r="BI652" s="527"/>
      <c r="BJ652" s="518"/>
      <c r="BK652" s="518"/>
      <c r="BL652" s="520"/>
      <c r="BM652" s="520"/>
      <c r="BN652" s="519"/>
      <c r="BO652" s="517"/>
      <c r="BP652" s="520"/>
      <c r="BQ652" s="520"/>
      <c r="BR652" s="519"/>
      <c r="BS652" s="548"/>
      <c r="BT652" s="537"/>
      <c r="BU652" s="521"/>
      <c r="BV652" s="521"/>
      <c r="BW652" s="521"/>
      <c r="BX652" s="521"/>
      <c r="BY652" s="521"/>
      <c r="BZ652" s="521"/>
      <c r="CA652" s="521"/>
      <c r="CB652" s="521"/>
      <c r="CC652" s="521"/>
      <c r="CD652" s="521"/>
      <c r="CE652" s="521"/>
      <c r="CF652" s="521"/>
      <c r="CG652" s="521"/>
      <c r="CH652" s="521"/>
      <c r="CI652" s="521"/>
      <c r="CJ652" s="521"/>
      <c r="CK652" s="521"/>
      <c r="CL652" s="518"/>
      <c r="CM652" s="523"/>
      <c r="CN652" s="523"/>
      <c r="CO652" s="524"/>
      <c r="CP652" s="524"/>
      <c r="CQ652" s="518"/>
      <c r="CR652" s="518"/>
      <c r="CS652" s="518"/>
      <c r="CT652" s="518"/>
      <c r="CU652" s="518"/>
      <c r="CV652" s="518"/>
      <c r="CW652" s="518"/>
      <c r="CX652" s="518"/>
      <c r="CY652" s="518"/>
      <c r="CZ652" s="519"/>
      <c r="DA652" s="527"/>
      <c r="DB652" s="520"/>
      <c r="DC652" s="525"/>
      <c r="DD652" s="531"/>
      <c r="DE652" s="593"/>
      <c r="DF652" s="518"/>
      <c r="DG652" s="518"/>
      <c r="DH652" s="518"/>
      <c r="DI652" s="519"/>
      <c r="DJ652" s="560"/>
      <c r="DK652" s="522"/>
      <c r="DL652" s="522"/>
      <c r="DM652" s="522"/>
      <c r="DN652" s="522"/>
      <c r="DO652" s="522"/>
      <c r="DP652" s="518"/>
      <c r="DQ652" s="518"/>
      <c r="DR652" s="518"/>
      <c r="DS652" s="518"/>
      <c r="DT652" s="518"/>
      <c r="DU652" s="519"/>
      <c r="DV652" s="527"/>
      <c r="DW652" s="518"/>
      <c r="DX652" s="518"/>
      <c r="DY652" s="520"/>
      <c r="DZ652" s="520"/>
      <c r="EA652" s="519"/>
      <c r="EB652" s="527"/>
      <c r="EC652" s="520"/>
      <c r="ED652" s="520"/>
      <c r="EE652" s="519"/>
      <c r="EF652" s="550"/>
      <c r="EG652" s="537"/>
      <c r="EH652" s="521"/>
      <c r="EI652" s="521"/>
      <c r="EJ652" s="521"/>
      <c r="EK652" s="521"/>
      <c r="EL652" s="521"/>
      <c r="EM652" s="521"/>
      <c r="EN652" s="521"/>
      <c r="EO652" s="521"/>
      <c r="EP652" s="521"/>
      <c r="EQ652" s="521"/>
      <c r="ER652" s="521"/>
      <c r="ES652" s="521"/>
      <c r="ET652" s="521"/>
      <c r="EU652" s="521"/>
      <c r="EV652" s="521"/>
      <c r="EW652" s="521"/>
      <c r="EX652" s="521"/>
      <c r="EY652" s="518"/>
      <c r="EZ652" s="523"/>
      <c r="FA652" s="523"/>
      <c r="FB652" s="524"/>
      <c r="FC652" s="524"/>
      <c r="FD652" s="518"/>
      <c r="FE652" s="518"/>
      <c r="FF652" s="518"/>
      <c r="FG652" s="518"/>
      <c r="FH652" s="518"/>
      <c r="FI652" s="518"/>
      <c r="FJ652" s="518"/>
      <c r="FK652" s="518"/>
      <c r="FL652" s="518"/>
      <c r="FM652" s="519"/>
    </row>
    <row r="653" spans="1:169" x14ac:dyDescent="0.25">
      <c r="A653" s="284"/>
      <c r="B653" s="317"/>
      <c r="C653" s="297"/>
      <c r="D653" s="298"/>
      <c r="E653" s="299"/>
      <c r="F653" s="340"/>
      <c r="G653" s="298"/>
      <c r="H653" s="299"/>
      <c r="I653" s="300"/>
      <c r="J653" s="370"/>
      <c r="K653" s="328"/>
      <c r="L653" s="300"/>
      <c r="M653" s="328"/>
      <c r="N653" s="331"/>
      <c r="O653" s="301"/>
      <c r="P653" s="301"/>
      <c r="Q653" s="328"/>
      <c r="R653" s="620"/>
      <c r="S653" s="512"/>
      <c r="T653" s="512"/>
      <c r="U653" s="513"/>
      <c r="V653" s="514"/>
      <c r="W653" s="512"/>
      <c r="X653" s="513"/>
      <c r="Y653" s="514"/>
      <c r="Z653" s="513"/>
      <c r="AA653" s="515"/>
      <c r="AB653" s="516"/>
      <c r="AC653" s="513"/>
      <c r="AD653" s="544"/>
      <c r="AE653" s="516"/>
      <c r="AF653" s="513"/>
      <c r="AG653" s="551"/>
      <c r="AH653" s="595"/>
      <c r="AI653" s="517"/>
      <c r="AJ653" s="518"/>
      <c r="AK653" s="518"/>
      <c r="AL653" s="518"/>
      <c r="AM653" s="519"/>
      <c r="AN653" s="517"/>
      <c r="AO653" s="520"/>
      <c r="AP653" s="525"/>
      <c r="AQ653" s="531"/>
      <c r="AR653" s="593"/>
      <c r="AS653" s="518"/>
      <c r="AT653" s="518"/>
      <c r="AU653" s="518"/>
      <c r="AV653" s="519"/>
      <c r="AW653" s="560"/>
      <c r="AX653" s="522"/>
      <c r="AY653" s="522"/>
      <c r="AZ653" s="522"/>
      <c r="BA653" s="522"/>
      <c r="BB653" s="522"/>
      <c r="BC653" s="518"/>
      <c r="BD653" s="518"/>
      <c r="BE653" s="518"/>
      <c r="BF653" s="518"/>
      <c r="BG653" s="518"/>
      <c r="BH653" s="519"/>
      <c r="BI653" s="527"/>
      <c r="BJ653" s="518"/>
      <c r="BK653" s="518"/>
      <c r="BL653" s="520"/>
      <c r="BM653" s="520"/>
      <c r="BN653" s="519"/>
      <c r="BO653" s="517"/>
      <c r="BP653" s="520"/>
      <c r="BQ653" s="520"/>
      <c r="BR653" s="519"/>
      <c r="BS653" s="548"/>
      <c r="BT653" s="537"/>
      <c r="BU653" s="521"/>
      <c r="BV653" s="521"/>
      <c r="BW653" s="521"/>
      <c r="BX653" s="521"/>
      <c r="BY653" s="521"/>
      <c r="BZ653" s="521"/>
      <c r="CA653" s="521"/>
      <c r="CB653" s="521"/>
      <c r="CC653" s="521"/>
      <c r="CD653" s="521"/>
      <c r="CE653" s="521"/>
      <c r="CF653" s="521"/>
      <c r="CG653" s="521"/>
      <c r="CH653" s="521"/>
      <c r="CI653" s="521"/>
      <c r="CJ653" s="521"/>
      <c r="CK653" s="521"/>
      <c r="CL653" s="518"/>
      <c r="CM653" s="523"/>
      <c r="CN653" s="523"/>
      <c r="CO653" s="524"/>
      <c r="CP653" s="524"/>
      <c r="CQ653" s="518"/>
      <c r="CR653" s="518"/>
      <c r="CS653" s="518"/>
      <c r="CT653" s="518"/>
      <c r="CU653" s="518"/>
      <c r="CV653" s="518"/>
      <c r="CW653" s="518"/>
      <c r="CX653" s="518"/>
      <c r="CY653" s="518"/>
      <c r="CZ653" s="519"/>
      <c r="DA653" s="527"/>
      <c r="DB653" s="520"/>
      <c r="DC653" s="525"/>
      <c r="DD653" s="531"/>
      <c r="DE653" s="593"/>
      <c r="DF653" s="518"/>
      <c r="DG653" s="518"/>
      <c r="DH653" s="518"/>
      <c r="DI653" s="519"/>
      <c r="DJ653" s="560"/>
      <c r="DK653" s="522"/>
      <c r="DL653" s="522"/>
      <c r="DM653" s="522"/>
      <c r="DN653" s="522"/>
      <c r="DO653" s="522"/>
      <c r="DP653" s="518"/>
      <c r="DQ653" s="518"/>
      <c r="DR653" s="518"/>
      <c r="DS653" s="518"/>
      <c r="DT653" s="518"/>
      <c r="DU653" s="519"/>
      <c r="DV653" s="527"/>
      <c r="DW653" s="518"/>
      <c r="DX653" s="518"/>
      <c r="DY653" s="520"/>
      <c r="DZ653" s="520"/>
      <c r="EA653" s="519"/>
      <c r="EB653" s="527"/>
      <c r="EC653" s="520"/>
      <c r="ED653" s="520"/>
      <c r="EE653" s="519"/>
      <c r="EF653" s="550"/>
      <c r="EG653" s="537"/>
      <c r="EH653" s="521"/>
      <c r="EI653" s="521"/>
      <c r="EJ653" s="521"/>
      <c r="EK653" s="521"/>
      <c r="EL653" s="521"/>
      <c r="EM653" s="521"/>
      <c r="EN653" s="521"/>
      <c r="EO653" s="521"/>
      <c r="EP653" s="521"/>
      <c r="EQ653" s="521"/>
      <c r="ER653" s="521"/>
      <c r="ES653" s="521"/>
      <c r="ET653" s="521"/>
      <c r="EU653" s="521"/>
      <c r="EV653" s="521"/>
      <c r="EW653" s="521"/>
      <c r="EX653" s="521"/>
      <c r="EY653" s="518"/>
      <c r="EZ653" s="523"/>
      <c r="FA653" s="523"/>
      <c r="FB653" s="524"/>
      <c r="FC653" s="524"/>
      <c r="FD653" s="518"/>
      <c r="FE653" s="518"/>
      <c r="FF653" s="518"/>
      <c r="FG653" s="518"/>
      <c r="FH653" s="518"/>
      <c r="FI653" s="518"/>
      <c r="FJ653" s="518"/>
      <c r="FK653" s="518"/>
      <c r="FL653" s="518"/>
      <c r="FM653" s="519"/>
    </row>
    <row r="654" spans="1:169" x14ac:dyDescent="0.25">
      <c r="A654" s="284"/>
      <c r="B654" s="317"/>
      <c r="C654" s="297"/>
      <c r="D654" s="298"/>
      <c r="E654" s="299"/>
      <c r="F654" s="340"/>
      <c r="G654" s="298"/>
      <c r="H654" s="299"/>
      <c r="I654" s="300"/>
      <c r="J654" s="370"/>
      <c r="K654" s="328"/>
      <c r="L654" s="300"/>
      <c r="M654" s="328"/>
      <c r="N654" s="331"/>
      <c r="O654" s="301"/>
      <c r="P654" s="301"/>
      <c r="Q654" s="328"/>
      <c r="R654" s="620"/>
      <c r="S654" s="512"/>
      <c r="T654" s="512"/>
      <c r="U654" s="513"/>
      <c r="V654" s="514"/>
      <c r="W654" s="512"/>
      <c r="X654" s="513"/>
      <c r="Y654" s="514"/>
      <c r="Z654" s="513"/>
      <c r="AA654" s="515"/>
      <c r="AB654" s="516"/>
      <c r="AC654" s="513"/>
      <c r="AD654" s="544"/>
      <c r="AE654" s="516"/>
      <c r="AF654" s="513"/>
      <c r="AG654" s="551"/>
      <c r="AH654" s="595"/>
      <c r="AI654" s="517"/>
      <c r="AJ654" s="518"/>
      <c r="AK654" s="518"/>
      <c r="AL654" s="518"/>
      <c r="AM654" s="519"/>
      <c r="AN654" s="517"/>
      <c r="AO654" s="520"/>
      <c r="AP654" s="525"/>
      <c r="AQ654" s="531"/>
      <c r="AR654" s="593"/>
      <c r="AS654" s="518"/>
      <c r="AT654" s="518"/>
      <c r="AU654" s="518"/>
      <c r="AV654" s="519"/>
      <c r="AW654" s="560"/>
      <c r="AX654" s="522"/>
      <c r="AY654" s="522"/>
      <c r="AZ654" s="522"/>
      <c r="BA654" s="522"/>
      <c r="BB654" s="522"/>
      <c r="BC654" s="518"/>
      <c r="BD654" s="518"/>
      <c r="BE654" s="518"/>
      <c r="BF654" s="518"/>
      <c r="BG654" s="518"/>
      <c r="BH654" s="519"/>
      <c r="BI654" s="527"/>
      <c r="BJ654" s="518"/>
      <c r="BK654" s="518"/>
      <c r="BL654" s="520"/>
      <c r="BM654" s="520"/>
      <c r="BN654" s="519"/>
      <c r="BO654" s="517"/>
      <c r="BP654" s="520"/>
      <c r="BQ654" s="520"/>
      <c r="BR654" s="519"/>
      <c r="BS654" s="548"/>
      <c r="BT654" s="537"/>
      <c r="BU654" s="521"/>
      <c r="BV654" s="521"/>
      <c r="BW654" s="521"/>
      <c r="BX654" s="521"/>
      <c r="BY654" s="521"/>
      <c r="BZ654" s="521"/>
      <c r="CA654" s="521"/>
      <c r="CB654" s="521"/>
      <c r="CC654" s="521"/>
      <c r="CD654" s="521"/>
      <c r="CE654" s="521"/>
      <c r="CF654" s="521"/>
      <c r="CG654" s="521"/>
      <c r="CH654" s="521"/>
      <c r="CI654" s="521"/>
      <c r="CJ654" s="521"/>
      <c r="CK654" s="521"/>
      <c r="CL654" s="518"/>
      <c r="CM654" s="523"/>
      <c r="CN654" s="523"/>
      <c r="CO654" s="524"/>
      <c r="CP654" s="524"/>
      <c r="CQ654" s="518"/>
      <c r="CR654" s="518"/>
      <c r="CS654" s="518"/>
      <c r="CT654" s="518"/>
      <c r="CU654" s="518"/>
      <c r="CV654" s="518"/>
      <c r="CW654" s="518"/>
      <c r="CX654" s="518"/>
      <c r="CY654" s="518"/>
      <c r="CZ654" s="519"/>
      <c r="DA654" s="527"/>
      <c r="DB654" s="520"/>
      <c r="DC654" s="525"/>
      <c r="DD654" s="531"/>
      <c r="DE654" s="593"/>
      <c r="DF654" s="518"/>
      <c r="DG654" s="518"/>
      <c r="DH654" s="518"/>
      <c r="DI654" s="519"/>
      <c r="DJ654" s="560"/>
      <c r="DK654" s="522"/>
      <c r="DL654" s="522"/>
      <c r="DM654" s="522"/>
      <c r="DN654" s="522"/>
      <c r="DO654" s="522"/>
      <c r="DP654" s="518"/>
      <c r="DQ654" s="518"/>
      <c r="DR654" s="518"/>
      <c r="DS654" s="518"/>
      <c r="DT654" s="518"/>
      <c r="DU654" s="519"/>
      <c r="DV654" s="527"/>
      <c r="DW654" s="518"/>
      <c r="DX654" s="518"/>
      <c r="DY654" s="520"/>
      <c r="DZ654" s="520"/>
      <c r="EA654" s="519"/>
      <c r="EB654" s="527"/>
      <c r="EC654" s="520"/>
      <c r="ED654" s="520"/>
      <c r="EE654" s="519"/>
      <c r="EF654" s="550"/>
      <c r="EG654" s="537"/>
      <c r="EH654" s="521"/>
      <c r="EI654" s="521"/>
      <c r="EJ654" s="521"/>
      <c r="EK654" s="521"/>
      <c r="EL654" s="521"/>
      <c r="EM654" s="521"/>
      <c r="EN654" s="521"/>
      <c r="EO654" s="521"/>
      <c r="EP654" s="521"/>
      <c r="EQ654" s="521"/>
      <c r="ER654" s="521"/>
      <c r="ES654" s="521"/>
      <c r="ET654" s="521"/>
      <c r="EU654" s="521"/>
      <c r="EV654" s="521"/>
      <c r="EW654" s="521"/>
      <c r="EX654" s="521"/>
      <c r="EY654" s="518"/>
      <c r="EZ654" s="523"/>
      <c r="FA654" s="523"/>
      <c r="FB654" s="524"/>
      <c r="FC654" s="524"/>
      <c r="FD654" s="518"/>
      <c r="FE654" s="518"/>
      <c r="FF654" s="518"/>
      <c r="FG654" s="518"/>
      <c r="FH654" s="518"/>
      <c r="FI654" s="518"/>
      <c r="FJ654" s="518"/>
      <c r="FK654" s="518"/>
      <c r="FL654" s="518"/>
      <c r="FM654" s="519"/>
    </row>
    <row r="655" spans="1:169" x14ac:dyDescent="0.25">
      <c r="A655" s="284"/>
      <c r="B655" s="317"/>
      <c r="C655" s="297"/>
      <c r="D655" s="298"/>
      <c r="E655" s="299"/>
      <c r="F655" s="340"/>
      <c r="G655" s="298"/>
      <c r="H655" s="299"/>
      <c r="I655" s="300"/>
      <c r="J655" s="370"/>
      <c r="K655" s="328"/>
      <c r="L655" s="300"/>
      <c r="M655" s="328"/>
      <c r="N655" s="331"/>
      <c r="O655" s="301"/>
      <c r="P655" s="301"/>
      <c r="Q655" s="328"/>
      <c r="R655" s="620"/>
      <c r="S655" s="512"/>
      <c r="T655" s="512"/>
      <c r="U655" s="513"/>
      <c r="V655" s="514"/>
      <c r="W655" s="512"/>
      <c r="X655" s="513"/>
      <c r="Y655" s="514"/>
      <c r="Z655" s="513"/>
      <c r="AA655" s="515"/>
      <c r="AB655" s="516"/>
      <c r="AC655" s="513"/>
      <c r="AD655" s="544"/>
      <c r="AE655" s="516"/>
      <c r="AF655" s="513"/>
      <c r="AG655" s="551"/>
      <c r="AH655" s="595"/>
      <c r="AI655" s="517"/>
      <c r="AJ655" s="518"/>
      <c r="AK655" s="518"/>
      <c r="AL655" s="518"/>
      <c r="AM655" s="519"/>
      <c r="AN655" s="517"/>
      <c r="AO655" s="520"/>
      <c r="AP655" s="525"/>
      <c r="AQ655" s="531"/>
      <c r="AR655" s="593"/>
      <c r="AS655" s="518"/>
      <c r="AT655" s="518"/>
      <c r="AU655" s="518"/>
      <c r="AV655" s="519"/>
      <c r="AW655" s="560"/>
      <c r="AX655" s="522"/>
      <c r="AY655" s="522"/>
      <c r="AZ655" s="522"/>
      <c r="BA655" s="522"/>
      <c r="BB655" s="522"/>
      <c r="BC655" s="518"/>
      <c r="BD655" s="518"/>
      <c r="BE655" s="518"/>
      <c r="BF655" s="518"/>
      <c r="BG655" s="518"/>
      <c r="BH655" s="519"/>
      <c r="BI655" s="527"/>
      <c r="BJ655" s="518"/>
      <c r="BK655" s="518"/>
      <c r="BL655" s="520"/>
      <c r="BM655" s="520"/>
      <c r="BN655" s="519"/>
      <c r="BO655" s="517"/>
      <c r="BP655" s="520"/>
      <c r="BQ655" s="520"/>
      <c r="BR655" s="519"/>
      <c r="BS655" s="548"/>
      <c r="BT655" s="537"/>
      <c r="BU655" s="521"/>
      <c r="BV655" s="521"/>
      <c r="BW655" s="521"/>
      <c r="BX655" s="521"/>
      <c r="BY655" s="521"/>
      <c r="BZ655" s="521"/>
      <c r="CA655" s="521"/>
      <c r="CB655" s="521"/>
      <c r="CC655" s="521"/>
      <c r="CD655" s="521"/>
      <c r="CE655" s="521"/>
      <c r="CF655" s="521"/>
      <c r="CG655" s="521"/>
      <c r="CH655" s="521"/>
      <c r="CI655" s="521"/>
      <c r="CJ655" s="521"/>
      <c r="CK655" s="521"/>
      <c r="CL655" s="518"/>
      <c r="CM655" s="523"/>
      <c r="CN655" s="523"/>
      <c r="CO655" s="524"/>
      <c r="CP655" s="524"/>
      <c r="CQ655" s="518"/>
      <c r="CR655" s="518"/>
      <c r="CS655" s="518"/>
      <c r="CT655" s="518"/>
      <c r="CU655" s="518"/>
      <c r="CV655" s="518"/>
      <c r="CW655" s="518"/>
      <c r="CX655" s="518"/>
      <c r="CY655" s="518"/>
      <c r="CZ655" s="519"/>
      <c r="DA655" s="527"/>
      <c r="DB655" s="520"/>
      <c r="DC655" s="525"/>
      <c r="DD655" s="531"/>
      <c r="DE655" s="593"/>
      <c r="DF655" s="518"/>
      <c r="DG655" s="518"/>
      <c r="DH655" s="518"/>
      <c r="DI655" s="519"/>
      <c r="DJ655" s="560"/>
      <c r="DK655" s="522"/>
      <c r="DL655" s="522"/>
      <c r="DM655" s="522"/>
      <c r="DN655" s="522"/>
      <c r="DO655" s="522"/>
      <c r="DP655" s="518"/>
      <c r="DQ655" s="518"/>
      <c r="DR655" s="518"/>
      <c r="DS655" s="518"/>
      <c r="DT655" s="518"/>
      <c r="DU655" s="519"/>
      <c r="DV655" s="527"/>
      <c r="DW655" s="518"/>
      <c r="DX655" s="518"/>
      <c r="DY655" s="520"/>
      <c r="DZ655" s="520"/>
      <c r="EA655" s="519"/>
      <c r="EB655" s="527"/>
      <c r="EC655" s="520"/>
      <c r="ED655" s="520"/>
      <c r="EE655" s="519"/>
      <c r="EF655" s="550"/>
      <c r="EG655" s="537"/>
      <c r="EH655" s="521"/>
      <c r="EI655" s="521"/>
      <c r="EJ655" s="521"/>
      <c r="EK655" s="521"/>
      <c r="EL655" s="521"/>
      <c r="EM655" s="521"/>
      <c r="EN655" s="521"/>
      <c r="EO655" s="521"/>
      <c r="EP655" s="521"/>
      <c r="EQ655" s="521"/>
      <c r="ER655" s="521"/>
      <c r="ES655" s="521"/>
      <c r="ET655" s="521"/>
      <c r="EU655" s="521"/>
      <c r="EV655" s="521"/>
      <c r="EW655" s="521"/>
      <c r="EX655" s="521"/>
      <c r="EY655" s="518"/>
      <c r="EZ655" s="523"/>
      <c r="FA655" s="523"/>
      <c r="FB655" s="524"/>
      <c r="FC655" s="524"/>
      <c r="FD655" s="518"/>
      <c r="FE655" s="518"/>
      <c r="FF655" s="518"/>
      <c r="FG655" s="518"/>
      <c r="FH655" s="518"/>
      <c r="FI655" s="518"/>
      <c r="FJ655" s="518"/>
      <c r="FK655" s="518"/>
      <c r="FL655" s="518"/>
      <c r="FM655" s="519"/>
    </row>
    <row r="656" spans="1:169" x14ac:dyDescent="0.25">
      <c r="A656" s="284"/>
      <c r="B656" s="317"/>
      <c r="C656" s="297"/>
      <c r="D656" s="298"/>
      <c r="E656" s="299"/>
      <c r="F656" s="340"/>
      <c r="G656" s="298"/>
      <c r="H656" s="299"/>
      <c r="I656" s="300"/>
      <c r="J656" s="370"/>
      <c r="K656" s="328"/>
      <c r="L656" s="300"/>
      <c r="M656" s="328"/>
      <c r="N656" s="331"/>
      <c r="O656" s="301"/>
      <c r="P656" s="301"/>
      <c r="Q656" s="328"/>
      <c r="R656" s="620"/>
      <c r="S656" s="512"/>
      <c r="T656" s="512"/>
      <c r="U656" s="513"/>
      <c r="V656" s="514"/>
      <c r="W656" s="512"/>
      <c r="X656" s="513"/>
      <c r="Y656" s="514"/>
      <c r="Z656" s="513"/>
      <c r="AA656" s="515"/>
      <c r="AB656" s="516"/>
      <c r="AC656" s="513"/>
      <c r="AD656" s="544"/>
      <c r="AE656" s="516"/>
      <c r="AF656" s="513"/>
      <c r="AG656" s="551"/>
      <c r="AH656" s="595"/>
      <c r="AI656" s="517"/>
      <c r="AJ656" s="518"/>
      <c r="AK656" s="518"/>
      <c r="AL656" s="518"/>
      <c r="AM656" s="519"/>
      <c r="AN656" s="517"/>
      <c r="AO656" s="520"/>
      <c r="AP656" s="525"/>
      <c r="AQ656" s="531"/>
      <c r="AR656" s="593"/>
      <c r="AS656" s="518"/>
      <c r="AT656" s="518"/>
      <c r="AU656" s="518"/>
      <c r="AV656" s="519"/>
      <c r="AW656" s="560"/>
      <c r="AX656" s="522"/>
      <c r="AY656" s="522"/>
      <c r="AZ656" s="522"/>
      <c r="BA656" s="522"/>
      <c r="BB656" s="522"/>
      <c r="BC656" s="518"/>
      <c r="BD656" s="518"/>
      <c r="BE656" s="518"/>
      <c r="BF656" s="518"/>
      <c r="BG656" s="518"/>
      <c r="BH656" s="519"/>
      <c r="BI656" s="527"/>
      <c r="BJ656" s="518"/>
      <c r="BK656" s="518"/>
      <c r="BL656" s="520"/>
      <c r="BM656" s="520"/>
      <c r="BN656" s="519"/>
      <c r="BO656" s="517"/>
      <c r="BP656" s="520"/>
      <c r="BQ656" s="520"/>
      <c r="BR656" s="519"/>
      <c r="BS656" s="548"/>
      <c r="BT656" s="537"/>
      <c r="BU656" s="521"/>
      <c r="BV656" s="521"/>
      <c r="BW656" s="521"/>
      <c r="BX656" s="521"/>
      <c r="BY656" s="521"/>
      <c r="BZ656" s="521"/>
      <c r="CA656" s="521"/>
      <c r="CB656" s="521"/>
      <c r="CC656" s="521"/>
      <c r="CD656" s="521"/>
      <c r="CE656" s="521"/>
      <c r="CF656" s="521"/>
      <c r="CG656" s="521"/>
      <c r="CH656" s="521"/>
      <c r="CI656" s="521"/>
      <c r="CJ656" s="521"/>
      <c r="CK656" s="521"/>
      <c r="CL656" s="518"/>
      <c r="CM656" s="523"/>
      <c r="CN656" s="523"/>
      <c r="CO656" s="524"/>
      <c r="CP656" s="524"/>
      <c r="CQ656" s="518"/>
      <c r="CR656" s="518"/>
      <c r="CS656" s="518"/>
      <c r="CT656" s="518"/>
      <c r="CU656" s="518"/>
      <c r="CV656" s="518"/>
      <c r="CW656" s="518"/>
      <c r="CX656" s="518"/>
      <c r="CY656" s="518"/>
      <c r="CZ656" s="519"/>
      <c r="DA656" s="527"/>
      <c r="DB656" s="520"/>
      <c r="DC656" s="525"/>
      <c r="DD656" s="531"/>
      <c r="DE656" s="593"/>
      <c r="DF656" s="518"/>
      <c r="DG656" s="518"/>
      <c r="DH656" s="518"/>
      <c r="DI656" s="519"/>
      <c r="DJ656" s="560"/>
      <c r="DK656" s="522"/>
      <c r="DL656" s="522"/>
      <c r="DM656" s="522"/>
      <c r="DN656" s="522"/>
      <c r="DO656" s="522"/>
      <c r="DP656" s="518"/>
      <c r="DQ656" s="518"/>
      <c r="DR656" s="518"/>
      <c r="DS656" s="518"/>
      <c r="DT656" s="518"/>
      <c r="DU656" s="519"/>
      <c r="DV656" s="527"/>
      <c r="DW656" s="518"/>
      <c r="DX656" s="518"/>
      <c r="DY656" s="520"/>
      <c r="DZ656" s="520"/>
      <c r="EA656" s="519"/>
      <c r="EB656" s="527"/>
      <c r="EC656" s="520"/>
      <c r="ED656" s="520"/>
      <c r="EE656" s="519"/>
      <c r="EF656" s="550"/>
      <c r="EG656" s="537"/>
      <c r="EH656" s="521"/>
      <c r="EI656" s="521"/>
      <c r="EJ656" s="521"/>
      <c r="EK656" s="521"/>
      <c r="EL656" s="521"/>
      <c r="EM656" s="521"/>
      <c r="EN656" s="521"/>
      <c r="EO656" s="521"/>
      <c r="EP656" s="521"/>
      <c r="EQ656" s="521"/>
      <c r="ER656" s="521"/>
      <c r="ES656" s="521"/>
      <c r="ET656" s="521"/>
      <c r="EU656" s="521"/>
      <c r="EV656" s="521"/>
      <c r="EW656" s="521"/>
      <c r="EX656" s="521"/>
      <c r="EY656" s="518"/>
      <c r="EZ656" s="523"/>
      <c r="FA656" s="523"/>
      <c r="FB656" s="524"/>
      <c r="FC656" s="524"/>
      <c r="FD656" s="518"/>
      <c r="FE656" s="518"/>
      <c r="FF656" s="518"/>
      <c r="FG656" s="518"/>
      <c r="FH656" s="518"/>
      <c r="FI656" s="518"/>
      <c r="FJ656" s="518"/>
      <c r="FK656" s="518"/>
      <c r="FL656" s="518"/>
      <c r="FM656" s="519"/>
    </row>
    <row r="657" spans="1:169" x14ac:dyDescent="0.25">
      <c r="A657" s="284"/>
      <c r="B657" s="317"/>
      <c r="C657" s="297"/>
      <c r="D657" s="298"/>
      <c r="E657" s="299"/>
      <c r="F657" s="340"/>
      <c r="G657" s="298"/>
      <c r="H657" s="299"/>
      <c r="I657" s="300"/>
      <c r="J657" s="370"/>
      <c r="K657" s="328"/>
      <c r="L657" s="300"/>
      <c r="M657" s="328"/>
      <c r="N657" s="331"/>
      <c r="O657" s="301"/>
      <c r="P657" s="301"/>
      <c r="Q657" s="328"/>
      <c r="R657" s="620"/>
      <c r="S657" s="512"/>
      <c r="T657" s="512"/>
      <c r="U657" s="513"/>
      <c r="V657" s="514"/>
      <c r="W657" s="512"/>
      <c r="X657" s="513"/>
      <c r="Y657" s="514"/>
      <c r="Z657" s="513"/>
      <c r="AA657" s="515"/>
      <c r="AB657" s="516"/>
      <c r="AC657" s="513"/>
      <c r="AD657" s="544"/>
      <c r="AE657" s="516"/>
      <c r="AF657" s="513"/>
      <c r="AG657" s="551"/>
      <c r="AH657" s="595"/>
      <c r="AI657" s="517"/>
      <c r="AJ657" s="518"/>
      <c r="AK657" s="518"/>
      <c r="AL657" s="518"/>
      <c r="AM657" s="519"/>
      <c r="AN657" s="517"/>
      <c r="AO657" s="520"/>
      <c r="AP657" s="525"/>
      <c r="AQ657" s="531"/>
      <c r="AR657" s="593"/>
      <c r="AS657" s="518"/>
      <c r="AT657" s="518"/>
      <c r="AU657" s="518"/>
      <c r="AV657" s="519"/>
      <c r="AW657" s="560"/>
      <c r="AX657" s="522"/>
      <c r="AY657" s="522"/>
      <c r="AZ657" s="522"/>
      <c r="BA657" s="522"/>
      <c r="BB657" s="522"/>
      <c r="BC657" s="518"/>
      <c r="BD657" s="518"/>
      <c r="BE657" s="518"/>
      <c r="BF657" s="518"/>
      <c r="BG657" s="518"/>
      <c r="BH657" s="519"/>
      <c r="BI657" s="527"/>
      <c r="BJ657" s="518"/>
      <c r="BK657" s="518"/>
      <c r="BL657" s="520"/>
      <c r="BM657" s="520"/>
      <c r="BN657" s="519"/>
      <c r="BO657" s="517"/>
      <c r="BP657" s="520"/>
      <c r="BQ657" s="520"/>
      <c r="BR657" s="519"/>
      <c r="BS657" s="548"/>
      <c r="BT657" s="537"/>
      <c r="BU657" s="521"/>
      <c r="BV657" s="521"/>
      <c r="BW657" s="521"/>
      <c r="BX657" s="521"/>
      <c r="BY657" s="521"/>
      <c r="BZ657" s="521"/>
      <c r="CA657" s="521"/>
      <c r="CB657" s="521"/>
      <c r="CC657" s="521"/>
      <c r="CD657" s="521"/>
      <c r="CE657" s="521"/>
      <c r="CF657" s="521"/>
      <c r="CG657" s="521"/>
      <c r="CH657" s="521"/>
      <c r="CI657" s="521"/>
      <c r="CJ657" s="521"/>
      <c r="CK657" s="521"/>
      <c r="CL657" s="518"/>
      <c r="CM657" s="523"/>
      <c r="CN657" s="523"/>
      <c r="CO657" s="524"/>
      <c r="CP657" s="524"/>
      <c r="CQ657" s="518"/>
      <c r="CR657" s="518"/>
      <c r="CS657" s="518"/>
      <c r="CT657" s="518"/>
      <c r="CU657" s="518"/>
      <c r="CV657" s="518"/>
      <c r="CW657" s="518"/>
      <c r="CX657" s="518"/>
      <c r="CY657" s="518"/>
      <c r="CZ657" s="519"/>
      <c r="DA657" s="527"/>
      <c r="DB657" s="520"/>
      <c r="DC657" s="525"/>
      <c r="DD657" s="531"/>
      <c r="DE657" s="593"/>
      <c r="DF657" s="518"/>
      <c r="DG657" s="518"/>
      <c r="DH657" s="518"/>
      <c r="DI657" s="519"/>
      <c r="DJ657" s="560"/>
      <c r="DK657" s="522"/>
      <c r="DL657" s="522"/>
      <c r="DM657" s="522"/>
      <c r="DN657" s="522"/>
      <c r="DO657" s="522"/>
      <c r="DP657" s="518"/>
      <c r="DQ657" s="518"/>
      <c r="DR657" s="518"/>
      <c r="DS657" s="518"/>
      <c r="DT657" s="518"/>
      <c r="DU657" s="519"/>
      <c r="DV657" s="527"/>
      <c r="DW657" s="518"/>
      <c r="DX657" s="518"/>
      <c r="DY657" s="520"/>
      <c r="DZ657" s="520"/>
      <c r="EA657" s="519"/>
      <c r="EB657" s="527"/>
      <c r="EC657" s="520"/>
      <c r="ED657" s="520"/>
      <c r="EE657" s="519"/>
      <c r="EF657" s="550"/>
      <c r="EG657" s="537"/>
      <c r="EH657" s="521"/>
      <c r="EI657" s="521"/>
      <c r="EJ657" s="521"/>
      <c r="EK657" s="521"/>
      <c r="EL657" s="521"/>
      <c r="EM657" s="521"/>
      <c r="EN657" s="521"/>
      <c r="EO657" s="521"/>
      <c r="EP657" s="521"/>
      <c r="EQ657" s="521"/>
      <c r="ER657" s="521"/>
      <c r="ES657" s="521"/>
      <c r="ET657" s="521"/>
      <c r="EU657" s="521"/>
      <c r="EV657" s="521"/>
      <c r="EW657" s="521"/>
      <c r="EX657" s="521"/>
      <c r="EY657" s="518"/>
      <c r="EZ657" s="523"/>
      <c r="FA657" s="523"/>
      <c r="FB657" s="524"/>
      <c r="FC657" s="524"/>
      <c r="FD657" s="518"/>
      <c r="FE657" s="518"/>
      <c r="FF657" s="518"/>
      <c r="FG657" s="518"/>
      <c r="FH657" s="518"/>
      <c r="FI657" s="518"/>
      <c r="FJ657" s="518"/>
      <c r="FK657" s="518"/>
      <c r="FL657" s="518"/>
      <c r="FM657" s="519"/>
    </row>
    <row r="658" spans="1:169" x14ac:dyDescent="0.25">
      <c r="A658" s="284"/>
      <c r="B658" s="317"/>
      <c r="C658" s="297"/>
      <c r="D658" s="298"/>
      <c r="E658" s="299"/>
      <c r="F658" s="340"/>
      <c r="G658" s="298"/>
      <c r="H658" s="299"/>
      <c r="I658" s="300"/>
      <c r="J658" s="370"/>
      <c r="K658" s="328"/>
      <c r="L658" s="300"/>
      <c r="M658" s="328"/>
      <c r="N658" s="331"/>
      <c r="O658" s="301"/>
      <c r="P658" s="301"/>
      <c r="Q658" s="328"/>
      <c r="R658" s="620"/>
      <c r="S658" s="512"/>
      <c r="T658" s="512"/>
      <c r="U658" s="513"/>
      <c r="V658" s="514"/>
      <c r="W658" s="512"/>
      <c r="X658" s="513"/>
      <c r="Y658" s="514"/>
      <c r="Z658" s="513"/>
      <c r="AA658" s="515"/>
      <c r="AB658" s="516"/>
      <c r="AC658" s="513"/>
      <c r="AD658" s="544"/>
      <c r="AE658" s="516"/>
      <c r="AF658" s="513"/>
      <c r="AG658" s="551"/>
      <c r="AH658" s="595"/>
      <c r="AI658" s="517"/>
      <c r="AJ658" s="518"/>
      <c r="AK658" s="518"/>
      <c r="AL658" s="518"/>
      <c r="AM658" s="519"/>
      <c r="AN658" s="517"/>
      <c r="AO658" s="520"/>
      <c r="AP658" s="525"/>
      <c r="AQ658" s="531"/>
      <c r="AR658" s="593"/>
      <c r="AS658" s="518"/>
      <c r="AT658" s="518"/>
      <c r="AU658" s="518"/>
      <c r="AV658" s="519"/>
      <c r="AW658" s="560"/>
      <c r="AX658" s="522"/>
      <c r="AY658" s="522"/>
      <c r="AZ658" s="522"/>
      <c r="BA658" s="522"/>
      <c r="BB658" s="522"/>
      <c r="BC658" s="518"/>
      <c r="BD658" s="518"/>
      <c r="BE658" s="518"/>
      <c r="BF658" s="518"/>
      <c r="BG658" s="518"/>
      <c r="BH658" s="519"/>
      <c r="BI658" s="527"/>
      <c r="BJ658" s="518"/>
      <c r="BK658" s="518"/>
      <c r="BL658" s="520"/>
      <c r="BM658" s="520"/>
      <c r="BN658" s="519"/>
      <c r="BO658" s="517"/>
      <c r="BP658" s="520"/>
      <c r="BQ658" s="520"/>
      <c r="BR658" s="519"/>
      <c r="BS658" s="548"/>
      <c r="BT658" s="537"/>
      <c r="BU658" s="521"/>
      <c r="BV658" s="521"/>
      <c r="BW658" s="521"/>
      <c r="BX658" s="521"/>
      <c r="BY658" s="521"/>
      <c r="BZ658" s="521"/>
      <c r="CA658" s="521"/>
      <c r="CB658" s="521"/>
      <c r="CC658" s="521"/>
      <c r="CD658" s="521"/>
      <c r="CE658" s="521"/>
      <c r="CF658" s="521"/>
      <c r="CG658" s="521"/>
      <c r="CH658" s="521"/>
      <c r="CI658" s="521"/>
      <c r="CJ658" s="521"/>
      <c r="CK658" s="521"/>
      <c r="CL658" s="518"/>
      <c r="CM658" s="523"/>
      <c r="CN658" s="523"/>
      <c r="CO658" s="524"/>
      <c r="CP658" s="524"/>
      <c r="CQ658" s="518"/>
      <c r="CR658" s="518"/>
      <c r="CS658" s="518"/>
      <c r="CT658" s="518"/>
      <c r="CU658" s="518"/>
      <c r="CV658" s="518"/>
      <c r="CW658" s="518"/>
      <c r="CX658" s="518"/>
      <c r="CY658" s="518"/>
      <c r="CZ658" s="519"/>
      <c r="DA658" s="527"/>
      <c r="DB658" s="520"/>
      <c r="DC658" s="525"/>
      <c r="DD658" s="531"/>
      <c r="DE658" s="593"/>
      <c r="DF658" s="518"/>
      <c r="DG658" s="518"/>
      <c r="DH658" s="518"/>
      <c r="DI658" s="519"/>
      <c r="DJ658" s="560"/>
      <c r="DK658" s="522"/>
      <c r="DL658" s="522"/>
      <c r="DM658" s="522"/>
      <c r="DN658" s="522"/>
      <c r="DO658" s="522"/>
      <c r="DP658" s="518"/>
      <c r="DQ658" s="518"/>
      <c r="DR658" s="518"/>
      <c r="DS658" s="518"/>
      <c r="DT658" s="518"/>
      <c r="DU658" s="519"/>
      <c r="DV658" s="527"/>
      <c r="DW658" s="518"/>
      <c r="DX658" s="518"/>
      <c r="DY658" s="520"/>
      <c r="DZ658" s="520"/>
      <c r="EA658" s="519"/>
      <c r="EB658" s="527"/>
      <c r="EC658" s="520"/>
      <c r="ED658" s="520"/>
      <c r="EE658" s="519"/>
      <c r="EF658" s="550"/>
      <c r="EG658" s="537"/>
      <c r="EH658" s="521"/>
      <c r="EI658" s="521"/>
      <c r="EJ658" s="521"/>
      <c r="EK658" s="521"/>
      <c r="EL658" s="521"/>
      <c r="EM658" s="521"/>
      <c r="EN658" s="521"/>
      <c r="EO658" s="521"/>
      <c r="EP658" s="521"/>
      <c r="EQ658" s="521"/>
      <c r="ER658" s="521"/>
      <c r="ES658" s="521"/>
      <c r="ET658" s="521"/>
      <c r="EU658" s="521"/>
      <c r="EV658" s="521"/>
      <c r="EW658" s="521"/>
      <c r="EX658" s="521"/>
      <c r="EY658" s="518"/>
      <c r="EZ658" s="523"/>
      <c r="FA658" s="523"/>
      <c r="FB658" s="524"/>
      <c r="FC658" s="524"/>
      <c r="FD658" s="518"/>
      <c r="FE658" s="518"/>
      <c r="FF658" s="518"/>
      <c r="FG658" s="518"/>
      <c r="FH658" s="518"/>
      <c r="FI658" s="518"/>
      <c r="FJ658" s="518"/>
      <c r="FK658" s="518"/>
      <c r="FL658" s="518"/>
      <c r="FM658" s="519"/>
    </row>
    <row r="659" spans="1:169" x14ac:dyDescent="0.25">
      <c r="A659" s="284"/>
      <c r="B659" s="317"/>
      <c r="C659" s="297"/>
      <c r="D659" s="298"/>
      <c r="E659" s="299"/>
      <c r="F659" s="340"/>
      <c r="G659" s="298"/>
      <c r="H659" s="299"/>
      <c r="I659" s="300"/>
      <c r="J659" s="370"/>
      <c r="K659" s="328"/>
      <c r="L659" s="300"/>
      <c r="M659" s="328"/>
      <c r="N659" s="331"/>
      <c r="O659" s="301"/>
      <c r="P659" s="301"/>
      <c r="Q659" s="328"/>
      <c r="R659" s="620"/>
      <c r="S659" s="512"/>
      <c r="T659" s="512"/>
      <c r="U659" s="513"/>
      <c r="V659" s="514"/>
      <c r="W659" s="512"/>
      <c r="X659" s="513"/>
      <c r="Y659" s="514"/>
      <c r="Z659" s="513"/>
      <c r="AA659" s="515"/>
      <c r="AB659" s="516"/>
      <c r="AC659" s="513"/>
      <c r="AD659" s="544"/>
      <c r="AE659" s="516"/>
      <c r="AF659" s="513"/>
      <c r="AG659" s="551"/>
      <c r="AH659" s="595"/>
      <c r="AI659" s="517"/>
      <c r="AJ659" s="518"/>
      <c r="AK659" s="518"/>
      <c r="AL659" s="518"/>
      <c r="AM659" s="519"/>
      <c r="AN659" s="517"/>
      <c r="AO659" s="520"/>
      <c r="AP659" s="525"/>
      <c r="AQ659" s="531"/>
      <c r="AR659" s="593"/>
      <c r="AS659" s="518"/>
      <c r="AT659" s="518"/>
      <c r="AU659" s="518"/>
      <c r="AV659" s="519"/>
      <c r="AW659" s="560"/>
      <c r="AX659" s="522"/>
      <c r="AY659" s="522"/>
      <c r="AZ659" s="522"/>
      <c r="BA659" s="522"/>
      <c r="BB659" s="522"/>
      <c r="BC659" s="518"/>
      <c r="BD659" s="518"/>
      <c r="BE659" s="518"/>
      <c r="BF659" s="518"/>
      <c r="BG659" s="518"/>
      <c r="BH659" s="519"/>
      <c r="BI659" s="527"/>
      <c r="BJ659" s="518"/>
      <c r="BK659" s="518"/>
      <c r="BL659" s="520"/>
      <c r="BM659" s="520"/>
      <c r="BN659" s="519"/>
      <c r="BO659" s="517"/>
      <c r="BP659" s="520"/>
      <c r="BQ659" s="520"/>
      <c r="BR659" s="519"/>
      <c r="BS659" s="548"/>
      <c r="BT659" s="537"/>
      <c r="BU659" s="521"/>
      <c r="BV659" s="521"/>
      <c r="BW659" s="521"/>
      <c r="BX659" s="521"/>
      <c r="BY659" s="521"/>
      <c r="BZ659" s="521"/>
      <c r="CA659" s="521"/>
      <c r="CB659" s="521"/>
      <c r="CC659" s="521"/>
      <c r="CD659" s="521"/>
      <c r="CE659" s="521"/>
      <c r="CF659" s="521"/>
      <c r="CG659" s="521"/>
      <c r="CH659" s="521"/>
      <c r="CI659" s="521"/>
      <c r="CJ659" s="521"/>
      <c r="CK659" s="521"/>
      <c r="CL659" s="518"/>
      <c r="CM659" s="523"/>
      <c r="CN659" s="523"/>
      <c r="CO659" s="524"/>
      <c r="CP659" s="524"/>
      <c r="CQ659" s="518"/>
      <c r="CR659" s="518"/>
      <c r="CS659" s="518"/>
      <c r="CT659" s="518"/>
      <c r="CU659" s="518"/>
      <c r="CV659" s="518"/>
      <c r="CW659" s="518"/>
      <c r="CX659" s="518"/>
      <c r="CY659" s="518"/>
      <c r="CZ659" s="519"/>
      <c r="DA659" s="527"/>
      <c r="DB659" s="520"/>
      <c r="DC659" s="525"/>
      <c r="DD659" s="531"/>
      <c r="DE659" s="593"/>
      <c r="DF659" s="518"/>
      <c r="DG659" s="518"/>
      <c r="DH659" s="518"/>
      <c r="DI659" s="519"/>
      <c r="DJ659" s="560"/>
      <c r="DK659" s="522"/>
      <c r="DL659" s="522"/>
      <c r="DM659" s="522"/>
      <c r="DN659" s="522"/>
      <c r="DO659" s="522"/>
      <c r="DP659" s="518"/>
      <c r="DQ659" s="518"/>
      <c r="DR659" s="518"/>
      <c r="DS659" s="518"/>
      <c r="DT659" s="518"/>
      <c r="DU659" s="519"/>
      <c r="DV659" s="527"/>
      <c r="DW659" s="518"/>
      <c r="DX659" s="518"/>
      <c r="DY659" s="520"/>
      <c r="DZ659" s="520"/>
      <c r="EA659" s="519"/>
      <c r="EB659" s="527"/>
      <c r="EC659" s="520"/>
      <c r="ED659" s="520"/>
      <c r="EE659" s="519"/>
      <c r="EF659" s="550"/>
      <c r="EG659" s="537"/>
      <c r="EH659" s="521"/>
      <c r="EI659" s="521"/>
      <c r="EJ659" s="521"/>
      <c r="EK659" s="521"/>
      <c r="EL659" s="521"/>
      <c r="EM659" s="521"/>
      <c r="EN659" s="521"/>
      <c r="EO659" s="521"/>
      <c r="EP659" s="521"/>
      <c r="EQ659" s="521"/>
      <c r="ER659" s="521"/>
      <c r="ES659" s="521"/>
      <c r="ET659" s="521"/>
      <c r="EU659" s="521"/>
      <c r="EV659" s="521"/>
      <c r="EW659" s="521"/>
      <c r="EX659" s="521"/>
      <c r="EY659" s="518"/>
      <c r="EZ659" s="523"/>
      <c r="FA659" s="523"/>
      <c r="FB659" s="524"/>
      <c r="FC659" s="524"/>
      <c r="FD659" s="518"/>
      <c r="FE659" s="518"/>
      <c r="FF659" s="518"/>
      <c r="FG659" s="518"/>
      <c r="FH659" s="518"/>
      <c r="FI659" s="518"/>
      <c r="FJ659" s="518"/>
      <c r="FK659" s="518"/>
      <c r="FL659" s="518"/>
      <c r="FM659" s="519"/>
    </row>
    <row r="660" spans="1:169" x14ac:dyDescent="0.25">
      <c r="A660" s="284"/>
      <c r="B660" s="317"/>
      <c r="C660" s="297"/>
      <c r="D660" s="298"/>
      <c r="E660" s="299"/>
      <c r="F660" s="340"/>
      <c r="G660" s="298"/>
      <c r="H660" s="299"/>
      <c r="I660" s="300"/>
      <c r="J660" s="370"/>
      <c r="K660" s="328"/>
      <c r="L660" s="300"/>
      <c r="M660" s="328"/>
      <c r="N660" s="331"/>
      <c r="O660" s="301"/>
      <c r="P660" s="301"/>
      <c r="Q660" s="328"/>
      <c r="R660" s="620"/>
      <c r="S660" s="512"/>
      <c r="T660" s="512"/>
      <c r="U660" s="513"/>
      <c r="V660" s="514"/>
      <c r="W660" s="512"/>
      <c r="X660" s="513"/>
      <c r="Y660" s="514"/>
      <c r="Z660" s="513"/>
      <c r="AA660" s="515"/>
      <c r="AB660" s="516"/>
      <c r="AC660" s="513"/>
      <c r="AD660" s="544"/>
      <c r="AE660" s="516"/>
      <c r="AF660" s="513"/>
      <c r="AG660" s="551"/>
      <c r="AH660" s="595"/>
      <c r="AI660" s="517"/>
      <c r="AJ660" s="518"/>
      <c r="AK660" s="518"/>
      <c r="AL660" s="518"/>
      <c r="AM660" s="519"/>
      <c r="AN660" s="517"/>
      <c r="AO660" s="520"/>
      <c r="AP660" s="525"/>
      <c r="AQ660" s="531"/>
      <c r="AR660" s="593"/>
      <c r="AS660" s="518"/>
      <c r="AT660" s="518"/>
      <c r="AU660" s="518"/>
      <c r="AV660" s="519"/>
      <c r="AW660" s="560"/>
      <c r="AX660" s="522"/>
      <c r="AY660" s="522"/>
      <c r="AZ660" s="522"/>
      <c r="BA660" s="522"/>
      <c r="BB660" s="522"/>
      <c r="BC660" s="518"/>
      <c r="BD660" s="518"/>
      <c r="BE660" s="518"/>
      <c r="BF660" s="518"/>
      <c r="BG660" s="518"/>
      <c r="BH660" s="519"/>
      <c r="BI660" s="527"/>
      <c r="BJ660" s="518"/>
      <c r="BK660" s="518"/>
      <c r="BL660" s="520"/>
      <c r="BM660" s="520"/>
      <c r="BN660" s="519"/>
      <c r="BO660" s="517"/>
      <c r="BP660" s="520"/>
      <c r="BQ660" s="520"/>
      <c r="BR660" s="519"/>
      <c r="BS660" s="548"/>
      <c r="BT660" s="537"/>
      <c r="BU660" s="521"/>
      <c r="BV660" s="521"/>
      <c r="BW660" s="521"/>
      <c r="BX660" s="521"/>
      <c r="BY660" s="521"/>
      <c r="BZ660" s="521"/>
      <c r="CA660" s="521"/>
      <c r="CB660" s="521"/>
      <c r="CC660" s="521"/>
      <c r="CD660" s="521"/>
      <c r="CE660" s="521"/>
      <c r="CF660" s="521"/>
      <c r="CG660" s="521"/>
      <c r="CH660" s="521"/>
      <c r="CI660" s="521"/>
      <c r="CJ660" s="521"/>
      <c r="CK660" s="521"/>
      <c r="CL660" s="518"/>
      <c r="CM660" s="523"/>
      <c r="CN660" s="523"/>
      <c r="CO660" s="524"/>
      <c r="CP660" s="524"/>
      <c r="CQ660" s="518"/>
      <c r="CR660" s="518"/>
      <c r="CS660" s="518"/>
      <c r="CT660" s="518"/>
      <c r="CU660" s="518"/>
      <c r="CV660" s="518"/>
      <c r="CW660" s="518"/>
      <c r="CX660" s="518"/>
      <c r="CY660" s="518"/>
      <c r="CZ660" s="519"/>
      <c r="DA660" s="527"/>
      <c r="DB660" s="520"/>
      <c r="DC660" s="525"/>
      <c r="DD660" s="531"/>
      <c r="DE660" s="593"/>
      <c r="DF660" s="518"/>
      <c r="DG660" s="518"/>
      <c r="DH660" s="518"/>
      <c r="DI660" s="519"/>
      <c r="DJ660" s="560"/>
      <c r="DK660" s="522"/>
      <c r="DL660" s="522"/>
      <c r="DM660" s="522"/>
      <c r="DN660" s="522"/>
      <c r="DO660" s="522"/>
      <c r="DP660" s="518"/>
      <c r="DQ660" s="518"/>
      <c r="DR660" s="518"/>
      <c r="DS660" s="518"/>
      <c r="DT660" s="518"/>
      <c r="DU660" s="519"/>
      <c r="DV660" s="527"/>
      <c r="DW660" s="518"/>
      <c r="DX660" s="518"/>
      <c r="DY660" s="520"/>
      <c r="DZ660" s="520"/>
      <c r="EA660" s="519"/>
      <c r="EB660" s="527"/>
      <c r="EC660" s="520"/>
      <c r="ED660" s="520"/>
      <c r="EE660" s="519"/>
      <c r="EF660" s="550"/>
      <c r="EG660" s="537"/>
      <c r="EH660" s="521"/>
      <c r="EI660" s="521"/>
      <c r="EJ660" s="521"/>
      <c r="EK660" s="521"/>
      <c r="EL660" s="521"/>
      <c r="EM660" s="521"/>
      <c r="EN660" s="521"/>
      <c r="EO660" s="521"/>
      <c r="EP660" s="521"/>
      <c r="EQ660" s="521"/>
      <c r="ER660" s="521"/>
      <c r="ES660" s="521"/>
      <c r="ET660" s="521"/>
      <c r="EU660" s="521"/>
      <c r="EV660" s="521"/>
      <c r="EW660" s="521"/>
      <c r="EX660" s="521"/>
      <c r="EY660" s="518"/>
      <c r="EZ660" s="523"/>
      <c r="FA660" s="523"/>
      <c r="FB660" s="524"/>
      <c r="FC660" s="524"/>
      <c r="FD660" s="518"/>
      <c r="FE660" s="518"/>
      <c r="FF660" s="518"/>
      <c r="FG660" s="518"/>
      <c r="FH660" s="518"/>
      <c r="FI660" s="518"/>
      <c r="FJ660" s="518"/>
      <c r="FK660" s="518"/>
      <c r="FL660" s="518"/>
      <c r="FM660" s="519"/>
    </row>
    <row r="661" spans="1:169" x14ac:dyDescent="0.25">
      <c r="A661" s="284"/>
      <c r="B661" s="317"/>
      <c r="C661" s="297"/>
      <c r="D661" s="298"/>
      <c r="E661" s="299"/>
      <c r="F661" s="340"/>
      <c r="G661" s="298"/>
      <c r="H661" s="299"/>
      <c r="I661" s="300"/>
      <c r="J661" s="370"/>
      <c r="K661" s="328"/>
      <c r="L661" s="300"/>
      <c r="M661" s="328"/>
      <c r="N661" s="331"/>
      <c r="O661" s="301"/>
      <c r="P661" s="301"/>
      <c r="Q661" s="328"/>
      <c r="R661" s="620"/>
      <c r="S661" s="512"/>
      <c r="T661" s="512"/>
      <c r="U661" s="513"/>
      <c r="V661" s="514"/>
      <c r="W661" s="512"/>
      <c r="X661" s="513"/>
      <c r="Y661" s="514"/>
      <c r="Z661" s="513"/>
      <c r="AA661" s="515"/>
      <c r="AB661" s="516"/>
      <c r="AC661" s="513"/>
      <c r="AD661" s="544"/>
      <c r="AE661" s="516"/>
      <c r="AF661" s="513"/>
      <c r="AG661" s="551"/>
      <c r="AH661" s="595"/>
      <c r="AI661" s="517"/>
      <c r="AJ661" s="518"/>
      <c r="AK661" s="518"/>
      <c r="AL661" s="518"/>
      <c r="AM661" s="519"/>
      <c r="AN661" s="517"/>
      <c r="AO661" s="520"/>
      <c r="AP661" s="525"/>
      <c r="AQ661" s="531"/>
      <c r="AR661" s="593"/>
      <c r="AS661" s="518"/>
      <c r="AT661" s="518"/>
      <c r="AU661" s="518"/>
      <c r="AV661" s="519"/>
      <c r="AW661" s="560"/>
      <c r="AX661" s="522"/>
      <c r="AY661" s="522"/>
      <c r="AZ661" s="522"/>
      <c r="BA661" s="522"/>
      <c r="BB661" s="522"/>
      <c r="BC661" s="518"/>
      <c r="BD661" s="518"/>
      <c r="BE661" s="518"/>
      <c r="BF661" s="518"/>
      <c r="BG661" s="518"/>
      <c r="BH661" s="519"/>
      <c r="BI661" s="527"/>
      <c r="BJ661" s="518"/>
      <c r="BK661" s="518"/>
      <c r="BL661" s="520"/>
      <c r="BM661" s="520"/>
      <c r="BN661" s="519"/>
      <c r="BO661" s="517"/>
      <c r="BP661" s="520"/>
      <c r="BQ661" s="520"/>
      <c r="BR661" s="519"/>
      <c r="BS661" s="548"/>
      <c r="BT661" s="537"/>
      <c r="BU661" s="521"/>
      <c r="BV661" s="521"/>
      <c r="BW661" s="521"/>
      <c r="BX661" s="521"/>
      <c r="BY661" s="521"/>
      <c r="BZ661" s="521"/>
      <c r="CA661" s="521"/>
      <c r="CB661" s="521"/>
      <c r="CC661" s="521"/>
      <c r="CD661" s="521"/>
      <c r="CE661" s="521"/>
      <c r="CF661" s="521"/>
      <c r="CG661" s="521"/>
      <c r="CH661" s="521"/>
      <c r="CI661" s="521"/>
      <c r="CJ661" s="521"/>
      <c r="CK661" s="521"/>
      <c r="CL661" s="518"/>
      <c r="CM661" s="523"/>
      <c r="CN661" s="523"/>
      <c r="CO661" s="524"/>
      <c r="CP661" s="524"/>
      <c r="CQ661" s="518"/>
      <c r="CR661" s="518"/>
      <c r="CS661" s="518"/>
      <c r="CT661" s="518"/>
      <c r="CU661" s="518"/>
      <c r="CV661" s="518"/>
      <c r="CW661" s="518"/>
      <c r="CX661" s="518"/>
      <c r="CY661" s="518"/>
      <c r="CZ661" s="519"/>
      <c r="DA661" s="527"/>
      <c r="DB661" s="520"/>
      <c r="DC661" s="525"/>
      <c r="DD661" s="531"/>
      <c r="DE661" s="593"/>
      <c r="DF661" s="518"/>
      <c r="DG661" s="518"/>
      <c r="DH661" s="518"/>
      <c r="DI661" s="519"/>
      <c r="DJ661" s="560"/>
      <c r="DK661" s="522"/>
      <c r="DL661" s="522"/>
      <c r="DM661" s="522"/>
      <c r="DN661" s="522"/>
      <c r="DO661" s="522"/>
      <c r="DP661" s="518"/>
      <c r="DQ661" s="518"/>
      <c r="DR661" s="518"/>
      <c r="DS661" s="518"/>
      <c r="DT661" s="518"/>
      <c r="DU661" s="519"/>
      <c r="DV661" s="527"/>
      <c r="DW661" s="518"/>
      <c r="DX661" s="518"/>
      <c r="DY661" s="520"/>
      <c r="DZ661" s="520"/>
      <c r="EA661" s="519"/>
      <c r="EB661" s="527"/>
      <c r="EC661" s="520"/>
      <c r="ED661" s="520"/>
      <c r="EE661" s="519"/>
      <c r="EF661" s="550"/>
      <c r="EG661" s="537"/>
      <c r="EH661" s="521"/>
      <c r="EI661" s="521"/>
      <c r="EJ661" s="521"/>
      <c r="EK661" s="521"/>
      <c r="EL661" s="521"/>
      <c r="EM661" s="521"/>
      <c r="EN661" s="521"/>
      <c r="EO661" s="521"/>
      <c r="EP661" s="521"/>
      <c r="EQ661" s="521"/>
      <c r="ER661" s="521"/>
      <c r="ES661" s="521"/>
      <c r="ET661" s="521"/>
      <c r="EU661" s="521"/>
      <c r="EV661" s="521"/>
      <c r="EW661" s="521"/>
      <c r="EX661" s="521"/>
      <c r="EY661" s="518"/>
      <c r="EZ661" s="523"/>
      <c r="FA661" s="523"/>
      <c r="FB661" s="524"/>
      <c r="FC661" s="524"/>
      <c r="FD661" s="518"/>
      <c r="FE661" s="518"/>
      <c r="FF661" s="518"/>
      <c r="FG661" s="518"/>
      <c r="FH661" s="518"/>
      <c r="FI661" s="518"/>
      <c r="FJ661" s="518"/>
      <c r="FK661" s="518"/>
      <c r="FL661" s="518"/>
      <c r="FM661" s="519"/>
    </row>
    <row r="662" spans="1:169" x14ac:dyDescent="0.25">
      <c r="A662" s="284"/>
      <c r="B662" s="317"/>
      <c r="C662" s="297"/>
      <c r="D662" s="298"/>
      <c r="E662" s="299"/>
      <c r="F662" s="340"/>
      <c r="G662" s="298"/>
      <c r="H662" s="299"/>
      <c r="I662" s="300"/>
      <c r="J662" s="370"/>
      <c r="K662" s="328"/>
      <c r="L662" s="300"/>
      <c r="M662" s="328"/>
      <c r="N662" s="331"/>
      <c r="O662" s="301"/>
      <c r="P662" s="301"/>
      <c r="Q662" s="328"/>
      <c r="R662" s="620"/>
      <c r="S662" s="512"/>
      <c r="T662" s="512"/>
      <c r="U662" s="513"/>
      <c r="V662" s="514"/>
      <c r="W662" s="512"/>
      <c r="X662" s="513"/>
      <c r="Y662" s="514"/>
      <c r="Z662" s="513"/>
      <c r="AA662" s="515"/>
      <c r="AB662" s="516"/>
      <c r="AC662" s="513"/>
      <c r="AD662" s="544"/>
      <c r="AE662" s="516"/>
      <c r="AF662" s="513"/>
      <c r="AG662" s="551"/>
      <c r="AH662" s="595"/>
      <c r="AI662" s="517"/>
      <c r="AJ662" s="518"/>
      <c r="AK662" s="518"/>
      <c r="AL662" s="518"/>
      <c r="AM662" s="519"/>
      <c r="AN662" s="517"/>
      <c r="AO662" s="520"/>
      <c r="AP662" s="525"/>
      <c r="AQ662" s="531"/>
      <c r="AR662" s="593"/>
      <c r="AS662" s="518"/>
      <c r="AT662" s="518"/>
      <c r="AU662" s="518"/>
      <c r="AV662" s="519"/>
      <c r="AW662" s="560"/>
      <c r="AX662" s="522"/>
      <c r="AY662" s="522"/>
      <c r="AZ662" s="522"/>
      <c r="BA662" s="522"/>
      <c r="BB662" s="522"/>
      <c r="BC662" s="518"/>
      <c r="BD662" s="518"/>
      <c r="BE662" s="518"/>
      <c r="BF662" s="518"/>
      <c r="BG662" s="518"/>
      <c r="BH662" s="519"/>
      <c r="BI662" s="527"/>
      <c r="BJ662" s="518"/>
      <c r="BK662" s="518"/>
      <c r="BL662" s="520"/>
      <c r="BM662" s="520"/>
      <c r="BN662" s="519"/>
      <c r="BO662" s="517"/>
      <c r="BP662" s="520"/>
      <c r="BQ662" s="520"/>
      <c r="BR662" s="519"/>
      <c r="BS662" s="548"/>
      <c r="BT662" s="537"/>
      <c r="BU662" s="521"/>
      <c r="BV662" s="521"/>
      <c r="BW662" s="521"/>
      <c r="BX662" s="521"/>
      <c r="BY662" s="521"/>
      <c r="BZ662" s="521"/>
      <c r="CA662" s="521"/>
      <c r="CB662" s="521"/>
      <c r="CC662" s="521"/>
      <c r="CD662" s="521"/>
      <c r="CE662" s="521"/>
      <c r="CF662" s="521"/>
      <c r="CG662" s="521"/>
      <c r="CH662" s="521"/>
      <c r="CI662" s="521"/>
      <c r="CJ662" s="521"/>
      <c r="CK662" s="521"/>
      <c r="CL662" s="518"/>
      <c r="CM662" s="523"/>
      <c r="CN662" s="523"/>
      <c r="CO662" s="524"/>
      <c r="CP662" s="524"/>
      <c r="CQ662" s="518"/>
      <c r="CR662" s="518"/>
      <c r="CS662" s="518"/>
      <c r="CT662" s="518"/>
      <c r="CU662" s="518"/>
      <c r="CV662" s="518"/>
      <c r="CW662" s="518"/>
      <c r="CX662" s="518"/>
      <c r="CY662" s="518"/>
      <c r="CZ662" s="519"/>
      <c r="DA662" s="527"/>
      <c r="DB662" s="520"/>
      <c r="DC662" s="525"/>
      <c r="DD662" s="531"/>
      <c r="DE662" s="593"/>
      <c r="DF662" s="518"/>
      <c r="DG662" s="518"/>
      <c r="DH662" s="518"/>
      <c r="DI662" s="519"/>
      <c r="DJ662" s="560"/>
      <c r="DK662" s="522"/>
      <c r="DL662" s="522"/>
      <c r="DM662" s="522"/>
      <c r="DN662" s="522"/>
      <c r="DO662" s="522"/>
      <c r="DP662" s="518"/>
      <c r="DQ662" s="518"/>
      <c r="DR662" s="518"/>
      <c r="DS662" s="518"/>
      <c r="DT662" s="518"/>
      <c r="DU662" s="519"/>
      <c r="DV662" s="527"/>
      <c r="DW662" s="518"/>
      <c r="DX662" s="518"/>
      <c r="DY662" s="520"/>
      <c r="DZ662" s="520"/>
      <c r="EA662" s="519"/>
      <c r="EB662" s="527"/>
      <c r="EC662" s="520"/>
      <c r="ED662" s="520"/>
      <c r="EE662" s="519"/>
      <c r="EF662" s="550"/>
      <c r="EG662" s="537"/>
      <c r="EH662" s="521"/>
      <c r="EI662" s="521"/>
      <c r="EJ662" s="521"/>
      <c r="EK662" s="521"/>
      <c r="EL662" s="521"/>
      <c r="EM662" s="521"/>
      <c r="EN662" s="521"/>
      <c r="EO662" s="521"/>
      <c r="EP662" s="521"/>
      <c r="EQ662" s="521"/>
      <c r="ER662" s="521"/>
      <c r="ES662" s="521"/>
      <c r="ET662" s="521"/>
      <c r="EU662" s="521"/>
      <c r="EV662" s="521"/>
      <c r="EW662" s="521"/>
      <c r="EX662" s="521"/>
      <c r="EY662" s="518"/>
      <c r="EZ662" s="523"/>
      <c r="FA662" s="523"/>
      <c r="FB662" s="524"/>
      <c r="FC662" s="524"/>
      <c r="FD662" s="518"/>
      <c r="FE662" s="518"/>
      <c r="FF662" s="518"/>
      <c r="FG662" s="518"/>
      <c r="FH662" s="518"/>
      <c r="FI662" s="518"/>
      <c r="FJ662" s="518"/>
      <c r="FK662" s="518"/>
      <c r="FL662" s="518"/>
      <c r="FM662" s="519"/>
    </row>
    <row r="663" spans="1:169" x14ac:dyDescent="0.25">
      <c r="A663" s="284"/>
      <c r="B663" s="317"/>
      <c r="C663" s="297"/>
      <c r="D663" s="298"/>
      <c r="E663" s="299"/>
      <c r="F663" s="340"/>
      <c r="G663" s="298"/>
      <c r="H663" s="299"/>
      <c r="I663" s="300"/>
      <c r="J663" s="370"/>
      <c r="K663" s="328"/>
      <c r="L663" s="300"/>
      <c r="M663" s="328"/>
      <c r="N663" s="331"/>
      <c r="O663" s="301"/>
      <c r="P663" s="301"/>
      <c r="Q663" s="328"/>
      <c r="R663" s="620"/>
      <c r="S663" s="512"/>
      <c r="T663" s="512"/>
      <c r="U663" s="513"/>
      <c r="V663" s="514"/>
      <c r="W663" s="512"/>
      <c r="X663" s="513"/>
      <c r="Y663" s="514"/>
      <c r="Z663" s="513"/>
      <c r="AA663" s="515"/>
      <c r="AB663" s="516"/>
      <c r="AC663" s="513"/>
      <c r="AD663" s="544"/>
      <c r="AE663" s="516"/>
      <c r="AF663" s="513"/>
      <c r="AG663" s="551"/>
      <c r="AH663" s="595"/>
      <c r="AI663" s="517"/>
      <c r="AJ663" s="518"/>
      <c r="AK663" s="518"/>
      <c r="AL663" s="518"/>
      <c r="AM663" s="519"/>
      <c r="AN663" s="517"/>
      <c r="AO663" s="520"/>
      <c r="AP663" s="525"/>
      <c r="AQ663" s="531"/>
      <c r="AR663" s="593"/>
      <c r="AS663" s="518"/>
      <c r="AT663" s="518"/>
      <c r="AU663" s="518"/>
      <c r="AV663" s="519"/>
      <c r="AW663" s="560"/>
      <c r="AX663" s="522"/>
      <c r="AY663" s="522"/>
      <c r="AZ663" s="522"/>
      <c r="BA663" s="522"/>
      <c r="BB663" s="522"/>
      <c r="BC663" s="518"/>
      <c r="BD663" s="518"/>
      <c r="BE663" s="518"/>
      <c r="BF663" s="518"/>
      <c r="BG663" s="518"/>
      <c r="BH663" s="519"/>
      <c r="BI663" s="527"/>
      <c r="BJ663" s="518"/>
      <c r="BK663" s="518"/>
      <c r="BL663" s="520"/>
      <c r="BM663" s="520"/>
      <c r="BN663" s="519"/>
      <c r="BO663" s="517"/>
      <c r="BP663" s="520"/>
      <c r="BQ663" s="520"/>
      <c r="BR663" s="519"/>
      <c r="BS663" s="548"/>
      <c r="BT663" s="537"/>
      <c r="BU663" s="521"/>
      <c r="BV663" s="521"/>
      <c r="BW663" s="521"/>
      <c r="BX663" s="521"/>
      <c r="BY663" s="521"/>
      <c r="BZ663" s="521"/>
      <c r="CA663" s="521"/>
      <c r="CB663" s="521"/>
      <c r="CC663" s="521"/>
      <c r="CD663" s="521"/>
      <c r="CE663" s="521"/>
      <c r="CF663" s="521"/>
      <c r="CG663" s="521"/>
      <c r="CH663" s="521"/>
      <c r="CI663" s="521"/>
      <c r="CJ663" s="521"/>
      <c r="CK663" s="521"/>
      <c r="CL663" s="518"/>
      <c r="CM663" s="523"/>
      <c r="CN663" s="523"/>
      <c r="CO663" s="524"/>
      <c r="CP663" s="524"/>
      <c r="CQ663" s="518"/>
      <c r="CR663" s="518"/>
      <c r="CS663" s="518"/>
      <c r="CT663" s="518"/>
      <c r="CU663" s="518"/>
      <c r="CV663" s="518"/>
      <c r="CW663" s="518"/>
      <c r="CX663" s="518"/>
      <c r="CY663" s="518"/>
      <c r="CZ663" s="519"/>
      <c r="DA663" s="527"/>
      <c r="DB663" s="520"/>
      <c r="DC663" s="525"/>
      <c r="DD663" s="531"/>
      <c r="DE663" s="593"/>
      <c r="DF663" s="518"/>
      <c r="DG663" s="518"/>
      <c r="DH663" s="518"/>
      <c r="DI663" s="519"/>
      <c r="DJ663" s="560"/>
      <c r="DK663" s="522"/>
      <c r="DL663" s="522"/>
      <c r="DM663" s="522"/>
      <c r="DN663" s="522"/>
      <c r="DO663" s="522"/>
      <c r="DP663" s="518"/>
      <c r="DQ663" s="518"/>
      <c r="DR663" s="518"/>
      <c r="DS663" s="518"/>
      <c r="DT663" s="518"/>
      <c r="DU663" s="519"/>
      <c r="DV663" s="527"/>
      <c r="DW663" s="518"/>
      <c r="DX663" s="518"/>
      <c r="DY663" s="520"/>
      <c r="DZ663" s="520"/>
      <c r="EA663" s="519"/>
      <c r="EB663" s="527"/>
      <c r="EC663" s="520"/>
      <c r="ED663" s="520"/>
      <c r="EE663" s="519"/>
      <c r="EF663" s="550"/>
      <c r="EG663" s="537"/>
      <c r="EH663" s="521"/>
      <c r="EI663" s="521"/>
      <c r="EJ663" s="521"/>
      <c r="EK663" s="521"/>
      <c r="EL663" s="521"/>
      <c r="EM663" s="521"/>
      <c r="EN663" s="521"/>
      <c r="EO663" s="521"/>
      <c r="EP663" s="521"/>
      <c r="EQ663" s="521"/>
      <c r="ER663" s="521"/>
      <c r="ES663" s="521"/>
      <c r="ET663" s="521"/>
      <c r="EU663" s="521"/>
      <c r="EV663" s="521"/>
      <c r="EW663" s="521"/>
      <c r="EX663" s="521"/>
      <c r="EY663" s="518"/>
      <c r="EZ663" s="523"/>
      <c r="FA663" s="523"/>
      <c r="FB663" s="524"/>
      <c r="FC663" s="524"/>
      <c r="FD663" s="518"/>
      <c r="FE663" s="518"/>
      <c r="FF663" s="518"/>
      <c r="FG663" s="518"/>
      <c r="FH663" s="518"/>
      <c r="FI663" s="518"/>
      <c r="FJ663" s="518"/>
      <c r="FK663" s="518"/>
      <c r="FL663" s="518"/>
      <c r="FM663" s="519"/>
    </row>
    <row r="664" spans="1:169" x14ac:dyDescent="0.25">
      <c r="A664" s="284"/>
      <c r="B664" s="317"/>
      <c r="C664" s="297"/>
      <c r="D664" s="298"/>
      <c r="E664" s="299"/>
      <c r="F664" s="340"/>
      <c r="G664" s="298"/>
      <c r="H664" s="299"/>
      <c r="I664" s="300"/>
      <c r="J664" s="370"/>
      <c r="K664" s="328"/>
      <c r="L664" s="300"/>
      <c r="M664" s="328"/>
      <c r="N664" s="331"/>
      <c r="O664" s="301"/>
      <c r="P664" s="301"/>
      <c r="Q664" s="328"/>
      <c r="R664" s="620"/>
      <c r="S664" s="512"/>
      <c r="T664" s="512"/>
      <c r="U664" s="513"/>
      <c r="V664" s="514"/>
      <c r="W664" s="512"/>
      <c r="X664" s="513"/>
      <c r="Y664" s="514"/>
      <c r="Z664" s="513"/>
      <c r="AA664" s="515"/>
      <c r="AB664" s="516"/>
      <c r="AC664" s="513"/>
      <c r="AD664" s="544"/>
      <c r="AE664" s="516"/>
      <c r="AF664" s="513"/>
      <c r="AG664" s="551"/>
      <c r="AH664" s="595"/>
      <c r="AI664" s="517"/>
      <c r="AJ664" s="518"/>
      <c r="AK664" s="518"/>
      <c r="AL664" s="518"/>
      <c r="AM664" s="519"/>
      <c r="AN664" s="517"/>
      <c r="AO664" s="520"/>
      <c r="AP664" s="525"/>
      <c r="AQ664" s="531"/>
      <c r="AR664" s="593"/>
      <c r="AS664" s="518"/>
      <c r="AT664" s="518"/>
      <c r="AU664" s="518"/>
      <c r="AV664" s="519"/>
      <c r="AW664" s="560"/>
      <c r="AX664" s="522"/>
      <c r="AY664" s="522"/>
      <c r="AZ664" s="522"/>
      <c r="BA664" s="522"/>
      <c r="BB664" s="522"/>
      <c r="BC664" s="518"/>
      <c r="BD664" s="518"/>
      <c r="BE664" s="518"/>
      <c r="BF664" s="518"/>
      <c r="BG664" s="518"/>
      <c r="BH664" s="519"/>
      <c r="BI664" s="527"/>
      <c r="BJ664" s="518"/>
      <c r="BK664" s="518"/>
      <c r="BL664" s="520"/>
      <c r="BM664" s="520"/>
      <c r="BN664" s="519"/>
      <c r="BO664" s="517"/>
      <c r="BP664" s="520"/>
      <c r="BQ664" s="520"/>
      <c r="BR664" s="519"/>
      <c r="BS664" s="548"/>
      <c r="BT664" s="537"/>
      <c r="BU664" s="521"/>
      <c r="BV664" s="521"/>
      <c r="BW664" s="521"/>
      <c r="BX664" s="521"/>
      <c r="BY664" s="521"/>
      <c r="BZ664" s="521"/>
      <c r="CA664" s="521"/>
      <c r="CB664" s="521"/>
      <c r="CC664" s="521"/>
      <c r="CD664" s="521"/>
      <c r="CE664" s="521"/>
      <c r="CF664" s="521"/>
      <c r="CG664" s="521"/>
      <c r="CH664" s="521"/>
      <c r="CI664" s="521"/>
      <c r="CJ664" s="521"/>
      <c r="CK664" s="521"/>
      <c r="CL664" s="518"/>
      <c r="CM664" s="523"/>
      <c r="CN664" s="523"/>
      <c r="CO664" s="524"/>
      <c r="CP664" s="524"/>
      <c r="CQ664" s="518"/>
      <c r="CR664" s="518"/>
      <c r="CS664" s="518"/>
      <c r="CT664" s="518"/>
      <c r="CU664" s="518"/>
      <c r="CV664" s="518"/>
      <c r="CW664" s="518"/>
      <c r="CX664" s="518"/>
      <c r="CY664" s="518"/>
      <c r="CZ664" s="519"/>
      <c r="DA664" s="527"/>
      <c r="DB664" s="520"/>
      <c r="DC664" s="525"/>
      <c r="DD664" s="531"/>
      <c r="DE664" s="593"/>
      <c r="DF664" s="518"/>
      <c r="DG664" s="518"/>
      <c r="DH664" s="518"/>
      <c r="DI664" s="519"/>
      <c r="DJ664" s="560"/>
      <c r="DK664" s="522"/>
      <c r="DL664" s="522"/>
      <c r="DM664" s="522"/>
      <c r="DN664" s="522"/>
      <c r="DO664" s="522"/>
      <c r="DP664" s="518"/>
      <c r="DQ664" s="518"/>
      <c r="DR664" s="518"/>
      <c r="DS664" s="518"/>
      <c r="DT664" s="518"/>
      <c r="DU664" s="519"/>
      <c r="DV664" s="527"/>
      <c r="DW664" s="518"/>
      <c r="DX664" s="518"/>
      <c r="DY664" s="520"/>
      <c r="DZ664" s="520"/>
      <c r="EA664" s="519"/>
      <c r="EB664" s="527"/>
      <c r="EC664" s="520"/>
      <c r="ED664" s="520"/>
      <c r="EE664" s="519"/>
      <c r="EF664" s="550"/>
      <c r="EG664" s="537"/>
      <c r="EH664" s="521"/>
      <c r="EI664" s="521"/>
      <c r="EJ664" s="521"/>
      <c r="EK664" s="521"/>
      <c r="EL664" s="521"/>
      <c r="EM664" s="521"/>
      <c r="EN664" s="521"/>
      <c r="EO664" s="521"/>
      <c r="EP664" s="521"/>
      <c r="EQ664" s="521"/>
      <c r="ER664" s="521"/>
      <c r="ES664" s="521"/>
      <c r="ET664" s="521"/>
      <c r="EU664" s="521"/>
      <c r="EV664" s="521"/>
      <c r="EW664" s="521"/>
      <c r="EX664" s="521"/>
      <c r="EY664" s="518"/>
      <c r="EZ664" s="523"/>
      <c r="FA664" s="523"/>
      <c r="FB664" s="524"/>
      <c r="FC664" s="524"/>
      <c r="FD664" s="518"/>
      <c r="FE664" s="518"/>
      <c r="FF664" s="518"/>
      <c r="FG664" s="518"/>
      <c r="FH664" s="518"/>
      <c r="FI664" s="518"/>
      <c r="FJ664" s="518"/>
      <c r="FK664" s="518"/>
      <c r="FL664" s="518"/>
      <c r="FM664" s="519"/>
    </row>
    <row r="665" spans="1:169" x14ac:dyDescent="0.25">
      <c r="A665" s="284"/>
      <c r="B665" s="317"/>
      <c r="C665" s="297"/>
      <c r="D665" s="298"/>
      <c r="E665" s="299"/>
      <c r="F665" s="340"/>
      <c r="G665" s="298"/>
      <c r="H665" s="299"/>
      <c r="I665" s="300"/>
      <c r="J665" s="370"/>
      <c r="K665" s="328"/>
      <c r="L665" s="300"/>
      <c r="M665" s="328"/>
      <c r="N665" s="331"/>
      <c r="O665" s="301"/>
      <c r="P665" s="301"/>
      <c r="Q665" s="328"/>
      <c r="R665" s="620"/>
      <c r="S665" s="512"/>
      <c r="T665" s="512"/>
      <c r="U665" s="513"/>
      <c r="V665" s="514"/>
      <c r="W665" s="512"/>
      <c r="X665" s="513"/>
      <c r="Y665" s="514"/>
      <c r="Z665" s="513"/>
      <c r="AA665" s="515"/>
      <c r="AB665" s="516"/>
      <c r="AC665" s="513"/>
      <c r="AD665" s="544"/>
      <c r="AE665" s="516"/>
      <c r="AF665" s="513"/>
      <c r="AG665" s="551"/>
      <c r="AH665" s="595"/>
      <c r="AI665" s="517"/>
      <c r="AJ665" s="518"/>
      <c r="AK665" s="518"/>
      <c r="AL665" s="518"/>
      <c r="AM665" s="519"/>
      <c r="AN665" s="517"/>
      <c r="AO665" s="520"/>
      <c r="AP665" s="525"/>
      <c r="AQ665" s="531"/>
      <c r="AR665" s="593"/>
      <c r="AS665" s="518"/>
      <c r="AT665" s="518"/>
      <c r="AU665" s="518"/>
      <c r="AV665" s="519"/>
      <c r="AW665" s="560"/>
      <c r="AX665" s="522"/>
      <c r="AY665" s="522"/>
      <c r="AZ665" s="522"/>
      <c r="BA665" s="522"/>
      <c r="BB665" s="522"/>
      <c r="BC665" s="518"/>
      <c r="BD665" s="518"/>
      <c r="BE665" s="518"/>
      <c r="BF665" s="518"/>
      <c r="BG665" s="518"/>
      <c r="BH665" s="519"/>
      <c r="BI665" s="527"/>
      <c r="BJ665" s="518"/>
      <c r="BK665" s="518"/>
      <c r="BL665" s="520"/>
      <c r="BM665" s="520"/>
      <c r="BN665" s="519"/>
      <c r="BO665" s="517"/>
      <c r="BP665" s="520"/>
      <c r="BQ665" s="520"/>
      <c r="BR665" s="519"/>
      <c r="BS665" s="548"/>
      <c r="BT665" s="537"/>
      <c r="BU665" s="521"/>
      <c r="BV665" s="521"/>
      <c r="BW665" s="521"/>
      <c r="BX665" s="521"/>
      <c r="BY665" s="521"/>
      <c r="BZ665" s="521"/>
      <c r="CA665" s="521"/>
      <c r="CB665" s="521"/>
      <c r="CC665" s="521"/>
      <c r="CD665" s="521"/>
      <c r="CE665" s="521"/>
      <c r="CF665" s="521"/>
      <c r="CG665" s="521"/>
      <c r="CH665" s="521"/>
      <c r="CI665" s="521"/>
      <c r="CJ665" s="521"/>
      <c r="CK665" s="521"/>
      <c r="CL665" s="518"/>
      <c r="CM665" s="523"/>
      <c r="CN665" s="523"/>
      <c r="CO665" s="524"/>
      <c r="CP665" s="524"/>
      <c r="CQ665" s="518"/>
      <c r="CR665" s="518"/>
      <c r="CS665" s="518"/>
      <c r="CT665" s="518"/>
      <c r="CU665" s="518"/>
      <c r="CV665" s="518"/>
      <c r="CW665" s="518"/>
      <c r="CX665" s="518"/>
      <c r="CY665" s="518"/>
      <c r="CZ665" s="519"/>
      <c r="DA665" s="527"/>
      <c r="DB665" s="520"/>
      <c r="DC665" s="525"/>
      <c r="DD665" s="531"/>
      <c r="DE665" s="593"/>
      <c r="DF665" s="518"/>
      <c r="DG665" s="518"/>
      <c r="DH665" s="518"/>
      <c r="DI665" s="519"/>
      <c r="DJ665" s="560"/>
      <c r="DK665" s="522"/>
      <c r="DL665" s="522"/>
      <c r="DM665" s="522"/>
      <c r="DN665" s="522"/>
      <c r="DO665" s="522"/>
      <c r="DP665" s="518"/>
      <c r="DQ665" s="518"/>
      <c r="DR665" s="518"/>
      <c r="DS665" s="518"/>
      <c r="DT665" s="518"/>
      <c r="DU665" s="519"/>
      <c r="DV665" s="527"/>
      <c r="DW665" s="518"/>
      <c r="DX665" s="518"/>
      <c r="DY665" s="520"/>
      <c r="DZ665" s="520"/>
      <c r="EA665" s="519"/>
      <c r="EB665" s="527"/>
      <c r="EC665" s="520"/>
      <c r="ED665" s="520"/>
      <c r="EE665" s="519"/>
      <c r="EF665" s="550"/>
      <c r="EG665" s="537"/>
      <c r="EH665" s="521"/>
      <c r="EI665" s="521"/>
      <c r="EJ665" s="521"/>
      <c r="EK665" s="521"/>
      <c r="EL665" s="521"/>
      <c r="EM665" s="521"/>
      <c r="EN665" s="521"/>
      <c r="EO665" s="521"/>
      <c r="EP665" s="521"/>
      <c r="EQ665" s="521"/>
      <c r="ER665" s="521"/>
      <c r="ES665" s="521"/>
      <c r="ET665" s="521"/>
      <c r="EU665" s="521"/>
      <c r="EV665" s="521"/>
      <c r="EW665" s="521"/>
      <c r="EX665" s="521"/>
      <c r="EY665" s="518"/>
      <c r="EZ665" s="523"/>
      <c r="FA665" s="523"/>
      <c r="FB665" s="524"/>
      <c r="FC665" s="524"/>
      <c r="FD665" s="518"/>
      <c r="FE665" s="518"/>
      <c r="FF665" s="518"/>
      <c r="FG665" s="518"/>
      <c r="FH665" s="518"/>
      <c r="FI665" s="518"/>
      <c r="FJ665" s="518"/>
      <c r="FK665" s="518"/>
      <c r="FL665" s="518"/>
      <c r="FM665" s="519"/>
    </row>
    <row r="666" spans="1:169" x14ac:dyDescent="0.25">
      <c r="A666" s="284"/>
      <c r="B666" s="317"/>
      <c r="C666" s="297"/>
      <c r="D666" s="298"/>
      <c r="E666" s="299"/>
      <c r="F666" s="340"/>
      <c r="G666" s="298"/>
      <c r="H666" s="299"/>
      <c r="I666" s="300"/>
      <c r="J666" s="370"/>
      <c r="K666" s="328"/>
      <c r="L666" s="300"/>
      <c r="M666" s="328"/>
      <c r="N666" s="331"/>
      <c r="O666" s="301"/>
      <c r="P666" s="301"/>
      <c r="Q666" s="328"/>
      <c r="R666" s="620"/>
      <c r="S666" s="512"/>
      <c r="T666" s="512"/>
      <c r="U666" s="513"/>
      <c r="V666" s="514"/>
      <c r="W666" s="512"/>
      <c r="X666" s="513"/>
      <c r="Y666" s="514"/>
      <c r="Z666" s="513"/>
      <c r="AA666" s="515"/>
      <c r="AB666" s="516"/>
      <c r="AC666" s="513"/>
      <c r="AD666" s="544"/>
      <c r="AE666" s="516"/>
      <c r="AF666" s="513"/>
      <c r="AG666" s="551"/>
      <c r="AH666" s="595"/>
      <c r="AI666" s="517"/>
      <c r="AJ666" s="518"/>
      <c r="AK666" s="518"/>
      <c r="AL666" s="518"/>
      <c r="AM666" s="519"/>
      <c r="AN666" s="517"/>
      <c r="AO666" s="520"/>
      <c r="AP666" s="525"/>
      <c r="AQ666" s="531"/>
      <c r="AR666" s="593"/>
      <c r="AS666" s="518"/>
      <c r="AT666" s="518"/>
      <c r="AU666" s="518"/>
      <c r="AV666" s="519"/>
      <c r="AW666" s="560"/>
      <c r="AX666" s="522"/>
      <c r="AY666" s="522"/>
      <c r="AZ666" s="522"/>
      <c r="BA666" s="522"/>
      <c r="BB666" s="522"/>
      <c r="BC666" s="518"/>
      <c r="BD666" s="518"/>
      <c r="BE666" s="518"/>
      <c r="BF666" s="518"/>
      <c r="BG666" s="518"/>
      <c r="BH666" s="519"/>
      <c r="BI666" s="527"/>
      <c r="BJ666" s="518"/>
      <c r="BK666" s="518"/>
      <c r="BL666" s="520"/>
      <c r="BM666" s="520"/>
      <c r="BN666" s="519"/>
      <c r="BO666" s="517"/>
      <c r="BP666" s="520"/>
      <c r="BQ666" s="520"/>
      <c r="BR666" s="519"/>
      <c r="BS666" s="548"/>
      <c r="BT666" s="537"/>
      <c r="BU666" s="521"/>
      <c r="BV666" s="521"/>
      <c r="BW666" s="521"/>
      <c r="BX666" s="521"/>
      <c r="BY666" s="521"/>
      <c r="BZ666" s="521"/>
      <c r="CA666" s="521"/>
      <c r="CB666" s="521"/>
      <c r="CC666" s="521"/>
      <c r="CD666" s="521"/>
      <c r="CE666" s="521"/>
      <c r="CF666" s="521"/>
      <c r="CG666" s="521"/>
      <c r="CH666" s="521"/>
      <c r="CI666" s="521"/>
      <c r="CJ666" s="521"/>
      <c r="CK666" s="521"/>
      <c r="CL666" s="518"/>
      <c r="CM666" s="523"/>
      <c r="CN666" s="523"/>
      <c r="CO666" s="524"/>
      <c r="CP666" s="524"/>
      <c r="CQ666" s="518"/>
      <c r="CR666" s="518"/>
      <c r="CS666" s="518"/>
      <c r="CT666" s="518"/>
      <c r="CU666" s="518"/>
      <c r="CV666" s="518"/>
      <c r="CW666" s="518"/>
      <c r="CX666" s="518"/>
      <c r="CY666" s="518"/>
      <c r="CZ666" s="519"/>
      <c r="DA666" s="527"/>
      <c r="DB666" s="520"/>
      <c r="DC666" s="525"/>
      <c r="DD666" s="531"/>
      <c r="DE666" s="593"/>
      <c r="DF666" s="518"/>
      <c r="DG666" s="518"/>
      <c r="DH666" s="518"/>
      <c r="DI666" s="519"/>
      <c r="DJ666" s="560"/>
      <c r="DK666" s="522"/>
      <c r="DL666" s="522"/>
      <c r="DM666" s="522"/>
      <c r="DN666" s="522"/>
      <c r="DO666" s="522"/>
      <c r="DP666" s="518"/>
      <c r="DQ666" s="518"/>
      <c r="DR666" s="518"/>
      <c r="DS666" s="518"/>
      <c r="DT666" s="518"/>
      <c r="DU666" s="519"/>
      <c r="DV666" s="527"/>
      <c r="DW666" s="518"/>
      <c r="DX666" s="518"/>
      <c r="DY666" s="520"/>
      <c r="DZ666" s="520"/>
      <c r="EA666" s="519"/>
      <c r="EB666" s="527"/>
      <c r="EC666" s="520"/>
      <c r="ED666" s="520"/>
      <c r="EE666" s="519"/>
      <c r="EF666" s="550"/>
      <c r="EG666" s="537"/>
      <c r="EH666" s="521"/>
      <c r="EI666" s="521"/>
      <c r="EJ666" s="521"/>
      <c r="EK666" s="521"/>
      <c r="EL666" s="521"/>
      <c r="EM666" s="521"/>
      <c r="EN666" s="521"/>
      <c r="EO666" s="521"/>
      <c r="EP666" s="521"/>
      <c r="EQ666" s="521"/>
      <c r="ER666" s="521"/>
      <c r="ES666" s="521"/>
      <c r="ET666" s="521"/>
      <c r="EU666" s="521"/>
      <c r="EV666" s="521"/>
      <c r="EW666" s="521"/>
      <c r="EX666" s="521"/>
      <c r="EY666" s="518"/>
      <c r="EZ666" s="523"/>
      <c r="FA666" s="523"/>
      <c r="FB666" s="524"/>
      <c r="FC666" s="524"/>
      <c r="FD666" s="518"/>
      <c r="FE666" s="518"/>
      <c r="FF666" s="518"/>
      <c r="FG666" s="518"/>
      <c r="FH666" s="518"/>
      <c r="FI666" s="518"/>
      <c r="FJ666" s="518"/>
      <c r="FK666" s="518"/>
      <c r="FL666" s="518"/>
      <c r="FM666" s="519"/>
    </row>
    <row r="667" spans="1:169" x14ac:dyDescent="0.25">
      <c r="A667" s="284"/>
      <c r="B667" s="317"/>
      <c r="C667" s="297"/>
      <c r="D667" s="298"/>
      <c r="E667" s="299"/>
      <c r="F667" s="340"/>
      <c r="G667" s="298"/>
      <c r="H667" s="299"/>
      <c r="I667" s="300"/>
      <c r="J667" s="370"/>
      <c r="K667" s="328"/>
      <c r="L667" s="300"/>
      <c r="M667" s="328"/>
      <c r="N667" s="331"/>
      <c r="O667" s="301"/>
      <c r="P667" s="301"/>
      <c r="Q667" s="328"/>
      <c r="R667" s="620"/>
      <c r="S667" s="512"/>
      <c r="T667" s="512"/>
      <c r="U667" s="513"/>
      <c r="V667" s="514"/>
      <c r="W667" s="512"/>
      <c r="X667" s="513"/>
      <c r="Y667" s="514"/>
      <c r="Z667" s="513"/>
      <c r="AA667" s="515"/>
      <c r="AB667" s="516"/>
      <c r="AC667" s="513"/>
      <c r="AD667" s="544"/>
      <c r="AE667" s="516"/>
      <c r="AF667" s="513"/>
      <c r="AG667" s="551"/>
      <c r="AH667" s="595"/>
      <c r="AI667" s="517"/>
      <c r="AJ667" s="518"/>
      <c r="AK667" s="518"/>
      <c r="AL667" s="518"/>
      <c r="AM667" s="519"/>
      <c r="AN667" s="517"/>
      <c r="AO667" s="520"/>
      <c r="AP667" s="525"/>
      <c r="AQ667" s="531"/>
      <c r="AR667" s="593"/>
      <c r="AS667" s="518"/>
      <c r="AT667" s="518"/>
      <c r="AU667" s="518"/>
      <c r="AV667" s="519"/>
      <c r="AW667" s="560"/>
      <c r="AX667" s="522"/>
      <c r="AY667" s="522"/>
      <c r="AZ667" s="522"/>
      <c r="BA667" s="522"/>
      <c r="BB667" s="522"/>
      <c r="BC667" s="518"/>
      <c r="BD667" s="518"/>
      <c r="BE667" s="518"/>
      <c r="BF667" s="518"/>
      <c r="BG667" s="518"/>
      <c r="BH667" s="519"/>
      <c r="BI667" s="527"/>
      <c r="BJ667" s="518"/>
      <c r="BK667" s="518"/>
      <c r="BL667" s="520"/>
      <c r="BM667" s="520"/>
      <c r="BN667" s="519"/>
      <c r="BO667" s="517"/>
      <c r="BP667" s="520"/>
      <c r="BQ667" s="520"/>
      <c r="BR667" s="519"/>
      <c r="BS667" s="548"/>
      <c r="BT667" s="537"/>
      <c r="BU667" s="521"/>
      <c r="BV667" s="521"/>
      <c r="BW667" s="521"/>
      <c r="BX667" s="521"/>
      <c r="BY667" s="521"/>
      <c r="BZ667" s="521"/>
      <c r="CA667" s="521"/>
      <c r="CB667" s="521"/>
      <c r="CC667" s="521"/>
      <c r="CD667" s="521"/>
      <c r="CE667" s="521"/>
      <c r="CF667" s="521"/>
      <c r="CG667" s="521"/>
      <c r="CH667" s="521"/>
      <c r="CI667" s="521"/>
      <c r="CJ667" s="521"/>
      <c r="CK667" s="521"/>
      <c r="CL667" s="518"/>
      <c r="CM667" s="523"/>
      <c r="CN667" s="523"/>
      <c r="CO667" s="524"/>
      <c r="CP667" s="524"/>
      <c r="CQ667" s="518"/>
      <c r="CR667" s="518"/>
      <c r="CS667" s="518"/>
      <c r="CT667" s="518"/>
      <c r="CU667" s="518"/>
      <c r="CV667" s="518"/>
      <c r="CW667" s="518"/>
      <c r="CX667" s="518"/>
      <c r="CY667" s="518"/>
      <c r="CZ667" s="519"/>
      <c r="DA667" s="527"/>
      <c r="DB667" s="520"/>
      <c r="DC667" s="525"/>
      <c r="DD667" s="531"/>
      <c r="DE667" s="593"/>
      <c r="DF667" s="518"/>
      <c r="DG667" s="518"/>
      <c r="DH667" s="518"/>
      <c r="DI667" s="519"/>
      <c r="DJ667" s="560"/>
      <c r="DK667" s="522"/>
      <c r="DL667" s="522"/>
      <c r="DM667" s="522"/>
      <c r="DN667" s="522"/>
      <c r="DO667" s="522"/>
      <c r="DP667" s="518"/>
      <c r="DQ667" s="518"/>
      <c r="DR667" s="518"/>
      <c r="DS667" s="518"/>
      <c r="DT667" s="518"/>
      <c r="DU667" s="519"/>
      <c r="DV667" s="527"/>
      <c r="DW667" s="518"/>
      <c r="DX667" s="518"/>
      <c r="DY667" s="520"/>
      <c r="DZ667" s="520"/>
      <c r="EA667" s="519"/>
      <c r="EB667" s="527"/>
      <c r="EC667" s="520"/>
      <c r="ED667" s="520"/>
      <c r="EE667" s="519"/>
      <c r="EF667" s="550"/>
      <c r="EG667" s="537"/>
      <c r="EH667" s="521"/>
      <c r="EI667" s="521"/>
      <c r="EJ667" s="521"/>
      <c r="EK667" s="521"/>
      <c r="EL667" s="521"/>
      <c r="EM667" s="521"/>
      <c r="EN667" s="521"/>
      <c r="EO667" s="521"/>
      <c r="EP667" s="521"/>
      <c r="EQ667" s="521"/>
      <c r="ER667" s="521"/>
      <c r="ES667" s="521"/>
      <c r="ET667" s="521"/>
      <c r="EU667" s="521"/>
      <c r="EV667" s="521"/>
      <c r="EW667" s="521"/>
      <c r="EX667" s="521"/>
      <c r="EY667" s="518"/>
      <c r="EZ667" s="523"/>
      <c r="FA667" s="523"/>
      <c r="FB667" s="524"/>
      <c r="FC667" s="524"/>
      <c r="FD667" s="518"/>
      <c r="FE667" s="518"/>
      <c r="FF667" s="518"/>
      <c r="FG667" s="518"/>
      <c r="FH667" s="518"/>
      <c r="FI667" s="518"/>
      <c r="FJ667" s="518"/>
      <c r="FK667" s="518"/>
      <c r="FL667" s="518"/>
      <c r="FM667" s="519"/>
    </row>
    <row r="668" spans="1:169" x14ac:dyDescent="0.25">
      <c r="A668" s="284"/>
      <c r="B668" s="317"/>
      <c r="C668" s="297"/>
      <c r="D668" s="298"/>
      <c r="E668" s="299"/>
      <c r="F668" s="340"/>
      <c r="G668" s="298"/>
      <c r="H668" s="299"/>
      <c r="I668" s="300"/>
      <c r="J668" s="370"/>
      <c r="K668" s="328"/>
      <c r="L668" s="300"/>
      <c r="M668" s="328"/>
      <c r="N668" s="331"/>
      <c r="O668" s="301"/>
      <c r="P668" s="301"/>
      <c r="Q668" s="328"/>
      <c r="R668" s="620"/>
      <c r="S668" s="512"/>
      <c r="T668" s="512"/>
      <c r="U668" s="513"/>
      <c r="V668" s="514"/>
      <c r="W668" s="512"/>
      <c r="X668" s="513"/>
      <c r="Y668" s="514"/>
      <c r="Z668" s="513"/>
      <c r="AA668" s="515"/>
      <c r="AB668" s="516"/>
      <c r="AC668" s="513"/>
      <c r="AD668" s="544"/>
      <c r="AE668" s="516"/>
      <c r="AF668" s="513"/>
      <c r="AG668" s="551"/>
      <c r="AH668" s="595"/>
      <c r="AI668" s="517"/>
      <c r="AJ668" s="518"/>
      <c r="AK668" s="518"/>
      <c r="AL668" s="518"/>
      <c r="AM668" s="519"/>
      <c r="AN668" s="517"/>
      <c r="AO668" s="520"/>
      <c r="AP668" s="525"/>
      <c r="AQ668" s="531"/>
      <c r="AR668" s="593"/>
      <c r="AS668" s="518"/>
      <c r="AT668" s="518"/>
      <c r="AU668" s="518"/>
      <c r="AV668" s="519"/>
      <c r="AW668" s="560"/>
      <c r="AX668" s="522"/>
      <c r="AY668" s="522"/>
      <c r="AZ668" s="522"/>
      <c r="BA668" s="522"/>
      <c r="BB668" s="522"/>
      <c r="BC668" s="518"/>
      <c r="BD668" s="518"/>
      <c r="BE668" s="518"/>
      <c r="BF668" s="518"/>
      <c r="BG668" s="518"/>
      <c r="BH668" s="519"/>
      <c r="BI668" s="527"/>
      <c r="BJ668" s="518"/>
      <c r="BK668" s="518"/>
      <c r="BL668" s="520"/>
      <c r="BM668" s="520"/>
      <c r="BN668" s="519"/>
      <c r="BO668" s="517"/>
      <c r="BP668" s="520"/>
      <c r="BQ668" s="520"/>
      <c r="BR668" s="519"/>
      <c r="BS668" s="548"/>
      <c r="BT668" s="537"/>
      <c r="BU668" s="521"/>
      <c r="BV668" s="521"/>
      <c r="BW668" s="521"/>
      <c r="BX668" s="521"/>
      <c r="BY668" s="521"/>
      <c r="BZ668" s="521"/>
      <c r="CA668" s="521"/>
      <c r="CB668" s="521"/>
      <c r="CC668" s="521"/>
      <c r="CD668" s="521"/>
      <c r="CE668" s="521"/>
      <c r="CF668" s="521"/>
      <c r="CG668" s="521"/>
      <c r="CH668" s="521"/>
      <c r="CI668" s="521"/>
      <c r="CJ668" s="521"/>
      <c r="CK668" s="521"/>
      <c r="CL668" s="518"/>
      <c r="CM668" s="523"/>
      <c r="CN668" s="523"/>
      <c r="CO668" s="524"/>
      <c r="CP668" s="524"/>
      <c r="CQ668" s="518"/>
      <c r="CR668" s="518"/>
      <c r="CS668" s="518"/>
      <c r="CT668" s="518"/>
      <c r="CU668" s="518"/>
      <c r="CV668" s="518"/>
      <c r="CW668" s="518"/>
      <c r="CX668" s="518"/>
      <c r="CY668" s="518"/>
      <c r="CZ668" s="519"/>
      <c r="DA668" s="527"/>
      <c r="DB668" s="520"/>
      <c r="DC668" s="525"/>
      <c r="DD668" s="531"/>
      <c r="DE668" s="593"/>
      <c r="DF668" s="518"/>
      <c r="DG668" s="518"/>
      <c r="DH668" s="518"/>
      <c r="DI668" s="519"/>
      <c r="DJ668" s="560"/>
      <c r="DK668" s="522"/>
      <c r="DL668" s="522"/>
      <c r="DM668" s="522"/>
      <c r="DN668" s="522"/>
      <c r="DO668" s="522"/>
      <c r="DP668" s="518"/>
      <c r="DQ668" s="518"/>
      <c r="DR668" s="518"/>
      <c r="DS668" s="518"/>
      <c r="DT668" s="518"/>
      <c r="DU668" s="519"/>
      <c r="DV668" s="527"/>
      <c r="DW668" s="518"/>
      <c r="DX668" s="518"/>
      <c r="DY668" s="520"/>
      <c r="DZ668" s="520"/>
      <c r="EA668" s="519"/>
      <c r="EB668" s="527"/>
      <c r="EC668" s="520"/>
      <c r="ED668" s="520"/>
      <c r="EE668" s="519"/>
      <c r="EF668" s="550"/>
      <c r="EG668" s="537"/>
      <c r="EH668" s="521"/>
      <c r="EI668" s="521"/>
      <c r="EJ668" s="521"/>
      <c r="EK668" s="521"/>
      <c r="EL668" s="521"/>
      <c r="EM668" s="521"/>
      <c r="EN668" s="521"/>
      <c r="EO668" s="521"/>
      <c r="EP668" s="521"/>
      <c r="EQ668" s="521"/>
      <c r="ER668" s="521"/>
      <c r="ES668" s="521"/>
      <c r="ET668" s="521"/>
      <c r="EU668" s="521"/>
      <c r="EV668" s="521"/>
      <c r="EW668" s="521"/>
      <c r="EX668" s="521"/>
      <c r="EY668" s="518"/>
      <c r="EZ668" s="523"/>
      <c r="FA668" s="523"/>
      <c r="FB668" s="524"/>
      <c r="FC668" s="524"/>
      <c r="FD668" s="518"/>
      <c r="FE668" s="518"/>
      <c r="FF668" s="518"/>
      <c r="FG668" s="518"/>
      <c r="FH668" s="518"/>
      <c r="FI668" s="518"/>
      <c r="FJ668" s="518"/>
      <c r="FK668" s="518"/>
      <c r="FL668" s="518"/>
      <c r="FM668" s="519"/>
    </row>
    <row r="669" spans="1:169" x14ac:dyDescent="0.25">
      <c r="A669" s="284"/>
      <c r="B669" s="317"/>
      <c r="C669" s="297"/>
      <c r="D669" s="298"/>
      <c r="E669" s="299"/>
      <c r="F669" s="340"/>
      <c r="G669" s="298"/>
      <c r="H669" s="299"/>
      <c r="I669" s="300"/>
      <c r="J669" s="370"/>
      <c r="K669" s="328"/>
      <c r="L669" s="300"/>
      <c r="M669" s="328"/>
      <c r="N669" s="331"/>
      <c r="O669" s="301"/>
      <c r="P669" s="301"/>
      <c r="Q669" s="328"/>
      <c r="R669" s="620"/>
      <c r="S669" s="512"/>
      <c r="T669" s="512"/>
      <c r="U669" s="513"/>
      <c r="V669" s="514"/>
      <c r="W669" s="512"/>
      <c r="X669" s="513"/>
      <c r="Y669" s="514"/>
      <c r="Z669" s="513"/>
      <c r="AA669" s="515"/>
      <c r="AB669" s="516"/>
      <c r="AC669" s="513"/>
      <c r="AD669" s="544"/>
      <c r="AE669" s="516"/>
      <c r="AF669" s="513"/>
      <c r="AG669" s="551"/>
      <c r="AH669" s="595"/>
      <c r="AI669" s="517"/>
      <c r="AJ669" s="518"/>
      <c r="AK669" s="518"/>
      <c r="AL669" s="518"/>
      <c r="AM669" s="519"/>
      <c r="AN669" s="517"/>
      <c r="AO669" s="520"/>
      <c r="AP669" s="525"/>
      <c r="AQ669" s="531"/>
      <c r="AR669" s="593"/>
      <c r="AS669" s="518"/>
      <c r="AT669" s="518"/>
      <c r="AU669" s="518"/>
      <c r="AV669" s="519"/>
      <c r="AW669" s="560"/>
      <c r="AX669" s="522"/>
      <c r="AY669" s="522"/>
      <c r="AZ669" s="522"/>
      <c r="BA669" s="522"/>
      <c r="BB669" s="522"/>
      <c r="BC669" s="518"/>
      <c r="BD669" s="518"/>
      <c r="BE669" s="518"/>
      <c r="BF669" s="518"/>
      <c r="BG669" s="518"/>
      <c r="BH669" s="519"/>
      <c r="BI669" s="527"/>
      <c r="BJ669" s="518"/>
      <c r="BK669" s="518"/>
      <c r="BL669" s="520"/>
      <c r="BM669" s="520"/>
      <c r="BN669" s="519"/>
      <c r="BO669" s="517"/>
      <c r="BP669" s="520"/>
      <c r="BQ669" s="520"/>
      <c r="BR669" s="519"/>
      <c r="BS669" s="548"/>
      <c r="BT669" s="537"/>
      <c r="BU669" s="521"/>
      <c r="BV669" s="521"/>
      <c r="BW669" s="521"/>
      <c r="BX669" s="521"/>
      <c r="BY669" s="521"/>
      <c r="BZ669" s="521"/>
      <c r="CA669" s="521"/>
      <c r="CB669" s="521"/>
      <c r="CC669" s="521"/>
      <c r="CD669" s="521"/>
      <c r="CE669" s="521"/>
      <c r="CF669" s="521"/>
      <c r="CG669" s="521"/>
      <c r="CH669" s="521"/>
      <c r="CI669" s="521"/>
      <c r="CJ669" s="521"/>
      <c r="CK669" s="521"/>
      <c r="CL669" s="518"/>
      <c r="CM669" s="523"/>
      <c r="CN669" s="523"/>
      <c r="CO669" s="524"/>
      <c r="CP669" s="524"/>
      <c r="CQ669" s="518"/>
      <c r="CR669" s="518"/>
      <c r="CS669" s="518"/>
      <c r="CT669" s="518"/>
      <c r="CU669" s="518"/>
      <c r="CV669" s="518"/>
      <c r="CW669" s="518"/>
      <c r="CX669" s="518"/>
      <c r="CY669" s="518"/>
      <c r="CZ669" s="519"/>
      <c r="DA669" s="527"/>
      <c r="DB669" s="520"/>
      <c r="DC669" s="525"/>
      <c r="DD669" s="531"/>
      <c r="DE669" s="593"/>
      <c r="DF669" s="518"/>
      <c r="DG669" s="518"/>
      <c r="DH669" s="518"/>
      <c r="DI669" s="519"/>
      <c r="DJ669" s="560"/>
      <c r="DK669" s="522"/>
      <c r="DL669" s="522"/>
      <c r="DM669" s="522"/>
      <c r="DN669" s="522"/>
      <c r="DO669" s="522"/>
      <c r="DP669" s="518"/>
      <c r="DQ669" s="518"/>
      <c r="DR669" s="518"/>
      <c r="DS669" s="518"/>
      <c r="DT669" s="518"/>
      <c r="DU669" s="519"/>
      <c r="DV669" s="527"/>
      <c r="DW669" s="518"/>
      <c r="DX669" s="518"/>
      <c r="DY669" s="520"/>
      <c r="DZ669" s="520"/>
      <c r="EA669" s="519"/>
      <c r="EB669" s="527"/>
      <c r="EC669" s="520"/>
      <c r="ED669" s="520"/>
      <c r="EE669" s="519"/>
      <c r="EF669" s="550"/>
      <c r="EG669" s="537"/>
      <c r="EH669" s="521"/>
      <c r="EI669" s="521"/>
      <c r="EJ669" s="521"/>
      <c r="EK669" s="521"/>
      <c r="EL669" s="521"/>
      <c r="EM669" s="521"/>
      <c r="EN669" s="521"/>
      <c r="EO669" s="521"/>
      <c r="EP669" s="521"/>
      <c r="EQ669" s="521"/>
      <c r="ER669" s="521"/>
      <c r="ES669" s="521"/>
      <c r="ET669" s="521"/>
      <c r="EU669" s="521"/>
      <c r="EV669" s="521"/>
      <c r="EW669" s="521"/>
      <c r="EX669" s="521"/>
      <c r="EY669" s="518"/>
      <c r="EZ669" s="523"/>
      <c r="FA669" s="523"/>
      <c r="FB669" s="524"/>
      <c r="FC669" s="524"/>
      <c r="FD669" s="518"/>
      <c r="FE669" s="518"/>
      <c r="FF669" s="518"/>
      <c r="FG669" s="518"/>
      <c r="FH669" s="518"/>
      <c r="FI669" s="518"/>
      <c r="FJ669" s="518"/>
      <c r="FK669" s="518"/>
      <c r="FL669" s="518"/>
      <c r="FM669" s="519"/>
    </row>
    <row r="670" spans="1:169" x14ac:dyDescent="0.25">
      <c r="A670" s="284"/>
      <c r="B670" s="317"/>
      <c r="C670" s="297"/>
      <c r="D670" s="298"/>
      <c r="E670" s="299"/>
      <c r="F670" s="340"/>
      <c r="G670" s="298"/>
      <c r="H670" s="299"/>
      <c r="I670" s="300"/>
      <c r="J670" s="370"/>
      <c r="K670" s="328"/>
      <c r="L670" s="300"/>
      <c r="M670" s="328"/>
      <c r="N670" s="331"/>
      <c r="O670" s="301"/>
      <c r="P670" s="301"/>
      <c r="Q670" s="328"/>
      <c r="R670" s="620"/>
      <c r="S670" s="512"/>
      <c r="T670" s="512"/>
      <c r="U670" s="513"/>
      <c r="V670" s="514"/>
      <c r="W670" s="512"/>
      <c r="X670" s="513"/>
      <c r="Y670" s="514"/>
      <c r="Z670" s="513"/>
      <c r="AA670" s="515"/>
      <c r="AB670" s="516"/>
      <c r="AC670" s="513"/>
      <c r="AD670" s="544"/>
      <c r="AE670" s="516"/>
      <c r="AF670" s="513"/>
      <c r="AG670" s="551"/>
      <c r="AH670" s="595"/>
      <c r="AI670" s="517"/>
      <c r="AJ670" s="518"/>
      <c r="AK670" s="518"/>
      <c r="AL670" s="518"/>
      <c r="AM670" s="519"/>
      <c r="AN670" s="517"/>
      <c r="AO670" s="520"/>
      <c r="AP670" s="525"/>
      <c r="AQ670" s="531"/>
      <c r="AR670" s="593"/>
      <c r="AS670" s="518"/>
      <c r="AT670" s="518"/>
      <c r="AU670" s="518"/>
      <c r="AV670" s="519"/>
      <c r="AW670" s="560"/>
      <c r="AX670" s="522"/>
      <c r="AY670" s="522"/>
      <c r="AZ670" s="522"/>
      <c r="BA670" s="522"/>
      <c r="BB670" s="522"/>
      <c r="BC670" s="518"/>
      <c r="BD670" s="518"/>
      <c r="BE670" s="518"/>
      <c r="BF670" s="518"/>
      <c r="BG670" s="518"/>
      <c r="BH670" s="519"/>
      <c r="BI670" s="527"/>
      <c r="BJ670" s="518"/>
      <c r="BK670" s="518"/>
      <c r="BL670" s="520"/>
      <c r="BM670" s="520"/>
      <c r="BN670" s="519"/>
      <c r="BO670" s="517"/>
      <c r="BP670" s="520"/>
      <c r="BQ670" s="520"/>
      <c r="BR670" s="519"/>
      <c r="BS670" s="548"/>
      <c r="BT670" s="537"/>
      <c r="BU670" s="521"/>
      <c r="BV670" s="521"/>
      <c r="BW670" s="521"/>
      <c r="BX670" s="521"/>
      <c r="BY670" s="521"/>
      <c r="BZ670" s="521"/>
      <c r="CA670" s="521"/>
      <c r="CB670" s="521"/>
      <c r="CC670" s="521"/>
      <c r="CD670" s="521"/>
      <c r="CE670" s="521"/>
      <c r="CF670" s="521"/>
      <c r="CG670" s="521"/>
      <c r="CH670" s="521"/>
      <c r="CI670" s="521"/>
      <c r="CJ670" s="521"/>
      <c r="CK670" s="521"/>
      <c r="CL670" s="518"/>
      <c r="CM670" s="523"/>
      <c r="CN670" s="523"/>
      <c r="CO670" s="524"/>
      <c r="CP670" s="524"/>
      <c r="CQ670" s="518"/>
      <c r="CR670" s="518"/>
      <c r="CS670" s="518"/>
      <c r="CT670" s="518"/>
      <c r="CU670" s="518"/>
      <c r="CV670" s="518"/>
      <c r="CW670" s="518"/>
      <c r="CX670" s="518"/>
      <c r="CY670" s="518"/>
      <c r="CZ670" s="519"/>
      <c r="DA670" s="527"/>
      <c r="DB670" s="520"/>
      <c r="DC670" s="525"/>
      <c r="DD670" s="531"/>
      <c r="DE670" s="593"/>
      <c r="DF670" s="518"/>
      <c r="DG670" s="518"/>
      <c r="DH670" s="518"/>
      <c r="DI670" s="519"/>
      <c r="DJ670" s="560"/>
      <c r="DK670" s="522"/>
      <c r="DL670" s="522"/>
      <c r="DM670" s="522"/>
      <c r="DN670" s="522"/>
      <c r="DO670" s="522"/>
      <c r="DP670" s="518"/>
      <c r="DQ670" s="518"/>
      <c r="DR670" s="518"/>
      <c r="DS670" s="518"/>
      <c r="DT670" s="518"/>
      <c r="DU670" s="519"/>
      <c r="DV670" s="527"/>
      <c r="DW670" s="518"/>
      <c r="DX670" s="518"/>
      <c r="DY670" s="520"/>
      <c r="DZ670" s="520"/>
      <c r="EA670" s="519"/>
      <c r="EB670" s="527"/>
      <c r="EC670" s="520"/>
      <c r="ED670" s="520"/>
      <c r="EE670" s="519"/>
      <c r="EF670" s="550"/>
      <c r="EG670" s="537"/>
      <c r="EH670" s="521"/>
      <c r="EI670" s="521"/>
      <c r="EJ670" s="521"/>
      <c r="EK670" s="521"/>
      <c r="EL670" s="521"/>
      <c r="EM670" s="521"/>
      <c r="EN670" s="521"/>
      <c r="EO670" s="521"/>
      <c r="EP670" s="521"/>
      <c r="EQ670" s="521"/>
      <c r="ER670" s="521"/>
      <c r="ES670" s="521"/>
      <c r="ET670" s="521"/>
      <c r="EU670" s="521"/>
      <c r="EV670" s="521"/>
      <c r="EW670" s="521"/>
      <c r="EX670" s="521"/>
      <c r="EY670" s="518"/>
      <c r="EZ670" s="523"/>
      <c r="FA670" s="523"/>
      <c r="FB670" s="524"/>
      <c r="FC670" s="524"/>
      <c r="FD670" s="518"/>
      <c r="FE670" s="518"/>
      <c r="FF670" s="518"/>
      <c r="FG670" s="518"/>
      <c r="FH670" s="518"/>
      <c r="FI670" s="518"/>
      <c r="FJ670" s="518"/>
      <c r="FK670" s="518"/>
      <c r="FL670" s="518"/>
      <c r="FM670" s="519"/>
    </row>
    <row r="671" spans="1:169" x14ac:dyDescent="0.25">
      <c r="A671" s="284"/>
      <c r="B671" s="317"/>
      <c r="C671" s="297"/>
      <c r="D671" s="298"/>
      <c r="E671" s="299"/>
      <c r="F671" s="340"/>
      <c r="G671" s="298"/>
      <c r="H671" s="299"/>
      <c r="I671" s="300"/>
      <c r="J671" s="370"/>
      <c r="K671" s="328"/>
      <c r="L671" s="300"/>
      <c r="M671" s="328"/>
      <c r="N671" s="331"/>
      <c r="O671" s="301"/>
      <c r="P671" s="301"/>
      <c r="Q671" s="328"/>
      <c r="R671" s="620"/>
      <c r="S671" s="512"/>
      <c r="T671" s="512"/>
      <c r="U671" s="513"/>
      <c r="V671" s="514"/>
      <c r="W671" s="512"/>
      <c r="X671" s="513"/>
      <c r="Y671" s="514"/>
      <c r="Z671" s="513"/>
      <c r="AA671" s="515"/>
      <c r="AB671" s="516"/>
      <c r="AC671" s="513"/>
      <c r="AD671" s="544"/>
      <c r="AE671" s="516"/>
      <c r="AF671" s="513"/>
      <c r="AG671" s="551"/>
      <c r="AH671" s="595"/>
      <c r="AI671" s="517"/>
      <c r="AJ671" s="518"/>
      <c r="AK671" s="518"/>
      <c r="AL671" s="518"/>
      <c r="AM671" s="519"/>
      <c r="AN671" s="517"/>
      <c r="AO671" s="520"/>
      <c r="AP671" s="525"/>
      <c r="AQ671" s="531"/>
      <c r="AR671" s="593"/>
      <c r="AS671" s="518"/>
      <c r="AT671" s="518"/>
      <c r="AU671" s="518"/>
      <c r="AV671" s="519"/>
      <c r="AW671" s="560"/>
      <c r="AX671" s="522"/>
      <c r="AY671" s="522"/>
      <c r="AZ671" s="522"/>
      <c r="BA671" s="522"/>
      <c r="BB671" s="522"/>
      <c r="BC671" s="518"/>
      <c r="BD671" s="518"/>
      <c r="BE671" s="518"/>
      <c r="BF671" s="518"/>
      <c r="BG671" s="518"/>
      <c r="BH671" s="519"/>
      <c r="BI671" s="527"/>
      <c r="BJ671" s="518"/>
      <c r="BK671" s="518"/>
      <c r="BL671" s="520"/>
      <c r="BM671" s="520"/>
      <c r="BN671" s="519"/>
      <c r="BO671" s="517"/>
      <c r="BP671" s="520"/>
      <c r="BQ671" s="520"/>
      <c r="BR671" s="519"/>
      <c r="BS671" s="548"/>
      <c r="BT671" s="537"/>
      <c r="BU671" s="521"/>
      <c r="BV671" s="521"/>
      <c r="BW671" s="521"/>
      <c r="BX671" s="521"/>
      <c r="BY671" s="521"/>
      <c r="BZ671" s="521"/>
      <c r="CA671" s="521"/>
      <c r="CB671" s="521"/>
      <c r="CC671" s="521"/>
      <c r="CD671" s="521"/>
      <c r="CE671" s="521"/>
      <c r="CF671" s="521"/>
      <c r="CG671" s="521"/>
      <c r="CH671" s="521"/>
      <c r="CI671" s="521"/>
      <c r="CJ671" s="521"/>
      <c r="CK671" s="521"/>
      <c r="CL671" s="518"/>
      <c r="CM671" s="523"/>
      <c r="CN671" s="523"/>
      <c r="CO671" s="524"/>
      <c r="CP671" s="524"/>
      <c r="CQ671" s="518"/>
      <c r="CR671" s="518"/>
      <c r="CS671" s="518"/>
      <c r="CT671" s="518"/>
      <c r="CU671" s="518"/>
      <c r="CV671" s="518"/>
      <c r="CW671" s="518"/>
      <c r="CX671" s="518"/>
      <c r="CY671" s="518"/>
      <c r="CZ671" s="519"/>
      <c r="DA671" s="527"/>
      <c r="DB671" s="520"/>
      <c r="DC671" s="525"/>
      <c r="DD671" s="531"/>
      <c r="DE671" s="593"/>
      <c r="DF671" s="518"/>
      <c r="DG671" s="518"/>
      <c r="DH671" s="518"/>
      <c r="DI671" s="519"/>
      <c r="DJ671" s="560"/>
      <c r="DK671" s="522"/>
      <c r="DL671" s="522"/>
      <c r="DM671" s="522"/>
      <c r="DN671" s="522"/>
      <c r="DO671" s="522"/>
      <c r="DP671" s="518"/>
      <c r="DQ671" s="518"/>
      <c r="DR671" s="518"/>
      <c r="DS671" s="518"/>
      <c r="DT671" s="518"/>
      <c r="DU671" s="519"/>
      <c r="DV671" s="527"/>
      <c r="DW671" s="518"/>
      <c r="DX671" s="518"/>
      <c r="DY671" s="520"/>
      <c r="DZ671" s="520"/>
      <c r="EA671" s="519"/>
      <c r="EB671" s="527"/>
      <c r="EC671" s="520"/>
      <c r="ED671" s="520"/>
      <c r="EE671" s="519"/>
      <c r="EF671" s="550"/>
      <c r="EG671" s="537"/>
      <c r="EH671" s="521"/>
      <c r="EI671" s="521"/>
      <c r="EJ671" s="521"/>
      <c r="EK671" s="521"/>
      <c r="EL671" s="521"/>
      <c r="EM671" s="521"/>
      <c r="EN671" s="521"/>
      <c r="EO671" s="521"/>
      <c r="EP671" s="521"/>
      <c r="EQ671" s="521"/>
      <c r="ER671" s="521"/>
      <c r="ES671" s="521"/>
      <c r="ET671" s="521"/>
      <c r="EU671" s="521"/>
      <c r="EV671" s="521"/>
      <c r="EW671" s="521"/>
      <c r="EX671" s="521"/>
      <c r="EY671" s="518"/>
      <c r="EZ671" s="523"/>
      <c r="FA671" s="523"/>
      <c r="FB671" s="524"/>
      <c r="FC671" s="524"/>
      <c r="FD671" s="518"/>
      <c r="FE671" s="518"/>
      <c r="FF671" s="518"/>
      <c r="FG671" s="518"/>
      <c r="FH671" s="518"/>
      <c r="FI671" s="518"/>
      <c r="FJ671" s="518"/>
      <c r="FK671" s="518"/>
      <c r="FL671" s="518"/>
      <c r="FM671" s="519"/>
    </row>
    <row r="672" spans="1:169" x14ac:dyDescent="0.25">
      <c r="A672" s="284"/>
      <c r="B672" s="317"/>
      <c r="C672" s="297"/>
      <c r="D672" s="298"/>
      <c r="E672" s="299"/>
      <c r="F672" s="340"/>
      <c r="G672" s="298"/>
      <c r="H672" s="299"/>
      <c r="I672" s="300"/>
      <c r="J672" s="370"/>
      <c r="K672" s="328"/>
      <c r="L672" s="300"/>
      <c r="M672" s="328"/>
      <c r="N672" s="331"/>
      <c r="O672" s="301"/>
      <c r="P672" s="301"/>
      <c r="Q672" s="328"/>
      <c r="R672" s="620"/>
      <c r="S672" s="512"/>
      <c r="T672" s="512"/>
      <c r="U672" s="513"/>
      <c r="V672" s="514"/>
      <c r="W672" s="512"/>
      <c r="X672" s="513"/>
      <c r="Y672" s="514"/>
      <c r="Z672" s="513"/>
      <c r="AA672" s="515"/>
      <c r="AB672" s="516"/>
      <c r="AC672" s="513"/>
      <c r="AD672" s="544"/>
      <c r="AE672" s="516"/>
      <c r="AF672" s="513"/>
      <c r="AG672" s="551"/>
      <c r="AH672" s="595"/>
      <c r="AI672" s="517"/>
      <c r="AJ672" s="518"/>
      <c r="AK672" s="518"/>
      <c r="AL672" s="518"/>
      <c r="AM672" s="519"/>
      <c r="AN672" s="517"/>
      <c r="AO672" s="520"/>
      <c r="AP672" s="525"/>
      <c r="AQ672" s="531"/>
      <c r="AR672" s="593"/>
      <c r="AS672" s="518"/>
      <c r="AT672" s="518"/>
      <c r="AU672" s="518"/>
      <c r="AV672" s="519"/>
      <c r="AW672" s="560"/>
      <c r="AX672" s="522"/>
      <c r="AY672" s="522"/>
      <c r="AZ672" s="522"/>
      <c r="BA672" s="522"/>
      <c r="BB672" s="522"/>
      <c r="BC672" s="518"/>
      <c r="BD672" s="518"/>
      <c r="BE672" s="518"/>
      <c r="BF672" s="518"/>
      <c r="BG672" s="518"/>
      <c r="BH672" s="519"/>
      <c r="BI672" s="527"/>
      <c r="BJ672" s="518"/>
      <c r="BK672" s="518"/>
      <c r="BL672" s="520"/>
      <c r="BM672" s="520"/>
      <c r="BN672" s="519"/>
      <c r="BO672" s="517"/>
      <c r="BP672" s="520"/>
      <c r="BQ672" s="520"/>
      <c r="BR672" s="519"/>
      <c r="BS672" s="548"/>
      <c r="BT672" s="537"/>
      <c r="BU672" s="521"/>
      <c r="BV672" s="521"/>
      <c r="BW672" s="521"/>
      <c r="BX672" s="521"/>
      <c r="BY672" s="521"/>
      <c r="BZ672" s="521"/>
      <c r="CA672" s="521"/>
      <c r="CB672" s="521"/>
      <c r="CC672" s="521"/>
      <c r="CD672" s="521"/>
      <c r="CE672" s="521"/>
      <c r="CF672" s="521"/>
      <c r="CG672" s="521"/>
      <c r="CH672" s="521"/>
      <c r="CI672" s="521"/>
      <c r="CJ672" s="521"/>
      <c r="CK672" s="521"/>
      <c r="CL672" s="518"/>
      <c r="CM672" s="523"/>
      <c r="CN672" s="523"/>
      <c r="CO672" s="524"/>
      <c r="CP672" s="524"/>
      <c r="CQ672" s="518"/>
      <c r="CR672" s="518"/>
      <c r="CS672" s="518"/>
      <c r="CT672" s="518"/>
      <c r="CU672" s="518"/>
      <c r="CV672" s="518"/>
      <c r="CW672" s="518"/>
      <c r="CX672" s="518"/>
      <c r="CY672" s="518"/>
      <c r="CZ672" s="519"/>
      <c r="DA672" s="527"/>
      <c r="DB672" s="520"/>
      <c r="DC672" s="525"/>
      <c r="DD672" s="531"/>
      <c r="DE672" s="593"/>
      <c r="DF672" s="518"/>
      <c r="DG672" s="518"/>
      <c r="DH672" s="518"/>
      <c r="DI672" s="519"/>
      <c r="DJ672" s="560"/>
      <c r="DK672" s="522"/>
      <c r="DL672" s="522"/>
      <c r="DM672" s="522"/>
      <c r="DN672" s="522"/>
      <c r="DO672" s="522"/>
      <c r="DP672" s="518"/>
      <c r="DQ672" s="518"/>
      <c r="DR672" s="518"/>
      <c r="DS672" s="518"/>
      <c r="DT672" s="518"/>
      <c r="DU672" s="519"/>
      <c r="DV672" s="527"/>
      <c r="DW672" s="518"/>
      <c r="DX672" s="518"/>
      <c r="DY672" s="520"/>
      <c r="DZ672" s="520"/>
      <c r="EA672" s="519"/>
      <c r="EB672" s="527"/>
      <c r="EC672" s="520"/>
      <c r="ED672" s="520"/>
      <c r="EE672" s="519"/>
      <c r="EF672" s="550"/>
      <c r="EG672" s="537"/>
      <c r="EH672" s="521"/>
      <c r="EI672" s="521"/>
      <c r="EJ672" s="521"/>
      <c r="EK672" s="521"/>
      <c r="EL672" s="521"/>
      <c r="EM672" s="521"/>
      <c r="EN672" s="521"/>
      <c r="EO672" s="521"/>
      <c r="EP672" s="521"/>
      <c r="EQ672" s="521"/>
      <c r="ER672" s="521"/>
      <c r="ES672" s="521"/>
      <c r="ET672" s="521"/>
      <c r="EU672" s="521"/>
      <c r="EV672" s="521"/>
      <c r="EW672" s="521"/>
      <c r="EX672" s="521"/>
      <c r="EY672" s="518"/>
      <c r="EZ672" s="523"/>
      <c r="FA672" s="523"/>
      <c r="FB672" s="524"/>
      <c r="FC672" s="524"/>
      <c r="FD672" s="518"/>
      <c r="FE672" s="518"/>
      <c r="FF672" s="518"/>
      <c r="FG672" s="518"/>
      <c r="FH672" s="518"/>
      <c r="FI672" s="518"/>
      <c r="FJ672" s="518"/>
      <c r="FK672" s="518"/>
      <c r="FL672" s="518"/>
      <c r="FM672" s="519"/>
    </row>
    <row r="673" spans="1:169" x14ac:dyDescent="0.25">
      <c r="A673" s="284"/>
      <c r="B673" s="317"/>
      <c r="C673" s="297"/>
      <c r="D673" s="298"/>
      <c r="E673" s="299"/>
      <c r="F673" s="340"/>
      <c r="G673" s="298"/>
      <c r="H673" s="299"/>
      <c r="I673" s="300"/>
      <c r="J673" s="370"/>
      <c r="K673" s="328"/>
      <c r="L673" s="300"/>
      <c r="M673" s="328"/>
      <c r="N673" s="331"/>
      <c r="O673" s="301"/>
      <c r="P673" s="301"/>
      <c r="Q673" s="328"/>
      <c r="R673" s="620"/>
      <c r="S673" s="512"/>
      <c r="T673" s="512"/>
      <c r="U673" s="513"/>
      <c r="V673" s="514"/>
      <c r="W673" s="512"/>
      <c r="X673" s="513"/>
      <c r="Y673" s="514"/>
      <c r="Z673" s="513"/>
      <c r="AA673" s="515"/>
      <c r="AB673" s="516"/>
      <c r="AC673" s="513"/>
      <c r="AD673" s="544"/>
      <c r="AE673" s="516"/>
      <c r="AF673" s="513"/>
      <c r="AG673" s="551"/>
      <c r="AH673" s="595"/>
      <c r="AI673" s="517"/>
      <c r="AJ673" s="518"/>
      <c r="AK673" s="518"/>
      <c r="AL673" s="518"/>
      <c r="AM673" s="519"/>
      <c r="AN673" s="517"/>
      <c r="AO673" s="520"/>
      <c r="AP673" s="525"/>
      <c r="AQ673" s="531"/>
      <c r="AR673" s="593"/>
      <c r="AS673" s="518"/>
      <c r="AT673" s="518"/>
      <c r="AU673" s="518"/>
      <c r="AV673" s="519"/>
      <c r="AW673" s="560"/>
      <c r="AX673" s="522"/>
      <c r="AY673" s="522"/>
      <c r="AZ673" s="522"/>
      <c r="BA673" s="522"/>
      <c r="BB673" s="522"/>
      <c r="BC673" s="518"/>
      <c r="BD673" s="518"/>
      <c r="BE673" s="518"/>
      <c r="BF673" s="518"/>
      <c r="BG673" s="518"/>
      <c r="BH673" s="519"/>
      <c r="BI673" s="527"/>
      <c r="BJ673" s="518"/>
      <c r="BK673" s="518"/>
      <c r="BL673" s="520"/>
      <c r="BM673" s="520"/>
      <c r="BN673" s="519"/>
      <c r="BO673" s="517"/>
      <c r="BP673" s="520"/>
      <c r="BQ673" s="520"/>
      <c r="BR673" s="519"/>
      <c r="BS673" s="548"/>
      <c r="BT673" s="537"/>
      <c r="BU673" s="521"/>
      <c r="BV673" s="521"/>
      <c r="BW673" s="521"/>
      <c r="BX673" s="521"/>
      <c r="BY673" s="521"/>
      <c r="BZ673" s="521"/>
      <c r="CA673" s="521"/>
      <c r="CB673" s="521"/>
      <c r="CC673" s="521"/>
      <c r="CD673" s="521"/>
      <c r="CE673" s="521"/>
      <c r="CF673" s="521"/>
      <c r="CG673" s="521"/>
      <c r="CH673" s="521"/>
      <c r="CI673" s="521"/>
      <c r="CJ673" s="521"/>
      <c r="CK673" s="521"/>
      <c r="CL673" s="518"/>
      <c r="CM673" s="523"/>
      <c r="CN673" s="523"/>
      <c r="CO673" s="524"/>
      <c r="CP673" s="524"/>
      <c r="CQ673" s="518"/>
      <c r="CR673" s="518"/>
      <c r="CS673" s="518"/>
      <c r="CT673" s="518"/>
      <c r="CU673" s="518"/>
      <c r="CV673" s="518"/>
      <c r="CW673" s="518"/>
      <c r="CX673" s="518"/>
      <c r="CY673" s="518"/>
      <c r="CZ673" s="519"/>
      <c r="DA673" s="527"/>
      <c r="DB673" s="520"/>
      <c r="DC673" s="525"/>
      <c r="DD673" s="531"/>
      <c r="DE673" s="593"/>
      <c r="DF673" s="518"/>
      <c r="DG673" s="518"/>
      <c r="DH673" s="518"/>
      <c r="DI673" s="519"/>
      <c r="DJ673" s="560"/>
      <c r="DK673" s="522"/>
      <c r="DL673" s="522"/>
      <c r="DM673" s="522"/>
      <c r="DN673" s="522"/>
      <c r="DO673" s="522"/>
      <c r="DP673" s="518"/>
      <c r="DQ673" s="518"/>
      <c r="DR673" s="518"/>
      <c r="DS673" s="518"/>
      <c r="DT673" s="518"/>
      <c r="DU673" s="519"/>
      <c r="DV673" s="527"/>
      <c r="DW673" s="518"/>
      <c r="DX673" s="518"/>
      <c r="DY673" s="520"/>
      <c r="DZ673" s="520"/>
      <c r="EA673" s="519"/>
      <c r="EB673" s="527"/>
      <c r="EC673" s="520"/>
      <c r="ED673" s="520"/>
      <c r="EE673" s="519"/>
      <c r="EF673" s="550"/>
      <c r="EG673" s="537"/>
      <c r="EH673" s="521"/>
      <c r="EI673" s="521"/>
      <c r="EJ673" s="521"/>
      <c r="EK673" s="521"/>
      <c r="EL673" s="521"/>
      <c r="EM673" s="521"/>
      <c r="EN673" s="521"/>
      <c r="EO673" s="521"/>
      <c r="EP673" s="521"/>
      <c r="EQ673" s="521"/>
      <c r="ER673" s="521"/>
      <c r="ES673" s="521"/>
      <c r="ET673" s="521"/>
      <c r="EU673" s="521"/>
      <c r="EV673" s="521"/>
      <c r="EW673" s="521"/>
      <c r="EX673" s="521"/>
      <c r="EY673" s="518"/>
      <c r="EZ673" s="523"/>
      <c r="FA673" s="523"/>
      <c r="FB673" s="524"/>
      <c r="FC673" s="524"/>
      <c r="FD673" s="518"/>
      <c r="FE673" s="518"/>
      <c r="FF673" s="518"/>
      <c r="FG673" s="518"/>
      <c r="FH673" s="518"/>
      <c r="FI673" s="518"/>
      <c r="FJ673" s="518"/>
      <c r="FK673" s="518"/>
      <c r="FL673" s="518"/>
      <c r="FM673" s="519"/>
    </row>
    <row r="674" spans="1:169" x14ac:dyDescent="0.25">
      <c r="A674" s="284"/>
      <c r="B674" s="317"/>
      <c r="C674" s="297"/>
      <c r="D674" s="298"/>
      <c r="E674" s="299"/>
      <c r="F674" s="340"/>
      <c r="G674" s="298"/>
      <c r="H674" s="299"/>
      <c r="I674" s="300"/>
      <c r="J674" s="370"/>
      <c r="K674" s="328"/>
      <c r="L674" s="300"/>
      <c r="M674" s="328"/>
      <c r="N674" s="331"/>
      <c r="O674" s="301"/>
      <c r="P674" s="301"/>
      <c r="Q674" s="328"/>
      <c r="R674" s="620"/>
      <c r="S674" s="512"/>
      <c r="T674" s="512"/>
      <c r="U674" s="513"/>
      <c r="V674" s="514"/>
      <c r="W674" s="512"/>
      <c r="X674" s="513"/>
      <c r="Y674" s="514"/>
      <c r="Z674" s="513"/>
      <c r="AA674" s="515"/>
      <c r="AB674" s="516"/>
      <c r="AC674" s="513"/>
      <c r="AD674" s="544"/>
      <c r="AE674" s="516"/>
      <c r="AF674" s="513"/>
      <c r="AG674" s="551"/>
      <c r="AH674" s="595"/>
      <c r="AI674" s="517"/>
      <c r="AJ674" s="518"/>
      <c r="AK674" s="518"/>
      <c r="AL674" s="518"/>
      <c r="AM674" s="519"/>
      <c r="AN674" s="517"/>
      <c r="AO674" s="520"/>
      <c r="AP674" s="525"/>
      <c r="AQ674" s="531"/>
      <c r="AR674" s="593"/>
      <c r="AS674" s="518"/>
      <c r="AT674" s="518"/>
      <c r="AU674" s="518"/>
      <c r="AV674" s="519"/>
      <c r="AW674" s="560"/>
      <c r="AX674" s="522"/>
      <c r="AY674" s="522"/>
      <c r="AZ674" s="522"/>
      <c r="BA674" s="522"/>
      <c r="BB674" s="522"/>
      <c r="BC674" s="518"/>
      <c r="BD674" s="518"/>
      <c r="BE674" s="518"/>
      <c r="BF674" s="518"/>
      <c r="BG674" s="518"/>
      <c r="BH674" s="519"/>
      <c r="BI674" s="527"/>
      <c r="BJ674" s="518"/>
      <c r="BK674" s="518"/>
      <c r="BL674" s="520"/>
      <c r="BM674" s="520"/>
      <c r="BN674" s="519"/>
      <c r="BO674" s="517"/>
      <c r="BP674" s="520"/>
      <c r="BQ674" s="520"/>
      <c r="BR674" s="519"/>
      <c r="BS674" s="548"/>
      <c r="BT674" s="537"/>
      <c r="BU674" s="521"/>
      <c r="BV674" s="521"/>
      <c r="BW674" s="521"/>
      <c r="BX674" s="521"/>
      <c r="BY674" s="521"/>
      <c r="BZ674" s="521"/>
      <c r="CA674" s="521"/>
      <c r="CB674" s="521"/>
      <c r="CC674" s="521"/>
      <c r="CD674" s="521"/>
      <c r="CE674" s="521"/>
      <c r="CF674" s="521"/>
      <c r="CG674" s="521"/>
      <c r="CH674" s="521"/>
      <c r="CI674" s="521"/>
      <c r="CJ674" s="521"/>
      <c r="CK674" s="521"/>
      <c r="CL674" s="518"/>
      <c r="CM674" s="523"/>
      <c r="CN674" s="523"/>
      <c r="CO674" s="524"/>
      <c r="CP674" s="524"/>
      <c r="CQ674" s="518"/>
      <c r="CR674" s="518"/>
      <c r="CS674" s="518"/>
      <c r="CT674" s="518"/>
      <c r="CU674" s="518"/>
      <c r="CV674" s="518"/>
      <c r="CW674" s="518"/>
      <c r="CX674" s="518"/>
      <c r="CY674" s="518"/>
      <c r="CZ674" s="519"/>
      <c r="DA674" s="527"/>
      <c r="DB674" s="520"/>
      <c r="DC674" s="525"/>
      <c r="DD674" s="531"/>
      <c r="DE674" s="593"/>
      <c r="DF674" s="518"/>
      <c r="DG674" s="518"/>
      <c r="DH674" s="518"/>
      <c r="DI674" s="519"/>
      <c r="DJ674" s="560"/>
      <c r="DK674" s="522"/>
      <c r="DL674" s="522"/>
      <c r="DM674" s="522"/>
      <c r="DN674" s="522"/>
      <c r="DO674" s="522"/>
      <c r="DP674" s="518"/>
      <c r="DQ674" s="518"/>
      <c r="DR674" s="518"/>
      <c r="DS674" s="518"/>
      <c r="DT674" s="518"/>
      <c r="DU674" s="519"/>
      <c r="DV674" s="527"/>
      <c r="DW674" s="518"/>
      <c r="DX674" s="518"/>
      <c r="DY674" s="520"/>
      <c r="DZ674" s="520"/>
      <c r="EA674" s="519"/>
      <c r="EB674" s="527"/>
      <c r="EC674" s="520"/>
      <c r="ED674" s="520"/>
      <c r="EE674" s="519"/>
      <c r="EF674" s="550"/>
      <c r="EG674" s="537"/>
      <c r="EH674" s="521"/>
      <c r="EI674" s="521"/>
      <c r="EJ674" s="521"/>
      <c r="EK674" s="521"/>
      <c r="EL674" s="521"/>
      <c r="EM674" s="521"/>
      <c r="EN674" s="521"/>
      <c r="EO674" s="521"/>
      <c r="EP674" s="521"/>
      <c r="EQ674" s="521"/>
      <c r="ER674" s="521"/>
      <c r="ES674" s="521"/>
      <c r="ET674" s="521"/>
      <c r="EU674" s="521"/>
      <c r="EV674" s="521"/>
      <c r="EW674" s="521"/>
      <c r="EX674" s="521"/>
      <c r="EY674" s="518"/>
      <c r="EZ674" s="523"/>
      <c r="FA674" s="523"/>
      <c r="FB674" s="524"/>
      <c r="FC674" s="524"/>
      <c r="FD674" s="518"/>
      <c r="FE674" s="518"/>
      <c r="FF674" s="518"/>
      <c r="FG674" s="518"/>
      <c r="FH674" s="518"/>
      <c r="FI674" s="518"/>
      <c r="FJ674" s="518"/>
      <c r="FK674" s="518"/>
      <c r="FL674" s="518"/>
      <c r="FM674" s="519"/>
    </row>
    <row r="675" spans="1:169" x14ac:dyDescent="0.25">
      <c r="A675" s="284"/>
      <c r="B675" s="317"/>
      <c r="C675" s="297"/>
      <c r="D675" s="298"/>
      <c r="E675" s="299"/>
      <c r="F675" s="340"/>
      <c r="G675" s="298"/>
      <c r="H675" s="299"/>
      <c r="I675" s="300"/>
      <c r="J675" s="370"/>
      <c r="K675" s="328"/>
      <c r="L675" s="300"/>
      <c r="M675" s="328"/>
      <c r="N675" s="331"/>
      <c r="O675" s="301"/>
      <c r="P675" s="301"/>
      <c r="Q675" s="328"/>
      <c r="R675" s="620"/>
      <c r="S675" s="512"/>
      <c r="T675" s="512"/>
      <c r="U675" s="513"/>
      <c r="V675" s="514"/>
      <c r="W675" s="512"/>
      <c r="X675" s="513"/>
      <c r="Y675" s="514"/>
      <c r="Z675" s="513"/>
      <c r="AA675" s="515"/>
      <c r="AB675" s="516"/>
      <c r="AC675" s="513"/>
      <c r="AD675" s="544"/>
      <c r="AE675" s="516"/>
      <c r="AF675" s="513"/>
      <c r="AG675" s="551"/>
      <c r="AH675" s="595"/>
      <c r="AI675" s="517"/>
      <c r="AJ675" s="518"/>
      <c r="AK675" s="518"/>
      <c r="AL675" s="518"/>
      <c r="AM675" s="519"/>
      <c r="AN675" s="517"/>
      <c r="AO675" s="520"/>
      <c r="AP675" s="525"/>
      <c r="AQ675" s="531"/>
      <c r="AR675" s="593"/>
      <c r="AS675" s="518"/>
      <c r="AT675" s="518"/>
      <c r="AU675" s="518"/>
      <c r="AV675" s="519"/>
      <c r="AW675" s="560"/>
      <c r="AX675" s="522"/>
      <c r="AY675" s="522"/>
      <c r="AZ675" s="522"/>
      <c r="BA675" s="522"/>
      <c r="BB675" s="522"/>
      <c r="BC675" s="518"/>
      <c r="BD675" s="518"/>
      <c r="BE675" s="518"/>
      <c r="BF675" s="518"/>
      <c r="BG675" s="518"/>
      <c r="BH675" s="519"/>
      <c r="BI675" s="527"/>
      <c r="BJ675" s="518"/>
      <c r="BK675" s="518"/>
      <c r="BL675" s="520"/>
      <c r="BM675" s="520"/>
      <c r="BN675" s="519"/>
      <c r="BO675" s="517"/>
      <c r="BP675" s="520"/>
      <c r="BQ675" s="520"/>
      <c r="BR675" s="519"/>
      <c r="BS675" s="548"/>
      <c r="BT675" s="537"/>
      <c r="BU675" s="521"/>
      <c r="BV675" s="521"/>
      <c r="BW675" s="521"/>
      <c r="BX675" s="521"/>
      <c r="BY675" s="521"/>
      <c r="BZ675" s="521"/>
      <c r="CA675" s="521"/>
      <c r="CB675" s="521"/>
      <c r="CC675" s="521"/>
      <c r="CD675" s="521"/>
      <c r="CE675" s="521"/>
      <c r="CF675" s="521"/>
      <c r="CG675" s="521"/>
      <c r="CH675" s="521"/>
      <c r="CI675" s="521"/>
      <c r="CJ675" s="521"/>
      <c r="CK675" s="521"/>
      <c r="CL675" s="518"/>
      <c r="CM675" s="523"/>
      <c r="CN675" s="523"/>
      <c r="CO675" s="524"/>
      <c r="CP675" s="524"/>
      <c r="CQ675" s="518"/>
      <c r="CR675" s="518"/>
      <c r="CS675" s="518"/>
      <c r="CT675" s="518"/>
      <c r="CU675" s="518"/>
      <c r="CV675" s="518"/>
      <c r="CW675" s="518"/>
      <c r="CX675" s="518"/>
      <c r="CY675" s="518"/>
      <c r="CZ675" s="519"/>
      <c r="DA675" s="527"/>
      <c r="DB675" s="520"/>
      <c r="DC675" s="525"/>
      <c r="DD675" s="531"/>
      <c r="DE675" s="593"/>
      <c r="DF675" s="518"/>
      <c r="DG675" s="518"/>
      <c r="DH675" s="518"/>
      <c r="DI675" s="519"/>
      <c r="DJ675" s="560"/>
      <c r="DK675" s="522"/>
      <c r="DL675" s="522"/>
      <c r="DM675" s="522"/>
      <c r="DN675" s="522"/>
      <c r="DO675" s="522"/>
      <c r="DP675" s="518"/>
      <c r="DQ675" s="518"/>
      <c r="DR675" s="518"/>
      <c r="DS675" s="518"/>
      <c r="DT675" s="518"/>
      <c r="DU675" s="519"/>
      <c r="DV675" s="527"/>
      <c r="DW675" s="518"/>
      <c r="DX675" s="518"/>
      <c r="DY675" s="520"/>
      <c r="DZ675" s="520"/>
      <c r="EA675" s="519"/>
      <c r="EB675" s="527"/>
      <c r="EC675" s="520"/>
      <c r="ED675" s="520"/>
      <c r="EE675" s="519"/>
      <c r="EF675" s="550"/>
      <c r="EG675" s="537"/>
      <c r="EH675" s="521"/>
      <c r="EI675" s="521"/>
      <c r="EJ675" s="521"/>
      <c r="EK675" s="521"/>
      <c r="EL675" s="521"/>
      <c r="EM675" s="521"/>
      <c r="EN675" s="521"/>
      <c r="EO675" s="521"/>
      <c r="EP675" s="521"/>
      <c r="EQ675" s="521"/>
      <c r="ER675" s="521"/>
      <c r="ES675" s="521"/>
      <c r="ET675" s="521"/>
      <c r="EU675" s="521"/>
      <c r="EV675" s="521"/>
      <c r="EW675" s="521"/>
      <c r="EX675" s="521"/>
      <c r="EY675" s="518"/>
      <c r="EZ675" s="523"/>
      <c r="FA675" s="523"/>
      <c r="FB675" s="524"/>
      <c r="FC675" s="524"/>
      <c r="FD675" s="518"/>
      <c r="FE675" s="518"/>
      <c r="FF675" s="518"/>
      <c r="FG675" s="518"/>
      <c r="FH675" s="518"/>
      <c r="FI675" s="518"/>
      <c r="FJ675" s="518"/>
      <c r="FK675" s="518"/>
      <c r="FL675" s="518"/>
      <c r="FM675" s="519"/>
    </row>
    <row r="676" spans="1:169" x14ac:dyDescent="0.25">
      <c r="A676" s="284"/>
      <c r="B676" s="317"/>
      <c r="C676" s="297"/>
      <c r="D676" s="298"/>
      <c r="E676" s="299"/>
      <c r="F676" s="340"/>
      <c r="G676" s="298"/>
      <c r="H676" s="299"/>
      <c r="I676" s="300"/>
      <c r="J676" s="370"/>
      <c r="K676" s="328"/>
      <c r="L676" s="300"/>
      <c r="M676" s="328"/>
      <c r="N676" s="331"/>
      <c r="O676" s="301"/>
      <c r="P676" s="301"/>
      <c r="Q676" s="328"/>
      <c r="R676" s="620"/>
      <c r="S676" s="512"/>
      <c r="T676" s="512"/>
      <c r="U676" s="513"/>
      <c r="V676" s="514"/>
      <c r="W676" s="512"/>
      <c r="X676" s="513"/>
      <c r="Y676" s="514"/>
      <c r="Z676" s="513"/>
      <c r="AA676" s="515"/>
      <c r="AB676" s="516"/>
      <c r="AC676" s="513"/>
      <c r="AD676" s="544"/>
      <c r="AE676" s="516"/>
      <c r="AF676" s="513"/>
      <c r="AG676" s="551"/>
      <c r="AH676" s="595"/>
      <c r="AI676" s="517"/>
      <c r="AJ676" s="518"/>
      <c r="AK676" s="518"/>
      <c r="AL676" s="518"/>
      <c r="AM676" s="519"/>
      <c r="AN676" s="517"/>
      <c r="AO676" s="520"/>
      <c r="AP676" s="525"/>
      <c r="AQ676" s="531"/>
      <c r="AR676" s="593"/>
      <c r="AS676" s="518"/>
      <c r="AT676" s="518"/>
      <c r="AU676" s="518"/>
      <c r="AV676" s="519"/>
      <c r="AW676" s="560"/>
      <c r="AX676" s="522"/>
      <c r="AY676" s="522"/>
      <c r="AZ676" s="522"/>
      <c r="BA676" s="522"/>
      <c r="BB676" s="522"/>
      <c r="BC676" s="518"/>
      <c r="BD676" s="518"/>
      <c r="BE676" s="518"/>
      <c r="BF676" s="518"/>
      <c r="BG676" s="518"/>
      <c r="BH676" s="519"/>
      <c r="BI676" s="527"/>
      <c r="BJ676" s="518"/>
      <c r="BK676" s="518"/>
      <c r="BL676" s="520"/>
      <c r="BM676" s="520"/>
      <c r="BN676" s="519"/>
      <c r="BO676" s="517"/>
      <c r="BP676" s="520"/>
      <c r="BQ676" s="520"/>
      <c r="BR676" s="519"/>
      <c r="BS676" s="548"/>
      <c r="BT676" s="537"/>
      <c r="BU676" s="521"/>
      <c r="BV676" s="521"/>
      <c r="BW676" s="521"/>
      <c r="BX676" s="521"/>
      <c r="BY676" s="521"/>
      <c r="BZ676" s="521"/>
      <c r="CA676" s="521"/>
      <c r="CB676" s="521"/>
      <c r="CC676" s="521"/>
      <c r="CD676" s="521"/>
      <c r="CE676" s="521"/>
      <c r="CF676" s="521"/>
      <c r="CG676" s="521"/>
      <c r="CH676" s="521"/>
      <c r="CI676" s="521"/>
      <c r="CJ676" s="521"/>
      <c r="CK676" s="521"/>
      <c r="CL676" s="518"/>
      <c r="CM676" s="523"/>
      <c r="CN676" s="523"/>
      <c r="CO676" s="524"/>
      <c r="CP676" s="524"/>
      <c r="CQ676" s="518"/>
      <c r="CR676" s="518"/>
      <c r="CS676" s="518"/>
      <c r="CT676" s="518"/>
      <c r="CU676" s="518"/>
      <c r="CV676" s="518"/>
      <c r="CW676" s="518"/>
      <c r="CX676" s="518"/>
      <c r="CY676" s="518"/>
      <c r="CZ676" s="519"/>
      <c r="DA676" s="527"/>
      <c r="DB676" s="520"/>
      <c r="DC676" s="525"/>
      <c r="DD676" s="531"/>
      <c r="DE676" s="593"/>
      <c r="DF676" s="518"/>
      <c r="DG676" s="518"/>
      <c r="DH676" s="518"/>
      <c r="DI676" s="519"/>
      <c r="DJ676" s="560"/>
      <c r="DK676" s="522"/>
      <c r="DL676" s="522"/>
      <c r="DM676" s="522"/>
      <c r="DN676" s="522"/>
      <c r="DO676" s="522"/>
      <c r="DP676" s="518"/>
      <c r="DQ676" s="518"/>
      <c r="DR676" s="518"/>
      <c r="DS676" s="518"/>
      <c r="DT676" s="518"/>
      <c r="DU676" s="519"/>
      <c r="DV676" s="527"/>
      <c r="DW676" s="518"/>
      <c r="DX676" s="518"/>
      <c r="DY676" s="520"/>
      <c r="DZ676" s="520"/>
      <c r="EA676" s="519"/>
      <c r="EB676" s="527"/>
      <c r="EC676" s="520"/>
      <c r="ED676" s="520"/>
      <c r="EE676" s="519"/>
      <c r="EF676" s="550"/>
      <c r="EG676" s="537"/>
      <c r="EH676" s="521"/>
      <c r="EI676" s="521"/>
      <c r="EJ676" s="521"/>
      <c r="EK676" s="521"/>
      <c r="EL676" s="521"/>
      <c r="EM676" s="521"/>
      <c r="EN676" s="521"/>
      <c r="EO676" s="521"/>
      <c r="EP676" s="521"/>
      <c r="EQ676" s="521"/>
      <c r="ER676" s="521"/>
      <c r="ES676" s="521"/>
      <c r="ET676" s="521"/>
      <c r="EU676" s="521"/>
      <c r="EV676" s="521"/>
      <c r="EW676" s="521"/>
      <c r="EX676" s="521"/>
      <c r="EY676" s="518"/>
      <c r="EZ676" s="523"/>
      <c r="FA676" s="523"/>
      <c r="FB676" s="524"/>
      <c r="FC676" s="524"/>
      <c r="FD676" s="518"/>
      <c r="FE676" s="518"/>
      <c r="FF676" s="518"/>
      <c r="FG676" s="518"/>
      <c r="FH676" s="518"/>
      <c r="FI676" s="518"/>
      <c r="FJ676" s="518"/>
      <c r="FK676" s="518"/>
      <c r="FL676" s="518"/>
      <c r="FM676" s="519"/>
    </row>
    <row r="677" spans="1:169" x14ac:dyDescent="0.25">
      <c r="A677" s="284"/>
      <c r="B677" s="317"/>
      <c r="C677" s="297"/>
      <c r="D677" s="298"/>
      <c r="E677" s="299"/>
      <c r="F677" s="340"/>
      <c r="G677" s="298"/>
      <c r="H677" s="299"/>
      <c r="I677" s="300"/>
      <c r="J677" s="370"/>
      <c r="K677" s="328"/>
      <c r="L677" s="300"/>
      <c r="M677" s="328"/>
      <c r="N677" s="331"/>
      <c r="O677" s="301"/>
      <c r="P677" s="301"/>
      <c r="Q677" s="328"/>
      <c r="R677" s="620"/>
      <c r="S677" s="512"/>
      <c r="T677" s="512"/>
      <c r="U677" s="513"/>
      <c r="V677" s="514"/>
      <c r="W677" s="512"/>
      <c r="X677" s="513"/>
      <c r="Y677" s="514"/>
      <c r="Z677" s="513"/>
      <c r="AA677" s="515"/>
      <c r="AB677" s="516"/>
      <c r="AC677" s="513"/>
      <c r="AD677" s="544"/>
      <c r="AE677" s="516"/>
      <c r="AF677" s="513"/>
      <c r="AG677" s="551"/>
      <c r="AH677" s="595"/>
      <c r="AI677" s="517"/>
      <c r="AJ677" s="518"/>
      <c r="AK677" s="518"/>
      <c r="AL677" s="518"/>
      <c r="AM677" s="519"/>
      <c r="AN677" s="517"/>
      <c r="AO677" s="520"/>
      <c r="AP677" s="525"/>
      <c r="AQ677" s="531"/>
      <c r="AR677" s="593"/>
      <c r="AS677" s="518"/>
      <c r="AT677" s="518"/>
      <c r="AU677" s="518"/>
      <c r="AV677" s="519"/>
      <c r="AW677" s="560"/>
      <c r="AX677" s="522"/>
      <c r="AY677" s="522"/>
      <c r="AZ677" s="522"/>
      <c r="BA677" s="522"/>
      <c r="BB677" s="522"/>
      <c r="BC677" s="518"/>
      <c r="BD677" s="518"/>
      <c r="BE677" s="518"/>
      <c r="BF677" s="518"/>
      <c r="BG677" s="518"/>
      <c r="BH677" s="519"/>
      <c r="BI677" s="527"/>
      <c r="BJ677" s="518"/>
      <c r="BK677" s="518"/>
      <c r="BL677" s="520"/>
      <c r="BM677" s="520"/>
      <c r="BN677" s="519"/>
      <c r="BO677" s="517"/>
      <c r="BP677" s="520"/>
      <c r="BQ677" s="520"/>
      <c r="BR677" s="519"/>
      <c r="BS677" s="548"/>
      <c r="BT677" s="537"/>
      <c r="BU677" s="521"/>
      <c r="BV677" s="521"/>
      <c r="BW677" s="521"/>
      <c r="BX677" s="521"/>
      <c r="BY677" s="521"/>
      <c r="BZ677" s="521"/>
      <c r="CA677" s="521"/>
      <c r="CB677" s="521"/>
      <c r="CC677" s="521"/>
      <c r="CD677" s="521"/>
      <c r="CE677" s="521"/>
      <c r="CF677" s="521"/>
      <c r="CG677" s="521"/>
      <c r="CH677" s="521"/>
      <c r="CI677" s="521"/>
      <c r="CJ677" s="521"/>
      <c r="CK677" s="521"/>
      <c r="CL677" s="518"/>
      <c r="CM677" s="523"/>
      <c r="CN677" s="523"/>
      <c r="CO677" s="524"/>
      <c r="CP677" s="524"/>
      <c r="CQ677" s="518"/>
      <c r="CR677" s="518"/>
      <c r="CS677" s="518"/>
      <c r="CT677" s="518"/>
      <c r="CU677" s="518"/>
      <c r="CV677" s="518"/>
      <c r="CW677" s="518"/>
      <c r="CX677" s="518"/>
      <c r="CY677" s="518"/>
      <c r="CZ677" s="519"/>
      <c r="DA677" s="527"/>
      <c r="DB677" s="520"/>
      <c r="DC677" s="525"/>
      <c r="DD677" s="531"/>
      <c r="DE677" s="593"/>
      <c r="DF677" s="518"/>
      <c r="DG677" s="518"/>
      <c r="DH677" s="518"/>
      <c r="DI677" s="519"/>
      <c r="DJ677" s="560"/>
      <c r="DK677" s="522"/>
      <c r="DL677" s="522"/>
      <c r="DM677" s="522"/>
      <c r="DN677" s="522"/>
      <c r="DO677" s="522"/>
      <c r="DP677" s="518"/>
      <c r="DQ677" s="518"/>
      <c r="DR677" s="518"/>
      <c r="DS677" s="518"/>
      <c r="DT677" s="518"/>
      <c r="DU677" s="519"/>
      <c r="DV677" s="527"/>
      <c r="DW677" s="518"/>
      <c r="DX677" s="518"/>
      <c r="DY677" s="520"/>
      <c r="DZ677" s="520"/>
      <c r="EA677" s="519"/>
      <c r="EB677" s="527"/>
      <c r="EC677" s="520"/>
      <c r="ED677" s="520"/>
      <c r="EE677" s="519"/>
      <c r="EF677" s="550"/>
      <c r="EG677" s="537"/>
      <c r="EH677" s="521"/>
      <c r="EI677" s="521"/>
      <c r="EJ677" s="521"/>
      <c r="EK677" s="521"/>
      <c r="EL677" s="521"/>
      <c r="EM677" s="521"/>
      <c r="EN677" s="521"/>
      <c r="EO677" s="521"/>
      <c r="EP677" s="521"/>
      <c r="EQ677" s="521"/>
      <c r="ER677" s="521"/>
      <c r="ES677" s="521"/>
      <c r="ET677" s="521"/>
      <c r="EU677" s="521"/>
      <c r="EV677" s="521"/>
      <c r="EW677" s="521"/>
      <c r="EX677" s="521"/>
      <c r="EY677" s="518"/>
      <c r="EZ677" s="523"/>
      <c r="FA677" s="523"/>
      <c r="FB677" s="524"/>
      <c r="FC677" s="524"/>
      <c r="FD677" s="518"/>
      <c r="FE677" s="518"/>
      <c r="FF677" s="518"/>
      <c r="FG677" s="518"/>
      <c r="FH677" s="518"/>
      <c r="FI677" s="518"/>
      <c r="FJ677" s="518"/>
      <c r="FK677" s="518"/>
      <c r="FL677" s="518"/>
      <c r="FM677" s="519"/>
    </row>
    <row r="678" spans="1:169" x14ac:dyDescent="0.25">
      <c r="A678" s="284"/>
      <c r="B678" s="317"/>
      <c r="C678" s="297"/>
      <c r="D678" s="298"/>
      <c r="E678" s="299"/>
      <c r="F678" s="340"/>
      <c r="G678" s="298"/>
      <c r="H678" s="299"/>
      <c r="I678" s="300"/>
      <c r="J678" s="370"/>
      <c r="K678" s="328"/>
      <c r="L678" s="300"/>
      <c r="M678" s="328"/>
      <c r="N678" s="331"/>
      <c r="O678" s="301"/>
      <c r="P678" s="301"/>
      <c r="Q678" s="328"/>
      <c r="R678" s="620"/>
      <c r="S678" s="512"/>
      <c r="T678" s="512"/>
      <c r="U678" s="513"/>
      <c r="V678" s="514"/>
      <c r="W678" s="512"/>
      <c r="X678" s="513"/>
      <c r="Y678" s="514"/>
      <c r="Z678" s="513"/>
      <c r="AA678" s="515"/>
      <c r="AB678" s="516"/>
      <c r="AC678" s="513"/>
      <c r="AD678" s="544"/>
      <c r="AE678" s="516"/>
      <c r="AF678" s="513"/>
      <c r="AG678" s="551"/>
      <c r="AH678" s="595"/>
      <c r="AI678" s="517"/>
      <c r="AJ678" s="518"/>
      <c r="AK678" s="518"/>
      <c r="AL678" s="518"/>
      <c r="AM678" s="519"/>
      <c r="AN678" s="517"/>
      <c r="AO678" s="520"/>
      <c r="AP678" s="525"/>
      <c r="AQ678" s="531"/>
      <c r="AR678" s="593"/>
      <c r="AS678" s="518"/>
      <c r="AT678" s="518"/>
      <c r="AU678" s="518"/>
      <c r="AV678" s="519"/>
      <c r="AW678" s="560"/>
      <c r="AX678" s="522"/>
      <c r="AY678" s="522"/>
      <c r="AZ678" s="522"/>
      <c r="BA678" s="522"/>
      <c r="BB678" s="522"/>
      <c r="BC678" s="518"/>
      <c r="BD678" s="518"/>
      <c r="BE678" s="518"/>
      <c r="BF678" s="518"/>
      <c r="BG678" s="518"/>
      <c r="BH678" s="519"/>
      <c r="BI678" s="527"/>
      <c r="BJ678" s="518"/>
      <c r="BK678" s="518"/>
      <c r="BL678" s="520"/>
      <c r="BM678" s="520"/>
      <c r="BN678" s="519"/>
      <c r="BO678" s="517"/>
      <c r="BP678" s="520"/>
      <c r="BQ678" s="520"/>
      <c r="BR678" s="519"/>
      <c r="BS678" s="548"/>
      <c r="BT678" s="537"/>
      <c r="BU678" s="521"/>
      <c r="BV678" s="521"/>
      <c r="BW678" s="521"/>
      <c r="BX678" s="521"/>
      <c r="BY678" s="521"/>
      <c r="BZ678" s="521"/>
      <c r="CA678" s="521"/>
      <c r="CB678" s="521"/>
      <c r="CC678" s="521"/>
      <c r="CD678" s="521"/>
      <c r="CE678" s="521"/>
      <c r="CF678" s="521"/>
      <c r="CG678" s="521"/>
      <c r="CH678" s="521"/>
      <c r="CI678" s="521"/>
      <c r="CJ678" s="521"/>
      <c r="CK678" s="521"/>
      <c r="CL678" s="518"/>
      <c r="CM678" s="523"/>
      <c r="CN678" s="523"/>
      <c r="CO678" s="524"/>
      <c r="CP678" s="524"/>
      <c r="CQ678" s="518"/>
      <c r="CR678" s="518"/>
      <c r="CS678" s="518"/>
      <c r="CT678" s="518"/>
      <c r="CU678" s="518"/>
      <c r="CV678" s="518"/>
      <c r="CW678" s="518"/>
      <c r="CX678" s="518"/>
      <c r="CY678" s="518"/>
      <c r="CZ678" s="519"/>
      <c r="DA678" s="527"/>
      <c r="DB678" s="520"/>
      <c r="DC678" s="525"/>
      <c r="DD678" s="531"/>
      <c r="DE678" s="593"/>
      <c r="DF678" s="518"/>
      <c r="DG678" s="518"/>
      <c r="DH678" s="518"/>
      <c r="DI678" s="519"/>
      <c r="DJ678" s="560"/>
      <c r="DK678" s="522"/>
      <c r="DL678" s="522"/>
      <c r="DM678" s="522"/>
      <c r="DN678" s="522"/>
      <c r="DO678" s="522"/>
      <c r="DP678" s="518"/>
      <c r="DQ678" s="518"/>
      <c r="DR678" s="518"/>
      <c r="DS678" s="518"/>
      <c r="DT678" s="518"/>
      <c r="DU678" s="519"/>
      <c r="DV678" s="527"/>
      <c r="DW678" s="518"/>
      <c r="DX678" s="518"/>
      <c r="DY678" s="520"/>
      <c r="DZ678" s="520"/>
      <c r="EA678" s="519"/>
      <c r="EB678" s="527"/>
      <c r="EC678" s="520"/>
      <c r="ED678" s="520"/>
      <c r="EE678" s="519"/>
      <c r="EF678" s="550"/>
      <c r="EG678" s="537"/>
      <c r="EH678" s="521"/>
      <c r="EI678" s="521"/>
      <c r="EJ678" s="521"/>
      <c r="EK678" s="521"/>
      <c r="EL678" s="521"/>
      <c r="EM678" s="521"/>
      <c r="EN678" s="521"/>
      <c r="EO678" s="521"/>
      <c r="EP678" s="521"/>
      <c r="EQ678" s="521"/>
      <c r="ER678" s="521"/>
      <c r="ES678" s="521"/>
      <c r="ET678" s="521"/>
      <c r="EU678" s="521"/>
      <c r="EV678" s="521"/>
      <c r="EW678" s="521"/>
      <c r="EX678" s="521"/>
      <c r="EY678" s="518"/>
      <c r="EZ678" s="523"/>
      <c r="FA678" s="523"/>
      <c r="FB678" s="524"/>
      <c r="FC678" s="524"/>
      <c r="FD678" s="518"/>
      <c r="FE678" s="518"/>
      <c r="FF678" s="518"/>
      <c r="FG678" s="518"/>
      <c r="FH678" s="518"/>
      <c r="FI678" s="518"/>
      <c r="FJ678" s="518"/>
      <c r="FK678" s="518"/>
      <c r="FL678" s="518"/>
      <c r="FM678" s="519"/>
    </row>
    <row r="679" spans="1:169" x14ac:dyDescent="0.25">
      <c r="A679" s="284"/>
      <c r="B679" s="317"/>
      <c r="C679" s="297"/>
      <c r="D679" s="298"/>
      <c r="E679" s="299"/>
      <c r="F679" s="340"/>
      <c r="G679" s="298"/>
      <c r="H679" s="299"/>
      <c r="I679" s="300"/>
      <c r="J679" s="370"/>
      <c r="K679" s="328"/>
      <c r="L679" s="300"/>
      <c r="M679" s="328"/>
      <c r="N679" s="331"/>
      <c r="O679" s="301"/>
      <c r="P679" s="301"/>
      <c r="Q679" s="328"/>
      <c r="R679" s="620"/>
      <c r="S679" s="512"/>
      <c r="T679" s="512"/>
      <c r="U679" s="513"/>
      <c r="V679" s="514"/>
      <c r="W679" s="512"/>
      <c r="X679" s="513"/>
      <c r="Y679" s="514"/>
      <c r="Z679" s="513"/>
      <c r="AA679" s="515"/>
      <c r="AB679" s="516"/>
      <c r="AC679" s="513"/>
      <c r="AD679" s="544"/>
      <c r="AE679" s="516"/>
      <c r="AF679" s="513"/>
      <c r="AG679" s="551"/>
      <c r="AH679" s="595"/>
      <c r="AI679" s="517"/>
      <c r="AJ679" s="518"/>
      <c r="AK679" s="518"/>
      <c r="AL679" s="518"/>
      <c r="AM679" s="519"/>
      <c r="AN679" s="517"/>
      <c r="AO679" s="520"/>
      <c r="AP679" s="525"/>
      <c r="AQ679" s="531"/>
      <c r="AR679" s="593"/>
      <c r="AS679" s="518"/>
      <c r="AT679" s="518"/>
      <c r="AU679" s="518"/>
      <c r="AV679" s="519"/>
      <c r="AW679" s="560"/>
      <c r="AX679" s="522"/>
      <c r="AY679" s="522"/>
      <c r="AZ679" s="522"/>
      <c r="BA679" s="522"/>
      <c r="BB679" s="522"/>
      <c r="BC679" s="518"/>
      <c r="BD679" s="518"/>
      <c r="BE679" s="518"/>
      <c r="BF679" s="518"/>
      <c r="BG679" s="518"/>
      <c r="BH679" s="519"/>
      <c r="BI679" s="527"/>
      <c r="BJ679" s="518"/>
      <c r="BK679" s="518"/>
      <c r="BL679" s="520"/>
      <c r="BM679" s="520"/>
      <c r="BN679" s="519"/>
      <c r="BO679" s="517"/>
      <c r="BP679" s="520"/>
      <c r="BQ679" s="520"/>
      <c r="BR679" s="519"/>
      <c r="BS679" s="548"/>
      <c r="BT679" s="537"/>
      <c r="BU679" s="521"/>
      <c r="BV679" s="521"/>
      <c r="BW679" s="521"/>
      <c r="BX679" s="521"/>
      <c r="BY679" s="521"/>
      <c r="BZ679" s="521"/>
      <c r="CA679" s="521"/>
      <c r="CB679" s="521"/>
      <c r="CC679" s="521"/>
      <c r="CD679" s="521"/>
      <c r="CE679" s="521"/>
      <c r="CF679" s="521"/>
      <c r="CG679" s="521"/>
      <c r="CH679" s="521"/>
      <c r="CI679" s="521"/>
      <c r="CJ679" s="521"/>
      <c r="CK679" s="521"/>
      <c r="CL679" s="518"/>
      <c r="CM679" s="523"/>
      <c r="CN679" s="523"/>
      <c r="CO679" s="524"/>
      <c r="CP679" s="524"/>
      <c r="CQ679" s="518"/>
      <c r="CR679" s="518"/>
      <c r="CS679" s="518"/>
      <c r="CT679" s="518"/>
      <c r="CU679" s="518"/>
      <c r="CV679" s="518"/>
      <c r="CW679" s="518"/>
      <c r="CX679" s="518"/>
      <c r="CY679" s="518"/>
      <c r="CZ679" s="519"/>
      <c r="DA679" s="527"/>
      <c r="DB679" s="520"/>
      <c r="DC679" s="525"/>
      <c r="DD679" s="531"/>
      <c r="DE679" s="593"/>
      <c r="DF679" s="518"/>
      <c r="DG679" s="518"/>
      <c r="DH679" s="518"/>
      <c r="DI679" s="519"/>
      <c r="DJ679" s="560"/>
      <c r="DK679" s="522"/>
      <c r="DL679" s="522"/>
      <c r="DM679" s="522"/>
      <c r="DN679" s="522"/>
      <c r="DO679" s="522"/>
      <c r="DP679" s="518"/>
      <c r="DQ679" s="518"/>
      <c r="DR679" s="518"/>
      <c r="DS679" s="518"/>
      <c r="DT679" s="518"/>
      <c r="DU679" s="519"/>
      <c r="DV679" s="527"/>
      <c r="DW679" s="518"/>
      <c r="DX679" s="518"/>
      <c r="DY679" s="520"/>
      <c r="DZ679" s="520"/>
      <c r="EA679" s="519"/>
      <c r="EB679" s="527"/>
      <c r="EC679" s="520"/>
      <c r="ED679" s="520"/>
      <c r="EE679" s="519"/>
      <c r="EF679" s="550"/>
      <c r="EG679" s="537"/>
      <c r="EH679" s="521"/>
      <c r="EI679" s="521"/>
      <c r="EJ679" s="521"/>
      <c r="EK679" s="521"/>
      <c r="EL679" s="521"/>
      <c r="EM679" s="521"/>
      <c r="EN679" s="521"/>
      <c r="EO679" s="521"/>
      <c r="EP679" s="521"/>
      <c r="EQ679" s="521"/>
      <c r="ER679" s="521"/>
      <c r="ES679" s="521"/>
      <c r="ET679" s="521"/>
      <c r="EU679" s="521"/>
      <c r="EV679" s="521"/>
      <c r="EW679" s="521"/>
      <c r="EX679" s="521"/>
      <c r="EY679" s="518"/>
      <c r="EZ679" s="523"/>
      <c r="FA679" s="523"/>
      <c r="FB679" s="524"/>
      <c r="FC679" s="524"/>
      <c r="FD679" s="518"/>
      <c r="FE679" s="518"/>
      <c r="FF679" s="518"/>
      <c r="FG679" s="518"/>
      <c r="FH679" s="518"/>
      <c r="FI679" s="518"/>
      <c r="FJ679" s="518"/>
      <c r="FK679" s="518"/>
      <c r="FL679" s="518"/>
      <c r="FM679" s="519"/>
    </row>
    <row r="680" spans="1:169" x14ac:dyDescent="0.25">
      <c r="A680" s="284"/>
      <c r="B680" s="317"/>
      <c r="C680" s="297"/>
      <c r="D680" s="298"/>
      <c r="E680" s="299"/>
      <c r="F680" s="340"/>
      <c r="G680" s="298"/>
      <c r="H680" s="299"/>
      <c r="I680" s="300"/>
      <c r="J680" s="370"/>
      <c r="K680" s="328"/>
      <c r="L680" s="300"/>
      <c r="M680" s="328"/>
      <c r="N680" s="331"/>
      <c r="O680" s="301"/>
      <c r="P680" s="301"/>
      <c r="Q680" s="328"/>
      <c r="R680" s="620"/>
      <c r="S680" s="512"/>
      <c r="T680" s="512"/>
      <c r="U680" s="513"/>
      <c r="V680" s="514"/>
      <c r="W680" s="512"/>
      <c r="X680" s="513"/>
      <c r="Y680" s="514"/>
      <c r="Z680" s="513"/>
      <c r="AA680" s="515"/>
      <c r="AB680" s="516"/>
      <c r="AC680" s="513"/>
      <c r="AD680" s="544"/>
      <c r="AE680" s="516"/>
      <c r="AF680" s="513"/>
      <c r="AG680" s="551"/>
      <c r="AH680" s="595"/>
      <c r="AI680" s="517"/>
      <c r="AJ680" s="518"/>
      <c r="AK680" s="518"/>
      <c r="AL680" s="518"/>
      <c r="AM680" s="519"/>
      <c r="AN680" s="517"/>
      <c r="AO680" s="520"/>
      <c r="AP680" s="525"/>
      <c r="AQ680" s="531"/>
      <c r="AR680" s="593"/>
      <c r="AS680" s="518"/>
      <c r="AT680" s="518"/>
      <c r="AU680" s="518"/>
      <c r="AV680" s="519"/>
      <c r="AW680" s="560"/>
      <c r="AX680" s="522"/>
      <c r="AY680" s="522"/>
      <c r="AZ680" s="522"/>
      <c r="BA680" s="522"/>
      <c r="BB680" s="522"/>
      <c r="BC680" s="518"/>
      <c r="BD680" s="518"/>
      <c r="BE680" s="518"/>
      <c r="BF680" s="518"/>
      <c r="BG680" s="518"/>
      <c r="BH680" s="519"/>
      <c r="BI680" s="527"/>
      <c r="BJ680" s="518"/>
      <c r="BK680" s="518"/>
      <c r="BL680" s="520"/>
      <c r="BM680" s="520"/>
      <c r="BN680" s="519"/>
      <c r="BO680" s="517"/>
      <c r="BP680" s="520"/>
      <c r="BQ680" s="520"/>
      <c r="BR680" s="519"/>
      <c r="BS680" s="548"/>
      <c r="BT680" s="537"/>
      <c r="BU680" s="521"/>
      <c r="BV680" s="521"/>
      <c r="BW680" s="521"/>
      <c r="BX680" s="521"/>
      <c r="BY680" s="521"/>
      <c r="BZ680" s="521"/>
      <c r="CA680" s="521"/>
      <c r="CB680" s="521"/>
      <c r="CC680" s="521"/>
      <c r="CD680" s="521"/>
      <c r="CE680" s="521"/>
      <c r="CF680" s="521"/>
      <c r="CG680" s="521"/>
      <c r="CH680" s="521"/>
      <c r="CI680" s="521"/>
      <c r="CJ680" s="521"/>
      <c r="CK680" s="521"/>
      <c r="CL680" s="518"/>
      <c r="CM680" s="523"/>
      <c r="CN680" s="523"/>
      <c r="CO680" s="524"/>
      <c r="CP680" s="524"/>
      <c r="CQ680" s="518"/>
      <c r="CR680" s="518"/>
      <c r="CS680" s="518"/>
      <c r="CT680" s="518"/>
      <c r="CU680" s="518"/>
      <c r="CV680" s="518"/>
      <c r="CW680" s="518"/>
      <c r="CX680" s="518"/>
      <c r="CY680" s="518"/>
      <c r="CZ680" s="519"/>
      <c r="DA680" s="527"/>
      <c r="DB680" s="520"/>
      <c r="DC680" s="525"/>
      <c r="DD680" s="531"/>
      <c r="DE680" s="593"/>
      <c r="DF680" s="518"/>
      <c r="DG680" s="518"/>
      <c r="DH680" s="518"/>
      <c r="DI680" s="519"/>
      <c r="DJ680" s="560"/>
      <c r="DK680" s="522"/>
      <c r="DL680" s="522"/>
      <c r="DM680" s="522"/>
      <c r="DN680" s="522"/>
      <c r="DO680" s="522"/>
      <c r="DP680" s="518"/>
      <c r="DQ680" s="518"/>
      <c r="DR680" s="518"/>
      <c r="DS680" s="518"/>
      <c r="DT680" s="518"/>
      <c r="DU680" s="519"/>
      <c r="DV680" s="527"/>
      <c r="DW680" s="518"/>
      <c r="DX680" s="518"/>
      <c r="DY680" s="520"/>
      <c r="DZ680" s="520"/>
      <c r="EA680" s="519"/>
      <c r="EB680" s="527"/>
      <c r="EC680" s="520"/>
      <c r="ED680" s="520"/>
      <c r="EE680" s="519"/>
      <c r="EF680" s="550"/>
      <c r="EG680" s="537"/>
      <c r="EH680" s="521"/>
      <c r="EI680" s="521"/>
      <c r="EJ680" s="521"/>
      <c r="EK680" s="521"/>
      <c r="EL680" s="521"/>
      <c r="EM680" s="521"/>
      <c r="EN680" s="521"/>
      <c r="EO680" s="521"/>
      <c r="EP680" s="521"/>
      <c r="EQ680" s="521"/>
      <c r="ER680" s="521"/>
      <c r="ES680" s="521"/>
      <c r="ET680" s="521"/>
      <c r="EU680" s="521"/>
      <c r="EV680" s="521"/>
      <c r="EW680" s="521"/>
      <c r="EX680" s="521"/>
      <c r="EY680" s="518"/>
      <c r="EZ680" s="523"/>
      <c r="FA680" s="523"/>
      <c r="FB680" s="524"/>
      <c r="FC680" s="524"/>
      <c r="FD680" s="518"/>
      <c r="FE680" s="518"/>
      <c r="FF680" s="518"/>
      <c r="FG680" s="518"/>
      <c r="FH680" s="518"/>
      <c r="FI680" s="518"/>
      <c r="FJ680" s="518"/>
      <c r="FK680" s="518"/>
      <c r="FL680" s="518"/>
      <c r="FM680" s="519"/>
    </row>
    <row r="681" spans="1:169" x14ac:dyDescent="0.25">
      <c r="A681" s="284"/>
      <c r="B681" s="317"/>
      <c r="C681" s="297"/>
      <c r="D681" s="298"/>
      <c r="E681" s="299"/>
      <c r="F681" s="340"/>
      <c r="G681" s="298"/>
      <c r="H681" s="299"/>
      <c r="I681" s="300"/>
      <c r="J681" s="370"/>
      <c r="K681" s="328"/>
      <c r="L681" s="300"/>
      <c r="M681" s="328"/>
      <c r="N681" s="331"/>
      <c r="O681" s="301"/>
      <c r="P681" s="301"/>
      <c r="Q681" s="328"/>
      <c r="R681" s="620"/>
      <c r="S681" s="512"/>
      <c r="T681" s="512"/>
      <c r="U681" s="513"/>
      <c r="V681" s="514"/>
      <c r="W681" s="512"/>
      <c r="X681" s="513"/>
      <c r="Y681" s="514"/>
      <c r="Z681" s="513"/>
      <c r="AA681" s="515"/>
      <c r="AB681" s="516"/>
      <c r="AC681" s="513"/>
      <c r="AD681" s="544"/>
      <c r="AE681" s="516"/>
      <c r="AF681" s="513"/>
      <c r="AG681" s="551"/>
      <c r="AH681" s="595"/>
      <c r="AI681" s="517"/>
      <c r="AJ681" s="518"/>
      <c r="AK681" s="518"/>
      <c r="AL681" s="518"/>
      <c r="AM681" s="519"/>
      <c r="AN681" s="517"/>
      <c r="AO681" s="520"/>
      <c r="AP681" s="525"/>
      <c r="AQ681" s="531"/>
      <c r="AR681" s="593"/>
      <c r="AS681" s="518"/>
      <c r="AT681" s="518"/>
      <c r="AU681" s="518"/>
      <c r="AV681" s="519"/>
      <c r="AW681" s="560"/>
      <c r="AX681" s="522"/>
      <c r="AY681" s="522"/>
      <c r="AZ681" s="522"/>
      <c r="BA681" s="522"/>
      <c r="BB681" s="522"/>
      <c r="BC681" s="518"/>
      <c r="BD681" s="518"/>
      <c r="BE681" s="518"/>
      <c r="BF681" s="518"/>
      <c r="BG681" s="518"/>
      <c r="BH681" s="519"/>
      <c r="BI681" s="527"/>
      <c r="BJ681" s="518"/>
      <c r="BK681" s="518"/>
      <c r="BL681" s="520"/>
      <c r="BM681" s="520"/>
      <c r="BN681" s="519"/>
      <c r="BO681" s="517"/>
      <c r="BP681" s="520"/>
      <c r="BQ681" s="520"/>
      <c r="BR681" s="519"/>
      <c r="BS681" s="548"/>
      <c r="BT681" s="537"/>
      <c r="BU681" s="521"/>
      <c r="BV681" s="521"/>
      <c r="BW681" s="521"/>
      <c r="BX681" s="521"/>
      <c r="BY681" s="521"/>
      <c r="BZ681" s="521"/>
      <c r="CA681" s="521"/>
      <c r="CB681" s="521"/>
      <c r="CC681" s="521"/>
      <c r="CD681" s="521"/>
      <c r="CE681" s="521"/>
      <c r="CF681" s="521"/>
      <c r="CG681" s="521"/>
      <c r="CH681" s="521"/>
      <c r="CI681" s="521"/>
      <c r="CJ681" s="521"/>
      <c r="CK681" s="521"/>
      <c r="CL681" s="518"/>
      <c r="CM681" s="523"/>
      <c r="CN681" s="523"/>
      <c r="CO681" s="524"/>
      <c r="CP681" s="524"/>
      <c r="CQ681" s="518"/>
      <c r="CR681" s="518"/>
      <c r="CS681" s="518"/>
      <c r="CT681" s="518"/>
      <c r="CU681" s="518"/>
      <c r="CV681" s="518"/>
      <c r="CW681" s="518"/>
      <c r="CX681" s="518"/>
      <c r="CY681" s="518"/>
      <c r="CZ681" s="519"/>
      <c r="DA681" s="527"/>
      <c r="DB681" s="520"/>
      <c r="DC681" s="525"/>
      <c r="DD681" s="531"/>
      <c r="DE681" s="593"/>
      <c r="DF681" s="518"/>
      <c r="DG681" s="518"/>
      <c r="DH681" s="518"/>
      <c r="DI681" s="519"/>
      <c r="DJ681" s="560"/>
      <c r="DK681" s="522"/>
      <c r="DL681" s="522"/>
      <c r="DM681" s="522"/>
      <c r="DN681" s="522"/>
      <c r="DO681" s="522"/>
      <c r="DP681" s="518"/>
      <c r="DQ681" s="518"/>
      <c r="DR681" s="518"/>
      <c r="DS681" s="518"/>
      <c r="DT681" s="518"/>
      <c r="DU681" s="519"/>
      <c r="DV681" s="527"/>
      <c r="DW681" s="518"/>
      <c r="DX681" s="518"/>
      <c r="DY681" s="520"/>
      <c r="DZ681" s="520"/>
      <c r="EA681" s="519"/>
      <c r="EB681" s="527"/>
      <c r="EC681" s="520"/>
      <c r="ED681" s="520"/>
      <c r="EE681" s="519"/>
      <c r="EF681" s="550"/>
      <c r="EG681" s="537"/>
      <c r="EH681" s="521"/>
      <c r="EI681" s="521"/>
      <c r="EJ681" s="521"/>
      <c r="EK681" s="521"/>
      <c r="EL681" s="521"/>
      <c r="EM681" s="521"/>
      <c r="EN681" s="521"/>
      <c r="EO681" s="521"/>
      <c r="EP681" s="521"/>
      <c r="EQ681" s="521"/>
      <c r="ER681" s="521"/>
      <c r="ES681" s="521"/>
      <c r="ET681" s="521"/>
      <c r="EU681" s="521"/>
      <c r="EV681" s="521"/>
      <c r="EW681" s="521"/>
      <c r="EX681" s="521"/>
      <c r="EY681" s="518"/>
      <c r="EZ681" s="523"/>
      <c r="FA681" s="523"/>
      <c r="FB681" s="524"/>
      <c r="FC681" s="524"/>
      <c r="FD681" s="518"/>
      <c r="FE681" s="518"/>
      <c r="FF681" s="518"/>
      <c r="FG681" s="518"/>
      <c r="FH681" s="518"/>
      <c r="FI681" s="518"/>
      <c r="FJ681" s="518"/>
      <c r="FK681" s="518"/>
      <c r="FL681" s="518"/>
      <c r="FM681" s="519"/>
    </row>
    <row r="682" spans="1:169" x14ac:dyDescent="0.25">
      <c r="A682" s="284"/>
      <c r="B682" s="317"/>
      <c r="C682" s="297"/>
      <c r="D682" s="298"/>
      <c r="E682" s="299"/>
      <c r="F682" s="340"/>
      <c r="G682" s="298"/>
      <c r="H682" s="299"/>
      <c r="I682" s="300"/>
      <c r="J682" s="370"/>
      <c r="K682" s="328"/>
      <c r="L682" s="300"/>
      <c r="M682" s="328"/>
      <c r="N682" s="331"/>
      <c r="O682" s="301"/>
      <c r="P682" s="301"/>
      <c r="Q682" s="328"/>
      <c r="R682" s="620"/>
      <c r="S682" s="512"/>
      <c r="T682" s="512"/>
      <c r="U682" s="513"/>
      <c r="V682" s="514"/>
      <c r="W682" s="512"/>
      <c r="X682" s="513"/>
      <c r="Y682" s="514"/>
      <c r="Z682" s="513"/>
      <c r="AA682" s="515"/>
      <c r="AB682" s="516"/>
      <c r="AC682" s="513"/>
      <c r="AD682" s="544"/>
      <c r="AE682" s="516"/>
      <c r="AF682" s="513"/>
      <c r="AG682" s="551"/>
      <c r="AH682" s="595"/>
      <c r="AI682" s="517"/>
      <c r="AJ682" s="518"/>
      <c r="AK682" s="518"/>
      <c r="AL682" s="518"/>
      <c r="AM682" s="519"/>
      <c r="AN682" s="517"/>
      <c r="AO682" s="520"/>
      <c r="AP682" s="525"/>
      <c r="AQ682" s="531"/>
      <c r="AR682" s="593"/>
      <c r="AS682" s="518"/>
      <c r="AT682" s="518"/>
      <c r="AU682" s="518"/>
      <c r="AV682" s="519"/>
      <c r="AW682" s="560"/>
      <c r="AX682" s="522"/>
      <c r="AY682" s="522"/>
      <c r="AZ682" s="522"/>
      <c r="BA682" s="522"/>
      <c r="BB682" s="522"/>
      <c r="BC682" s="518"/>
      <c r="BD682" s="518"/>
      <c r="BE682" s="518"/>
      <c r="BF682" s="518"/>
      <c r="BG682" s="518"/>
      <c r="BH682" s="519"/>
      <c r="BI682" s="527"/>
      <c r="BJ682" s="518"/>
      <c r="BK682" s="518"/>
      <c r="BL682" s="520"/>
      <c r="BM682" s="520"/>
      <c r="BN682" s="519"/>
      <c r="BO682" s="517"/>
      <c r="BP682" s="520"/>
      <c r="BQ682" s="520"/>
      <c r="BR682" s="519"/>
      <c r="BS682" s="548"/>
      <c r="BT682" s="537"/>
      <c r="BU682" s="521"/>
      <c r="BV682" s="521"/>
      <c r="BW682" s="521"/>
      <c r="BX682" s="521"/>
      <c r="BY682" s="521"/>
      <c r="BZ682" s="521"/>
      <c r="CA682" s="521"/>
      <c r="CB682" s="521"/>
      <c r="CC682" s="521"/>
      <c r="CD682" s="521"/>
      <c r="CE682" s="521"/>
      <c r="CF682" s="521"/>
      <c r="CG682" s="521"/>
      <c r="CH682" s="521"/>
      <c r="CI682" s="521"/>
      <c r="CJ682" s="521"/>
      <c r="CK682" s="521"/>
      <c r="CL682" s="518"/>
      <c r="CM682" s="523"/>
      <c r="CN682" s="523"/>
      <c r="CO682" s="524"/>
      <c r="CP682" s="524"/>
      <c r="CQ682" s="518"/>
      <c r="CR682" s="518"/>
      <c r="CS682" s="518"/>
      <c r="CT682" s="518"/>
      <c r="CU682" s="518"/>
      <c r="CV682" s="518"/>
      <c r="CW682" s="518"/>
      <c r="CX682" s="518"/>
      <c r="CY682" s="518"/>
      <c r="CZ682" s="519"/>
      <c r="DA682" s="527"/>
      <c r="DB682" s="520"/>
      <c r="DC682" s="525"/>
      <c r="DD682" s="531"/>
      <c r="DE682" s="593"/>
      <c r="DF682" s="518"/>
      <c r="DG682" s="518"/>
      <c r="DH682" s="518"/>
      <c r="DI682" s="519"/>
      <c r="DJ682" s="560"/>
      <c r="DK682" s="522"/>
      <c r="DL682" s="522"/>
      <c r="DM682" s="522"/>
      <c r="DN682" s="522"/>
      <c r="DO682" s="522"/>
      <c r="DP682" s="518"/>
      <c r="DQ682" s="518"/>
      <c r="DR682" s="518"/>
      <c r="DS682" s="518"/>
      <c r="DT682" s="518"/>
      <c r="DU682" s="519"/>
      <c r="DV682" s="527"/>
      <c r="DW682" s="518"/>
      <c r="DX682" s="518"/>
      <c r="DY682" s="520"/>
      <c r="DZ682" s="520"/>
      <c r="EA682" s="519"/>
      <c r="EB682" s="527"/>
      <c r="EC682" s="520"/>
      <c r="ED682" s="520"/>
      <c r="EE682" s="519"/>
      <c r="EF682" s="550"/>
      <c r="EG682" s="537"/>
      <c r="EH682" s="521"/>
      <c r="EI682" s="521"/>
      <c r="EJ682" s="521"/>
      <c r="EK682" s="521"/>
      <c r="EL682" s="521"/>
      <c r="EM682" s="521"/>
      <c r="EN682" s="521"/>
      <c r="EO682" s="521"/>
      <c r="EP682" s="521"/>
      <c r="EQ682" s="521"/>
      <c r="ER682" s="521"/>
      <c r="ES682" s="521"/>
      <c r="ET682" s="521"/>
      <c r="EU682" s="521"/>
      <c r="EV682" s="521"/>
      <c r="EW682" s="521"/>
      <c r="EX682" s="521"/>
      <c r="EY682" s="518"/>
      <c r="EZ682" s="523"/>
      <c r="FA682" s="523"/>
      <c r="FB682" s="524"/>
      <c r="FC682" s="524"/>
      <c r="FD682" s="518"/>
      <c r="FE682" s="518"/>
      <c r="FF682" s="518"/>
      <c r="FG682" s="518"/>
      <c r="FH682" s="518"/>
      <c r="FI682" s="518"/>
      <c r="FJ682" s="518"/>
      <c r="FK682" s="518"/>
      <c r="FL682" s="518"/>
      <c r="FM682" s="519"/>
    </row>
    <row r="683" spans="1:169" x14ac:dyDescent="0.25">
      <c r="A683" s="284"/>
      <c r="B683" s="317"/>
      <c r="C683" s="297"/>
      <c r="D683" s="298"/>
      <c r="E683" s="299"/>
      <c r="F683" s="340"/>
      <c r="G683" s="298"/>
      <c r="H683" s="299"/>
      <c r="I683" s="300"/>
      <c r="J683" s="370"/>
      <c r="K683" s="328"/>
      <c r="L683" s="300"/>
      <c r="M683" s="328"/>
      <c r="N683" s="331"/>
      <c r="O683" s="301"/>
      <c r="P683" s="301"/>
      <c r="Q683" s="328"/>
      <c r="R683" s="620"/>
      <c r="S683" s="512"/>
      <c r="T683" s="512"/>
      <c r="U683" s="513"/>
      <c r="V683" s="514"/>
      <c r="W683" s="512"/>
      <c r="X683" s="513"/>
      <c r="Y683" s="514"/>
      <c r="Z683" s="513"/>
      <c r="AA683" s="515"/>
      <c r="AB683" s="516"/>
      <c r="AC683" s="513"/>
      <c r="AD683" s="544"/>
      <c r="AE683" s="516"/>
      <c r="AF683" s="513"/>
      <c r="AG683" s="551"/>
      <c r="AH683" s="595"/>
      <c r="AI683" s="517"/>
      <c r="AJ683" s="518"/>
      <c r="AK683" s="518"/>
      <c r="AL683" s="518"/>
      <c r="AM683" s="519"/>
      <c r="AN683" s="517"/>
      <c r="AO683" s="520"/>
      <c r="AP683" s="525"/>
      <c r="AQ683" s="531"/>
      <c r="AR683" s="593"/>
      <c r="AS683" s="518"/>
      <c r="AT683" s="518"/>
      <c r="AU683" s="518"/>
      <c r="AV683" s="519"/>
      <c r="AW683" s="560"/>
      <c r="AX683" s="522"/>
      <c r="AY683" s="522"/>
      <c r="AZ683" s="522"/>
      <c r="BA683" s="522"/>
      <c r="BB683" s="522"/>
      <c r="BC683" s="518"/>
      <c r="BD683" s="518"/>
      <c r="BE683" s="518"/>
      <c r="BF683" s="518"/>
      <c r="BG683" s="518"/>
      <c r="BH683" s="519"/>
      <c r="BI683" s="527"/>
      <c r="BJ683" s="518"/>
      <c r="BK683" s="518"/>
      <c r="BL683" s="520"/>
      <c r="BM683" s="520"/>
      <c r="BN683" s="519"/>
      <c r="BO683" s="517"/>
      <c r="BP683" s="520"/>
      <c r="BQ683" s="520"/>
      <c r="BR683" s="519"/>
      <c r="BS683" s="548"/>
      <c r="BT683" s="537"/>
      <c r="BU683" s="521"/>
      <c r="BV683" s="521"/>
      <c r="BW683" s="521"/>
      <c r="BX683" s="521"/>
      <c r="BY683" s="521"/>
      <c r="BZ683" s="521"/>
      <c r="CA683" s="521"/>
      <c r="CB683" s="521"/>
      <c r="CC683" s="521"/>
      <c r="CD683" s="521"/>
      <c r="CE683" s="521"/>
      <c r="CF683" s="521"/>
      <c r="CG683" s="521"/>
      <c r="CH683" s="521"/>
      <c r="CI683" s="521"/>
      <c r="CJ683" s="521"/>
      <c r="CK683" s="521"/>
      <c r="CL683" s="518"/>
      <c r="CM683" s="523"/>
      <c r="CN683" s="523"/>
      <c r="CO683" s="524"/>
      <c r="CP683" s="524"/>
      <c r="CQ683" s="518"/>
      <c r="CR683" s="518"/>
      <c r="CS683" s="518"/>
      <c r="CT683" s="518"/>
      <c r="CU683" s="518"/>
      <c r="CV683" s="518"/>
      <c r="CW683" s="518"/>
      <c r="CX683" s="518"/>
      <c r="CY683" s="518"/>
      <c r="CZ683" s="519"/>
      <c r="DA683" s="527"/>
      <c r="DB683" s="520"/>
      <c r="DC683" s="525"/>
      <c r="DD683" s="531"/>
      <c r="DE683" s="593"/>
      <c r="DF683" s="518"/>
      <c r="DG683" s="518"/>
      <c r="DH683" s="518"/>
      <c r="DI683" s="519"/>
      <c r="DJ683" s="560"/>
      <c r="DK683" s="522"/>
      <c r="DL683" s="522"/>
      <c r="DM683" s="522"/>
      <c r="DN683" s="522"/>
      <c r="DO683" s="522"/>
      <c r="DP683" s="518"/>
      <c r="DQ683" s="518"/>
      <c r="DR683" s="518"/>
      <c r="DS683" s="518"/>
      <c r="DT683" s="518"/>
      <c r="DU683" s="519"/>
      <c r="DV683" s="527"/>
      <c r="DW683" s="518"/>
      <c r="DX683" s="518"/>
      <c r="DY683" s="520"/>
      <c r="DZ683" s="520"/>
      <c r="EA683" s="519"/>
      <c r="EB683" s="527"/>
      <c r="EC683" s="520"/>
      <c r="ED683" s="520"/>
      <c r="EE683" s="519"/>
      <c r="EF683" s="550"/>
      <c r="EG683" s="537"/>
      <c r="EH683" s="521"/>
      <c r="EI683" s="521"/>
      <c r="EJ683" s="521"/>
      <c r="EK683" s="521"/>
      <c r="EL683" s="521"/>
      <c r="EM683" s="521"/>
      <c r="EN683" s="521"/>
      <c r="EO683" s="521"/>
      <c r="EP683" s="521"/>
      <c r="EQ683" s="521"/>
      <c r="ER683" s="521"/>
      <c r="ES683" s="521"/>
      <c r="ET683" s="521"/>
      <c r="EU683" s="521"/>
      <c r="EV683" s="521"/>
      <c r="EW683" s="521"/>
      <c r="EX683" s="521"/>
      <c r="EY683" s="518"/>
      <c r="EZ683" s="523"/>
      <c r="FA683" s="523"/>
      <c r="FB683" s="524"/>
      <c r="FC683" s="524"/>
      <c r="FD683" s="518"/>
      <c r="FE683" s="518"/>
      <c r="FF683" s="518"/>
      <c r="FG683" s="518"/>
      <c r="FH683" s="518"/>
      <c r="FI683" s="518"/>
      <c r="FJ683" s="518"/>
      <c r="FK683" s="518"/>
      <c r="FL683" s="518"/>
      <c r="FM683" s="519"/>
    </row>
    <row r="684" spans="1:169" x14ac:dyDescent="0.25">
      <c r="A684" s="284"/>
      <c r="B684" s="317"/>
      <c r="C684" s="297"/>
      <c r="D684" s="298"/>
      <c r="E684" s="299"/>
      <c r="F684" s="340"/>
      <c r="G684" s="298"/>
      <c r="H684" s="299"/>
      <c r="I684" s="300"/>
      <c r="J684" s="370"/>
      <c r="K684" s="328"/>
      <c r="L684" s="300"/>
      <c r="M684" s="328"/>
      <c r="N684" s="331"/>
      <c r="O684" s="301"/>
      <c r="P684" s="301"/>
      <c r="Q684" s="328"/>
      <c r="R684" s="620"/>
      <c r="S684" s="512"/>
      <c r="T684" s="512"/>
      <c r="U684" s="513"/>
      <c r="V684" s="514"/>
      <c r="W684" s="512"/>
      <c r="X684" s="513"/>
      <c r="Y684" s="514"/>
      <c r="Z684" s="513"/>
      <c r="AA684" s="515"/>
      <c r="AB684" s="516"/>
      <c r="AC684" s="513"/>
      <c r="AD684" s="544"/>
      <c r="AE684" s="516"/>
      <c r="AF684" s="513"/>
      <c r="AG684" s="551"/>
      <c r="AH684" s="595"/>
      <c r="AI684" s="517"/>
      <c r="AJ684" s="518"/>
      <c r="AK684" s="518"/>
      <c r="AL684" s="518"/>
      <c r="AM684" s="519"/>
      <c r="AN684" s="517"/>
      <c r="AO684" s="520"/>
      <c r="AP684" s="525"/>
      <c r="AQ684" s="531"/>
      <c r="AR684" s="593"/>
      <c r="AS684" s="518"/>
      <c r="AT684" s="518"/>
      <c r="AU684" s="518"/>
      <c r="AV684" s="519"/>
      <c r="AW684" s="560"/>
      <c r="AX684" s="522"/>
      <c r="AY684" s="522"/>
      <c r="AZ684" s="522"/>
      <c r="BA684" s="522"/>
      <c r="BB684" s="522"/>
      <c r="BC684" s="518"/>
      <c r="BD684" s="518"/>
      <c r="BE684" s="518"/>
      <c r="BF684" s="518"/>
      <c r="BG684" s="518"/>
      <c r="BH684" s="519"/>
      <c r="BI684" s="527"/>
      <c r="BJ684" s="518"/>
      <c r="BK684" s="518"/>
      <c r="BL684" s="520"/>
      <c r="BM684" s="520"/>
      <c r="BN684" s="519"/>
      <c r="BO684" s="517"/>
      <c r="BP684" s="520"/>
      <c r="BQ684" s="520"/>
      <c r="BR684" s="519"/>
      <c r="BS684" s="548"/>
      <c r="BT684" s="537"/>
      <c r="BU684" s="521"/>
      <c r="BV684" s="521"/>
      <c r="BW684" s="521"/>
      <c r="BX684" s="521"/>
      <c r="BY684" s="521"/>
      <c r="BZ684" s="521"/>
      <c r="CA684" s="521"/>
      <c r="CB684" s="521"/>
      <c r="CC684" s="521"/>
      <c r="CD684" s="521"/>
      <c r="CE684" s="521"/>
      <c r="CF684" s="521"/>
      <c r="CG684" s="521"/>
      <c r="CH684" s="521"/>
      <c r="CI684" s="521"/>
      <c r="CJ684" s="521"/>
      <c r="CK684" s="521"/>
      <c r="CL684" s="518"/>
      <c r="CM684" s="523"/>
      <c r="CN684" s="523"/>
      <c r="CO684" s="524"/>
      <c r="CP684" s="524"/>
      <c r="CQ684" s="518"/>
      <c r="CR684" s="518"/>
      <c r="CS684" s="518"/>
      <c r="CT684" s="518"/>
      <c r="CU684" s="518"/>
      <c r="CV684" s="518"/>
      <c r="CW684" s="518"/>
      <c r="CX684" s="518"/>
      <c r="CY684" s="518"/>
      <c r="CZ684" s="519"/>
      <c r="DA684" s="527"/>
      <c r="DB684" s="520"/>
      <c r="DC684" s="525"/>
      <c r="DD684" s="531"/>
      <c r="DE684" s="593"/>
      <c r="DF684" s="518"/>
      <c r="DG684" s="518"/>
      <c r="DH684" s="518"/>
      <c r="DI684" s="519"/>
      <c r="DJ684" s="560"/>
      <c r="DK684" s="522"/>
      <c r="DL684" s="522"/>
      <c r="DM684" s="522"/>
      <c r="DN684" s="522"/>
      <c r="DO684" s="522"/>
      <c r="DP684" s="518"/>
      <c r="DQ684" s="518"/>
      <c r="DR684" s="518"/>
      <c r="DS684" s="518"/>
      <c r="DT684" s="518"/>
      <c r="DU684" s="519"/>
      <c r="DV684" s="527"/>
      <c r="DW684" s="518"/>
      <c r="DX684" s="518"/>
      <c r="DY684" s="520"/>
      <c r="DZ684" s="520"/>
      <c r="EA684" s="519"/>
      <c r="EB684" s="527"/>
      <c r="EC684" s="520"/>
      <c r="ED684" s="520"/>
      <c r="EE684" s="519"/>
      <c r="EF684" s="550"/>
      <c r="EG684" s="537"/>
      <c r="EH684" s="521"/>
      <c r="EI684" s="521"/>
      <c r="EJ684" s="521"/>
      <c r="EK684" s="521"/>
      <c r="EL684" s="521"/>
      <c r="EM684" s="521"/>
      <c r="EN684" s="521"/>
      <c r="EO684" s="521"/>
      <c r="EP684" s="521"/>
      <c r="EQ684" s="521"/>
      <c r="ER684" s="521"/>
      <c r="ES684" s="521"/>
      <c r="ET684" s="521"/>
      <c r="EU684" s="521"/>
      <c r="EV684" s="521"/>
      <c r="EW684" s="521"/>
      <c r="EX684" s="521"/>
      <c r="EY684" s="518"/>
      <c r="EZ684" s="523"/>
      <c r="FA684" s="523"/>
      <c r="FB684" s="524"/>
      <c r="FC684" s="524"/>
      <c r="FD684" s="518"/>
      <c r="FE684" s="518"/>
      <c r="FF684" s="518"/>
      <c r="FG684" s="518"/>
      <c r="FH684" s="518"/>
      <c r="FI684" s="518"/>
      <c r="FJ684" s="518"/>
      <c r="FK684" s="518"/>
      <c r="FL684" s="518"/>
      <c r="FM684" s="519"/>
    </row>
    <row r="685" spans="1:169" x14ac:dyDescent="0.25">
      <c r="A685" s="284"/>
      <c r="B685" s="317"/>
      <c r="C685" s="297"/>
      <c r="D685" s="298"/>
      <c r="E685" s="299"/>
      <c r="F685" s="340"/>
      <c r="G685" s="298"/>
      <c r="H685" s="299"/>
      <c r="I685" s="300"/>
      <c r="J685" s="370"/>
      <c r="K685" s="328"/>
      <c r="L685" s="300"/>
      <c r="M685" s="328"/>
      <c r="N685" s="331"/>
      <c r="O685" s="301"/>
      <c r="P685" s="301"/>
      <c r="Q685" s="328"/>
      <c r="R685" s="620"/>
      <c r="S685" s="512"/>
      <c r="T685" s="512"/>
      <c r="U685" s="513"/>
      <c r="V685" s="514"/>
      <c r="W685" s="512"/>
      <c r="X685" s="513"/>
      <c r="Y685" s="514"/>
      <c r="Z685" s="513"/>
      <c r="AA685" s="515"/>
      <c r="AB685" s="516"/>
      <c r="AC685" s="513"/>
      <c r="AD685" s="544"/>
      <c r="AE685" s="516"/>
      <c r="AF685" s="513"/>
      <c r="AG685" s="551"/>
      <c r="AH685" s="595"/>
      <c r="AI685" s="517"/>
      <c r="AJ685" s="518"/>
      <c r="AK685" s="518"/>
      <c r="AL685" s="518"/>
      <c r="AM685" s="519"/>
      <c r="AN685" s="517"/>
      <c r="AO685" s="520"/>
      <c r="AP685" s="525"/>
      <c r="AQ685" s="531"/>
      <c r="AR685" s="593"/>
      <c r="AS685" s="518"/>
      <c r="AT685" s="518"/>
      <c r="AU685" s="518"/>
      <c r="AV685" s="519"/>
      <c r="AW685" s="560"/>
      <c r="AX685" s="522"/>
      <c r="AY685" s="522"/>
      <c r="AZ685" s="522"/>
      <c r="BA685" s="522"/>
      <c r="BB685" s="522"/>
      <c r="BC685" s="518"/>
      <c r="BD685" s="518"/>
      <c r="BE685" s="518"/>
      <c r="BF685" s="518"/>
      <c r="BG685" s="518"/>
      <c r="BH685" s="519"/>
      <c r="BI685" s="527"/>
      <c r="BJ685" s="518"/>
      <c r="BK685" s="518"/>
      <c r="BL685" s="520"/>
      <c r="BM685" s="520"/>
      <c r="BN685" s="519"/>
      <c r="BO685" s="517"/>
      <c r="BP685" s="520"/>
      <c r="BQ685" s="520"/>
      <c r="BR685" s="519"/>
      <c r="BS685" s="548"/>
      <c r="BT685" s="537"/>
      <c r="BU685" s="521"/>
      <c r="BV685" s="521"/>
      <c r="BW685" s="521"/>
      <c r="BX685" s="521"/>
      <c r="BY685" s="521"/>
      <c r="BZ685" s="521"/>
      <c r="CA685" s="521"/>
      <c r="CB685" s="521"/>
      <c r="CC685" s="521"/>
      <c r="CD685" s="521"/>
      <c r="CE685" s="521"/>
      <c r="CF685" s="521"/>
      <c r="CG685" s="521"/>
      <c r="CH685" s="521"/>
      <c r="CI685" s="521"/>
      <c r="CJ685" s="521"/>
      <c r="CK685" s="521"/>
      <c r="CL685" s="518"/>
      <c r="CM685" s="523"/>
      <c r="CN685" s="523"/>
      <c r="CO685" s="524"/>
      <c r="CP685" s="524"/>
      <c r="CQ685" s="518"/>
      <c r="CR685" s="518"/>
      <c r="CS685" s="518"/>
      <c r="CT685" s="518"/>
      <c r="CU685" s="518"/>
      <c r="CV685" s="518"/>
      <c r="CW685" s="518"/>
      <c r="CX685" s="518"/>
      <c r="CY685" s="518"/>
      <c r="CZ685" s="519"/>
      <c r="DA685" s="527"/>
      <c r="DB685" s="520"/>
      <c r="DC685" s="525"/>
      <c r="DD685" s="531"/>
      <c r="DE685" s="593"/>
      <c r="DF685" s="518"/>
      <c r="DG685" s="518"/>
      <c r="DH685" s="518"/>
      <c r="DI685" s="519"/>
      <c r="DJ685" s="560"/>
      <c r="DK685" s="522"/>
      <c r="DL685" s="522"/>
      <c r="DM685" s="522"/>
      <c r="DN685" s="522"/>
      <c r="DO685" s="522"/>
      <c r="DP685" s="518"/>
      <c r="DQ685" s="518"/>
      <c r="DR685" s="518"/>
      <c r="DS685" s="518"/>
      <c r="DT685" s="518"/>
      <c r="DU685" s="519"/>
      <c r="DV685" s="527"/>
      <c r="DW685" s="518"/>
      <c r="DX685" s="518"/>
      <c r="DY685" s="520"/>
      <c r="DZ685" s="520"/>
      <c r="EA685" s="519"/>
      <c r="EB685" s="527"/>
      <c r="EC685" s="520"/>
      <c r="ED685" s="520"/>
      <c r="EE685" s="519"/>
      <c r="EF685" s="550"/>
      <c r="EG685" s="537"/>
      <c r="EH685" s="521"/>
      <c r="EI685" s="521"/>
      <c r="EJ685" s="521"/>
      <c r="EK685" s="521"/>
      <c r="EL685" s="521"/>
      <c r="EM685" s="521"/>
      <c r="EN685" s="521"/>
      <c r="EO685" s="521"/>
      <c r="EP685" s="521"/>
      <c r="EQ685" s="521"/>
      <c r="ER685" s="521"/>
      <c r="ES685" s="521"/>
      <c r="ET685" s="521"/>
      <c r="EU685" s="521"/>
      <c r="EV685" s="521"/>
      <c r="EW685" s="521"/>
      <c r="EX685" s="521"/>
      <c r="EY685" s="518"/>
      <c r="EZ685" s="523"/>
      <c r="FA685" s="523"/>
      <c r="FB685" s="524"/>
      <c r="FC685" s="524"/>
      <c r="FD685" s="518"/>
      <c r="FE685" s="518"/>
      <c r="FF685" s="518"/>
      <c r="FG685" s="518"/>
      <c r="FH685" s="518"/>
      <c r="FI685" s="518"/>
      <c r="FJ685" s="518"/>
      <c r="FK685" s="518"/>
      <c r="FL685" s="518"/>
      <c r="FM685" s="519"/>
    </row>
    <row r="686" spans="1:169" x14ac:dyDescent="0.25">
      <c r="A686" s="284"/>
      <c r="B686" s="317"/>
      <c r="C686" s="297"/>
      <c r="D686" s="298"/>
      <c r="E686" s="299"/>
      <c r="F686" s="340"/>
      <c r="G686" s="298"/>
      <c r="H686" s="299"/>
      <c r="I686" s="300"/>
      <c r="J686" s="370"/>
      <c r="K686" s="328"/>
      <c r="L686" s="300"/>
      <c r="M686" s="328"/>
      <c r="N686" s="331"/>
      <c r="O686" s="301"/>
      <c r="P686" s="301"/>
      <c r="Q686" s="328"/>
      <c r="R686" s="620"/>
      <c r="S686" s="512"/>
      <c r="T686" s="512"/>
      <c r="U686" s="513"/>
      <c r="V686" s="514"/>
      <c r="W686" s="512"/>
      <c r="X686" s="513"/>
      <c r="Y686" s="514"/>
      <c r="Z686" s="513"/>
      <c r="AA686" s="515"/>
      <c r="AB686" s="516"/>
      <c r="AC686" s="513"/>
      <c r="AD686" s="544"/>
      <c r="AE686" s="516"/>
      <c r="AF686" s="513"/>
      <c r="AG686" s="551"/>
      <c r="AH686" s="595"/>
      <c r="AI686" s="517"/>
      <c r="AJ686" s="518"/>
      <c r="AK686" s="518"/>
      <c r="AL686" s="518"/>
      <c r="AM686" s="519"/>
      <c r="AN686" s="517"/>
      <c r="AO686" s="520"/>
      <c r="AP686" s="525"/>
      <c r="AQ686" s="531"/>
      <c r="AR686" s="593"/>
      <c r="AS686" s="518"/>
      <c r="AT686" s="518"/>
      <c r="AU686" s="518"/>
      <c r="AV686" s="519"/>
      <c r="AW686" s="560"/>
      <c r="AX686" s="522"/>
      <c r="AY686" s="522"/>
      <c r="AZ686" s="522"/>
      <c r="BA686" s="522"/>
      <c r="BB686" s="522"/>
      <c r="BC686" s="518"/>
      <c r="BD686" s="518"/>
      <c r="BE686" s="518"/>
      <c r="BF686" s="518"/>
      <c r="BG686" s="518"/>
      <c r="BH686" s="519"/>
      <c r="BI686" s="527"/>
      <c r="BJ686" s="518"/>
      <c r="BK686" s="518"/>
      <c r="BL686" s="520"/>
      <c r="BM686" s="520"/>
      <c r="BN686" s="519"/>
      <c r="BO686" s="517"/>
      <c r="BP686" s="520"/>
      <c r="BQ686" s="520"/>
      <c r="BR686" s="519"/>
      <c r="BS686" s="548"/>
      <c r="BT686" s="537"/>
      <c r="BU686" s="521"/>
      <c r="BV686" s="521"/>
      <c r="BW686" s="521"/>
      <c r="BX686" s="521"/>
      <c r="BY686" s="521"/>
      <c r="BZ686" s="521"/>
      <c r="CA686" s="521"/>
      <c r="CB686" s="521"/>
      <c r="CC686" s="521"/>
      <c r="CD686" s="521"/>
      <c r="CE686" s="521"/>
      <c r="CF686" s="521"/>
      <c r="CG686" s="521"/>
      <c r="CH686" s="521"/>
      <c r="CI686" s="521"/>
      <c r="CJ686" s="521"/>
      <c r="CK686" s="521"/>
      <c r="CL686" s="518"/>
      <c r="CM686" s="523"/>
      <c r="CN686" s="523"/>
      <c r="CO686" s="524"/>
      <c r="CP686" s="524"/>
      <c r="CQ686" s="518"/>
      <c r="CR686" s="518"/>
      <c r="CS686" s="518"/>
      <c r="CT686" s="518"/>
      <c r="CU686" s="518"/>
      <c r="CV686" s="518"/>
      <c r="CW686" s="518"/>
      <c r="CX686" s="518"/>
      <c r="CY686" s="518"/>
      <c r="CZ686" s="519"/>
      <c r="DA686" s="527"/>
      <c r="DB686" s="520"/>
      <c r="DC686" s="525"/>
      <c r="DD686" s="531"/>
      <c r="DE686" s="593"/>
      <c r="DF686" s="518"/>
      <c r="DG686" s="518"/>
      <c r="DH686" s="518"/>
      <c r="DI686" s="519"/>
      <c r="DJ686" s="560"/>
      <c r="DK686" s="522"/>
      <c r="DL686" s="522"/>
      <c r="DM686" s="522"/>
      <c r="DN686" s="522"/>
      <c r="DO686" s="522"/>
      <c r="DP686" s="518"/>
      <c r="DQ686" s="518"/>
      <c r="DR686" s="518"/>
      <c r="DS686" s="518"/>
      <c r="DT686" s="518"/>
      <c r="DU686" s="519"/>
      <c r="DV686" s="527"/>
      <c r="DW686" s="518"/>
      <c r="DX686" s="518"/>
      <c r="DY686" s="520"/>
      <c r="DZ686" s="520"/>
      <c r="EA686" s="519"/>
      <c r="EB686" s="527"/>
      <c r="EC686" s="520"/>
      <c r="ED686" s="520"/>
      <c r="EE686" s="519"/>
      <c r="EF686" s="550"/>
      <c r="EG686" s="537"/>
      <c r="EH686" s="521"/>
      <c r="EI686" s="521"/>
      <c r="EJ686" s="521"/>
      <c r="EK686" s="521"/>
      <c r="EL686" s="521"/>
      <c r="EM686" s="521"/>
      <c r="EN686" s="521"/>
      <c r="EO686" s="521"/>
      <c r="EP686" s="521"/>
      <c r="EQ686" s="521"/>
      <c r="ER686" s="521"/>
      <c r="ES686" s="521"/>
      <c r="ET686" s="521"/>
      <c r="EU686" s="521"/>
      <c r="EV686" s="521"/>
      <c r="EW686" s="521"/>
      <c r="EX686" s="521"/>
      <c r="EY686" s="518"/>
      <c r="EZ686" s="523"/>
      <c r="FA686" s="523"/>
      <c r="FB686" s="524"/>
      <c r="FC686" s="524"/>
      <c r="FD686" s="518"/>
      <c r="FE686" s="518"/>
      <c r="FF686" s="518"/>
      <c r="FG686" s="518"/>
      <c r="FH686" s="518"/>
      <c r="FI686" s="518"/>
      <c r="FJ686" s="518"/>
      <c r="FK686" s="518"/>
      <c r="FL686" s="518"/>
      <c r="FM686" s="519"/>
    </row>
    <row r="687" spans="1:169" x14ac:dyDescent="0.25">
      <c r="A687" s="284"/>
      <c r="B687" s="317"/>
      <c r="C687" s="297"/>
      <c r="D687" s="298"/>
      <c r="E687" s="299"/>
      <c r="F687" s="340"/>
      <c r="G687" s="298"/>
      <c r="H687" s="299"/>
      <c r="I687" s="300"/>
      <c r="J687" s="370"/>
      <c r="K687" s="328"/>
      <c r="L687" s="300"/>
      <c r="M687" s="328"/>
      <c r="N687" s="331"/>
      <c r="O687" s="301"/>
      <c r="P687" s="301"/>
      <c r="Q687" s="328"/>
      <c r="R687" s="620"/>
      <c r="S687" s="512"/>
      <c r="T687" s="512"/>
      <c r="U687" s="513"/>
      <c r="V687" s="514"/>
      <c r="W687" s="512"/>
      <c r="X687" s="513"/>
      <c r="Y687" s="514"/>
      <c r="Z687" s="513"/>
      <c r="AA687" s="515"/>
      <c r="AB687" s="516"/>
      <c r="AC687" s="513"/>
      <c r="AD687" s="544"/>
      <c r="AE687" s="516"/>
      <c r="AF687" s="513"/>
      <c r="AG687" s="551"/>
      <c r="AH687" s="595"/>
      <c r="AI687" s="517"/>
      <c r="AJ687" s="518"/>
      <c r="AK687" s="518"/>
      <c r="AL687" s="518"/>
      <c r="AM687" s="519"/>
      <c r="AN687" s="517"/>
      <c r="AO687" s="520"/>
      <c r="AP687" s="525"/>
      <c r="AQ687" s="531"/>
      <c r="AR687" s="593"/>
      <c r="AS687" s="518"/>
      <c r="AT687" s="518"/>
      <c r="AU687" s="518"/>
      <c r="AV687" s="519"/>
      <c r="AW687" s="560"/>
      <c r="AX687" s="522"/>
      <c r="AY687" s="522"/>
      <c r="AZ687" s="522"/>
      <c r="BA687" s="522"/>
      <c r="BB687" s="522"/>
      <c r="BC687" s="518"/>
      <c r="BD687" s="518"/>
      <c r="BE687" s="518"/>
      <c r="BF687" s="518"/>
      <c r="BG687" s="518"/>
      <c r="BH687" s="519"/>
      <c r="BI687" s="527"/>
      <c r="BJ687" s="518"/>
      <c r="BK687" s="518"/>
      <c r="BL687" s="520"/>
      <c r="BM687" s="520"/>
      <c r="BN687" s="519"/>
      <c r="BO687" s="517"/>
      <c r="BP687" s="520"/>
      <c r="BQ687" s="520"/>
      <c r="BR687" s="519"/>
      <c r="BS687" s="548"/>
      <c r="BT687" s="537"/>
      <c r="BU687" s="521"/>
      <c r="BV687" s="521"/>
      <c r="BW687" s="521"/>
      <c r="BX687" s="521"/>
      <c r="BY687" s="521"/>
      <c r="BZ687" s="521"/>
      <c r="CA687" s="521"/>
      <c r="CB687" s="521"/>
      <c r="CC687" s="521"/>
      <c r="CD687" s="521"/>
      <c r="CE687" s="521"/>
      <c r="CF687" s="521"/>
      <c r="CG687" s="521"/>
      <c r="CH687" s="521"/>
      <c r="CI687" s="521"/>
      <c r="CJ687" s="521"/>
      <c r="CK687" s="521"/>
      <c r="CL687" s="518"/>
      <c r="CM687" s="523"/>
      <c r="CN687" s="523"/>
      <c r="CO687" s="524"/>
      <c r="CP687" s="524"/>
      <c r="CQ687" s="518"/>
      <c r="CR687" s="518"/>
      <c r="CS687" s="518"/>
      <c r="CT687" s="518"/>
      <c r="CU687" s="518"/>
      <c r="CV687" s="518"/>
      <c r="CW687" s="518"/>
      <c r="CX687" s="518"/>
      <c r="CY687" s="518"/>
      <c r="CZ687" s="519"/>
      <c r="DA687" s="527"/>
      <c r="DB687" s="520"/>
      <c r="DC687" s="525"/>
      <c r="DD687" s="531"/>
      <c r="DE687" s="593"/>
      <c r="DF687" s="518"/>
      <c r="DG687" s="518"/>
      <c r="DH687" s="518"/>
      <c r="DI687" s="519"/>
      <c r="DJ687" s="560"/>
      <c r="DK687" s="522"/>
      <c r="DL687" s="522"/>
      <c r="DM687" s="522"/>
      <c r="DN687" s="522"/>
      <c r="DO687" s="522"/>
      <c r="DP687" s="518"/>
      <c r="DQ687" s="518"/>
      <c r="DR687" s="518"/>
      <c r="DS687" s="518"/>
      <c r="DT687" s="518"/>
      <c r="DU687" s="519"/>
      <c r="DV687" s="527"/>
      <c r="DW687" s="518"/>
      <c r="DX687" s="518"/>
      <c r="DY687" s="520"/>
      <c r="DZ687" s="520"/>
      <c r="EA687" s="519"/>
      <c r="EB687" s="527"/>
      <c r="EC687" s="520"/>
      <c r="ED687" s="520"/>
      <c r="EE687" s="519"/>
      <c r="EF687" s="550"/>
      <c r="EG687" s="537"/>
      <c r="EH687" s="521"/>
      <c r="EI687" s="521"/>
      <c r="EJ687" s="521"/>
      <c r="EK687" s="521"/>
      <c r="EL687" s="521"/>
      <c r="EM687" s="521"/>
      <c r="EN687" s="521"/>
      <c r="EO687" s="521"/>
      <c r="EP687" s="521"/>
      <c r="EQ687" s="521"/>
      <c r="ER687" s="521"/>
      <c r="ES687" s="521"/>
      <c r="ET687" s="521"/>
      <c r="EU687" s="521"/>
      <c r="EV687" s="521"/>
      <c r="EW687" s="521"/>
      <c r="EX687" s="521"/>
      <c r="EY687" s="518"/>
      <c r="EZ687" s="523"/>
      <c r="FA687" s="523"/>
      <c r="FB687" s="524"/>
      <c r="FC687" s="524"/>
      <c r="FD687" s="518"/>
      <c r="FE687" s="518"/>
      <c r="FF687" s="518"/>
      <c r="FG687" s="518"/>
      <c r="FH687" s="518"/>
      <c r="FI687" s="518"/>
      <c r="FJ687" s="518"/>
      <c r="FK687" s="518"/>
      <c r="FL687" s="518"/>
      <c r="FM687" s="519"/>
    </row>
    <row r="688" spans="1:169" x14ac:dyDescent="0.25">
      <c r="A688" s="284"/>
      <c r="B688" s="317"/>
      <c r="C688" s="297"/>
      <c r="D688" s="298"/>
      <c r="E688" s="299"/>
      <c r="F688" s="340"/>
      <c r="G688" s="298"/>
      <c r="H688" s="299"/>
      <c r="I688" s="300"/>
      <c r="J688" s="370"/>
      <c r="K688" s="328"/>
      <c r="L688" s="300"/>
      <c r="M688" s="328"/>
      <c r="N688" s="331"/>
      <c r="O688" s="301"/>
      <c r="P688" s="301"/>
      <c r="Q688" s="328"/>
      <c r="R688" s="620"/>
      <c r="S688" s="512"/>
      <c r="T688" s="512"/>
      <c r="U688" s="513"/>
      <c r="V688" s="514"/>
      <c r="W688" s="512"/>
      <c r="X688" s="513"/>
      <c r="Y688" s="514"/>
      <c r="Z688" s="513"/>
      <c r="AA688" s="515"/>
      <c r="AB688" s="516"/>
      <c r="AC688" s="513"/>
      <c r="AD688" s="544"/>
      <c r="AE688" s="516"/>
      <c r="AF688" s="513"/>
      <c r="AG688" s="551"/>
      <c r="AH688" s="595"/>
      <c r="AI688" s="517"/>
      <c r="AJ688" s="518"/>
      <c r="AK688" s="518"/>
      <c r="AL688" s="518"/>
      <c r="AM688" s="519"/>
      <c r="AN688" s="517"/>
      <c r="AO688" s="520"/>
      <c r="AP688" s="525"/>
      <c r="AQ688" s="531"/>
      <c r="AR688" s="593"/>
      <c r="AS688" s="518"/>
      <c r="AT688" s="518"/>
      <c r="AU688" s="518"/>
      <c r="AV688" s="519"/>
      <c r="AW688" s="560"/>
      <c r="AX688" s="522"/>
      <c r="AY688" s="522"/>
      <c r="AZ688" s="522"/>
      <c r="BA688" s="522"/>
      <c r="BB688" s="522"/>
      <c r="BC688" s="518"/>
      <c r="BD688" s="518"/>
      <c r="BE688" s="518"/>
      <c r="BF688" s="518"/>
      <c r="BG688" s="518"/>
      <c r="BH688" s="519"/>
      <c r="BI688" s="527"/>
      <c r="BJ688" s="518"/>
      <c r="BK688" s="518"/>
      <c r="BL688" s="520"/>
      <c r="BM688" s="520"/>
      <c r="BN688" s="519"/>
      <c r="BO688" s="517"/>
      <c r="BP688" s="520"/>
      <c r="BQ688" s="520"/>
      <c r="BR688" s="519"/>
      <c r="BS688" s="548"/>
      <c r="BT688" s="537"/>
      <c r="BU688" s="521"/>
      <c r="BV688" s="521"/>
      <c r="BW688" s="521"/>
      <c r="BX688" s="521"/>
      <c r="BY688" s="521"/>
      <c r="BZ688" s="521"/>
      <c r="CA688" s="521"/>
      <c r="CB688" s="521"/>
      <c r="CC688" s="521"/>
      <c r="CD688" s="521"/>
      <c r="CE688" s="521"/>
      <c r="CF688" s="521"/>
      <c r="CG688" s="521"/>
      <c r="CH688" s="521"/>
      <c r="CI688" s="521"/>
      <c r="CJ688" s="521"/>
      <c r="CK688" s="521"/>
      <c r="CL688" s="518"/>
      <c r="CM688" s="523"/>
      <c r="CN688" s="523"/>
      <c r="CO688" s="524"/>
      <c r="CP688" s="524"/>
      <c r="CQ688" s="518"/>
      <c r="CR688" s="518"/>
      <c r="CS688" s="518"/>
      <c r="CT688" s="518"/>
      <c r="CU688" s="518"/>
      <c r="CV688" s="518"/>
      <c r="CW688" s="518"/>
      <c r="CX688" s="518"/>
      <c r="CY688" s="518"/>
      <c r="CZ688" s="519"/>
      <c r="DA688" s="527"/>
      <c r="DB688" s="520"/>
      <c r="DC688" s="525"/>
      <c r="DD688" s="531"/>
      <c r="DE688" s="593"/>
      <c r="DF688" s="518"/>
      <c r="DG688" s="518"/>
      <c r="DH688" s="518"/>
      <c r="DI688" s="519"/>
      <c r="DJ688" s="560"/>
      <c r="DK688" s="522"/>
      <c r="DL688" s="522"/>
      <c r="DM688" s="522"/>
      <c r="DN688" s="522"/>
      <c r="DO688" s="522"/>
      <c r="DP688" s="518"/>
      <c r="DQ688" s="518"/>
      <c r="DR688" s="518"/>
      <c r="DS688" s="518"/>
      <c r="DT688" s="518"/>
      <c r="DU688" s="519"/>
      <c r="DV688" s="527"/>
      <c r="DW688" s="518"/>
      <c r="DX688" s="518"/>
      <c r="DY688" s="520"/>
      <c r="DZ688" s="520"/>
      <c r="EA688" s="519"/>
      <c r="EB688" s="527"/>
      <c r="EC688" s="520"/>
      <c r="ED688" s="520"/>
      <c r="EE688" s="519"/>
      <c r="EF688" s="550"/>
      <c r="EG688" s="537"/>
      <c r="EH688" s="521"/>
      <c r="EI688" s="521"/>
      <c r="EJ688" s="521"/>
      <c r="EK688" s="521"/>
      <c r="EL688" s="521"/>
      <c r="EM688" s="521"/>
      <c r="EN688" s="521"/>
      <c r="EO688" s="521"/>
      <c r="EP688" s="521"/>
      <c r="EQ688" s="521"/>
      <c r="ER688" s="521"/>
      <c r="ES688" s="521"/>
      <c r="ET688" s="521"/>
      <c r="EU688" s="521"/>
      <c r="EV688" s="521"/>
      <c r="EW688" s="521"/>
      <c r="EX688" s="521"/>
      <c r="EY688" s="518"/>
      <c r="EZ688" s="523"/>
      <c r="FA688" s="523"/>
      <c r="FB688" s="524"/>
      <c r="FC688" s="524"/>
      <c r="FD688" s="518"/>
      <c r="FE688" s="518"/>
      <c r="FF688" s="518"/>
      <c r="FG688" s="518"/>
      <c r="FH688" s="518"/>
      <c r="FI688" s="518"/>
      <c r="FJ688" s="518"/>
      <c r="FK688" s="518"/>
      <c r="FL688" s="518"/>
      <c r="FM688" s="519"/>
    </row>
  </sheetData>
  <sheetProtection sheet="1" objects="1" scenarios="1"/>
  <phoneticPr fontId="35" type="noConversion"/>
  <conditionalFormatting sqref="AH407:AH688">
    <cfRule type="cellIs" dxfId="5" priority="1" stopIfTrue="1" operator="greaterThan">
      <formula>$K407</formula>
    </cfRule>
  </conditionalFormatting>
  <conditionalFormatting sqref="CM407:CN688 EZ407:FA688">
    <cfRule type="cellIs" dxfId="4" priority="2" stopIfTrue="1" operator="notEqual">
      <formula>"N.A."</formula>
    </cfRule>
  </conditionalFormatting>
  <conditionalFormatting sqref="X407:X688 Z407:Z688 AC407 AC409:AC688 AF407:AF688">
    <cfRule type="cellIs" dxfId="3" priority="3" stopIfTrue="1" operator="greaterThan">
      <formula>1</formula>
    </cfRule>
  </conditionalFormatting>
  <conditionalFormatting sqref="AC408">
    <cfRule type="cellIs" dxfId="2" priority="4" stopIfTrue="1" operator="greaterThan">
      <formula>1</formula>
    </cfRule>
  </conditionalFormatting>
  <conditionalFormatting sqref="AG407:AG688">
    <cfRule type="cellIs" dxfId="1" priority="5" stopIfTrue="1" operator="equal">
      <formula>"---"</formula>
    </cfRule>
    <cfRule type="cellIs" dxfId="0" priority="6" stopIfTrue="1" operator="greaterThan">
      <formula>1</formula>
    </cfRule>
  </conditionalFormatting>
  <dataValidations xWindow="104" yWindow="285" count="6">
    <dataValidation type="list" allowBlank="1" showInputMessage="1" showErrorMessage="1" errorTitle="Warning!" error="Invalid bolt material type_x000a_(must input either A307 or A36)" prompt="Anchor material may be A307 bolts, A36 threaded rods, A572 (Gr. 50) threaded rods, A588 threaded rods, or F1554 (Grades 36, 55, 105) threaded rods." sqref="D390">
      <formula1>$M$32:$M$38</formula1>
    </dataValidation>
    <dataValidation type="list" allowBlank="1" showInputMessage="1" showErrorMessage="1" prompt="Shear Coefficient, 'C':_x000a_C = 1.85 for base plate on top of grout bed._x000a_C = 1.25 for base plate recessed in grout._x000a_C = 1.10 for base plate embedded in concrete." sqref="D391">
      <formula1>$M$39:$M$41</formula1>
    </dataValidation>
    <dataValidation type="decimal" operator="greaterThan" allowBlank="1" showInputMessage="1" showErrorMessage="1" errorTitle="Warning!" error="Invalid steel yield strength" prompt="Typical values to be input for 'Fy' would be either 36 or 50 ksi." sqref="D388">
      <formula1>0</formula1>
    </dataValidation>
    <dataValidation type="decimal" operator="greaterThan" allowBlank="1" showInputMessage="1" showErrorMessage="1" errorTitle="Warning!" error="Invalid concrete compressive strength" prompt="Typical values to be input for 'f'c' would be either 3, 4 or 5 ksi." sqref="D389">
      <formula1>0</formula1>
    </dataValidation>
    <dataValidation type="whole" allowBlank="1" showInputMessage="1" showErrorMessage="1" sqref="N407:N688">
      <formula1>2</formula1>
      <formula2>8</formula2>
    </dataValidation>
    <dataValidation type="decimal" allowBlank="1" showInputMessage="1" showErrorMessage="1" sqref="O407:O688">
      <formula1>0.375</formula1>
      <formula2>3</formula2>
    </dataValidation>
  </dataValidations>
  <printOptions gridLines="1"/>
  <pageMargins left="0.75" right="0.5" top="1" bottom="1" header="0.5" footer="0.5"/>
  <pageSetup paperSize="17" scale="59" orientation="landscape" r:id="rId1"/>
  <headerFooter alignWithMargins="0">
    <oddHeader>&amp;R"BASEPLT9.xls" Program
Version 3.7</oddHeader>
    <oddFooter>&amp;C&amp;P of &amp;N&amp;R&amp;D  &amp;T</oddFooter>
  </headerFooter>
  <rowBreaks count="2" manualBreakCount="2">
    <brk id="460" max="32" man="1"/>
    <brk id="536" max="32"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Doc</vt:lpstr>
      <vt:lpstr>Base Plate</vt:lpstr>
      <vt:lpstr>Shear Lug</vt:lpstr>
      <vt:lpstr>Base Plate (Table)</vt:lpstr>
      <vt:lpstr>'Base Plate'!Print_Area</vt:lpstr>
      <vt:lpstr>'Base Plate (Table)'!Print_Area</vt:lpstr>
      <vt:lpstr>Doc!Print_Area</vt:lpstr>
      <vt:lpstr>'Shear Lug'!Print_Area</vt:lpstr>
      <vt:lpstr>'Base Plate (Table)'!Print_Titles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"BASEPLT9" Program</dc:title>
  <dc:subject/>
  <dc:creator>Alex Tomanovich, P.E. - 151 Shadow Lane, Lyman SC 29365 - Home: 864-968-2699 - Email: ATomanovich@bellsouth.net</dc:creator>
  <dc:description>Column Base Plate Analysis per AISC 9th Ed. (ASD)</dc:description>
  <cp:lastModifiedBy>David</cp:lastModifiedBy>
  <cp:lastPrinted>2009-04-14T17:56:41Z</cp:lastPrinted>
  <dcterms:created xsi:type="dcterms:W3CDTF">2000-10-29T04:55:39Z</dcterms:created>
  <dcterms:modified xsi:type="dcterms:W3CDTF">2018-03-02T03:56:33Z</dcterms:modified>
  <cp:category>Structural Engineering Analysis/Design</cp:category>
</cp:coreProperties>
</file>