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Ran Bujanover\Blue Sky Utility Dropbox\Ran Bujanover\Data Rooms for Funding\Data Room (Energetic)\Refinancing Opportunity\NS - Colusa\07. Model\"/>
    </mc:Choice>
  </mc:AlternateContent>
  <xr:revisionPtr revIDLastSave="0" documentId="13_ncr:1_{2F62B874-7F6F-4E6D-BBDA-1A31EE293DCF}" xr6:coauthVersionLast="45" xr6:coauthVersionMax="45" xr10:uidLastSave="{00000000-0000-0000-0000-000000000000}"/>
  <bookViews>
    <workbookView xWindow="252" yWindow="600" windowWidth="18948" windowHeight="10200" xr2:uid="{00000000-000D-0000-FFFF-FFFF00000000}"/>
  </bookViews>
  <sheets>
    <sheet name="Project NS - Colusa" sheetId="8" r:id="rId1"/>
  </sheets>
  <externalReferences>
    <externalReference r:id="rId2"/>
  </externalReferences>
  <definedNames>
    <definedName name="Cases_List">[1]Scenarios!$B$5:$B$10</definedName>
    <definedName name="TEP_Payment" localSheetId="0">#REF!</definedName>
    <definedName name="TEP_Paymen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T24" i="8" l="1"/>
  <c r="N25" i="8" l="1"/>
  <c r="M25" i="8"/>
  <c r="M24" i="8" s="1"/>
  <c r="N24" i="8" l="1"/>
  <c r="L81" i="8"/>
  <c r="K83" i="8"/>
  <c r="K84" i="8"/>
  <c r="K86" i="8"/>
  <c r="L83" i="8" s="1"/>
  <c r="G8" i="8"/>
  <c r="L20" i="8"/>
  <c r="L25" i="8"/>
  <c r="C20" i="8"/>
  <c r="L38" i="8" s="1"/>
  <c r="L39" i="8"/>
  <c r="M39" i="8"/>
  <c r="N39" i="8" s="1"/>
  <c r="L41" i="8"/>
  <c r="M41" i="8"/>
  <c r="L42" i="8"/>
  <c r="L43" i="8"/>
  <c r="M43" i="8" s="1"/>
  <c r="N43" i="8" s="1"/>
  <c r="G9" i="8"/>
  <c r="L24" i="8"/>
  <c r="O24" i="8"/>
  <c r="S24" i="8"/>
  <c r="W24" i="8"/>
  <c r="AA24" i="8"/>
  <c r="AE24" i="8"/>
  <c r="AI24" i="8"/>
  <c r="AM24" i="8"/>
  <c r="AS24" i="8"/>
  <c r="M63" i="8"/>
  <c r="N63" i="8" s="1"/>
  <c r="O63" i="8" s="1"/>
  <c r="P63" i="8" s="1"/>
  <c r="Q63" i="8" s="1"/>
  <c r="R63" i="8" s="1"/>
  <c r="S63" i="8" s="1"/>
  <c r="T63" i="8" s="1"/>
  <c r="U63" i="8" s="1"/>
  <c r="V63" i="8" s="1"/>
  <c r="W63" i="8" s="1"/>
  <c r="X63" i="8" s="1"/>
  <c r="Y63" i="8" s="1"/>
  <c r="Z63" i="8" s="1"/>
  <c r="AA63" i="8" s="1"/>
  <c r="AB63" i="8" s="1"/>
  <c r="AC63" i="8" s="1"/>
  <c r="AD63" i="8" s="1"/>
  <c r="AE63" i="8" s="1"/>
  <c r="AF63" i="8" s="1"/>
  <c r="AG63" i="8" s="1"/>
  <c r="AH63" i="8" s="1"/>
  <c r="AI63" i="8" s="1"/>
  <c r="AJ63" i="8" s="1"/>
  <c r="AK63" i="8" s="1"/>
  <c r="AL63" i="8" s="1"/>
  <c r="AM63" i="8" s="1"/>
  <c r="AN63" i="8" s="1"/>
  <c r="AO63" i="8" s="1"/>
  <c r="AP63" i="8" s="1"/>
  <c r="AQ63" i="8" s="1"/>
  <c r="AR63" i="8" s="1"/>
  <c r="AS63" i="8" s="1"/>
  <c r="AT63" i="8" s="1"/>
  <c r="Q53" i="8"/>
  <c r="P53" i="8"/>
  <c r="O53" i="8"/>
  <c r="N53" i="8"/>
  <c r="M53" i="8"/>
  <c r="L53" i="8"/>
  <c r="L26" i="8"/>
  <c r="M26" i="8"/>
  <c r="N26" i="8" s="1"/>
  <c r="O26" i="8" s="1"/>
  <c r="P26" i="8" s="1"/>
  <c r="Q26" i="8" s="1"/>
  <c r="R26" i="8" s="1"/>
  <c r="S26" i="8" s="1"/>
  <c r="T26" i="8" s="1"/>
  <c r="U26" i="8" s="1"/>
  <c r="V26" i="8" s="1"/>
  <c r="W26" i="8" s="1"/>
  <c r="X26" i="8" s="1"/>
  <c r="Y26" i="8" s="1"/>
  <c r="Z26" i="8" s="1"/>
  <c r="AA26" i="8" s="1"/>
  <c r="AB26" i="8" s="1"/>
  <c r="AC26" i="8" s="1"/>
  <c r="AD26" i="8" s="1"/>
  <c r="AE26" i="8" s="1"/>
  <c r="AF26" i="8" s="1"/>
  <c r="AG26" i="8" s="1"/>
  <c r="AH26" i="8" s="1"/>
  <c r="AI26" i="8" s="1"/>
  <c r="AJ26" i="8" s="1"/>
  <c r="AK26" i="8" s="1"/>
  <c r="AL26" i="8" s="1"/>
  <c r="AM26" i="8" s="1"/>
  <c r="AN26" i="8" s="1"/>
  <c r="AO26" i="8" s="1"/>
  <c r="AP26" i="8" s="1"/>
  <c r="AQ26" i="8" s="1"/>
  <c r="AR26" i="8" s="1"/>
  <c r="AS26" i="8" s="1"/>
  <c r="AT26" i="8" s="1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L23" i="8" s="1"/>
  <c r="L32" i="8" s="1"/>
  <c r="M21" i="8"/>
  <c r="N21" i="8" s="1"/>
  <c r="M19" i="8"/>
  <c r="N19" i="8"/>
  <c r="O19" i="8" s="1"/>
  <c r="P19" i="8" s="1"/>
  <c r="Q19" i="8"/>
  <c r="R19" i="8"/>
  <c r="S19" i="8" s="1"/>
  <c r="T19" i="8" s="1"/>
  <c r="U19" i="8" s="1"/>
  <c r="V19" i="8" s="1"/>
  <c r="W19" i="8" s="1"/>
  <c r="X19" i="8" s="1"/>
  <c r="Y19" i="8" s="1"/>
  <c r="Z19" i="8" s="1"/>
  <c r="AA19" i="8" s="1"/>
  <c r="AB19" i="8" s="1"/>
  <c r="AC19" i="8" s="1"/>
  <c r="AD19" i="8" s="1"/>
  <c r="AE19" i="8" s="1"/>
  <c r="AF19" i="8" s="1"/>
  <c r="AG19" i="8" s="1"/>
  <c r="AH19" i="8" s="1"/>
  <c r="AI19" i="8" s="1"/>
  <c r="AJ19" i="8" s="1"/>
  <c r="AK19" i="8" s="1"/>
  <c r="AL19" i="8" s="1"/>
  <c r="AM19" i="8" s="1"/>
  <c r="AN19" i="8" s="1"/>
  <c r="AO19" i="8" s="1"/>
  <c r="AP19" i="8" s="1"/>
  <c r="AQ19" i="8" s="1"/>
  <c r="AR19" i="8" s="1"/>
  <c r="AS19" i="8" s="1"/>
  <c r="AT19" i="8" s="1"/>
  <c r="F11" i="8"/>
  <c r="AR24" i="8"/>
  <c r="AP24" i="8"/>
  <c r="L37" i="8"/>
  <c r="M37" i="8" s="1"/>
  <c r="N37" i="8"/>
  <c r="O37" i="8"/>
  <c r="AQ24" i="8"/>
  <c r="AL24" i="8"/>
  <c r="AH24" i="8"/>
  <c r="AD24" i="8"/>
  <c r="Z24" i="8"/>
  <c r="V24" i="8"/>
  <c r="R24" i="8"/>
  <c r="AO24" i="8"/>
  <c r="AK24" i="8"/>
  <c r="AG24" i="8"/>
  <c r="AC24" i="8"/>
  <c r="Y24" i="8"/>
  <c r="U24" i="8"/>
  <c r="Q24" i="8"/>
  <c r="O25" i="8"/>
  <c r="P25" i="8" s="1"/>
  <c r="Q25" i="8" s="1"/>
  <c r="R25" i="8" s="1"/>
  <c r="S25" i="8" s="1"/>
  <c r="T25" i="8" s="1"/>
  <c r="U25" i="8" s="1"/>
  <c r="V25" i="8" s="1"/>
  <c r="W25" i="8" s="1"/>
  <c r="X25" i="8" s="1"/>
  <c r="Y25" i="8" s="1"/>
  <c r="Z25" i="8" s="1"/>
  <c r="AA25" i="8" s="1"/>
  <c r="AB25" i="8" s="1"/>
  <c r="AC25" i="8" s="1"/>
  <c r="AD25" i="8" s="1"/>
  <c r="AE25" i="8" s="1"/>
  <c r="AF25" i="8" s="1"/>
  <c r="AG25" i="8" s="1"/>
  <c r="AH25" i="8" s="1"/>
  <c r="AI25" i="8" s="1"/>
  <c r="AJ25" i="8" s="1"/>
  <c r="AK25" i="8" s="1"/>
  <c r="AL25" i="8" s="1"/>
  <c r="AM25" i="8" s="1"/>
  <c r="AN25" i="8" s="1"/>
  <c r="AO25" i="8" s="1"/>
  <c r="AP25" i="8" s="1"/>
  <c r="AQ25" i="8" s="1"/>
  <c r="AR25" i="8" s="1"/>
  <c r="AS25" i="8" s="1"/>
  <c r="AT25" i="8" s="1"/>
  <c r="AN24" i="8"/>
  <c r="AJ24" i="8"/>
  <c r="AF24" i="8"/>
  <c r="AB24" i="8"/>
  <c r="X24" i="8"/>
  <c r="T24" i="8"/>
  <c r="P24" i="8"/>
  <c r="M20" i="8"/>
  <c r="M23" i="8"/>
  <c r="M38" i="8"/>
  <c r="L46" i="8"/>
  <c r="M42" i="8"/>
  <c r="O39" i="8"/>
  <c r="N41" i="8"/>
  <c r="L31" i="8"/>
  <c r="N38" i="8"/>
  <c r="O43" i="8"/>
  <c r="M46" i="8"/>
  <c r="N46" i="8" s="1"/>
  <c r="O46" i="8" s="1"/>
  <c r="P46" i="8" s="1"/>
  <c r="Q46" i="8" s="1"/>
  <c r="P37" i="8"/>
  <c r="P39" i="8"/>
  <c r="O41" i="8"/>
  <c r="O38" i="8"/>
  <c r="P43" i="8"/>
  <c r="Q39" i="8"/>
  <c r="R39" i="8" s="1"/>
  <c r="P41" i="8"/>
  <c r="Q43" i="8"/>
  <c r="Q41" i="8"/>
  <c r="R41" i="8" s="1"/>
  <c r="S41" i="8" s="1"/>
  <c r="T41" i="8" s="1"/>
  <c r="U41" i="8" s="1"/>
  <c r="V41" i="8" s="1"/>
  <c r="W41" i="8" s="1"/>
  <c r="R43" i="8"/>
  <c r="S43" i="8" s="1"/>
  <c r="T43" i="8" s="1"/>
  <c r="U43" i="8" s="1"/>
  <c r="V43" i="8" s="1"/>
  <c r="W43" i="8" s="1"/>
  <c r="X43" i="8" s="1"/>
  <c r="Y43" i="8" s="1"/>
  <c r="Z43" i="8" s="1"/>
  <c r="AA43" i="8" s="1"/>
  <c r="AB43" i="8" s="1"/>
  <c r="AC43" i="8" s="1"/>
  <c r="AD43" i="8" s="1"/>
  <c r="AE43" i="8" s="1"/>
  <c r="AF43" i="8" s="1"/>
  <c r="AG43" i="8" s="1"/>
  <c r="AH43" i="8" s="1"/>
  <c r="AI43" i="8" s="1"/>
  <c r="AJ43" i="8" s="1"/>
  <c r="AK43" i="8" s="1"/>
  <c r="AL43" i="8" s="1"/>
  <c r="S39" i="8"/>
  <c r="T39" i="8" s="1"/>
  <c r="U39" i="8" s="1"/>
  <c r="V39" i="8" s="1"/>
  <c r="W39" i="8" s="1"/>
  <c r="X39" i="8" s="1"/>
  <c r="Y39" i="8" s="1"/>
  <c r="Z39" i="8" s="1"/>
  <c r="AA39" i="8" s="1"/>
  <c r="AB39" i="8" s="1"/>
  <c r="AC39" i="8" s="1"/>
  <c r="AD39" i="8" s="1"/>
  <c r="AE39" i="8" s="1"/>
  <c r="R46" i="8"/>
  <c r="S46" i="8" s="1"/>
  <c r="T46" i="8" s="1"/>
  <c r="U46" i="8" s="1"/>
  <c r="V46" i="8" s="1"/>
  <c r="W46" i="8" s="1"/>
  <c r="X46" i="8" s="1"/>
  <c r="Y46" i="8" s="1"/>
  <c r="Z46" i="8" s="1"/>
  <c r="AA46" i="8" s="1"/>
  <c r="AB46" i="8" s="1"/>
  <c r="AC46" i="8" s="1"/>
  <c r="AD46" i="8" s="1"/>
  <c r="AE46" i="8" s="1"/>
  <c r="AF46" i="8" s="1"/>
  <c r="AF39" i="8"/>
  <c r="AG39" i="8" s="1"/>
  <c r="AH39" i="8" s="1"/>
  <c r="AI39" i="8"/>
  <c r="AJ39" i="8" s="1"/>
  <c r="AK39" i="8" s="1"/>
  <c r="AL39" i="8" s="1"/>
  <c r="AM39" i="8"/>
  <c r="AN39" i="8" s="1"/>
  <c r="AO39" i="8" s="1"/>
  <c r="AP39" i="8" s="1"/>
  <c r="AQ39" i="8" s="1"/>
  <c r="AR39" i="8" s="1"/>
  <c r="AS39" i="8" s="1"/>
  <c r="AT39" i="8" s="1"/>
  <c r="X41" i="8" l="1"/>
  <c r="Y41" i="8" s="1"/>
  <c r="Z41" i="8" s="1"/>
  <c r="AA41" i="8" s="1"/>
  <c r="AB41" i="8" s="1"/>
  <c r="AC41" i="8" s="1"/>
  <c r="AD41" i="8" s="1"/>
  <c r="AE41" i="8" s="1"/>
  <c r="AF41" i="8" s="1"/>
  <c r="AG41" i="8" s="1"/>
  <c r="AH41" i="8" s="1"/>
  <c r="AI41" i="8" s="1"/>
  <c r="AJ41" i="8" s="1"/>
  <c r="AK41" i="8" s="1"/>
  <c r="AL41" i="8" s="1"/>
  <c r="AM41" i="8" s="1"/>
  <c r="AN41" i="8" s="1"/>
  <c r="AO41" i="8" s="1"/>
  <c r="AP41" i="8" s="1"/>
  <c r="AQ41" i="8" s="1"/>
  <c r="AR41" i="8" s="1"/>
  <c r="AS41" i="8" s="1"/>
  <c r="AT41" i="8" s="1"/>
  <c r="AM43" i="8"/>
  <c r="AN43" i="8" s="1"/>
  <c r="AO43" i="8" s="1"/>
  <c r="AP43" i="8" s="1"/>
  <c r="AQ43" i="8" s="1"/>
  <c r="AR43" i="8" s="1"/>
  <c r="AS43" i="8" s="1"/>
  <c r="AT43" i="8" s="1"/>
  <c r="H43" i="8"/>
  <c r="AG46" i="8"/>
  <c r="AH46" i="8" s="1"/>
  <c r="AI46" i="8" s="1"/>
  <c r="AJ46" i="8" s="1"/>
  <c r="AK46" i="8" s="1"/>
  <c r="AL46" i="8" s="1"/>
  <c r="AM46" i="8" s="1"/>
  <c r="AN46" i="8" s="1"/>
  <c r="AO46" i="8" s="1"/>
  <c r="AP46" i="8" s="1"/>
  <c r="AQ46" i="8" s="1"/>
  <c r="AR46" i="8" s="1"/>
  <c r="AS46" i="8" s="1"/>
  <c r="AT46" i="8" s="1"/>
  <c r="N42" i="8"/>
  <c r="P38" i="8"/>
  <c r="G43" i="8"/>
  <c r="G39" i="8"/>
  <c r="H39" i="8"/>
  <c r="O21" i="8"/>
  <c r="N20" i="8"/>
  <c r="L34" i="8"/>
  <c r="Q37" i="8"/>
  <c r="L86" i="8"/>
  <c r="M83" i="8" s="1"/>
  <c r="L88" i="8"/>
  <c r="M32" i="8"/>
  <c r="G10" i="8"/>
  <c r="M81" i="8"/>
  <c r="L89" i="8"/>
  <c r="G17" i="8" l="1"/>
  <c r="L66" i="8" s="1"/>
  <c r="L94" i="8" s="1"/>
  <c r="G16" i="8"/>
  <c r="F10" i="8"/>
  <c r="J8" i="8" s="1"/>
  <c r="N81" i="8"/>
  <c r="M89" i="8"/>
  <c r="H46" i="8"/>
  <c r="M34" i="8"/>
  <c r="R37" i="8"/>
  <c r="P21" i="8"/>
  <c r="O20" i="8"/>
  <c r="O23" i="8" s="1"/>
  <c r="Q38" i="8"/>
  <c r="M88" i="8"/>
  <c r="M86" i="8"/>
  <c r="N83" i="8" s="1"/>
  <c r="L45" i="8"/>
  <c r="L44" i="8"/>
  <c r="H41" i="8"/>
  <c r="G46" i="8"/>
  <c r="G41" i="8"/>
  <c r="G13" i="8"/>
  <c r="N23" i="8"/>
  <c r="O42" i="8"/>
  <c r="F13" i="8" l="1"/>
  <c r="E13" i="8"/>
  <c r="G15" i="8"/>
  <c r="F15" i="8" s="1"/>
  <c r="K69" i="8"/>
  <c r="K65" i="8"/>
  <c r="E9" i="8"/>
  <c r="E8" i="8"/>
  <c r="E11" i="8"/>
  <c r="M45" i="8"/>
  <c r="M44" i="8"/>
  <c r="P20" i="8"/>
  <c r="Q21" i="8"/>
  <c r="Q54" i="8"/>
  <c r="M54" i="8"/>
  <c r="L54" i="8"/>
  <c r="P54" i="8"/>
  <c r="O54" i="8"/>
  <c r="R54" i="8"/>
  <c r="S54" i="8"/>
  <c r="U54" i="8"/>
  <c r="T54" i="8"/>
  <c r="N54" i="8"/>
  <c r="L47" i="8"/>
  <c r="R38" i="8"/>
  <c r="O81" i="8"/>
  <c r="N89" i="8"/>
  <c r="E10" i="8"/>
  <c r="P42" i="8"/>
  <c r="S37" i="8"/>
  <c r="N32" i="8"/>
  <c r="N86" i="8"/>
  <c r="O83" i="8" s="1"/>
  <c r="O32" i="8"/>
  <c r="O31" i="8"/>
  <c r="O34" i="8" l="1"/>
  <c r="O45" i="8"/>
  <c r="O44" i="8"/>
  <c r="O89" i="8"/>
  <c r="P81" i="8"/>
  <c r="N34" i="8"/>
  <c r="Q42" i="8"/>
  <c r="R21" i="8"/>
  <c r="Q20" i="8"/>
  <c r="Q23" i="8" s="1"/>
  <c r="N88" i="8"/>
  <c r="S38" i="8"/>
  <c r="G80" i="8"/>
  <c r="K89" i="8" s="1"/>
  <c r="K91" i="8" s="1"/>
  <c r="K95" i="8" s="1"/>
  <c r="L50" i="8"/>
  <c r="H54" i="8"/>
  <c r="G54" i="8"/>
  <c r="P23" i="8"/>
  <c r="O86" i="8"/>
  <c r="P83" i="8" s="1"/>
  <c r="T37" i="8"/>
  <c r="M47" i="8"/>
  <c r="M50" i="8" s="1"/>
  <c r="O47" i="8" l="1"/>
  <c r="O50" i="8" s="1"/>
  <c r="O55" i="8" s="1"/>
  <c r="S21" i="8"/>
  <c r="R20" i="8"/>
  <c r="R23" i="8" s="1"/>
  <c r="N45" i="8"/>
  <c r="N44" i="8"/>
  <c r="P31" i="8"/>
  <c r="P32" i="8"/>
  <c r="T38" i="8"/>
  <c r="U38" i="8" s="1"/>
  <c r="V38" i="8" s="1"/>
  <c r="W38" i="8" s="1"/>
  <c r="X38" i="8" s="1"/>
  <c r="Y38" i="8" s="1"/>
  <c r="Z38" i="8" s="1"/>
  <c r="AA38" i="8" s="1"/>
  <c r="AB38" i="8" s="1"/>
  <c r="AC38" i="8" s="1"/>
  <c r="AD38" i="8" s="1"/>
  <c r="AE38" i="8" s="1"/>
  <c r="AF38" i="8" s="1"/>
  <c r="AG38" i="8" s="1"/>
  <c r="AH38" i="8" s="1"/>
  <c r="AI38" i="8" s="1"/>
  <c r="AJ38" i="8" s="1"/>
  <c r="AK38" i="8" s="1"/>
  <c r="AL38" i="8" s="1"/>
  <c r="AM38" i="8" s="1"/>
  <c r="AN38" i="8" s="1"/>
  <c r="AO38" i="8" s="1"/>
  <c r="AP38" i="8" s="1"/>
  <c r="AQ38" i="8" s="1"/>
  <c r="AR38" i="8" s="1"/>
  <c r="AS38" i="8" s="1"/>
  <c r="AT38" i="8" s="1"/>
  <c r="H38" i="8"/>
  <c r="Q31" i="8"/>
  <c r="Q32" i="8"/>
  <c r="U37" i="8"/>
  <c r="P86" i="8"/>
  <c r="Q83" i="8" s="1"/>
  <c r="P88" i="8"/>
  <c r="M92" i="8"/>
  <c r="M51" i="8"/>
  <c r="M55" i="8"/>
  <c r="M64" i="8"/>
  <c r="O88" i="8"/>
  <c r="L92" i="8"/>
  <c r="L51" i="8"/>
  <c r="L64" i="8"/>
  <c r="L55" i="8"/>
  <c r="R42" i="8"/>
  <c r="Q81" i="8"/>
  <c r="P89" i="8"/>
  <c r="O64" i="8" l="1"/>
  <c r="O51" i="8"/>
  <c r="O92" i="8"/>
  <c r="R31" i="8"/>
  <c r="R32" i="8"/>
  <c r="Q88" i="8"/>
  <c r="Q86" i="8"/>
  <c r="R83" i="8" s="1"/>
  <c r="S42" i="8"/>
  <c r="L58" i="8"/>
  <c r="L67" i="8" s="1"/>
  <c r="L93" i="8" s="1"/>
  <c r="L95" i="8" s="1"/>
  <c r="N47" i="8"/>
  <c r="T21" i="8"/>
  <c r="S20" i="8"/>
  <c r="O58" i="8"/>
  <c r="O67" i="8" s="1"/>
  <c r="O93" i="8" s="1"/>
  <c r="O95" i="8" s="1"/>
  <c r="M58" i="8"/>
  <c r="M67" i="8" s="1"/>
  <c r="M93" i="8" s="1"/>
  <c r="M95" i="8" s="1"/>
  <c r="V37" i="8"/>
  <c r="R81" i="8"/>
  <c r="Q89" i="8"/>
  <c r="G38" i="8"/>
  <c r="Q34" i="8"/>
  <c r="P34" i="8"/>
  <c r="L61" i="8" l="1"/>
  <c r="L69" i="8"/>
  <c r="O61" i="8"/>
  <c r="S81" i="8"/>
  <c r="R89" i="8"/>
  <c r="M61" i="8"/>
  <c r="S23" i="8"/>
  <c r="N50" i="8"/>
  <c r="T42" i="8"/>
  <c r="O69" i="8"/>
  <c r="R34" i="8"/>
  <c r="Q44" i="8"/>
  <c r="Q45" i="8"/>
  <c r="P45" i="8"/>
  <c r="P44" i="8"/>
  <c r="W37" i="8"/>
  <c r="M69" i="8"/>
  <c r="U21" i="8"/>
  <c r="T20" i="8"/>
  <c r="T23" i="8" s="1"/>
  <c r="R86" i="8"/>
  <c r="S83" i="8" s="1"/>
  <c r="T32" i="8" l="1"/>
  <c r="T31" i="8"/>
  <c r="T34" i="8" s="1"/>
  <c r="U20" i="8"/>
  <c r="U23" i="8" s="1"/>
  <c r="V21" i="8"/>
  <c r="Q47" i="8"/>
  <c r="Q50" i="8" s="1"/>
  <c r="U42" i="8"/>
  <c r="S89" i="8"/>
  <c r="T81" i="8"/>
  <c r="R88" i="8"/>
  <c r="R44" i="8"/>
  <c r="R45" i="8"/>
  <c r="N51" i="8"/>
  <c r="N92" i="8"/>
  <c r="N64" i="8"/>
  <c r="N55" i="8"/>
  <c r="S32" i="8"/>
  <c r="S31" i="8"/>
  <c r="P47" i="8"/>
  <c r="S88" i="8"/>
  <c r="S86" i="8"/>
  <c r="T83" i="8" s="1"/>
  <c r="X37" i="8"/>
  <c r="S34" i="8" l="1"/>
  <c r="U32" i="8"/>
  <c r="U31" i="8"/>
  <c r="R47" i="8"/>
  <c r="R50" i="8" s="1"/>
  <c r="U81" i="8"/>
  <c r="T89" i="8"/>
  <c r="V42" i="8"/>
  <c r="T44" i="8"/>
  <c r="T45" i="8"/>
  <c r="N58" i="8"/>
  <c r="N67" i="8" s="1"/>
  <c r="N93" i="8" s="1"/>
  <c r="N95" i="8" s="1"/>
  <c r="W21" i="8"/>
  <c r="V20" i="8"/>
  <c r="V23" i="8" s="1"/>
  <c r="Y37" i="8"/>
  <c r="T86" i="8"/>
  <c r="U83" i="8" s="1"/>
  <c r="T88" i="8"/>
  <c r="P50" i="8"/>
  <c r="Q92" i="8"/>
  <c r="Q51" i="8"/>
  <c r="Q64" i="8"/>
  <c r="Q55" i="8"/>
  <c r="T47" i="8" l="1"/>
  <c r="T50" i="8" s="1"/>
  <c r="N61" i="8"/>
  <c r="Q58" i="8"/>
  <c r="Q67" i="8" s="1"/>
  <c r="Q93" i="8" s="1"/>
  <c r="Q95" i="8" s="1"/>
  <c r="U86" i="8"/>
  <c r="V83" i="8" s="1"/>
  <c r="X21" i="8"/>
  <c r="W20" i="8"/>
  <c r="W23" i="8" s="1"/>
  <c r="R92" i="8"/>
  <c r="R51" i="8"/>
  <c r="R64" i="8"/>
  <c r="R55" i="8"/>
  <c r="N69" i="8"/>
  <c r="V81" i="8"/>
  <c r="V85" i="8"/>
  <c r="U89" i="8"/>
  <c r="Q69" i="8"/>
  <c r="P92" i="8"/>
  <c r="P64" i="8"/>
  <c r="P55" i="8"/>
  <c r="P51" i="8"/>
  <c r="W42" i="8"/>
  <c r="S45" i="8"/>
  <c r="S44" i="8"/>
  <c r="V31" i="8"/>
  <c r="V32" i="8"/>
  <c r="T92" i="8"/>
  <c r="T64" i="8"/>
  <c r="T51" i="8"/>
  <c r="T55" i="8"/>
  <c r="Z37" i="8"/>
  <c r="U34" i="8"/>
  <c r="Q61" i="8" l="1"/>
  <c r="X20" i="8"/>
  <c r="X23" i="8" s="1"/>
  <c r="Y21" i="8"/>
  <c r="R58" i="8"/>
  <c r="R67" i="8" s="1"/>
  <c r="R93" i="8" s="1"/>
  <c r="R95" i="8" s="1"/>
  <c r="V34" i="8"/>
  <c r="W85" i="8"/>
  <c r="W81" i="8"/>
  <c r="V89" i="8"/>
  <c r="V86" i="8"/>
  <c r="W83" i="8" s="1"/>
  <c r="T58" i="8"/>
  <c r="T67" i="8" s="1"/>
  <c r="T93" i="8" s="1"/>
  <c r="T95" i="8" s="1"/>
  <c r="S47" i="8"/>
  <c r="X42" i="8"/>
  <c r="P58" i="8"/>
  <c r="P67" i="8" s="1"/>
  <c r="P93" i="8" s="1"/>
  <c r="P95" i="8" s="1"/>
  <c r="W32" i="8"/>
  <c r="W31" i="8"/>
  <c r="U45" i="8"/>
  <c r="U44" i="8"/>
  <c r="AA37" i="8"/>
  <c r="U88" i="8"/>
  <c r="U47" i="8" l="1"/>
  <c r="U50" i="8" s="1"/>
  <c r="P61" i="8"/>
  <c r="R61" i="8"/>
  <c r="P69" i="8"/>
  <c r="V88" i="8"/>
  <c r="Z21" i="8"/>
  <c r="Y20" i="8"/>
  <c r="Y23" i="8" s="1"/>
  <c r="U92" i="8"/>
  <c r="U64" i="8"/>
  <c r="U55" i="8"/>
  <c r="U51" i="8"/>
  <c r="W88" i="8"/>
  <c r="W86" i="8"/>
  <c r="X83" i="8" s="1"/>
  <c r="Y42" i="8"/>
  <c r="V45" i="8"/>
  <c r="V44" i="8"/>
  <c r="X32" i="8"/>
  <c r="X31" i="8"/>
  <c r="X34" i="8" s="1"/>
  <c r="S50" i="8"/>
  <c r="AB37" i="8"/>
  <c r="W34" i="8"/>
  <c r="T61" i="8"/>
  <c r="W89" i="8"/>
  <c r="X81" i="8"/>
  <c r="X85" i="8"/>
  <c r="T69" i="8"/>
  <c r="R69" i="8"/>
  <c r="AC37" i="8" l="1"/>
  <c r="Y32" i="8"/>
  <c r="Y31" i="8"/>
  <c r="Y34" i="8" s="1"/>
  <c r="S92" i="8"/>
  <c r="S64" i="8"/>
  <c r="S51" i="8"/>
  <c r="S55" i="8"/>
  <c r="Y81" i="8"/>
  <c r="X89" i="8"/>
  <c r="Y85" i="8"/>
  <c r="W44" i="8"/>
  <c r="W45" i="8"/>
  <c r="V47" i="8"/>
  <c r="Z42" i="8"/>
  <c r="U58" i="8"/>
  <c r="U67" i="8" s="1"/>
  <c r="U93" i="8" s="1"/>
  <c r="U95" i="8" s="1"/>
  <c r="U61" i="8"/>
  <c r="AA21" i="8"/>
  <c r="Z20" i="8"/>
  <c r="Z23" i="8" s="1"/>
  <c r="X44" i="8"/>
  <c r="X45" i="8"/>
  <c r="X86" i="8"/>
  <c r="Y83" i="8" s="1"/>
  <c r="X88" i="8"/>
  <c r="U69" i="8" l="1"/>
  <c r="Y45" i="8"/>
  <c r="Y44" i="8"/>
  <c r="W47" i="8"/>
  <c r="W50" i="8" s="1"/>
  <c r="AB21" i="8"/>
  <c r="AA20" i="8"/>
  <c r="AA23" i="8" s="1"/>
  <c r="AD37" i="8"/>
  <c r="AA42" i="8"/>
  <c r="Z81" i="8"/>
  <c r="Z85" i="8"/>
  <c r="Y89" i="8"/>
  <c r="X47" i="8"/>
  <c r="X50" i="8" s="1"/>
  <c r="V50" i="8"/>
  <c r="Y86" i="8"/>
  <c r="Z83" i="8" s="1"/>
  <c r="Z32" i="8"/>
  <c r="Z31" i="8"/>
  <c r="Z34" i="8" s="1"/>
  <c r="S58" i="8"/>
  <c r="S67" i="8" s="1"/>
  <c r="S93" i="8" s="1"/>
  <c r="S95" i="8" s="1"/>
  <c r="S61" i="8" l="1"/>
  <c r="Y47" i="8"/>
  <c r="Y50" i="8" s="1"/>
  <c r="Y55" i="8" s="1"/>
  <c r="Y88" i="8"/>
  <c r="AB42" i="8"/>
  <c r="AA31" i="8"/>
  <c r="AA34" i="8" s="1"/>
  <c r="AA32" i="8"/>
  <c r="X92" i="8"/>
  <c r="X55" i="8"/>
  <c r="X64" i="8"/>
  <c r="X51" i="8"/>
  <c r="W92" i="8"/>
  <c r="W64" i="8"/>
  <c r="W55" i="8"/>
  <c r="W51" i="8"/>
  <c r="Z45" i="8"/>
  <c r="Z44" i="8"/>
  <c r="AB20" i="8"/>
  <c r="AB23" i="8" s="1"/>
  <c r="AC21" i="8"/>
  <c r="Z86" i="8"/>
  <c r="AA83" i="8" s="1"/>
  <c r="Z88" i="8"/>
  <c r="V92" i="8"/>
  <c r="V64" i="8"/>
  <c r="V55" i="8"/>
  <c r="V51" i="8"/>
  <c r="AA85" i="8"/>
  <c r="AA81" i="8"/>
  <c r="Z89" i="8"/>
  <c r="AE37" i="8"/>
  <c r="S69" i="8"/>
  <c r="Y64" i="8" l="1"/>
  <c r="Y51" i="8"/>
  <c r="Y92" i="8"/>
  <c r="Z47" i="8"/>
  <c r="Z50" i="8" s="1"/>
  <c r="Z64" i="8" s="1"/>
  <c r="V58" i="8"/>
  <c r="V67" i="8" s="1"/>
  <c r="V93" i="8" s="1"/>
  <c r="V95" i="8" s="1"/>
  <c r="AA86" i="8"/>
  <c r="AB83" i="8" s="1"/>
  <c r="AA88" i="8"/>
  <c r="X58" i="8"/>
  <c r="X67" i="8" s="1"/>
  <c r="X93" i="8" s="1"/>
  <c r="X95" i="8" s="1"/>
  <c r="AA44" i="8"/>
  <c r="AA45" i="8"/>
  <c r="AC20" i="8"/>
  <c r="AC23" i="8" s="1"/>
  <c r="AD21" i="8"/>
  <c r="AC42" i="8"/>
  <c r="Y58" i="8"/>
  <c r="Y67" i="8" s="1"/>
  <c r="Y93" i="8" s="1"/>
  <c r="AB81" i="8"/>
  <c r="AB85" i="8"/>
  <c r="AA89" i="8"/>
  <c r="W58" i="8"/>
  <c r="W67" i="8" s="1"/>
  <c r="W93" i="8" s="1"/>
  <c r="W95" i="8" s="1"/>
  <c r="AF37" i="8"/>
  <c r="AB32" i="8"/>
  <c r="AB31" i="8"/>
  <c r="AB34" i="8" l="1"/>
  <c r="Y95" i="8"/>
  <c r="Z51" i="8"/>
  <c r="Z92" i="8"/>
  <c r="Z55" i="8"/>
  <c r="Z58" i="8" s="1"/>
  <c r="Z67" i="8" s="1"/>
  <c r="Z93" i="8" s="1"/>
  <c r="Y69" i="8"/>
  <c r="Y61" i="8"/>
  <c r="AD42" i="8"/>
  <c r="AG37" i="8"/>
  <c r="W61" i="8"/>
  <c r="V69" i="8"/>
  <c r="AB86" i="8"/>
  <c r="AC83" i="8" s="1"/>
  <c r="V61" i="8"/>
  <c r="AC32" i="8"/>
  <c r="AC31" i="8"/>
  <c r="AC34" i="8" s="1"/>
  <c r="AB44" i="8"/>
  <c r="AB45" i="8"/>
  <c r="X61" i="8"/>
  <c r="X69" i="8"/>
  <c r="AC81" i="8"/>
  <c r="AC85" i="8"/>
  <c r="AB89" i="8"/>
  <c r="AE21" i="8"/>
  <c r="AD20" i="8"/>
  <c r="AD23" i="8" s="1"/>
  <c r="AA47" i="8"/>
  <c r="AA50" i="8" s="1"/>
  <c r="W69" i="8"/>
  <c r="Z95" i="8" l="1"/>
  <c r="AA92" i="8"/>
  <c r="AA55" i="8"/>
  <c r="AA51" i="8"/>
  <c r="AA64" i="8"/>
  <c r="AC44" i="8"/>
  <c r="AC45" i="8"/>
  <c r="AD32" i="8"/>
  <c r="AD31" i="8"/>
  <c r="Z69" i="8"/>
  <c r="AC86" i="8"/>
  <c r="AD83" i="8" s="1"/>
  <c r="AH37" i="8"/>
  <c r="AD81" i="8"/>
  <c r="AD85" i="8"/>
  <c r="AC89" i="8"/>
  <c r="Z61" i="8"/>
  <c r="AF21" i="8"/>
  <c r="AE20" i="8"/>
  <c r="AE23" i="8" s="1"/>
  <c r="AB47" i="8"/>
  <c r="AB50" i="8" s="1"/>
  <c r="AB88" i="8"/>
  <c r="AE42" i="8"/>
  <c r="AC47" i="8" l="1"/>
  <c r="AC50" i="8" s="1"/>
  <c r="AC64" i="8" s="1"/>
  <c r="AF42" i="8"/>
  <c r="AF20" i="8"/>
  <c r="AF23" i="8" s="1"/>
  <c r="AG21" i="8"/>
  <c r="AE85" i="8"/>
  <c r="AD89" i="8"/>
  <c r="AE81" i="8"/>
  <c r="AC88" i="8"/>
  <c r="AE32" i="8"/>
  <c r="AE31" i="8"/>
  <c r="AE34" i="8" s="1"/>
  <c r="AD86" i="8"/>
  <c r="AE83" i="8" s="1"/>
  <c r="AA58" i="8"/>
  <c r="AA67" i="8" s="1"/>
  <c r="AA93" i="8" s="1"/>
  <c r="AA95" i="8" s="1"/>
  <c r="AB92" i="8"/>
  <c r="AB51" i="8"/>
  <c r="AB64" i="8"/>
  <c r="AB55" i="8"/>
  <c r="AI37" i="8"/>
  <c r="AD34" i="8"/>
  <c r="AA61" i="8" l="1"/>
  <c r="AC51" i="8"/>
  <c r="AC92" i="8"/>
  <c r="AC55" i="8"/>
  <c r="AC58" i="8" s="1"/>
  <c r="AC67" i="8" s="1"/>
  <c r="AF85" i="8"/>
  <c r="AE89" i="8"/>
  <c r="AF81" i="8"/>
  <c r="AE44" i="8"/>
  <c r="AE45" i="8"/>
  <c r="AE86" i="8"/>
  <c r="AF83" i="8" s="1"/>
  <c r="AE88" i="8"/>
  <c r="AG42" i="8"/>
  <c r="AJ37" i="8"/>
  <c r="AF31" i="8"/>
  <c r="AF32" i="8"/>
  <c r="AB58" i="8"/>
  <c r="AB67" i="8" s="1"/>
  <c r="AB93" i="8" s="1"/>
  <c r="AB95" i="8" s="1"/>
  <c r="AD45" i="8"/>
  <c r="AD44" i="8"/>
  <c r="AD88" i="8"/>
  <c r="AH21" i="8"/>
  <c r="AG20" i="8"/>
  <c r="AG23" i="8" s="1"/>
  <c r="AA69" i="8"/>
  <c r="AF34" i="8" l="1"/>
  <c r="AD47" i="8"/>
  <c r="AD50" i="8" s="1"/>
  <c r="AD51" i="8" s="1"/>
  <c r="AC93" i="8"/>
  <c r="AC95" i="8" s="1"/>
  <c r="AC69" i="8"/>
  <c r="AG32" i="8"/>
  <c r="AG31" i="8"/>
  <c r="AF86" i="8"/>
  <c r="AG83" i="8" s="1"/>
  <c r="AF88" i="8"/>
  <c r="AI21" i="8"/>
  <c r="AH20" i="8"/>
  <c r="AH23" i="8" s="1"/>
  <c r="AF45" i="8"/>
  <c r="AF44" i="8"/>
  <c r="AE47" i="8"/>
  <c r="AE50" i="8" s="1"/>
  <c r="AB69" i="8"/>
  <c r="AB61" i="8"/>
  <c r="AK37" i="8"/>
  <c r="AH42" i="8"/>
  <c r="AC61" i="8"/>
  <c r="AG81" i="8"/>
  <c r="AG85" i="8"/>
  <c r="AF89" i="8"/>
  <c r="AF47" i="8" l="1"/>
  <c r="AF50" i="8" s="1"/>
  <c r="AD55" i="8"/>
  <c r="AD92" i="8"/>
  <c r="AD64" i="8"/>
  <c r="AF92" i="8"/>
  <c r="AF64" i="8"/>
  <c r="AF55" i="8"/>
  <c r="AF51" i="8"/>
  <c r="AI42" i="8"/>
  <c r="AG86" i="8"/>
  <c r="AH83" i="8" s="1"/>
  <c r="AH81" i="8"/>
  <c r="AH85" i="8"/>
  <c r="AG89" i="8"/>
  <c r="AE92" i="8"/>
  <c r="AE55" i="8"/>
  <c r="AE64" i="8"/>
  <c r="AE51" i="8"/>
  <c r="AH32" i="8"/>
  <c r="AH31" i="8"/>
  <c r="AH34" i="8" s="1"/>
  <c r="AD58" i="8"/>
  <c r="AD67" i="8" s="1"/>
  <c r="AD93" i="8" s="1"/>
  <c r="AG34" i="8"/>
  <c r="AL37" i="8"/>
  <c r="AI20" i="8"/>
  <c r="AI23" i="8" s="1"/>
  <c r="AJ21" i="8"/>
  <c r="AD95" i="8" l="1"/>
  <c r="AF58" i="8"/>
  <c r="AF67" i="8" s="1"/>
  <c r="AF93" i="8" s="1"/>
  <c r="AF61" i="8"/>
  <c r="AM37" i="8"/>
  <c r="AE58" i="8"/>
  <c r="AE67" i="8" s="1"/>
  <c r="AE93" i="8" s="1"/>
  <c r="AE95" i="8" s="1"/>
  <c r="AI85" i="8"/>
  <c r="AH89" i="8"/>
  <c r="AI81" i="8"/>
  <c r="AI31" i="8"/>
  <c r="AI32" i="8"/>
  <c r="AH86" i="8"/>
  <c r="AI83" i="8" s="1"/>
  <c r="AH88" i="8"/>
  <c r="AD61" i="8"/>
  <c r="AG88" i="8"/>
  <c r="AH45" i="8"/>
  <c r="AH44" i="8"/>
  <c r="AH47" i="8" s="1"/>
  <c r="AH50" i="8" s="1"/>
  <c r="AK21" i="8"/>
  <c r="AJ20" i="8"/>
  <c r="AJ23" i="8" s="1"/>
  <c r="AG45" i="8"/>
  <c r="AG44" i="8"/>
  <c r="AD69" i="8"/>
  <c r="AJ42" i="8"/>
  <c r="AF95" i="8"/>
  <c r="AE69" i="8" l="1"/>
  <c r="AF69" i="8"/>
  <c r="AH92" i="8"/>
  <c r="AH55" i="8"/>
  <c r="AH51" i="8"/>
  <c r="AH64" i="8"/>
  <c r="AN37" i="8"/>
  <c r="AK42" i="8"/>
  <c r="AI34" i="8"/>
  <c r="AJ32" i="8"/>
  <c r="AJ31" i="8"/>
  <c r="AJ34" i="8" s="1"/>
  <c r="AG47" i="8"/>
  <c r="AG50" i="8" s="1"/>
  <c r="AK20" i="8"/>
  <c r="AK23" i="8" s="1"/>
  <c r="AL21" i="8"/>
  <c r="AI86" i="8"/>
  <c r="AJ83" i="8" s="1"/>
  <c r="AI88" i="8"/>
  <c r="AI89" i="8"/>
  <c r="AJ81" i="8"/>
  <c r="AJ85" i="8"/>
  <c r="AE61" i="8"/>
  <c r="AJ45" i="8" l="1"/>
  <c r="AJ44" i="8"/>
  <c r="AL42" i="8"/>
  <c r="AG92" i="8"/>
  <c r="AG55" i="8"/>
  <c r="AG51" i="8"/>
  <c r="AG64" i="8"/>
  <c r="AJ86" i="8"/>
  <c r="AK83" i="8" s="1"/>
  <c r="AJ88" i="8"/>
  <c r="AK81" i="8"/>
  <c r="AK85" i="8"/>
  <c r="AJ89" i="8"/>
  <c r="AM21" i="8"/>
  <c r="AL20" i="8"/>
  <c r="AL23" i="8" s="1"/>
  <c r="AH58" i="8"/>
  <c r="AH67" i="8" s="1"/>
  <c r="AH93" i="8" s="1"/>
  <c r="AH95" i="8" s="1"/>
  <c r="AK32" i="8"/>
  <c r="AK31" i="8"/>
  <c r="AI44" i="8"/>
  <c r="AI45" i="8"/>
  <c r="AO37" i="8"/>
  <c r="AJ47" i="8" l="1"/>
  <c r="AJ50" i="8" s="1"/>
  <c r="AJ64" i="8" s="1"/>
  <c r="AK86" i="8"/>
  <c r="AL83" i="8" s="1"/>
  <c r="AJ51" i="8"/>
  <c r="AJ55" i="8"/>
  <c r="AP37" i="8"/>
  <c r="AI47" i="8"/>
  <c r="AI50" i="8" s="1"/>
  <c r="AH61" i="8"/>
  <c r="AN21" i="8"/>
  <c r="AM20" i="8"/>
  <c r="AM23" i="8" s="1"/>
  <c r="AG58" i="8"/>
  <c r="AG67" i="8" s="1"/>
  <c r="AG93" i="8" s="1"/>
  <c r="AG95" i="8" s="1"/>
  <c r="AK34" i="8"/>
  <c r="AL32" i="8"/>
  <c r="AL31" i="8"/>
  <c r="AL81" i="8"/>
  <c r="AL85" i="8"/>
  <c r="AK89" i="8"/>
  <c r="AM42" i="8"/>
  <c r="AH69" i="8"/>
  <c r="AL34" i="8" l="1"/>
  <c r="AJ92" i="8"/>
  <c r="AG69" i="8"/>
  <c r="AL45" i="8"/>
  <c r="AL44" i="8"/>
  <c r="AG61" i="8"/>
  <c r="AN42" i="8"/>
  <c r="AM32" i="8"/>
  <c r="AM31" i="8"/>
  <c r="AI92" i="8"/>
  <c r="AI55" i="8"/>
  <c r="AI51" i="8"/>
  <c r="AI64" i="8"/>
  <c r="AJ58" i="8"/>
  <c r="AJ67" i="8" s="1"/>
  <c r="AJ93" i="8" s="1"/>
  <c r="AJ95" i="8" s="1"/>
  <c r="AL86" i="8"/>
  <c r="AM83" i="8" s="1"/>
  <c r="AL88" i="8"/>
  <c r="AM85" i="8"/>
  <c r="AL89" i="8"/>
  <c r="AM81" i="8"/>
  <c r="AQ37" i="8"/>
  <c r="AK45" i="8"/>
  <c r="AK44" i="8"/>
  <c r="AN20" i="8"/>
  <c r="AN23" i="8" s="1"/>
  <c r="AO21" i="8"/>
  <c r="AK88" i="8"/>
  <c r="AM34" i="8" l="1"/>
  <c r="AL47" i="8"/>
  <c r="AL50" i="8" s="1"/>
  <c r="AL55" i="8" s="1"/>
  <c r="AK47" i="8"/>
  <c r="AK50" i="8" s="1"/>
  <c r="AK51" i="8" s="1"/>
  <c r="AL92" i="8"/>
  <c r="AL51" i="8"/>
  <c r="AL64" i="8"/>
  <c r="AM45" i="8"/>
  <c r="AM44" i="8"/>
  <c r="AN32" i="8"/>
  <c r="AN31" i="8"/>
  <c r="AO42" i="8"/>
  <c r="AK64" i="8"/>
  <c r="AK55" i="8"/>
  <c r="AN81" i="8"/>
  <c r="AN85" i="8"/>
  <c r="AM89" i="8"/>
  <c r="AM86" i="8"/>
  <c r="AN83" i="8" s="1"/>
  <c r="AJ69" i="8"/>
  <c r="AR37" i="8"/>
  <c r="AP21" i="8"/>
  <c r="AO20" i="8"/>
  <c r="AO23" i="8" s="1"/>
  <c r="AJ61" i="8"/>
  <c r="AI58" i="8"/>
  <c r="AI67" i="8" s="1"/>
  <c r="AI93" i="8" s="1"/>
  <c r="AI95" i="8" s="1"/>
  <c r="AK92" i="8" l="1"/>
  <c r="AI61" i="8"/>
  <c r="AM47" i="8"/>
  <c r="AM50" i="8" s="1"/>
  <c r="AO32" i="8"/>
  <c r="AO31" i="8"/>
  <c r="AK58" i="8"/>
  <c r="AK67" i="8" s="1"/>
  <c r="AK93" i="8" s="1"/>
  <c r="AK95" i="8" s="1"/>
  <c r="AP42" i="8"/>
  <c r="AS37" i="8"/>
  <c r="AQ21" i="8"/>
  <c r="AP20" i="8"/>
  <c r="AP23" i="8" s="1"/>
  <c r="AN34" i="8"/>
  <c r="AL58" i="8"/>
  <c r="AL67" i="8" s="1"/>
  <c r="AL93" i="8" s="1"/>
  <c r="AL95" i="8" s="1"/>
  <c r="AN86" i="8"/>
  <c r="AO83" i="8" s="1"/>
  <c r="AM51" i="8"/>
  <c r="AM64" i="8"/>
  <c r="AM55" i="8"/>
  <c r="AM88" i="8"/>
  <c r="AO81" i="8"/>
  <c r="AO85" i="8"/>
  <c r="AN89" i="8"/>
  <c r="AI69" i="8"/>
  <c r="AL61" i="8" l="1"/>
  <c r="AO34" i="8"/>
  <c r="AM92" i="8"/>
  <c r="AK69" i="8"/>
  <c r="AP81" i="8"/>
  <c r="AP85" i="8"/>
  <c r="AO89" i="8"/>
  <c r="AP32" i="8"/>
  <c r="AP31" i="8"/>
  <c r="AK61" i="8"/>
  <c r="AR21" i="8"/>
  <c r="AQ20" i="8"/>
  <c r="AQ23" i="8" s="1"/>
  <c r="AO44" i="8"/>
  <c r="AO45" i="8"/>
  <c r="AO86" i="8"/>
  <c r="AP83" i="8" s="1"/>
  <c r="AT37" i="8"/>
  <c r="AM58" i="8"/>
  <c r="AM67" i="8" s="1"/>
  <c r="AM93" i="8" s="1"/>
  <c r="AN88" i="8"/>
  <c r="AN45" i="8"/>
  <c r="AN44" i="8"/>
  <c r="AL69" i="8"/>
  <c r="AQ42" i="8"/>
  <c r="AP34" i="8" l="1"/>
  <c r="AM95" i="8"/>
  <c r="AN47" i="8"/>
  <c r="AN50" i="8" s="1"/>
  <c r="AN51" i="8" s="1"/>
  <c r="AO47" i="8"/>
  <c r="AO50" i="8" s="1"/>
  <c r="AO55" i="8" s="1"/>
  <c r="AP86" i="8"/>
  <c r="AQ83" i="8" s="1"/>
  <c r="AQ85" i="8"/>
  <c r="AP89" i="8"/>
  <c r="AQ81" i="8"/>
  <c r="AO88" i="8"/>
  <c r="AQ32" i="8"/>
  <c r="AQ31" i="8"/>
  <c r="AQ34" i="8" s="1"/>
  <c r="AM61" i="8"/>
  <c r="AR42" i="8"/>
  <c r="AR20" i="8"/>
  <c r="AR23" i="8" s="1"/>
  <c r="AS21" i="8"/>
  <c r="AM69" i="8"/>
  <c r="AP45" i="8"/>
  <c r="AP44" i="8"/>
  <c r="G37" i="8"/>
  <c r="H37" i="8"/>
  <c r="AN92" i="8" l="1"/>
  <c r="AO92" i="8"/>
  <c r="AN64" i="8"/>
  <c r="AN55" i="8"/>
  <c r="AN58" i="8" s="1"/>
  <c r="AN67" i="8" s="1"/>
  <c r="AN93" i="8" s="1"/>
  <c r="AN95" i="8" s="1"/>
  <c r="AP47" i="8"/>
  <c r="AP50" i="8" s="1"/>
  <c r="AP51" i="8" s="1"/>
  <c r="AO64" i="8"/>
  <c r="AO51" i="8"/>
  <c r="AR32" i="8"/>
  <c r="AR31" i="8"/>
  <c r="AO58" i="8"/>
  <c r="AO67" i="8" s="1"/>
  <c r="AO93" i="8" s="1"/>
  <c r="AO95" i="8" s="1"/>
  <c r="AQ44" i="8"/>
  <c r="AQ45" i="8"/>
  <c r="AS42" i="8"/>
  <c r="AP88" i="8"/>
  <c r="AT21" i="8"/>
  <c r="AT20" i="8" s="1"/>
  <c r="AS20" i="8"/>
  <c r="AS23" i="8" s="1"/>
  <c r="AR81" i="8"/>
  <c r="AR85" i="8"/>
  <c r="AQ89" i="8"/>
  <c r="AQ86" i="8"/>
  <c r="AR83" i="8" s="1"/>
  <c r="AQ88" i="8"/>
  <c r="AR34" i="8" l="1"/>
  <c r="AP64" i="8"/>
  <c r="AO61" i="8"/>
  <c r="AP55" i="8"/>
  <c r="AP58" i="8" s="1"/>
  <c r="AP67" i="8" s="1"/>
  <c r="AP92" i="8"/>
  <c r="AO69" i="8"/>
  <c r="AQ47" i="8"/>
  <c r="AQ50" i="8" s="1"/>
  <c r="AQ51" i="8" s="1"/>
  <c r="AN69" i="8"/>
  <c r="AR45" i="8"/>
  <c r="AR44" i="8"/>
  <c r="AS85" i="8"/>
  <c r="AS81" i="8"/>
  <c r="AS89" i="8" s="1"/>
  <c r="AR89" i="8"/>
  <c r="AT23" i="8"/>
  <c r="E20" i="8"/>
  <c r="AT42" i="8"/>
  <c r="AR86" i="8"/>
  <c r="AS83" i="8" s="1"/>
  <c r="AS32" i="8"/>
  <c r="AS31" i="8"/>
  <c r="AS34" i="8" s="1"/>
  <c r="AN61" i="8"/>
  <c r="AR47" i="8" l="1"/>
  <c r="AR50" i="8" s="1"/>
  <c r="AP93" i="8"/>
  <c r="AP95" i="8" s="1"/>
  <c r="AP69" i="8"/>
  <c r="AQ64" i="8"/>
  <c r="AQ55" i="8"/>
  <c r="AQ58" i="8" s="1"/>
  <c r="AQ67" i="8" s="1"/>
  <c r="AQ92" i="8"/>
  <c r="AP61" i="8"/>
  <c r="AR55" i="8"/>
  <c r="AR51" i="8"/>
  <c r="AR64" i="8"/>
  <c r="AT31" i="8"/>
  <c r="AT32" i="8"/>
  <c r="AS45" i="8"/>
  <c r="AS44" i="8"/>
  <c r="AS86" i="8"/>
  <c r="AS88" i="8"/>
  <c r="H42" i="8"/>
  <c r="G42" i="8"/>
  <c r="AR88" i="8"/>
  <c r="AR92" i="8" l="1"/>
  <c r="AQ93" i="8"/>
  <c r="AQ69" i="8"/>
  <c r="AQ95" i="8"/>
  <c r="G32" i="8"/>
  <c r="H32" i="8"/>
  <c r="AT34" i="8"/>
  <c r="H31" i="8"/>
  <c r="G31" i="8"/>
  <c r="AS47" i="8"/>
  <c r="AS50" i="8" s="1"/>
  <c r="AQ61" i="8"/>
  <c r="AR58" i="8"/>
  <c r="AR67" i="8" s="1"/>
  <c r="AR93" i="8" s="1"/>
  <c r="AR95" i="8" l="1"/>
  <c r="AR61" i="8"/>
  <c r="AR69" i="8"/>
  <c r="AS92" i="8"/>
  <c r="AS51" i="8"/>
  <c r="AS55" i="8"/>
  <c r="AS64" i="8"/>
  <c r="AT45" i="8"/>
  <c r="AT44" i="8"/>
  <c r="H34" i="8"/>
  <c r="G34" i="8"/>
  <c r="H44" i="8" l="1"/>
  <c r="G44" i="8"/>
  <c r="AT47" i="8"/>
  <c r="H45" i="8"/>
  <c r="G45" i="8"/>
  <c r="AS58" i="8"/>
  <c r="AS67" i="8" s="1"/>
  <c r="AS93" i="8" s="1"/>
  <c r="AS95" i="8" s="1"/>
  <c r="AS61" i="8" l="1"/>
  <c r="G47" i="8"/>
  <c r="H47" i="8"/>
  <c r="AT50" i="8"/>
  <c r="AS69" i="8"/>
  <c r="AT92" i="8" l="1"/>
  <c r="AT55" i="8"/>
  <c r="AT64" i="8"/>
  <c r="AT51" i="8"/>
  <c r="H50" i="8"/>
  <c r="G50" i="8"/>
  <c r="AT58" i="8" l="1"/>
  <c r="AT67" i="8" s="1"/>
  <c r="AT93" i="8" s="1"/>
  <c r="AT95" i="8" s="1"/>
  <c r="H55" i="8"/>
  <c r="G55" i="8"/>
  <c r="J50" i="8"/>
  <c r="I50" i="8"/>
  <c r="AT61" i="8" l="1"/>
  <c r="AT69" i="8"/>
  <c r="J71" i="8" s="1"/>
  <c r="J9" i="8" s="1"/>
</calcChain>
</file>

<file path=xl/sharedStrings.xml><?xml version="1.0" encoding="utf-8"?>
<sst xmlns="http://schemas.openxmlformats.org/spreadsheetml/2006/main" count="96" uniqueCount="89">
  <si>
    <t>OPERATING DETAILS ($000's)</t>
  </si>
  <si>
    <t>Project Name</t>
  </si>
  <si>
    <t>Name Plate (DC)</t>
  </si>
  <si>
    <t>Sites</t>
  </si>
  <si>
    <t>Development Costs</t>
  </si>
  <si>
    <t>%</t>
  </si>
  <si>
    <t>$/W</t>
  </si>
  <si>
    <t>Dev Cost</t>
  </si>
  <si>
    <t>Total Cost per Wp</t>
  </si>
  <si>
    <t>MW</t>
  </si>
  <si>
    <t>Total Returns</t>
  </si>
  <si>
    <t>Interconnection/Telemetry Costs</t>
  </si>
  <si>
    <t>LED Project</t>
  </si>
  <si>
    <t>Investments</t>
  </si>
  <si>
    <t>Total Assets</t>
  </si>
  <si>
    <t>Total Depreciable Assets</t>
  </si>
  <si>
    <t>Yield</t>
  </si>
  <si>
    <t xml:space="preserve">Total Grant </t>
  </si>
  <si>
    <t>Total kW</t>
  </si>
  <si>
    <t>Escl.</t>
  </si>
  <si>
    <t>Total</t>
  </si>
  <si>
    <t>kWh/kWp</t>
  </si>
  <si>
    <t>Electricity Produced (kWhr/yr)</t>
  </si>
  <si>
    <t>Production Factor Post Degradation</t>
  </si>
  <si>
    <t>Sensitivity (Uptime)</t>
  </si>
  <si>
    <t>Total Production</t>
  </si>
  <si>
    <t>PPA</t>
  </si>
  <si>
    <t>Price (Base)</t>
  </si>
  <si>
    <t>PPA Price ($/MWh)</t>
  </si>
  <si>
    <t>REC Price ($/MWh)</t>
  </si>
  <si>
    <t>Revenue</t>
  </si>
  <si>
    <t>Average</t>
  </si>
  <si>
    <t>Power Revenue</t>
  </si>
  <si>
    <t>REC Sales</t>
  </si>
  <si>
    <t>Total Revenue</t>
  </si>
  <si>
    <t>Costs</t>
  </si>
  <si>
    <t>Cost (1-3)</t>
  </si>
  <si>
    <t>O&amp;M Costs (k$'s/yr/MW)</t>
  </si>
  <si>
    <t>Replacement Costs (k$'s/yr/MW)</t>
  </si>
  <si>
    <t>Management Fee (k$'s/yr)</t>
  </si>
  <si>
    <t>Lease Costs (k$'s/yr/MW)</t>
  </si>
  <si>
    <t>WREGIS  (k$'s/yr/MW)</t>
  </si>
  <si>
    <t>M. Tax</t>
  </si>
  <si>
    <t>Bad Debt</t>
  </si>
  <si>
    <t>Insurance Costs G, C &amp; L (% of Capex)</t>
  </si>
  <si>
    <t>Total Costs</t>
  </si>
  <si>
    <t>Revenue/EBITDA</t>
  </si>
  <si>
    <t>EBITDA/Cost</t>
  </si>
  <si>
    <t>EBITDA</t>
  </si>
  <si>
    <t>Op Margin</t>
  </si>
  <si>
    <t>Depn Percentage</t>
  </si>
  <si>
    <t>Bonus Dep? (Yes/NO)</t>
  </si>
  <si>
    <t>Total Depreciation</t>
  </si>
  <si>
    <t>EBT</t>
  </si>
  <si>
    <t>Tax Rate</t>
  </si>
  <si>
    <t>Income Tax Benefits (Tax Equity)</t>
  </si>
  <si>
    <t>EAT</t>
  </si>
  <si>
    <t>FCF BT</t>
  </si>
  <si>
    <t>Investment</t>
  </si>
  <si>
    <t>ITC</t>
  </si>
  <si>
    <t xml:space="preserve">Tax </t>
  </si>
  <si>
    <t>Residual</t>
  </si>
  <si>
    <t>Total Cash flows</t>
  </si>
  <si>
    <t>Implied Purchase IRR</t>
  </si>
  <si>
    <t>BOP</t>
  </si>
  <si>
    <t>Roof Work</t>
  </si>
  <si>
    <t>Contingency</t>
  </si>
  <si>
    <t>Residual Assumed</t>
  </si>
  <si>
    <t>Gross Receipt Tax (k$'s/yr/MW)</t>
  </si>
  <si>
    <t>Yes</t>
  </si>
  <si>
    <t>Backside Boost</t>
  </si>
  <si>
    <t>NS - Colusa</t>
  </si>
  <si>
    <t>Discount (Incl)</t>
  </si>
  <si>
    <t>Debt Leverage</t>
  </si>
  <si>
    <t>Term Loan</t>
  </si>
  <si>
    <t>Debt Margin</t>
  </si>
  <si>
    <t>Principle</t>
  </si>
  <si>
    <t>Term(Sizing)</t>
  </si>
  <si>
    <t>Reserves</t>
  </si>
  <si>
    <t>Loan Year</t>
  </si>
  <si>
    <t>Beginning Balance</t>
  </si>
  <si>
    <t>Draw</t>
  </si>
  <si>
    <t>Principle Payment</t>
  </si>
  <si>
    <t>End Balance</t>
  </si>
  <si>
    <t>Interest</t>
  </si>
  <si>
    <t>Cash</t>
  </si>
  <si>
    <t>Tax</t>
  </si>
  <si>
    <t>Total Levered Cash Flows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</si>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</sst>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* #,##0_);_(* \(#,##0\);_(* &quot;-&quot;??_);_(@_)"/>
    <numFmt numFmtId="166" formatCode="_(&quot;$&quot;* #,##0.000_);_(&quot;$&quot;* \(#,##0.000\);_(&quot;$&quot;* &quot;-&quot;??_);_(@_)"/>
    <numFmt numFmtId="167" formatCode="&quot;Year &quot;0"/>
    <numFmt numFmtId="168" formatCode="0.0000"/>
    <numFmt numFmtId="169" formatCode="0.0%"/>
    <numFmt numFmtId="170" formatCode="_(&quot;$&quot;* #,##0.0000_);_(&quot;$&quot;* \(#,##0.0000\);_(&quot;$&quot;* &quot;-&quot;??_);_(@_)"/>
    <numFmt numFmtId="171" formatCode="_(&quot;$&quot;* #,##0.00000_);_(&quot;$&quot;* \(#,##0.00000\);_(&quot;$&quot;* &quot;-&quot;??_);_(@_)"/>
    <numFmt numFmtId="172" formatCode="_(* #,##0.0_);_(* \(#,##0.0\);_(* &quot;-&quot;??_);_(@_)"/>
    <numFmt numFmtId="173" formatCode="mmm\ yyyy"/>
    <numFmt numFmtId="174" formatCode="[$-409]mmm\-yy;@"/>
    <numFmt numFmtId="175" formatCode="0.00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Times New Roman"/>
      <family val="1"/>
    </font>
    <font>
      <sz val="8"/>
      <color theme="1"/>
      <name val="Times New Roman"/>
      <family val="1"/>
    </font>
    <font>
      <sz val="11"/>
      <color rgb="FF993366"/>
      <name val="Calibri"/>
      <family val="2"/>
      <scheme val="minor"/>
    </font>
    <font>
      <u/>
      <sz val="11"/>
      <color theme="10"/>
      <name val="Calibri"/>
      <family val="2"/>
    </font>
    <font>
      <b/>
      <sz val="8"/>
      <color rgb="FF0070C0"/>
      <name val="Times New Roman"/>
      <family val="1"/>
    </font>
    <font>
      <sz val="8"/>
      <name val="Times New Roman"/>
      <family val="1"/>
    </font>
    <font>
      <b/>
      <u/>
      <sz val="8"/>
      <color rgb="FF000000"/>
      <name val="Times New Roman"/>
      <family val="1"/>
    </font>
    <font>
      <b/>
      <u val="singleAccounting"/>
      <sz val="8"/>
      <name val="Times New Roman"/>
      <family val="1"/>
    </font>
    <font>
      <b/>
      <sz val="8"/>
      <name val="Times New Roman"/>
      <family val="1"/>
    </font>
    <font>
      <sz val="8"/>
      <color rgb="FF0070C0"/>
      <name val="Times New Roman"/>
      <family val="1"/>
    </font>
    <font>
      <b/>
      <sz val="8"/>
      <color rgb="FF000000"/>
      <name val="Times New Roman"/>
      <family val="1"/>
    </font>
    <font>
      <b/>
      <sz val="8"/>
      <color theme="1"/>
      <name val="Times New Roman"/>
      <family val="1"/>
    </font>
    <font>
      <u/>
      <sz val="8"/>
      <color rgb="FF000000"/>
      <name val="Times New Roman"/>
      <family val="1"/>
    </font>
    <font>
      <u/>
      <sz val="8"/>
      <color theme="10"/>
      <name val="Times New Roman"/>
      <family val="1"/>
    </font>
    <font>
      <b/>
      <i/>
      <sz val="8"/>
      <color rgb="FF000000"/>
      <name val="Times New Roman"/>
      <family val="1"/>
    </font>
    <font>
      <b/>
      <u/>
      <sz val="8"/>
      <color theme="1"/>
      <name val="Times New Roman"/>
      <family val="1"/>
    </font>
    <font>
      <b/>
      <u val="singleAccounting"/>
      <sz val="8"/>
      <color rgb="FF000000"/>
      <name val="Times New Roman"/>
      <family val="1"/>
    </font>
    <font>
      <i/>
      <sz val="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103">
    <xf numFmtId="0" fontId="0" fillId="0" borderId="0" xfId="0"/>
    <xf numFmtId="49" fontId="2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4" applyAlignment="1" applyProtection="1"/>
    <xf numFmtId="0" fontId="6" fillId="0" borderId="0" xfId="0" applyFont="1" applyAlignment="1">
      <alignment vertical="center" wrapText="1"/>
    </xf>
    <xf numFmtId="164" fontId="5" fillId="0" borderId="0" xfId="4" applyNumberFormat="1" applyAlignment="1" applyProtection="1"/>
    <xf numFmtId="165" fontId="6" fillId="0" borderId="0" xfId="1" applyNumberFormat="1" applyFont="1" applyBorder="1" applyAlignment="1">
      <alignment vertical="center"/>
    </xf>
    <xf numFmtId="43" fontId="7" fillId="0" borderId="0" xfId="0" applyNumberFormat="1" applyFont="1" applyAlignment="1">
      <alignment vertical="center"/>
    </xf>
    <xf numFmtId="165" fontId="7" fillId="0" borderId="0" xfId="1" applyNumberFormat="1" applyFont="1" applyAlignment="1">
      <alignment vertical="center"/>
    </xf>
    <xf numFmtId="49" fontId="7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43" fontId="3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49" fontId="8" fillId="0" borderId="0" xfId="0" applyNumberFormat="1" applyFont="1" applyAlignment="1">
      <alignment vertical="center"/>
    </xf>
    <xf numFmtId="44" fontId="9" fillId="0" borderId="0" xfId="2" applyFont="1" applyAlignment="1">
      <alignment vertical="center"/>
    </xf>
    <xf numFmtId="164" fontId="10" fillId="0" borderId="0" xfId="3" applyNumberFormat="1" applyFont="1" applyAlignment="1">
      <alignment vertical="center"/>
    </xf>
    <xf numFmtId="10" fontId="6" fillId="0" borderId="0" xfId="3" applyNumberFormat="1" applyFont="1" applyAlignment="1">
      <alignment vertical="center"/>
    </xf>
    <xf numFmtId="49" fontId="2" fillId="0" borderId="0" xfId="0" applyNumberFormat="1" applyFont="1" applyAlignment="1">
      <alignment horizontal="left" vertical="center"/>
    </xf>
    <xf numFmtId="9" fontId="7" fillId="0" borderId="0" xfId="3" applyFont="1" applyAlignment="1">
      <alignment vertical="center"/>
    </xf>
    <xf numFmtId="164" fontId="10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1" applyNumberFormat="1" applyFont="1" applyAlignment="1">
      <alignment vertical="center"/>
    </xf>
    <xf numFmtId="165" fontId="10" fillId="0" borderId="0" xfId="1" applyNumberFormat="1" applyFont="1" applyAlignment="1">
      <alignment vertical="center"/>
    </xf>
    <xf numFmtId="10" fontId="10" fillId="0" borderId="0" xfId="3" applyNumberFormat="1" applyFont="1" applyAlignment="1">
      <alignment vertical="center"/>
    </xf>
    <xf numFmtId="9" fontId="11" fillId="0" borderId="0" xfId="3" applyFont="1" applyAlignment="1">
      <alignment vertical="center"/>
    </xf>
    <xf numFmtId="43" fontId="3" fillId="0" borderId="0" xfId="1" applyFont="1" applyAlignment="1">
      <alignment vertical="center"/>
    </xf>
    <xf numFmtId="43" fontId="6" fillId="0" borderId="0" xfId="1" applyNumberFormat="1" applyFont="1" applyAlignment="1">
      <alignment vertical="center"/>
    </xf>
    <xf numFmtId="49" fontId="12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9" fontId="12" fillId="0" borderId="1" xfId="3" applyFont="1" applyBorder="1" applyAlignment="1">
      <alignment vertical="center"/>
    </xf>
    <xf numFmtId="166" fontId="12" fillId="0" borderId="1" xfId="2" applyNumberFormat="1" applyFont="1" applyBorder="1" applyAlignment="1">
      <alignment vertical="center"/>
    </xf>
    <xf numFmtId="37" fontId="12" fillId="0" borderId="1" xfId="0" applyNumberFormat="1" applyFont="1" applyBorder="1" applyAlignment="1">
      <alignment vertical="center"/>
    </xf>
    <xf numFmtId="37" fontId="10" fillId="0" borderId="0" xfId="0" applyNumberFormat="1" applyFont="1" applyAlignment="1">
      <alignment vertical="center"/>
    </xf>
    <xf numFmtId="49" fontId="2" fillId="0" borderId="0" xfId="0" applyNumberFormat="1" applyFont="1" applyAlignment="1">
      <alignment horizontal="right" vertical="center"/>
    </xf>
    <xf numFmtId="0" fontId="2" fillId="0" borderId="0" xfId="0" applyNumberFormat="1" applyFont="1" applyAlignment="1">
      <alignment horizontal="right" vertical="center"/>
    </xf>
    <xf numFmtId="43" fontId="10" fillId="0" borderId="0" xfId="1" applyFont="1" applyAlignment="1">
      <alignment vertical="center"/>
    </xf>
    <xf numFmtId="44" fontId="13" fillId="0" borderId="0" xfId="2" applyFont="1" applyAlignment="1">
      <alignment vertical="center"/>
    </xf>
    <xf numFmtId="3" fontId="12" fillId="0" borderId="0" xfId="0" applyNumberFormat="1" applyFont="1" applyAlignment="1">
      <alignment vertical="center"/>
    </xf>
    <xf numFmtId="9" fontId="6" fillId="0" borderId="0" xfId="3" applyNumberFormat="1" applyFont="1" applyAlignment="1">
      <alignment vertical="center"/>
    </xf>
    <xf numFmtId="165" fontId="2" fillId="0" borderId="0" xfId="1" applyNumberFormat="1" applyFont="1" applyAlignment="1">
      <alignment vertical="center"/>
    </xf>
    <xf numFmtId="49" fontId="14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center" vertical="center"/>
    </xf>
    <xf numFmtId="167" fontId="3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10" fontId="6" fillId="0" borderId="0" xfId="3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vertical="center"/>
    </xf>
    <xf numFmtId="10" fontId="2" fillId="0" borderId="0" xfId="0" applyNumberFormat="1" applyFont="1" applyAlignment="1">
      <alignment vertical="center"/>
    </xf>
    <xf numFmtId="168" fontId="6" fillId="0" borderId="0" xfId="0" applyNumberFormat="1" applyFont="1" applyAlignment="1">
      <alignment vertical="center"/>
    </xf>
    <xf numFmtId="169" fontId="6" fillId="0" borderId="0" xfId="3" applyNumberFormat="1" applyFont="1" applyAlignment="1">
      <alignment vertical="center"/>
    </xf>
    <xf numFmtId="9" fontId="3" fillId="0" borderId="0" xfId="3" applyFont="1" applyAlignment="1">
      <alignment vertical="center"/>
    </xf>
    <xf numFmtId="170" fontId="6" fillId="0" borderId="0" xfId="2" applyNumberFormat="1" applyFont="1" applyAlignment="1">
      <alignment vertical="center"/>
    </xf>
    <xf numFmtId="170" fontId="2" fillId="0" borderId="0" xfId="2" applyNumberFormat="1" applyFont="1" applyAlignment="1">
      <alignment vertical="center"/>
    </xf>
    <xf numFmtId="168" fontId="2" fillId="0" borderId="0" xfId="0" applyNumberFormat="1" applyFont="1" applyAlignment="1">
      <alignment vertical="center"/>
    </xf>
    <xf numFmtId="169" fontId="15" fillId="0" borderId="0" xfId="4" applyNumberFormat="1" applyFont="1" applyAlignment="1" applyProtection="1">
      <alignment vertical="center"/>
    </xf>
    <xf numFmtId="169" fontId="2" fillId="0" borderId="0" xfId="0" applyNumberFormat="1" applyFont="1" applyAlignment="1">
      <alignment vertical="center"/>
    </xf>
    <xf numFmtId="171" fontId="6" fillId="0" borderId="0" xfId="2" applyNumberFormat="1" applyFont="1" applyAlignment="1">
      <alignment vertical="center"/>
    </xf>
    <xf numFmtId="172" fontId="6" fillId="0" borderId="0" xfId="1" applyNumberFormat="1" applyFont="1" applyAlignment="1">
      <alignment vertical="center"/>
    </xf>
    <xf numFmtId="165" fontId="8" fillId="0" borderId="0" xfId="1" applyNumberFormat="1" applyFont="1" applyAlignment="1">
      <alignment vertical="center"/>
    </xf>
    <xf numFmtId="49" fontId="14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horizontal="left" vertical="center"/>
    </xf>
    <xf numFmtId="10" fontId="6" fillId="0" borderId="0" xfId="3" applyNumberFormat="1" applyFont="1" applyFill="1" applyAlignment="1">
      <alignment vertical="center"/>
    </xf>
    <xf numFmtId="10" fontId="6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  <xf numFmtId="3" fontId="2" fillId="0" borderId="0" xfId="0" applyNumberFormat="1" applyFont="1" applyFill="1" applyAlignment="1">
      <alignment vertical="center"/>
    </xf>
    <xf numFmtId="1" fontId="2" fillId="0" borderId="0" xfId="0" applyNumberFormat="1" applyFont="1" applyFill="1" applyAlignment="1">
      <alignment vertical="center"/>
    </xf>
    <xf numFmtId="1" fontId="12" fillId="0" borderId="0" xfId="0" applyNumberFormat="1" applyFont="1" applyAlignment="1">
      <alignment vertical="center"/>
    </xf>
    <xf numFmtId="3" fontId="8" fillId="0" borderId="0" xfId="0" applyNumberFormat="1" applyFont="1" applyAlignment="1">
      <alignment vertical="center"/>
    </xf>
    <xf numFmtId="4" fontId="8" fillId="0" borderId="0" xfId="0" applyNumberFormat="1" applyFont="1" applyAlignment="1">
      <alignment horizontal="center" vertical="center"/>
    </xf>
    <xf numFmtId="9" fontId="2" fillId="0" borderId="0" xfId="3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14" fillId="0" borderId="0" xfId="0" applyNumberFormat="1" applyFont="1" applyFill="1" applyAlignment="1">
      <alignment vertical="center"/>
    </xf>
    <xf numFmtId="9" fontId="2" fillId="0" borderId="0" xfId="3" applyFont="1" applyFill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1" fontId="8" fillId="0" borderId="0" xfId="0" applyNumberFormat="1" applyFont="1" applyAlignment="1">
      <alignment vertical="center"/>
    </xf>
    <xf numFmtId="43" fontId="2" fillId="0" borderId="0" xfId="0" applyNumberFormat="1" applyFont="1" applyAlignment="1">
      <alignment vertical="center"/>
    </xf>
    <xf numFmtId="9" fontId="6" fillId="0" borderId="0" xfId="3" applyFont="1" applyAlignment="1">
      <alignment vertical="center"/>
    </xf>
    <xf numFmtId="173" fontId="16" fillId="0" borderId="0" xfId="1" applyNumberFormat="1" applyFont="1" applyAlignment="1">
      <alignment vertical="center"/>
    </xf>
    <xf numFmtId="0" fontId="17" fillId="0" borderId="0" xfId="0" applyFont="1" applyAlignment="1">
      <alignment vertical="center"/>
    </xf>
    <xf numFmtId="49" fontId="2" fillId="2" borderId="0" xfId="0" applyNumberFormat="1" applyFont="1" applyFill="1" applyAlignment="1">
      <alignment vertical="center"/>
    </xf>
    <xf numFmtId="0" fontId="3" fillId="2" borderId="0" xfId="0" applyFont="1" applyFill="1" applyAlignment="1">
      <alignment vertical="center"/>
    </xf>
    <xf numFmtId="173" fontId="16" fillId="2" borderId="0" xfId="1" applyNumberFormat="1" applyFont="1" applyFill="1" applyAlignment="1">
      <alignment vertical="center"/>
    </xf>
    <xf numFmtId="8" fontId="8" fillId="0" borderId="0" xfId="0" applyNumberFormat="1" applyFont="1" applyAlignment="1">
      <alignment vertical="center"/>
    </xf>
    <xf numFmtId="165" fontId="18" fillId="0" borderId="0" xfId="1" applyNumberFormat="1" applyFont="1" applyAlignment="1">
      <alignment vertical="center"/>
    </xf>
    <xf numFmtId="10" fontId="3" fillId="0" borderId="0" xfId="0" applyNumberFormat="1" applyFont="1" applyAlignment="1">
      <alignment vertical="center"/>
    </xf>
    <xf numFmtId="9" fontId="3" fillId="0" borderId="0" xfId="0" applyNumberFormat="1" applyFont="1" applyAlignment="1">
      <alignment vertical="center"/>
    </xf>
    <xf numFmtId="49" fontId="8" fillId="2" borderId="0" xfId="0" applyNumberFormat="1" applyFont="1" applyFill="1" applyAlignment="1">
      <alignment vertical="center"/>
    </xf>
    <xf numFmtId="49" fontId="14" fillId="2" borderId="0" xfId="0" applyNumberFormat="1" applyFont="1" applyFill="1" applyAlignment="1">
      <alignment vertical="center"/>
    </xf>
    <xf numFmtId="10" fontId="3" fillId="2" borderId="0" xfId="0" applyNumberFormat="1" applyFont="1" applyFill="1" applyAlignment="1">
      <alignment vertical="center"/>
    </xf>
    <xf numFmtId="10" fontId="18" fillId="2" borderId="0" xfId="3" applyNumberFormat="1" applyFont="1" applyFill="1" applyAlignment="1">
      <alignment vertical="center"/>
    </xf>
    <xf numFmtId="174" fontId="3" fillId="0" borderId="0" xfId="0" applyNumberFormat="1" applyFont="1" applyAlignment="1">
      <alignment vertical="center"/>
    </xf>
    <xf numFmtId="4" fontId="3" fillId="0" borderId="0" xfId="0" applyNumberFormat="1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19" fillId="0" borderId="0" xfId="0" applyFont="1" applyAlignment="1">
      <alignment vertical="center"/>
    </xf>
    <xf numFmtId="175" fontId="6" fillId="0" borderId="0" xfId="3" applyNumberFormat="1" applyFont="1" applyBorder="1" applyAlignment="1">
      <alignment vertical="center"/>
    </xf>
    <xf numFmtId="169" fontId="6" fillId="0" borderId="0" xfId="3" applyNumberFormat="1" applyFont="1" applyBorder="1" applyAlignment="1">
      <alignment vertical="center"/>
    </xf>
    <xf numFmtId="165" fontId="2" fillId="3" borderId="0" xfId="1" applyNumberFormat="1" applyFont="1" applyFill="1" applyAlignment="1">
      <alignment vertical="center"/>
    </xf>
    <xf numFmtId="170" fontId="2" fillId="3" borderId="0" xfId="2" applyNumberFormat="1" applyFont="1" applyFill="1" applyAlignment="1">
      <alignment vertical="center"/>
    </xf>
    <xf numFmtId="168" fontId="2" fillId="3" borderId="0" xfId="0" applyNumberFormat="1" applyFont="1" applyFill="1" applyAlignment="1">
      <alignment vertical="center"/>
    </xf>
    <xf numFmtId="165" fontId="2" fillId="0" borderId="0" xfId="1" applyNumberFormat="1" applyFont="1" applyAlignment="1">
      <alignment horizontal="center" vertical="center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n%20Bujanover/Documents/Files/Capital%20Raising/Vert/Model%20Sets%20Provided/2015%20Portfolio%201%20Analysis%204.25.2015%20(Input%20Based)%20(Only%20Hanford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 Start-&gt;"/>
      <sheetName val="Project Placerville"/>
      <sheetName val="Project Hanford"/>
      <sheetName val="&lt;-Sum End"/>
      <sheetName val="Summary"/>
      <sheetName val="Source &amp; Uses"/>
      <sheetName val="Scenarios"/>
      <sheetName val="Project Placerville (ET 315 2)"/>
      <sheetName val="Project Hanford (Trina)"/>
      <sheetName val="Project Hanford (Sunpreme)"/>
      <sheetName val="Project Hanford (Sunpower)"/>
      <sheetName val="Project Hanford (Sunpreme SW)"/>
      <sheetName val="Project Hanford (ET 315)"/>
      <sheetName val="Project Hanford (CS 330)"/>
      <sheetName val="Project Hanford (CS 290)"/>
      <sheetName val="Project Hanford (Sunpreme 2)"/>
      <sheetName val="Project Orland (ET 315)"/>
      <sheetName val="Project Orland (CS 330)"/>
      <sheetName val="Project Orland (Centro 360)"/>
      <sheetName val="Project Placerville (BenQ)"/>
      <sheetName val="Project Placerville (Trina)"/>
      <sheetName val="Project Placerville (Sunpower)"/>
      <sheetName val="Project Rose"/>
      <sheetName val="Project Gateway"/>
      <sheetName val="Project Shasta"/>
      <sheetName val="Project Winery"/>
      <sheetName val="Project Silverado"/>
      <sheetName val="Project WestPark"/>
      <sheetName val="Project Oakshade"/>
      <sheetName val="Project El Cerrito"/>
      <sheetName val="Project East Washington"/>
      <sheetName val="Project Clayton Valley"/>
      <sheetName val="Project Bayhill"/>
      <sheetName val="Project Loehmans"/>
      <sheetName val="Project Calusa"/>
      <sheetName val="Project Magalia"/>
      <sheetName val="Project Paradise"/>
      <sheetName val="Project Quincy"/>
      <sheetName val="Project Medows Vista"/>
      <sheetName val="Project Cool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>
        <row r="5">
          <cell r="B5" t="str">
            <v>Case 1</v>
          </cell>
        </row>
        <row r="6">
          <cell r="B6" t="str">
            <v>Case 2</v>
          </cell>
        </row>
        <row r="7">
          <cell r="B7" t="str">
            <v>Case 3</v>
          </cell>
        </row>
        <row r="8">
          <cell r="B8" t="str">
            <v>Case 4</v>
          </cell>
        </row>
        <row r="9">
          <cell r="B9" t="str">
            <v>Case 5</v>
          </cell>
        </row>
        <row r="10">
          <cell r="B10" t="str">
            <v>Case 6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X95"/>
  <sheetViews>
    <sheetView showGridLines="0" tabSelected="1" topLeftCell="G6" zoomScaleNormal="100" workbookViewId="0">
      <selection activeCell="M30" sqref="M30"/>
    </sheetView>
  </sheetViews>
  <sheetFormatPr defaultColWidth="0" defaultRowHeight="10.5" x14ac:dyDescent="0.55000000000000004"/>
  <cols>
    <col min="1" max="1" width="9.15625" style="2" customWidth="1"/>
    <col min="2" max="2" width="27.578125" style="2" bestFit="1" customWidth="1"/>
    <col min="3" max="3" width="22.68359375" style="2" bestFit="1" customWidth="1"/>
    <col min="4" max="4" width="8.578125" style="2" bestFit="1" customWidth="1"/>
    <col min="5" max="5" width="9.578125" style="2" bestFit="1" customWidth="1"/>
    <col min="6" max="6" width="11.83984375" style="2" bestFit="1" customWidth="1"/>
    <col min="7" max="7" width="9.83984375" style="2" bestFit="1" customWidth="1"/>
    <col min="8" max="8" width="8" style="2" bestFit="1" customWidth="1"/>
    <col min="9" max="9" width="13.15625" style="2" bestFit="1" customWidth="1"/>
    <col min="10" max="10" width="18.41796875" style="2" bestFit="1" customWidth="1"/>
    <col min="11" max="11" width="16" style="2" bestFit="1" customWidth="1"/>
    <col min="12" max="12" width="9.83984375" style="2" bestFit="1" customWidth="1"/>
    <col min="13" max="13" width="8" style="2" bestFit="1" customWidth="1"/>
    <col min="14" max="20" width="9.15625" style="2" bestFit="1" customWidth="1"/>
    <col min="21" max="46" width="8" style="2" bestFit="1" customWidth="1"/>
    <col min="47" max="47" width="4.41796875" style="2" bestFit="1" customWidth="1"/>
    <col min="48" max="50" width="10.41796875" style="2" bestFit="1" customWidth="1"/>
    <col min="51" max="51" width="5.41796875" style="2" bestFit="1" customWidth="1"/>
    <col min="52" max="52" width="0" style="2" hidden="1" customWidth="1"/>
    <col min="53" max="54" width="7.83984375" style="2" hidden="1" customWidth="1"/>
    <col min="55" max="58" width="0" style="2" hidden="1" customWidth="1"/>
    <col min="59" max="59" width="7.83984375" style="2" hidden="1" customWidth="1"/>
    <col min="60" max="63" width="0" style="2" hidden="1" customWidth="1"/>
    <col min="64" max="68" width="7.83984375" style="2" hidden="1" customWidth="1"/>
    <col min="69" max="72" width="0" style="2" hidden="1" customWidth="1"/>
    <col min="73" max="76" width="7.83984375" style="2" hidden="1" customWidth="1"/>
    <col min="77" max="16384" width="9.15625" style="2" hidden="1"/>
  </cols>
  <sheetData>
    <row r="2" spans="2:46" ht="14.4" x14ac:dyDescent="0.55000000000000004">
      <c r="B2" s="1" t="s">
        <v>0</v>
      </c>
      <c r="C2" s="7"/>
      <c r="D2" s="7"/>
      <c r="F2" s="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2:46" ht="14.4" x14ac:dyDescent="0.55000000000000004">
      <c r="B3" s="1"/>
      <c r="C3" s="7"/>
      <c r="D3" s="7"/>
      <c r="F3" s="4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</row>
    <row r="4" spans="2:46" ht="14.4" x14ac:dyDescent="0.55000000000000004">
      <c r="B4" s="1" t="s">
        <v>1</v>
      </c>
      <c r="C4" s="5" t="s">
        <v>71</v>
      </c>
      <c r="F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</row>
    <row r="5" spans="2:46" x14ac:dyDescent="0.55000000000000004">
      <c r="B5" s="1" t="s">
        <v>2</v>
      </c>
      <c r="C5" s="7">
        <v>574</v>
      </c>
      <c r="D5" s="8"/>
      <c r="E5" s="8"/>
      <c r="F5" s="9"/>
      <c r="G5" s="10"/>
      <c r="H5" s="11"/>
      <c r="I5" s="12"/>
      <c r="J5" s="12"/>
      <c r="K5" s="12"/>
      <c r="L5" s="1"/>
      <c r="M5" s="1"/>
      <c r="N5" s="1"/>
      <c r="O5" s="1"/>
      <c r="P5" s="1"/>
      <c r="Q5" s="1"/>
    </row>
    <row r="6" spans="2:46" x14ac:dyDescent="0.55000000000000004">
      <c r="B6" s="1" t="s">
        <v>3</v>
      </c>
      <c r="C6" s="13">
        <v>1</v>
      </c>
      <c r="D6" s="13"/>
      <c r="E6" s="13"/>
      <c r="F6" s="13"/>
      <c r="G6" s="13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</row>
    <row r="7" spans="2:46" ht="12.9" x14ac:dyDescent="0.55000000000000004">
      <c r="B7" s="14" t="s">
        <v>4</v>
      </c>
      <c r="C7" s="13"/>
      <c r="D7" s="13"/>
      <c r="E7" s="15" t="s">
        <v>5</v>
      </c>
      <c r="F7" s="15" t="s">
        <v>6</v>
      </c>
      <c r="G7" s="15" t="s">
        <v>7</v>
      </c>
      <c r="I7" s="16"/>
      <c r="J7" s="17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</row>
    <row r="8" spans="2:46" x14ac:dyDescent="0.55000000000000004">
      <c r="B8" s="18" t="s">
        <v>64</v>
      </c>
      <c r="C8" s="13"/>
      <c r="D8" s="13"/>
      <c r="E8" s="19">
        <f>-G8/$G$13</f>
        <v>0.81279534714649215</v>
      </c>
      <c r="F8" s="23">
        <v>2.7949999999999999</v>
      </c>
      <c r="G8" s="24">
        <f>F8*$C$5</f>
        <v>1604.33</v>
      </c>
      <c r="I8" s="1" t="s">
        <v>8</v>
      </c>
      <c r="J8" s="16">
        <f>SUM(F8:F11)</f>
        <v>3.4387499999999998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</row>
    <row r="9" spans="2:46" x14ac:dyDescent="0.55000000000000004">
      <c r="B9" s="18" t="s">
        <v>65</v>
      </c>
      <c r="C9" s="22"/>
      <c r="D9" s="13" t="s">
        <v>9</v>
      </c>
      <c r="E9" s="19">
        <f>-G9/$G$13</f>
        <v>0.1395856052344602</v>
      </c>
      <c r="F9" s="23">
        <v>0.48</v>
      </c>
      <c r="G9" s="24">
        <f>F9*$C$5</f>
        <v>275.52</v>
      </c>
      <c r="I9" s="1" t="s">
        <v>10</v>
      </c>
      <c r="J9" s="25">
        <f>J71</f>
        <v>0.13471218943595892</v>
      </c>
      <c r="L9" s="1"/>
      <c r="M9" s="1"/>
      <c r="N9" s="1"/>
      <c r="O9" s="1"/>
      <c r="P9" s="1"/>
      <c r="Q9" s="1"/>
      <c r="R9" s="26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</row>
    <row r="10" spans="2:46" x14ac:dyDescent="0.55000000000000004">
      <c r="B10" s="18" t="s">
        <v>66</v>
      </c>
      <c r="C10" s="13"/>
      <c r="D10" s="13"/>
      <c r="E10" s="19">
        <f>-G10/$G$13</f>
        <v>4.7619047619047623E-2</v>
      </c>
      <c r="F10" s="20">
        <f>G10/$C$5</f>
        <v>0.16375000000000001</v>
      </c>
      <c r="G10" s="21">
        <f>(G8+G9)*0.05</f>
        <v>93.992500000000007</v>
      </c>
      <c r="I10" s="1"/>
      <c r="J10" s="25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</row>
    <row r="11" spans="2:46" x14ac:dyDescent="0.55000000000000004">
      <c r="B11" s="18" t="s">
        <v>11</v>
      </c>
      <c r="C11" s="13"/>
      <c r="D11" s="13"/>
      <c r="E11" s="19">
        <f>-G11/$G$13</f>
        <v>0</v>
      </c>
      <c r="F11" s="20">
        <f>G11/$C$5</f>
        <v>0</v>
      </c>
      <c r="G11" s="21"/>
      <c r="I11" s="1"/>
      <c r="J11" s="27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</row>
    <row r="12" spans="2:46" x14ac:dyDescent="0.55000000000000004">
      <c r="B12" s="18" t="s">
        <v>12</v>
      </c>
      <c r="C12" s="13"/>
      <c r="D12" s="13"/>
      <c r="E12" s="19"/>
      <c r="F12" s="20"/>
      <c r="G12" s="21"/>
      <c r="I12" s="1"/>
      <c r="J12" s="27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</row>
    <row r="13" spans="2:46" x14ac:dyDescent="0.55000000000000004">
      <c r="B13" s="29" t="s">
        <v>13</v>
      </c>
      <c r="C13" s="30"/>
      <c r="D13" s="30"/>
      <c r="E13" s="31">
        <f>G13/$G$13</f>
        <v>1</v>
      </c>
      <c r="F13" s="32">
        <f>-G13/C20</f>
        <v>3.4387499999999998</v>
      </c>
      <c r="G13" s="33">
        <f>-SUM(G8:G11)</f>
        <v>-1973.8425</v>
      </c>
      <c r="H13" s="34"/>
      <c r="I13" s="34"/>
      <c r="J13" s="1"/>
      <c r="K13" s="1"/>
      <c r="L13" s="1"/>
      <c r="M13" s="35"/>
      <c r="N13" s="35"/>
      <c r="O13" s="35"/>
      <c r="P13" s="35"/>
      <c r="Q13" s="36"/>
      <c r="R13" s="35"/>
      <c r="S13" s="36"/>
      <c r="T13" s="35"/>
      <c r="U13" s="35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</row>
    <row r="14" spans="2:46" x14ac:dyDescent="0.55000000000000004">
      <c r="B14" s="1"/>
      <c r="H14" s="1"/>
      <c r="I14" s="3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</row>
    <row r="15" spans="2:46" x14ac:dyDescent="0.55000000000000004">
      <c r="B15" s="1" t="s">
        <v>14</v>
      </c>
      <c r="F15" s="38">
        <f>G15/C5</f>
        <v>3.4387499999999998</v>
      </c>
      <c r="G15" s="39">
        <f>-G13</f>
        <v>1973.8425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</row>
    <row r="16" spans="2:46" x14ac:dyDescent="0.55000000000000004">
      <c r="B16" s="1" t="s">
        <v>15</v>
      </c>
      <c r="F16" s="2" t="s">
        <v>16</v>
      </c>
      <c r="G16" s="39">
        <f>SUM(G8:G10,)*85%</f>
        <v>1677.7661249999999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</row>
    <row r="17" spans="2:47" x14ac:dyDescent="0.55000000000000004">
      <c r="B17" s="1" t="s">
        <v>17</v>
      </c>
      <c r="F17" s="40">
        <v>0.98</v>
      </c>
      <c r="G17" s="39">
        <f>SUM(G8:G10,)*0.3*$F$17</f>
        <v>580.30969499999992</v>
      </c>
      <c r="H17" s="1"/>
      <c r="I17" s="1"/>
      <c r="J17" s="1"/>
      <c r="K17" s="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</row>
    <row r="18" spans="2:47" x14ac:dyDescent="0.55000000000000004">
      <c r="B18" s="1"/>
      <c r="G18" s="39"/>
      <c r="H18" s="1"/>
      <c r="I18" s="1"/>
      <c r="J18" s="1"/>
      <c r="K18" s="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102" t="s">
        <v>67</v>
      </c>
      <c r="AL18" s="102"/>
      <c r="AM18" s="102"/>
      <c r="AN18" s="102"/>
      <c r="AO18" s="102"/>
      <c r="AP18" s="102"/>
      <c r="AQ18" s="102"/>
      <c r="AR18" s="102"/>
      <c r="AS18" s="102"/>
      <c r="AT18" s="102"/>
    </row>
    <row r="19" spans="2:47" x14ac:dyDescent="0.55000000000000004">
      <c r="C19" s="42" t="s">
        <v>18</v>
      </c>
      <c r="D19" s="43" t="s">
        <v>19</v>
      </c>
      <c r="E19" s="43" t="s">
        <v>20</v>
      </c>
      <c r="F19" s="43" t="s">
        <v>21</v>
      </c>
      <c r="G19" s="43" t="s">
        <v>70</v>
      </c>
      <c r="H19" s="43"/>
      <c r="K19" s="44">
        <v>0</v>
      </c>
      <c r="L19" s="44">
        <v>1</v>
      </c>
      <c r="M19" s="44">
        <f>L19+1</f>
        <v>2</v>
      </c>
      <c r="N19" s="44">
        <f t="shared" ref="N19:AT19" si="0">M19+1</f>
        <v>3</v>
      </c>
      <c r="O19" s="44">
        <f t="shared" si="0"/>
        <v>4</v>
      </c>
      <c r="P19" s="44">
        <f t="shared" si="0"/>
        <v>5</v>
      </c>
      <c r="Q19" s="44">
        <f t="shared" si="0"/>
        <v>6</v>
      </c>
      <c r="R19" s="44">
        <f t="shared" si="0"/>
        <v>7</v>
      </c>
      <c r="S19" s="44">
        <f t="shared" si="0"/>
        <v>8</v>
      </c>
      <c r="T19" s="44">
        <f t="shared" si="0"/>
        <v>9</v>
      </c>
      <c r="U19" s="44">
        <f t="shared" si="0"/>
        <v>10</v>
      </c>
      <c r="V19" s="44">
        <f t="shared" si="0"/>
        <v>11</v>
      </c>
      <c r="W19" s="44">
        <f t="shared" si="0"/>
        <v>12</v>
      </c>
      <c r="X19" s="44">
        <f t="shared" si="0"/>
        <v>13</v>
      </c>
      <c r="Y19" s="44">
        <f t="shared" si="0"/>
        <v>14</v>
      </c>
      <c r="Z19" s="44">
        <f t="shared" si="0"/>
        <v>15</v>
      </c>
      <c r="AA19" s="44">
        <f t="shared" si="0"/>
        <v>16</v>
      </c>
      <c r="AB19" s="44">
        <f t="shared" si="0"/>
        <v>17</v>
      </c>
      <c r="AC19" s="44">
        <f t="shared" si="0"/>
        <v>18</v>
      </c>
      <c r="AD19" s="44">
        <f t="shared" si="0"/>
        <v>19</v>
      </c>
      <c r="AE19" s="44">
        <f t="shared" si="0"/>
        <v>20</v>
      </c>
      <c r="AF19" s="44">
        <f t="shared" si="0"/>
        <v>21</v>
      </c>
      <c r="AG19" s="44">
        <f t="shared" si="0"/>
        <v>22</v>
      </c>
      <c r="AH19" s="44">
        <f t="shared" si="0"/>
        <v>23</v>
      </c>
      <c r="AI19" s="44">
        <f t="shared" si="0"/>
        <v>24</v>
      </c>
      <c r="AJ19" s="44">
        <f t="shared" si="0"/>
        <v>25</v>
      </c>
      <c r="AK19" s="44">
        <f t="shared" si="0"/>
        <v>26</v>
      </c>
      <c r="AL19" s="44">
        <f t="shared" si="0"/>
        <v>27</v>
      </c>
      <c r="AM19" s="44">
        <f t="shared" si="0"/>
        <v>28</v>
      </c>
      <c r="AN19" s="44">
        <f t="shared" si="0"/>
        <v>29</v>
      </c>
      <c r="AO19" s="44">
        <f t="shared" si="0"/>
        <v>30</v>
      </c>
      <c r="AP19" s="44">
        <f t="shared" si="0"/>
        <v>31</v>
      </c>
      <c r="AQ19" s="44">
        <f t="shared" si="0"/>
        <v>32</v>
      </c>
      <c r="AR19" s="44">
        <f t="shared" si="0"/>
        <v>33</v>
      </c>
      <c r="AS19" s="44">
        <f t="shared" si="0"/>
        <v>34</v>
      </c>
      <c r="AT19" s="44">
        <f t="shared" si="0"/>
        <v>35</v>
      </c>
    </row>
    <row r="20" spans="2:47" x14ac:dyDescent="0.55000000000000004">
      <c r="B20" s="1" t="s">
        <v>22</v>
      </c>
      <c r="C20" s="45">
        <f>C5</f>
        <v>574</v>
      </c>
      <c r="D20" s="46">
        <v>-5.0000000000000001E-3</v>
      </c>
      <c r="E20" s="47">
        <f>SUM(L20:AT20)</f>
        <v>29871318.75</v>
      </c>
      <c r="F20" s="28">
        <v>1625</v>
      </c>
      <c r="G20" s="17">
        <v>0</v>
      </c>
      <c r="H20" s="28"/>
      <c r="I20" s="48"/>
      <c r="J20" s="48"/>
      <c r="K20" s="48"/>
      <c r="L20" s="39">
        <f>F20*C5*(1+G20)</f>
        <v>932750</v>
      </c>
      <c r="M20" s="45">
        <f t="shared" ref="M20:AT20" si="1">$L$20*M21</f>
        <v>928086.25</v>
      </c>
      <c r="N20" s="45">
        <f t="shared" si="1"/>
        <v>923422.5</v>
      </c>
      <c r="O20" s="45">
        <f t="shared" si="1"/>
        <v>918758.75</v>
      </c>
      <c r="P20" s="45">
        <f t="shared" si="1"/>
        <v>914095</v>
      </c>
      <c r="Q20" s="45">
        <f t="shared" si="1"/>
        <v>909431.25</v>
      </c>
      <c r="R20" s="45">
        <f t="shared" si="1"/>
        <v>904767.5</v>
      </c>
      <c r="S20" s="45">
        <f t="shared" si="1"/>
        <v>900103.75</v>
      </c>
      <c r="T20" s="45">
        <f t="shared" si="1"/>
        <v>895440</v>
      </c>
      <c r="U20" s="45">
        <f t="shared" si="1"/>
        <v>890776.25</v>
      </c>
      <c r="V20" s="45">
        <f t="shared" si="1"/>
        <v>886112.5</v>
      </c>
      <c r="W20" s="45">
        <f t="shared" si="1"/>
        <v>881448.75</v>
      </c>
      <c r="X20" s="45">
        <f t="shared" si="1"/>
        <v>876785</v>
      </c>
      <c r="Y20" s="45">
        <f t="shared" si="1"/>
        <v>872121.25</v>
      </c>
      <c r="Z20" s="45">
        <f t="shared" si="1"/>
        <v>867457.5</v>
      </c>
      <c r="AA20" s="45">
        <f t="shared" si="1"/>
        <v>862793.74999999988</v>
      </c>
      <c r="AB20" s="45">
        <f t="shared" si="1"/>
        <v>858129.99999999988</v>
      </c>
      <c r="AC20" s="45">
        <f t="shared" si="1"/>
        <v>853466.24999999988</v>
      </c>
      <c r="AD20" s="45">
        <f t="shared" si="1"/>
        <v>848802.49999999988</v>
      </c>
      <c r="AE20" s="45">
        <f t="shared" si="1"/>
        <v>844138.74999999988</v>
      </c>
      <c r="AF20" s="45">
        <f t="shared" si="1"/>
        <v>839474.99999999988</v>
      </c>
      <c r="AG20" s="45">
        <f t="shared" si="1"/>
        <v>834811.24999999988</v>
      </c>
      <c r="AH20" s="45">
        <f t="shared" si="1"/>
        <v>830147.49999999988</v>
      </c>
      <c r="AI20" s="45">
        <f t="shared" si="1"/>
        <v>825483.74999999988</v>
      </c>
      <c r="AJ20" s="45">
        <f t="shared" si="1"/>
        <v>820819.99999999988</v>
      </c>
      <c r="AK20" s="45">
        <f t="shared" si="1"/>
        <v>816156.24999999988</v>
      </c>
      <c r="AL20" s="45">
        <f t="shared" si="1"/>
        <v>811492.49999999988</v>
      </c>
      <c r="AM20" s="45">
        <f t="shared" si="1"/>
        <v>806828.74999999988</v>
      </c>
      <c r="AN20" s="45">
        <f t="shared" si="1"/>
        <v>802164.99999999988</v>
      </c>
      <c r="AO20" s="45">
        <f t="shared" si="1"/>
        <v>797501.24999999988</v>
      </c>
      <c r="AP20" s="45">
        <f t="shared" si="1"/>
        <v>792837.49999999988</v>
      </c>
      <c r="AQ20" s="45">
        <f t="shared" si="1"/>
        <v>788173.74999999988</v>
      </c>
      <c r="AR20" s="45">
        <f t="shared" si="1"/>
        <v>783509.99999999988</v>
      </c>
      <c r="AS20" s="45">
        <f t="shared" si="1"/>
        <v>778846.24999999988</v>
      </c>
      <c r="AT20" s="45">
        <f t="shared" si="1"/>
        <v>774182.49999999988</v>
      </c>
    </row>
    <row r="21" spans="2:47" x14ac:dyDescent="0.55000000000000004">
      <c r="B21" s="1" t="s">
        <v>23</v>
      </c>
      <c r="I21" s="12"/>
      <c r="L21" s="49">
        <v>1</v>
      </c>
      <c r="M21" s="49">
        <f>L21+$D$20</f>
        <v>0.995</v>
      </c>
      <c r="N21" s="49">
        <f t="shared" ref="N21:AT21" si="2">M21+$D$20</f>
        <v>0.99</v>
      </c>
      <c r="O21" s="49">
        <f t="shared" si="2"/>
        <v>0.98499999999999999</v>
      </c>
      <c r="P21" s="49">
        <f t="shared" si="2"/>
        <v>0.98</v>
      </c>
      <c r="Q21" s="49">
        <f t="shared" si="2"/>
        <v>0.97499999999999998</v>
      </c>
      <c r="R21" s="49">
        <f t="shared" si="2"/>
        <v>0.97</v>
      </c>
      <c r="S21" s="49">
        <f t="shared" si="2"/>
        <v>0.96499999999999997</v>
      </c>
      <c r="T21" s="49">
        <f t="shared" si="2"/>
        <v>0.96</v>
      </c>
      <c r="U21" s="49">
        <f t="shared" si="2"/>
        <v>0.95499999999999996</v>
      </c>
      <c r="V21" s="49">
        <f t="shared" si="2"/>
        <v>0.95</v>
      </c>
      <c r="W21" s="49">
        <f t="shared" si="2"/>
        <v>0.94499999999999995</v>
      </c>
      <c r="X21" s="49">
        <f t="shared" si="2"/>
        <v>0.94</v>
      </c>
      <c r="Y21" s="49">
        <f t="shared" si="2"/>
        <v>0.93499999999999994</v>
      </c>
      <c r="Z21" s="49">
        <f t="shared" si="2"/>
        <v>0.92999999999999994</v>
      </c>
      <c r="AA21" s="49">
        <f t="shared" si="2"/>
        <v>0.92499999999999993</v>
      </c>
      <c r="AB21" s="49">
        <f t="shared" si="2"/>
        <v>0.91999999999999993</v>
      </c>
      <c r="AC21" s="49">
        <f t="shared" si="2"/>
        <v>0.91499999999999992</v>
      </c>
      <c r="AD21" s="49">
        <f t="shared" si="2"/>
        <v>0.90999999999999992</v>
      </c>
      <c r="AE21" s="49">
        <f t="shared" si="2"/>
        <v>0.90499999999999992</v>
      </c>
      <c r="AF21" s="49">
        <f t="shared" si="2"/>
        <v>0.89999999999999991</v>
      </c>
      <c r="AG21" s="49">
        <f t="shared" si="2"/>
        <v>0.89499999999999991</v>
      </c>
      <c r="AH21" s="49">
        <f t="shared" si="2"/>
        <v>0.8899999999999999</v>
      </c>
      <c r="AI21" s="49">
        <f t="shared" si="2"/>
        <v>0.8849999999999999</v>
      </c>
      <c r="AJ21" s="49">
        <f t="shared" si="2"/>
        <v>0.87999999999999989</v>
      </c>
      <c r="AK21" s="49">
        <f t="shared" si="2"/>
        <v>0.87499999999999989</v>
      </c>
      <c r="AL21" s="49">
        <f t="shared" si="2"/>
        <v>0.86999999999999988</v>
      </c>
      <c r="AM21" s="49">
        <f t="shared" si="2"/>
        <v>0.86499999999999988</v>
      </c>
      <c r="AN21" s="49">
        <f t="shared" si="2"/>
        <v>0.85999999999999988</v>
      </c>
      <c r="AO21" s="49">
        <f t="shared" si="2"/>
        <v>0.85499999999999987</v>
      </c>
      <c r="AP21" s="49">
        <f t="shared" si="2"/>
        <v>0.84999999999999987</v>
      </c>
      <c r="AQ21" s="49">
        <f t="shared" si="2"/>
        <v>0.84499999999999986</v>
      </c>
      <c r="AR21" s="49">
        <f t="shared" si="2"/>
        <v>0.83999999999999986</v>
      </c>
      <c r="AS21" s="49">
        <f t="shared" si="2"/>
        <v>0.83499999999999985</v>
      </c>
      <c r="AT21" s="49">
        <f t="shared" si="2"/>
        <v>0.82999999999999985</v>
      </c>
    </row>
    <row r="22" spans="2:47" x14ac:dyDescent="0.55000000000000004">
      <c r="B22" s="1" t="s">
        <v>24</v>
      </c>
      <c r="C22" s="17">
        <v>0.99</v>
      </c>
      <c r="E22" s="1"/>
      <c r="K22" s="12"/>
      <c r="L22" s="49">
        <f t="shared" ref="L22:AT22" si="3">$C$22</f>
        <v>0.99</v>
      </c>
      <c r="M22" s="49">
        <f t="shared" si="3"/>
        <v>0.99</v>
      </c>
      <c r="N22" s="49">
        <f t="shared" si="3"/>
        <v>0.99</v>
      </c>
      <c r="O22" s="49">
        <f t="shared" si="3"/>
        <v>0.99</v>
      </c>
      <c r="P22" s="49">
        <f t="shared" si="3"/>
        <v>0.99</v>
      </c>
      <c r="Q22" s="49">
        <f t="shared" si="3"/>
        <v>0.99</v>
      </c>
      <c r="R22" s="49">
        <f t="shared" si="3"/>
        <v>0.99</v>
      </c>
      <c r="S22" s="49">
        <f t="shared" si="3"/>
        <v>0.99</v>
      </c>
      <c r="T22" s="49">
        <f t="shared" si="3"/>
        <v>0.99</v>
      </c>
      <c r="U22" s="49">
        <f t="shared" si="3"/>
        <v>0.99</v>
      </c>
      <c r="V22" s="49">
        <f t="shared" si="3"/>
        <v>0.99</v>
      </c>
      <c r="W22" s="49">
        <f t="shared" si="3"/>
        <v>0.99</v>
      </c>
      <c r="X22" s="49">
        <f t="shared" si="3"/>
        <v>0.99</v>
      </c>
      <c r="Y22" s="49">
        <f t="shared" si="3"/>
        <v>0.99</v>
      </c>
      <c r="Z22" s="49">
        <f t="shared" si="3"/>
        <v>0.99</v>
      </c>
      <c r="AA22" s="49">
        <f t="shared" si="3"/>
        <v>0.99</v>
      </c>
      <c r="AB22" s="49">
        <f t="shared" si="3"/>
        <v>0.99</v>
      </c>
      <c r="AC22" s="49">
        <f t="shared" si="3"/>
        <v>0.99</v>
      </c>
      <c r="AD22" s="49">
        <f t="shared" si="3"/>
        <v>0.99</v>
      </c>
      <c r="AE22" s="49">
        <f t="shared" si="3"/>
        <v>0.99</v>
      </c>
      <c r="AF22" s="49">
        <f t="shared" si="3"/>
        <v>0.99</v>
      </c>
      <c r="AG22" s="49">
        <f t="shared" si="3"/>
        <v>0.99</v>
      </c>
      <c r="AH22" s="49">
        <f t="shared" si="3"/>
        <v>0.99</v>
      </c>
      <c r="AI22" s="49">
        <f t="shared" si="3"/>
        <v>0.99</v>
      </c>
      <c r="AJ22" s="49">
        <f t="shared" si="3"/>
        <v>0.99</v>
      </c>
      <c r="AK22" s="49">
        <f t="shared" si="3"/>
        <v>0.99</v>
      </c>
      <c r="AL22" s="49">
        <f t="shared" si="3"/>
        <v>0.99</v>
      </c>
      <c r="AM22" s="49">
        <f t="shared" si="3"/>
        <v>0.99</v>
      </c>
      <c r="AN22" s="49">
        <f t="shared" si="3"/>
        <v>0.99</v>
      </c>
      <c r="AO22" s="49">
        <f t="shared" si="3"/>
        <v>0.99</v>
      </c>
      <c r="AP22" s="49">
        <f t="shared" si="3"/>
        <v>0.99</v>
      </c>
      <c r="AQ22" s="49">
        <f t="shared" si="3"/>
        <v>0.99</v>
      </c>
      <c r="AR22" s="49">
        <f t="shared" si="3"/>
        <v>0.99</v>
      </c>
      <c r="AS22" s="49">
        <f t="shared" si="3"/>
        <v>0.99</v>
      </c>
      <c r="AT22" s="49">
        <f t="shared" si="3"/>
        <v>0.99</v>
      </c>
    </row>
    <row r="23" spans="2:47" x14ac:dyDescent="0.55000000000000004">
      <c r="B23" s="1" t="s">
        <v>25</v>
      </c>
      <c r="C23" s="50"/>
      <c r="D23" s="1"/>
      <c r="E23" s="51"/>
      <c r="G23" s="1"/>
      <c r="L23" s="45">
        <f>L22*L20</f>
        <v>923422.5</v>
      </c>
      <c r="M23" s="45">
        <f t="shared" ref="M23:AT23" si="4">M22*M20</f>
        <v>918805.38749999995</v>
      </c>
      <c r="N23" s="45">
        <f t="shared" si="4"/>
        <v>914188.27500000002</v>
      </c>
      <c r="O23" s="45">
        <f t="shared" si="4"/>
        <v>909571.16249999998</v>
      </c>
      <c r="P23" s="45">
        <f t="shared" si="4"/>
        <v>904954.05</v>
      </c>
      <c r="Q23" s="45">
        <f t="shared" si="4"/>
        <v>900336.9375</v>
      </c>
      <c r="R23" s="45">
        <f t="shared" si="4"/>
        <v>895719.82499999995</v>
      </c>
      <c r="S23" s="45">
        <f t="shared" si="4"/>
        <v>891102.71250000002</v>
      </c>
      <c r="T23" s="45">
        <f t="shared" si="4"/>
        <v>886485.6</v>
      </c>
      <c r="U23" s="45">
        <f t="shared" si="4"/>
        <v>881868.48750000005</v>
      </c>
      <c r="V23" s="45">
        <f t="shared" si="4"/>
        <v>877251.375</v>
      </c>
      <c r="W23" s="45">
        <f t="shared" si="4"/>
        <v>872634.26249999995</v>
      </c>
      <c r="X23" s="45">
        <f t="shared" si="4"/>
        <v>868017.15</v>
      </c>
      <c r="Y23" s="45">
        <f t="shared" si="4"/>
        <v>863400.03749999998</v>
      </c>
      <c r="Z23" s="45">
        <f t="shared" si="4"/>
        <v>858782.92500000005</v>
      </c>
      <c r="AA23" s="45">
        <f t="shared" si="4"/>
        <v>854165.81249999988</v>
      </c>
      <c r="AB23" s="45">
        <f t="shared" si="4"/>
        <v>849548.69999999984</v>
      </c>
      <c r="AC23" s="45">
        <f t="shared" si="4"/>
        <v>844931.58749999991</v>
      </c>
      <c r="AD23" s="45">
        <f t="shared" si="4"/>
        <v>840314.47499999986</v>
      </c>
      <c r="AE23" s="45">
        <f t="shared" si="4"/>
        <v>835697.36249999993</v>
      </c>
      <c r="AF23" s="45">
        <f t="shared" si="4"/>
        <v>831080.24999999988</v>
      </c>
      <c r="AG23" s="45">
        <f t="shared" si="4"/>
        <v>826463.13749999984</v>
      </c>
      <c r="AH23" s="45">
        <f t="shared" si="4"/>
        <v>821846.02499999991</v>
      </c>
      <c r="AI23" s="45">
        <f t="shared" si="4"/>
        <v>817228.91249999986</v>
      </c>
      <c r="AJ23" s="45">
        <f t="shared" si="4"/>
        <v>812611.79999999993</v>
      </c>
      <c r="AK23" s="45">
        <f t="shared" si="4"/>
        <v>807994.68749999988</v>
      </c>
      <c r="AL23" s="45">
        <f t="shared" si="4"/>
        <v>803377.57499999984</v>
      </c>
      <c r="AM23" s="45">
        <f t="shared" si="4"/>
        <v>798760.46249999991</v>
      </c>
      <c r="AN23" s="45">
        <f t="shared" si="4"/>
        <v>794143.34999999986</v>
      </c>
      <c r="AO23" s="45">
        <f t="shared" si="4"/>
        <v>789526.23749999993</v>
      </c>
      <c r="AP23" s="45">
        <f t="shared" si="4"/>
        <v>784909.12499999988</v>
      </c>
      <c r="AQ23" s="45">
        <f t="shared" si="4"/>
        <v>780292.01249999984</v>
      </c>
      <c r="AR23" s="45">
        <f t="shared" si="4"/>
        <v>775674.89999999991</v>
      </c>
      <c r="AS23" s="45">
        <f t="shared" si="4"/>
        <v>771057.78749999986</v>
      </c>
      <c r="AT23" s="45">
        <f t="shared" si="4"/>
        <v>766440.67499999993</v>
      </c>
    </row>
    <row r="24" spans="2:47" x14ac:dyDescent="0.55000000000000004">
      <c r="B24" s="1" t="s">
        <v>26</v>
      </c>
      <c r="C24" s="2" t="s">
        <v>27</v>
      </c>
      <c r="D24" s="2" t="s">
        <v>72</v>
      </c>
      <c r="E24" s="2" t="s">
        <v>19</v>
      </c>
      <c r="L24" s="52">
        <f>$E$25</f>
        <v>0.03</v>
      </c>
      <c r="M24" s="52">
        <f>M25/L25-1</f>
        <v>1.8931212476149151E-2</v>
      </c>
      <c r="N24" s="52">
        <f>N25/M25-1</f>
        <v>5.4731577256132091E-2</v>
      </c>
      <c r="O24" s="52">
        <f t="shared" ref="M24:AT24" si="5">$E$25</f>
        <v>0.03</v>
      </c>
      <c r="P24" s="52">
        <f t="shared" si="5"/>
        <v>0.03</v>
      </c>
      <c r="Q24" s="52">
        <f t="shared" si="5"/>
        <v>0.03</v>
      </c>
      <c r="R24" s="52">
        <f t="shared" si="5"/>
        <v>0.03</v>
      </c>
      <c r="S24" s="52">
        <f t="shared" si="5"/>
        <v>0.03</v>
      </c>
      <c r="T24" s="52">
        <f t="shared" si="5"/>
        <v>0.03</v>
      </c>
      <c r="U24" s="52">
        <f t="shared" si="5"/>
        <v>0.03</v>
      </c>
      <c r="V24" s="52">
        <f t="shared" si="5"/>
        <v>0.03</v>
      </c>
      <c r="W24" s="52">
        <f t="shared" si="5"/>
        <v>0.03</v>
      </c>
      <c r="X24" s="52">
        <f t="shared" si="5"/>
        <v>0.03</v>
      </c>
      <c r="Y24" s="52">
        <f t="shared" si="5"/>
        <v>0.03</v>
      </c>
      <c r="Z24" s="52">
        <f t="shared" si="5"/>
        <v>0.03</v>
      </c>
      <c r="AA24" s="52">
        <f t="shared" si="5"/>
        <v>0.03</v>
      </c>
      <c r="AB24" s="52">
        <f t="shared" si="5"/>
        <v>0.03</v>
      </c>
      <c r="AC24" s="52">
        <f t="shared" si="5"/>
        <v>0.03</v>
      </c>
      <c r="AD24" s="52">
        <f t="shared" si="5"/>
        <v>0.03</v>
      </c>
      <c r="AE24" s="52">
        <f t="shared" si="5"/>
        <v>0.03</v>
      </c>
      <c r="AF24" s="52">
        <f t="shared" si="5"/>
        <v>0.03</v>
      </c>
      <c r="AG24" s="52">
        <f t="shared" si="5"/>
        <v>0.03</v>
      </c>
      <c r="AH24" s="52">
        <f t="shared" si="5"/>
        <v>0.03</v>
      </c>
      <c r="AI24" s="52">
        <f t="shared" si="5"/>
        <v>0.03</v>
      </c>
      <c r="AJ24" s="52">
        <f t="shared" si="5"/>
        <v>0.03</v>
      </c>
      <c r="AK24" s="52">
        <f t="shared" si="5"/>
        <v>0.03</v>
      </c>
      <c r="AL24" s="52">
        <f t="shared" si="5"/>
        <v>0.03</v>
      </c>
      <c r="AM24" s="52">
        <f t="shared" si="5"/>
        <v>0.03</v>
      </c>
      <c r="AN24" s="52">
        <f t="shared" si="5"/>
        <v>0.03</v>
      </c>
      <c r="AO24" s="52">
        <f t="shared" si="5"/>
        <v>0.03</v>
      </c>
      <c r="AP24" s="52">
        <f t="shared" si="5"/>
        <v>0.03</v>
      </c>
      <c r="AQ24" s="52">
        <f t="shared" si="5"/>
        <v>0.03</v>
      </c>
      <c r="AR24" s="52">
        <f t="shared" si="5"/>
        <v>0.03</v>
      </c>
      <c r="AS24" s="52">
        <f t="shared" si="5"/>
        <v>0.03</v>
      </c>
      <c r="AT24" s="52">
        <f t="shared" si="5"/>
        <v>0.03</v>
      </c>
      <c r="AU24" s="51"/>
    </row>
    <row r="25" spans="2:47" x14ac:dyDescent="0.55000000000000004">
      <c r="B25" s="1" t="s">
        <v>28</v>
      </c>
      <c r="C25" s="53">
        <v>0.20380000000000001</v>
      </c>
      <c r="D25" s="17">
        <v>0.1</v>
      </c>
      <c r="E25" s="25">
        <v>0.03</v>
      </c>
      <c r="G25" s="1"/>
      <c r="H25" s="94"/>
      <c r="I25" s="95"/>
      <c r="L25" s="54">
        <f>$C25*(1-D25)</f>
        <v>0.18342</v>
      </c>
      <c r="M25" s="100">
        <f>M31/M23*1000</f>
        <v>0.18689236299237527</v>
      </c>
      <c r="N25" s="100">
        <f>N31/N23*1000</f>
        <v>0.19712127679607355</v>
      </c>
      <c r="O25" s="54">
        <f t="shared" ref="O25:AT25" si="6">N25*(1+N24)</f>
        <v>0.20791003518586526</v>
      </c>
      <c r="P25" s="54">
        <f t="shared" si="6"/>
        <v>0.21414733624144122</v>
      </c>
      <c r="Q25" s="54">
        <f t="shared" si="6"/>
        <v>0.22057175632868448</v>
      </c>
      <c r="R25" s="54">
        <f t="shared" si="6"/>
        <v>0.22718890901854502</v>
      </c>
      <c r="S25" s="54">
        <f t="shared" si="6"/>
        <v>0.23400457628910137</v>
      </c>
      <c r="T25" s="54">
        <f t="shared" si="6"/>
        <v>0.24102471357777441</v>
      </c>
      <c r="U25" s="54">
        <f t="shared" si="6"/>
        <v>0.24825545498510765</v>
      </c>
      <c r="V25" s="54">
        <f t="shared" si="6"/>
        <v>0.25570311863466089</v>
      </c>
      <c r="W25" s="54">
        <f t="shared" si="6"/>
        <v>0.26337421219370072</v>
      </c>
      <c r="X25" s="54">
        <f t="shared" si="6"/>
        <v>0.27127543855951175</v>
      </c>
      <c r="Y25" s="54">
        <f t="shared" si="6"/>
        <v>0.27941370171629709</v>
      </c>
      <c r="Z25" s="54">
        <f t="shared" si="6"/>
        <v>0.28779611276778599</v>
      </c>
      <c r="AA25" s="54">
        <f t="shared" si="6"/>
        <v>0.29642999615081961</v>
      </c>
      <c r="AB25" s="54">
        <f t="shared" si="6"/>
        <v>0.30532289603534418</v>
      </c>
      <c r="AC25" s="54">
        <f t="shared" si="6"/>
        <v>0.31448258291640452</v>
      </c>
      <c r="AD25" s="54">
        <f t="shared" si="6"/>
        <v>0.32391706040389667</v>
      </c>
      <c r="AE25" s="54">
        <f t="shared" si="6"/>
        <v>0.33363457221601356</v>
      </c>
      <c r="AF25" s="54">
        <f t="shared" si="6"/>
        <v>0.343643609382494</v>
      </c>
      <c r="AG25" s="54">
        <f t="shared" si="6"/>
        <v>0.3539529176639688</v>
      </c>
      <c r="AH25" s="54">
        <f t="shared" si="6"/>
        <v>0.36457150519388787</v>
      </c>
      <c r="AI25" s="54">
        <f t="shared" si="6"/>
        <v>0.37550865034970449</v>
      </c>
      <c r="AJ25" s="54">
        <f t="shared" si="6"/>
        <v>0.38677390986019561</v>
      </c>
      <c r="AK25" s="54">
        <f t="shared" si="6"/>
        <v>0.39837712715600149</v>
      </c>
      <c r="AL25" s="54">
        <f t="shared" si="6"/>
        <v>0.41032844097068155</v>
      </c>
      <c r="AM25" s="54">
        <f t="shared" si="6"/>
        <v>0.42263829419980203</v>
      </c>
      <c r="AN25" s="54">
        <f t="shared" si="6"/>
        <v>0.43531744302579611</v>
      </c>
      <c r="AO25" s="54">
        <f t="shared" si="6"/>
        <v>0.44837696631657004</v>
      </c>
      <c r="AP25" s="54">
        <f t="shared" si="6"/>
        <v>0.46182827530606713</v>
      </c>
      <c r="AQ25" s="54">
        <f t="shared" si="6"/>
        <v>0.47568312356524917</v>
      </c>
      <c r="AR25" s="54">
        <f t="shared" si="6"/>
        <v>0.48995361727220665</v>
      </c>
      <c r="AS25" s="54">
        <f t="shared" si="6"/>
        <v>0.50465222579037283</v>
      </c>
      <c r="AT25" s="54">
        <f t="shared" si="6"/>
        <v>0.51979179256408403</v>
      </c>
    </row>
    <row r="26" spans="2:47" x14ac:dyDescent="0.55000000000000004">
      <c r="B26" s="1" t="s">
        <v>29</v>
      </c>
      <c r="C26" s="53">
        <v>0</v>
      </c>
      <c r="D26" s="17"/>
      <c r="G26" s="1"/>
      <c r="L26" s="54">
        <f>$C26</f>
        <v>0</v>
      </c>
      <c r="M26" s="54">
        <f>L26*(1+$D26)</f>
        <v>0</v>
      </c>
      <c r="N26" s="54">
        <f t="shared" ref="N26:AT26" si="7">M26*(1+$D26)</f>
        <v>0</v>
      </c>
      <c r="O26" s="54">
        <f t="shared" si="7"/>
        <v>0</v>
      </c>
      <c r="P26" s="54">
        <f t="shared" si="7"/>
        <v>0</v>
      </c>
      <c r="Q26" s="54">
        <f t="shared" si="7"/>
        <v>0</v>
      </c>
      <c r="R26" s="54">
        <f t="shared" si="7"/>
        <v>0</v>
      </c>
      <c r="S26" s="54">
        <f t="shared" si="7"/>
        <v>0</v>
      </c>
      <c r="T26" s="54">
        <f t="shared" si="7"/>
        <v>0</v>
      </c>
      <c r="U26" s="54">
        <f t="shared" si="7"/>
        <v>0</v>
      </c>
      <c r="V26" s="54">
        <f t="shared" si="7"/>
        <v>0</v>
      </c>
      <c r="W26" s="54">
        <f t="shared" si="7"/>
        <v>0</v>
      </c>
      <c r="X26" s="54">
        <f t="shared" si="7"/>
        <v>0</v>
      </c>
      <c r="Y26" s="54">
        <f t="shared" si="7"/>
        <v>0</v>
      </c>
      <c r="Z26" s="54">
        <f t="shared" si="7"/>
        <v>0</v>
      </c>
      <c r="AA26" s="54">
        <f t="shared" si="7"/>
        <v>0</v>
      </c>
      <c r="AB26" s="54">
        <f t="shared" si="7"/>
        <v>0</v>
      </c>
      <c r="AC26" s="54">
        <f t="shared" si="7"/>
        <v>0</v>
      </c>
      <c r="AD26" s="54">
        <f t="shared" si="7"/>
        <v>0</v>
      </c>
      <c r="AE26" s="54">
        <f t="shared" si="7"/>
        <v>0</v>
      </c>
      <c r="AF26" s="54">
        <f t="shared" si="7"/>
        <v>0</v>
      </c>
      <c r="AG26" s="54">
        <f t="shared" si="7"/>
        <v>0</v>
      </c>
      <c r="AH26" s="54">
        <f t="shared" si="7"/>
        <v>0</v>
      </c>
      <c r="AI26" s="54">
        <f t="shared" si="7"/>
        <v>0</v>
      </c>
      <c r="AJ26" s="54">
        <f t="shared" si="7"/>
        <v>0</v>
      </c>
      <c r="AK26" s="54">
        <f t="shared" si="7"/>
        <v>0</v>
      </c>
      <c r="AL26" s="54">
        <f t="shared" si="7"/>
        <v>0</v>
      </c>
      <c r="AM26" s="54">
        <f t="shared" si="7"/>
        <v>0</v>
      </c>
      <c r="AN26" s="54">
        <f t="shared" si="7"/>
        <v>0</v>
      </c>
      <c r="AO26" s="54">
        <f t="shared" si="7"/>
        <v>0</v>
      </c>
      <c r="AP26" s="54">
        <f t="shared" si="7"/>
        <v>0</v>
      </c>
      <c r="AQ26" s="54">
        <f t="shared" si="7"/>
        <v>0</v>
      </c>
      <c r="AR26" s="54">
        <f t="shared" si="7"/>
        <v>0</v>
      </c>
      <c r="AS26" s="54">
        <f t="shared" si="7"/>
        <v>0</v>
      </c>
      <c r="AT26" s="54">
        <f t="shared" si="7"/>
        <v>0</v>
      </c>
    </row>
    <row r="27" spans="2:47" x14ac:dyDescent="0.55000000000000004">
      <c r="B27" s="1"/>
      <c r="C27" s="22"/>
      <c r="G27" s="1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</row>
    <row r="28" spans="2:47" x14ac:dyDescent="0.55000000000000004">
      <c r="B28" s="1"/>
      <c r="C28" s="22"/>
      <c r="G28" s="1"/>
      <c r="L28" s="55"/>
      <c r="M28" s="56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</row>
    <row r="29" spans="2:47" x14ac:dyDescent="0.55000000000000004">
      <c r="B29" s="1"/>
      <c r="C29" s="22"/>
      <c r="G29" s="1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</row>
    <row r="30" spans="2:47" x14ac:dyDescent="0.55000000000000004">
      <c r="B30" s="29" t="s">
        <v>30</v>
      </c>
      <c r="C30" s="58"/>
      <c r="G30" s="1" t="s">
        <v>31</v>
      </c>
      <c r="H30" s="1" t="s">
        <v>20</v>
      </c>
      <c r="I30" s="1"/>
      <c r="J30" s="1"/>
      <c r="K30" s="1"/>
      <c r="L30" s="55"/>
      <c r="M30" s="101" t="s">
        <v>88</v>
      </c>
      <c r="N30" s="101" t="s">
        <v>88</v>
      </c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</row>
    <row r="31" spans="2:47" x14ac:dyDescent="0.55000000000000004">
      <c r="B31" s="18" t="s">
        <v>32</v>
      </c>
      <c r="C31" s="1"/>
      <c r="G31" s="45">
        <f>AVERAGE(L31:AT31)</f>
        <v>272.67713052336404</v>
      </c>
      <c r="H31" s="45">
        <f>SUM(L31:AT31)</f>
        <v>9543.6995683177411</v>
      </c>
      <c r="I31" s="45"/>
      <c r="J31" s="45"/>
      <c r="K31" s="45"/>
      <c r="L31" s="41">
        <f t="shared" ref="L31:AT32" si="8">PRODUCT(L$23,L25)/1000</f>
        <v>169.37415494999999</v>
      </c>
      <c r="M31" s="99">
        <v>171.71771000000001</v>
      </c>
      <c r="N31" s="99">
        <v>180.20596</v>
      </c>
      <c r="O31" s="41">
        <f t="shared" si="8"/>
        <v>189.10897239942335</v>
      </c>
      <c r="P31" s="41">
        <f t="shared" si="8"/>
        <v>193.79349922840402</v>
      </c>
      <c r="Q31" s="41">
        <f t="shared" si="8"/>
        <v>198.58889959196404</v>
      </c>
      <c r="R31" s="41">
        <f t="shared" si="8"/>
        <v>203.49760982803207</v>
      </c>
      <c r="S31" s="41">
        <f t="shared" si="8"/>
        <v>208.52211266863142</v>
      </c>
      <c r="T31" s="41">
        <f t="shared" si="8"/>
        <v>213.66493783082149</v>
      </c>
      <c r="U31" s="41">
        <f t="shared" si="8"/>
        <v>218.92866260134124</v>
      </c>
      <c r="V31" s="41">
        <f t="shared" si="8"/>
        <v>224.31591241404436</v>
      </c>
      <c r="W31" s="41">
        <f t="shared" si="8"/>
        <v>229.82936141916852</v>
      </c>
      <c r="X31" s="41">
        <f t="shared" si="8"/>
        <v>235.47173304342749</v>
      </c>
      <c r="Y31" s="41">
        <f t="shared" si="8"/>
        <v>241.24580053986472</v>
      </c>
      <c r="Z31" s="41">
        <f t="shared" si="8"/>
        <v>247.1543875263491</v>
      </c>
      <c r="AA31" s="41">
        <f t="shared" si="8"/>
        <v>253.20036851153668</v>
      </c>
      <c r="AB31" s="41">
        <f t="shared" si="8"/>
        <v>259.38666940706179</v>
      </c>
      <c r="AC31" s="41">
        <f t="shared" si="8"/>
        <v>265.71626802465801</v>
      </c>
      <c r="AD31" s="41">
        <f t="shared" si="8"/>
        <v>272.19219455684367</v>
      </c>
      <c r="AE31" s="41">
        <f t="shared" si="8"/>
        <v>278.81753203973824</v>
      </c>
      <c r="AF31" s="41">
        <f t="shared" si="8"/>
        <v>285.59541679650539</v>
      </c>
      <c r="AG31" s="41">
        <f t="shared" si="8"/>
        <v>292.52903885984273</v>
      </c>
      <c r="AH31" s="41">
        <f t="shared" si="8"/>
        <v>299.62164237186357</v>
      </c>
      <c r="AI31" s="41">
        <f t="shared" si="8"/>
        <v>306.87652595963169</v>
      </c>
      <c r="AJ31" s="41">
        <f t="shared" si="8"/>
        <v>314.29704308453125</v>
      </c>
      <c r="AK31" s="41">
        <f t="shared" si="8"/>
        <v>321.88660236356117</v>
      </c>
      <c r="AL31" s="41">
        <f t="shared" si="8"/>
        <v>329.64866786055677</v>
      </c>
      <c r="AM31" s="41">
        <f t="shared" si="8"/>
        <v>337.5867593452449</v>
      </c>
      <c r="AN31" s="41">
        <f t="shared" si="8"/>
        <v>345.70445251793979</v>
      </c>
      <c r="AO31" s="41">
        <f t="shared" si="8"/>
        <v>354.00537919758574</v>
      </c>
      <c r="AP31" s="41">
        <f t="shared" si="8"/>
        <v>362.49322747074422</v>
      </c>
      <c r="AQ31" s="41">
        <f t="shared" si="8"/>
        <v>371.1717417990144</v>
      </c>
      <c r="AR31" s="41">
        <f t="shared" si="8"/>
        <v>380.04472308225712</v>
      </c>
      <c r="AS31" s="41">
        <f t="shared" si="8"/>
        <v>389.11602867487528</v>
      </c>
      <c r="AT31" s="41">
        <f t="shared" si="8"/>
        <v>398.38957235227656</v>
      </c>
    </row>
    <row r="32" spans="2:47" x14ac:dyDescent="0.55000000000000004">
      <c r="B32" s="18" t="s">
        <v>33</v>
      </c>
      <c r="C32" s="1"/>
      <c r="G32" s="45">
        <f>AVERAGE(L32:AT32)</f>
        <v>0</v>
      </c>
      <c r="H32" s="45">
        <f>SUM(L32:AT32)</f>
        <v>0</v>
      </c>
      <c r="I32" s="45"/>
      <c r="J32" s="45"/>
      <c r="K32" s="45"/>
      <c r="L32" s="41">
        <f t="shared" si="8"/>
        <v>0</v>
      </c>
      <c r="M32" s="41">
        <f t="shared" si="8"/>
        <v>0</v>
      </c>
      <c r="N32" s="41">
        <f t="shared" si="8"/>
        <v>0</v>
      </c>
      <c r="O32" s="41">
        <f t="shared" si="8"/>
        <v>0</v>
      </c>
      <c r="P32" s="41">
        <f t="shared" si="8"/>
        <v>0</v>
      </c>
      <c r="Q32" s="41">
        <f t="shared" si="8"/>
        <v>0</v>
      </c>
      <c r="R32" s="41">
        <f t="shared" si="8"/>
        <v>0</v>
      </c>
      <c r="S32" s="41">
        <f t="shared" si="8"/>
        <v>0</v>
      </c>
      <c r="T32" s="41">
        <f t="shared" si="8"/>
        <v>0</v>
      </c>
      <c r="U32" s="41">
        <f t="shared" si="8"/>
        <v>0</v>
      </c>
      <c r="V32" s="41">
        <f t="shared" si="8"/>
        <v>0</v>
      </c>
      <c r="W32" s="41">
        <f t="shared" si="8"/>
        <v>0</v>
      </c>
      <c r="X32" s="41">
        <f t="shared" si="8"/>
        <v>0</v>
      </c>
      <c r="Y32" s="41">
        <f t="shared" si="8"/>
        <v>0</v>
      </c>
      <c r="Z32" s="41">
        <f t="shared" si="8"/>
        <v>0</v>
      </c>
      <c r="AA32" s="41">
        <f t="shared" si="8"/>
        <v>0</v>
      </c>
      <c r="AB32" s="41">
        <f t="shared" si="8"/>
        <v>0</v>
      </c>
      <c r="AC32" s="41">
        <f t="shared" si="8"/>
        <v>0</v>
      </c>
      <c r="AD32" s="41">
        <f t="shared" si="8"/>
        <v>0</v>
      </c>
      <c r="AE32" s="41">
        <f t="shared" si="8"/>
        <v>0</v>
      </c>
      <c r="AF32" s="41">
        <f t="shared" si="8"/>
        <v>0</v>
      </c>
      <c r="AG32" s="41">
        <f t="shared" si="8"/>
        <v>0</v>
      </c>
      <c r="AH32" s="41">
        <f t="shared" si="8"/>
        <v>0</v>
      </c>
      <c r="AI32" s="41">
        <f t="shared" si="8"/>
        <v>0</v>
      </c>
      <c r="AJ32" s="41">
        <f t="shared" si="8"/>
        <v>0</v>
      </c>
      <c r="AK32" s="41">
        <f t="shared" si="8"/>
        <v>0</v>
      </c>
      <c r="AL32" s="41">
        <f t="shared" si="8"/>
        <v>0</v>
      </c>
      <c r="AM32" s="41">
        <f t="shared" si="8"/>
        <v>0</v>
      </c>
      <c r="AN32" s="41">
        <f t="shared" si="8"/>
        <v>0</v>
      </c>
      <c r="AO32" s="41">
        <f t="shared" si="8"/>
        <v>0</v>
      </c>
      <c r="AP32" s="41">
        <f t="shared" si="8"/>
        <v>0</v>
      </c>
      <c r="AQ32" s="41">
        <f t="shared" si="8"/>
        <v>0</v>
      </c>
      <c r="AR32" s="41">
        <f t="shared" si="8"/>
        <v>0</v>
      </c>
      <c r="AS32" s="41">
        <f t="shared" si="8"/>
        <v>0</v>
      </c>
      <c r="AT32" s="41">
        <f t="shared" si="8"/>
        <v>0</v>
      </c>
    </row>
    <row r="33" spans="2:46" x14ac:dyDescent="0.55000000000000004">
      <c r="B33" s="18"/>
      <c r="C33" s="1"/>
      <c r="G33" s="45"/>
      <c r="H33" s="45"/>
      <c r="I33" s="45"/>
      <c r="J33" s="45"/>
      <c r="K33" s="45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</row>
    <row r="34" spans="2:46" s="30" customFormat="1" ht="10.199999999999999" x14ac:dyDescent="0.55000000000000004">
      <c r="B34" s="29" t="s">
        <v>34</v>
      </c>
      <c r="G34" s="39">
        <f>AVERAGE(L34:AT34)</f>
        <v>272.67713052336404</v>
      </c>
      <c r="H34" s="39">
        <f>SUM(L34:AT34)</f>
        <v>9543.6995683177411</v>
      </c>
      <c r="I34" s="39"/>
      <c r="J34" s="39"/>
      <c r="K34" s="39"/>
      <c r="L34" s="60">
        <f t="shared" ref="L34:AT34" si="9">SUM(L31:L32)</f>
        <v>169.37415494999999</v>
      </c>
      <c r="M34" s="60">
        <f t="shared" si="9"/>
        <v>171.71771000000001</v>
      </c>
      <c r="N34" s="60">
        <f t="shared" si="9"/>
        <v>180.20596</v>
      </c>
      <c r="O34" s="60">
        <f t="shared" si="9"/>
        <v>189.10897239942335</v>
      </c>
      <c r="P34" s="60">
        <f t="shared" si="9"/>
        <v>193.79349922840402</v>
      </c>
      <c r="Q34" s="60">
        <f t="shared" si="9"/>
        <v>198.58889959196404</v>
      </c>
      <c r="R34" s="60">
        <f t="shared" si="9"/>
        <v>203.49760982803207</v>
      </c>
      <c r="S34" s="60">
        <f t="shared" si="9"/>
        <v>208.52211266863142</v>
      </c>
      <c r="T34" s="60">
        <f t="shared" si="9"/>
        <v>213.66493783082149</v>
      </c>
      <c r="U34" s="60">
        <f t="shared" si="9"/>
        <v>218.92866260134124</v>
      </c>
      <c r="V34" s="60">
        <f t="shared" si="9"/>
        <v>224.31591241404436</v>
      </c>
      <c r="W34" s="60">
        <f t="shared" si="9"/>
        <v>229.82936141916852</v>
      </c>
      <c r="X34" s="60">
        <f t="shared" si="9"/>
        <v>235.47173304342749</v>
      </c>
      <c r="Y34" s="60">
        <f t="shared" si="9"/>
        <v>241.24580053986472</v>
      </c>
      <c r="Z34" s="60">
        <f t="shared" si="9"/>
        <v>247.1543875263491</v>
      </c>
      <c r="AA34" s="60">
        <f t="shared" si="9"/>
        <v>253.20036851153668</v>
      </c>
      <c r="AB34" s="60">
        <f t="shared" si="9"/>
        <v>259.38666940706179</v>
      </c>
      <c r="AC34" s="60">
        <f t="shared" si="9"/>
        <v>265.71626802465801</v>
      </c>
      <c r="AD34" s="60">
        <f t="shared" si="9"/>
        <v>272.19219455684367</v>
      </c>
      <c r="AE34" s="60">
        <f t="shared" si="9"/>
        <v>278.81753203973824</v>
      </c>
      <c r="AF34" s="60">
        <f t="shared" si="9"/>
        <v>285.59541679650539</v>
      </c>
      <c r="AG34" s="60">
        <f t="shared" si="9"/>
        <v>292.52903885984273</v>
      </c>
      <c r="AH34" s="60">
        <f t="shared" si="9"/>
        <v>299.62164237186357</v>
      </c>
      <c r="AI34" s="60">
        <f t="shared" si="9"/>
        <v>306.87652595963169</v>
      </c>
      <c r="AJ34" s="60">
        <f t="shared" si="9"/>
        <v>314.29704308453125</v>
      </c>
      <c r="AK34" s="60">
        <f t="shared" si="9"/>
        <v>321.88660236356117</v>
      </c>
      <c r="AL34" s="60">
        <f t="shared" si="9"/>
        <v>329.64866786055677</v>
      </c>
      <c r="AM34" s="60">
        <f t="shared" si="9"/>
        <v>337.5867593452449</v>
      </c>
      <c r="AN34" s="60">
        <f t="shared" si="9"/>
        <v>345.70445251793979</v>
      </c>
      <c r="AO34" s="60">
        <f t="shared" si="9"/>
        <v>354.00537919758574</v>
      </c>
      <c r="AP34" s="60">
        <f t="shared" si="9"/>
        <v>362.49322747074422</v>
      </c>
      <c r="AQ34" s="60">
        <f t="shared" si="9"/>
        <v>371.1717417990144</v>
      </c>
      <c r="AR34" s="60">
        <f t="shared" si="9"/>
        <v>380.04472308225712</v>
      </c>
      <c r="AS34" s="60">
        <f t="shared" si="9"/>
        <v>389.11602867487528</v>
      </c>
      <c r="AT34" s="60">
        <f t="shared" si="9"/>
        <v>398.38957235227656</v>
      </c>
    </row>
    <row r="35" spans="2:46" x14ac:dyDescent="0.55000000000000004">
      <c r="B35" s="1"/>
      <c r="C35" s="1"/>
      <c r="H35" s="1"/>
      <c r="I35" s="1"/>
      <c r="J35" s="1"/>
      <c r="K35" s="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</row>
    <row r="36" spans="2:46" x14ac:dyDescent="0.55000000000000004">
      <c r="B36" s="29" t="s">
        <v>35</v>
      </c>
      <c r="C36" s="1" t="s">
        <v>36</v>
      </c>
      <c r="D36" s="1" t="s">
        <v>19</v>
      </c>
      <c r="G36" s="61"/>
      <c r="H36" s="61"/>
      <c r="I36" s="61"/>
      <c r="J36" s="61"/>
      <c r="K36" s="61"/>
    </row>
    <row r="37" spans="2:46" x14ac:dyDescent="0.55000000000000004">
      <c r="B37" s="18" t="s">
        <v>37</v>
      </c>
      <c r="C37" s="59">
        <v>20</v>
      </c>
      <c r="D37" s="62">
        <v>0.02</v>
      </c>
      <c r="G37" s="45">
        <f t="shared" ref="G37:G47" si="10">AVERAGE(L37:AT37)</f>
        <v>-16.398188663664271</v>
      </c>
      <c r="H37" s="45">
        <f t="shared" ref="H37:H47" si="11">SUM(L37:AT37)</f>
        <v>-573.93660322824951</v>
      </c>
      <c r="I37" s="45"/>
      <c r="J37" s="45"/>
      <c r="K37" s="45"/>
      <c r="L37" s="48">
        <f>-$C37*$C$20/1000</f>
        <v>-11.48</v>
      </c>
      <c r="M37" s="48">
        <f t="shared" ref="M37:AT37" si="12">L37*(1+$D37)</f>
        <v>-11.7096</v>
      </c>
      <c r="N37" s="48">
        <f t="shared" si="12"/>
        <v>-11.943792</v>
      </c>
      <c r="O37" s="48">
        <f t="shared" si="12"/>
        <v>-12.182667840000001</v>
      </c>
      <c r="P37" s="48">
        <f t="shared" si="12"/>
        <v>-12.4263211968</v>
      </c>
      <c r="Q37" s="48">
        <f t="shared" si="12"/>
        <v>-12.674847620736001</v>
      </c>
      <c r="R37" s="48">
        <f t="shared" si="12"/>
        <v>-12.928344573150721</v>
      </c>
      <c r="S37" s="48">
        <f t="shared" si="12"/>
        <v>-13.186911464613736</v>
      </c>
      <c r="T37" s="48">
        <f t="shared" si="12"/>
        <v>-13.45064969390601</v>
      </c>
      <c r="U37" s="48">
        <f t="shared" si="12"/>
        <v>-13.719662687784131</v>
      </c>
      <c r="V37" s="48">
        <f t="shared" si="12"/>
        <v>-13.994055941539814</v>
      </c>
      <c r="W37" s="48">
        <f t="shared" si="12"/>
        <v>-14.273937060370612</v>
      </c>
      <c r="X37" s="48">
        <f t="shared" si="12"/>
        <v>-14.559415801578025</v>
      </c>
      <c r="Y37" s="48">
        <f t="shared" si="12"/>
        <v>-14.850604117609585</v>
      </c>
      <c r="Z37" s="48">
        <f t="shared" si="12"/>
        <v>-15.147616199961776</v>
      </c>
      <c r="AA37" s="48">
        <f t="shared" si="12"/>
        <v>-15.450568523961012</v>
      </c>
      <c r="AB37" s="48">
        <f t="shared" si="12"/>
        <v>-15.759579894440233</v>
      </c>
      <c r="AC37" s="48">
        <f t="shared" si="12"/>
        <v>-16.074771492329038</v>
      </c>
      <c r="AD37" s="48">
        <f t="shared" si="12"/>
        <v>-16.39626692217562</v>
      </c>
      <c r="AE37" s="48">
        <f t="shared" si="12"/>
        <v>-16.724192260619134</v>
      </c>
      <c r="AF37" s="48">
        <f t="shared" si="12"/>
        <v>-17.058676105831516</v>
      </c>
      <c r="AG37" s="48">
        <f t="shared" si="12"/>
        <v>-17.399849627948146</v>
      </c>
      <c r="AH37" s="48">
        <f t="shared" si="12"/>
        <v>-17.747846620507111</v>
      </c>
      <c r="AI37" s="48">
        <f t="shared" si="12"/>
        <v>-18.102803552917255</v>
      </c>
      <c r="AJ37" s="48">
        <f t="shared" si="12"/>
        <v>-18.464859623975599</v>
      </c>
      <c r="AK37" s="48">
        <f t="shared" si="12"/>
        <v>-18.83415681645511</v>
      </c>
      <c r="AL37" s="48">
        <f t="shared" si="12"/>
        <v>-19.210839952784212</v>
      </c>
      <c r="AM37" s="48">
        <f t="shared" si="12"/>
        <v>-19.595056751839898</v>
      </c>
      <c r="AN37" s="48">
        <f t="shared" si="12"/>
        <v>-19.986957886876695</v>
      </c>
      <c r="AO37" s="48">
        <f t="shared" si="12"/>
        <v>-20.38669704461423</v>
      </c>
      <c r="AP37" s="48">
        <f t="shared" si="12"/>
        <v>-20.794430985506516</v>
      </c>
      <c r="AQ37" s="48">
        <f t="shared" si="12"/>
        <v>-21.210319605216647</v>
      </c>
      <c r="AR37" s="48">
        <f t="shared" si="12"/>
        <v>-21.634525997320981</v>
      </c>
      <c r="AS37" s="48">
        <f t="shared" si="12"/>
        <v>-22.067216517267401</v>
      </c>
      <c r="AT37" s="48">
        <f t="shared" si="12"/>
        <v>-22.508560847612749</v>
      </c>
    </row>
    <row r="38" spans="2:46" x14ac:dyDescent="0.55000000000000004">
      <c r="B38" s="18" t="s">
        <v>38</v>
      </c>
      <c r="C38" s="59">
        <v>5</v>
      </c>
      <c r="D38" s="62">
        <v>0.02</v>
      </c>
      <c r="G38" s="45">
        <f t="shared" si="10"/>
        <v>-4.0995471659160678</v>
      </c>
      <c r="H38" s="45">
        <f t="shared" si="11"/>
        <v>-143.48415080706238</v>
      </c>
      <c r="I38" s="45"/>
      <c r="J38" s="45"/>
      <c r="K38" s="45"/>
      <c r="L38" s="48">
        <f>-C38*$C$20/1000</f>
        <v>-2.87</v>
      </c>
      <c r="M38" s="48">
        <f>L38*(1+$D38)</f>
        <v>-2.9274</v>
      </c>
      <c r="N38" s="48">
        <f t="shared" ref="N38:AT39" si="13">M38*(1+$D38)</f>
        <v>-2.985948</v>
      </c>
      <c r="O38" s="48">
        <f t="shared" si="13"/>
        <v>-3.0456669600000001</v>
      </c>
      <c r="P38" s="48">
        <f t="shared" si="13"/>
        <v>-3.1065802992</v>
      </c>
      <c r="Q38" s="48">
        <f t="shared" si="13"/>
        <v>-3.1687119051840003</v>
      </c>
      <c r="R38" s="48">
        <f t="shared" si="13"/>
        <v>-3.2320861432876802</v>
      </c>
      <c r="S38" s="48">
        <f t="shared" si="13"/>
        <v>-3.2967278661534341</v>
      </c>
      <c r="T38" s="48">
        <f t="shared" si="13"/>
        <v>-3.3626624234765026</v>
      </c>
      <c r="U38" s="48">
        <f t="shared" si="13"/>
        <v>-3.4299156719460329</v>
      </c>
      <c r="V38" s="48">
        <f t="shared" si="13"/>
        <v>-3.4985139853849536</v>
      </c>
      <c r="W38" s="48">
        <f t="shared" si="13"/>
        <v>-3.5684842650926529</v>
      </c>
      <c r="X38" s="48">
        <f t="shared" si="13"/>
        <v>-3.6398539503945062</v>
      </c>
      <c r="Y38" s="48">
        <f t="shared" si="13"/>
        <v>-3.7126510294023962</v>
      </c>
      <c r="Z38" s="48">
        <f t="shared" si="13"/>
        <v>-3.7869040499904441</v>
      </c>
      <c r="AA38" s="48">
        <f t="shared" si="13"/>
        <v>-3.862642130990253</v>
      </c>
      <c r="AB38" s="48">
        <f t="shared" si="13"/>
        <v>-3.9398949736100581</v>
      </c>
      <c r="AC38" s="48">
        <f t="shared" si="13"/>
        <v>-4.0186928730822595</v>
      </c>
      <c r="AD38" s="48">
        <f t="shared" si="13"/>
        <v>-4.099066730543905</v>
      </c>
      <c r="AE38" s="48">
        <f t="shared" si="13"/>
        <v>-4.1810480651547834</v>
      </c>
      <c r="AF38" s="48">
        <f t="shared" si="13"/>
        <v>-4.264669026457879</v>
      </c>
      <c r="AG38" s="48">
        <f t="shared" si="13"/>
        <v>-4.3499624069870366</v>
      </c>
      <c r="AH38" s="48">
        <f t="shared" si="13"/>
        <v>-4.4369616551267779</v>
      </c>
      <c r="AI38" s="48">
        <f t="shared" si="13"/>
        <v>-4.5257008882293137</v>
      </c>
      <c r="AJ38" s="48">
        <f t="shared" si="13"/>
        <v>-4.6162149059938997</v>
      </c>
      <c r="AK38" s="48">
        <f t="shared" si="13"/>
        <v>-4.7085392041137775</v>
      </c>
      <c r="AL38" s="48">
        <f t="shared" si="13"/>
        <v>-4.8027099881960531</v>
      </c>
      <c r="AM38" s="48">
        <f t="shared" si="13"/>
        <v>-4.8987641879599746</v>
      </c>
      <c r="AN38" s="48">
        <f t="shared" si="13"/>
        <v>-4.9967394717191738</v>
      </c>
      <c r="AO38" s="48">
        <f t="shared" si="13"/>
        <v>-5.0966742611535576</v>
      </c>
      <c r="AP38" s="48">
        <f t="shared" si="13"/>
        <v>-5.1986077463766289</v>
      </c>
      <c r="AQ38" s="48">
        <f t="shared" si="13"/>
        <v>-5.3025799013041617</v>
      </c>
      <c r="AR38" s="48">
        <f t="shared" si="13"/>
        <v>-5.4086314993302453</v>
      </c>
      <c r="AS38" s="48">
        <f t="shared" si="13"/>
        <v>-5.5168041293168502</v>
      </c>
      <c r="AT38" s="48">
        <f t="shared" si="13"/>
        <v>-5.6271402119031873</v>
      </c>
    </row>
    <row r="39" spans="2:46" x14ac:dyDescent="0.55000000000000004">
      <c r="B39" s="18" t="s">
        <v>39</v>
      </c>
      <c r="C39" s="59">
        <v>1</v>
      </c>
      <c r="D39" s="62">
        <v>0.02</v>
      </c>
      <c r="G39" s="45">
        <f t="shared" si="10"/>
        <v>-1.4284136466606503</v>
      </c>
      <c r="H39" s="45">
        <f t="shared" si="11"/>
        <v>-49.994477633122763</v>
      </c>
      <c r="I39" s="45"/>
      <c r="J39" s="45"/>
      <c r="K39" s="45"/>
      <c r="L39" s="48">
        <f>-$C39</f>
        <v>-1</v>
      </c>
      <c r="M39" s="48">
        <f>L39*(1+$D39)</f>
        <v>-1.02</v>
      </c>
      <c r="N39" s="48">
        <f t="shared" si="13"/>
        <v>-1.0404</v>
      </c>
      <c r="O39" s="48">
        <f t="shared" si="13"/>
        <v>-1.0612079999999999</v>
      </c>
      <c r="P39" s="48">
        <f t="shared" si="13"/>
        <v>-1.08243216</v>
      </c>
      <c r="Q39" s="48">
        <f t="shared" si="13"/>
        <v>-1.1040808032</v>
      </c>
      <c r="R39" s="48">
        <f t="shared" si="13"/>
        <v>-1.1261624192640001</v>
      </c>
      <c r="S39" s="48">
        <f t="shared" si="13"/>
        <v>-1.14868566764928</v>
      </c>
      <c r="T39" s="48">
        <f t="shared" si="13"/>
        <v>-1.1716593810022657</v>
      </c>
      <c r="U39" s="48">
        <f t="shared" si="13"/>
        <v>-1.1950925686223111</v>
      </c>
      <c r="V39" s="48">
        <f t="shared" si="13"/>
        <v>-1.2189944199947573</v>
      </c>
      <c r="W39" s="48">
        <f t="shared" si="13"/>
        <v>-1.2433743083946525</v>
      </c>
      <c r="X39" s="48">
        <f t="shared" si="13"/>
        <v>-1.2682417945625455</v>
      </c>
      <c r="Y39" s="48">
        <f t="shared" si="13"/>
        <v>-1.2936066304537963</v>
      </c>
      <c r="Z39" s="48">
        <f t="shared" si="13"/>
        <v>-1.3194787630628724</v>
      </c>
      <c r="AA39" s="48">
        <f t="shared" si="13"/>
        <v>-1.3458683383241299</v>
      </c>
      <c r="AB39" s="48">
        <f t="shared" si="13"/>
        <v>-1.3727857050906125</v>
      </c>
      <c r="AC39" s="48">
        <f t="shared" si="13"/>
        <v>-1.4002414191924248</v>
      </c>
      <c r="AD39" s="48">
        <f t="shared" si="13"/>
        <v>-1.4282462475762734</v>
      </c>
      <c r="AE39" s="48">
        <f t="shared" si="13"/>
        <v>-1.4568111725277988</v>
      </c>
      <c r="AF39" s="48">
        <f t="shared" si="13"/>
        <v>-1.4859473959783549</v>
      </c>
      <c r="AG39" s="48">
        <f t="shared" si="13"/>
        <v>-1.5156663438979221</v>
      </c>
      <c r="AH39" s="48">
        <f t="shared" si="13"/>
        <v>-1.5459796707758806</v>
      </c>
      <c r="AI39" s="48">
        <f t="shared" si="13"/>
        <v>-1.5768992641913981</v>
      </c>
      <c r="AJ39" s="48">
        <f t="shared" si="13"/>
        <v>-1.6084372494752261</v>
      </c>
      <c r="AK39" s="48">
        <f t="shared" si="13"/>
        <v>-1.6406059944647307</v>
      </c>
      <c r="AL39" s="48">
        <f t="shared" si="13"/>
        <v>-1.6734181143540252</v>
      </c>
      <c r="AM39" s="48">
        <f t="shared" si="13"/>
        <v>-1.7068864766411058</v>
      </c>
      <c r="AN39" s="48">
        <f t="shared" si="13"/>
        <v>-1.7410242061739281</v>
      </c>
      <c r="AO39" s="48">
        <f t="shared" si="13"/>
        <v>-1.7758446902974065</v>
      </c>
      <c r="AP39" s="48">
        <f t="shared" si="13"/>
        <v>-1.8113615841033548</v>
      </c>
      <c r="AQ39" s="48">
        <f t="shared" si="13"/>
        <v>-1.8475888157854219</v>
      </c>
      <c r="AR39" s="48">
        <f t="shared" si="13"/>
        <v>-1.8845405921011305</v>
      </c>
      <c r="AS39" s="48">
        <f t="shared" si="13"/>
        <v>-1.9222314039431532</v>
      </c>
      <c r="AT39" s="48">
        <f t="shared" si="13"/>
        <v>-1.9606760320220162</v>
      </c>
    </row>
    <row r="40" spans="2:46" x14ac:dyDescent="0.55000000000000004">
      <c r="B40" s="18"/>
      <c r="C40" s="59"/>
      <c r="D40" s="62"/>
      <c r="G40" s="45"/>
      <c r="H40" s="45"/>
      <c r="I40" s="45"/>
      <c r="J40" s="45"/>
      <c r="K40" s="45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</row>
    <row r="41" spans="2:46" x14ac:dyDescent="0.55000000000000004">
      <c r="B41" s="18" t="s">
        <v>40</v>
      </c>
      <c r="C41" s="59">
        <v>0</v>
      </c>
      <c r="D41" s="62">
        <v>0</v>
      </c>
      <c r="G41" s="45">
        <f t="shared" si="10"/>
        <v>0</v>
      </c>
      <c r="H41" s="45">
        <f t="shared" si="11"/>
        <v>0</v>
      </c>
      <c r="I41" s="45"/>
      <c r="J41" s="45"/>
      <c r="K41" s="45"/>
      <c r="L41" s="48">
        <f>-$C41</f>
        <v>0</v>
      </c>
      <c r="M41" s="48">
        <f t="shared" ref="M41:AT41" si="14">L41*(1+$D41)</f>
        <v>0</v>
      </c>
      <c r="N41" s="48">
        <f t="shared" si="14"/>
        <v>0</v>
      </c>
      <c r="O41" s="48">
        <f t="shared" si="14"/>
        <v>0</v>
      </c>
      <c r="P41" s="48">
        <f t="shared" si="14"/>
        <v>0</v>
      </c>
      <c r="Q41" s="48">
        <f t="shared" si="14"/>
        <v>0</v>
      </c>
      <c r="R41" s="48">
        <f t="shared" si="14"/>
        <v>0</v>
      </c>
      <c r="S41" s="48">
        <f t="shared" si="14"/>
        <v>0</v>
      </c>
      <c r="T41" s="48">
        <f t="shared" si="14"/>
        <v>0</v>
      </c>
      <c r="U41" s="48">
        <f t="shared" si="14"/>
        <v>0</v>
      </c>
      <c r="V41" s="48">
        <f t="shared" si="14"/>
        <v>0</v>
      </c>
      <c r="W41" s="48">
        <f t="shared" si="14"/>
        <v>0</v>
      </c>
      <c r="X41" s="48">
        <f t="shared" si="14"/>
        <v>0</v>
      </c>
      <c r="Y41" s="48">
        <f t="shared" si="14"/>
        <v>0</v>
      </c>
      <c r="Z41" s="48">
        <f t="shared" si="14"/>
        <v>0</v>
      </c>
      <c r="AA41" s="48">
        <f t="shared" si="14"/>
        <v>0</v>
      </c>
      <c r="AB41" s="48">
        <f t="shared" si="14"/>
        <v>0</v>
      </c>
      <c r="AC41" s="48">
        <f t="shared" si="14"/>
        <v>0</v>
      </c>
      <c r="AD41" s="48">
        <f t="shared" si="14"/>
        <v>0</v>
      </c>
      <c r="AE41" s="48">
        <f t="shared" si="14"/>
        <v>0</v>
      </c>
      <c r="AF41" s="48">
        <f t="shared" si="14"/>
        <v>0</v>
      </c>
      <c r="AG41" s="48">
        <f t="shared" si="14"/>
        <v>0</v>
      </c>
      <c r="AH41" s="48">
        <f t="shared" si="14"/>
        <v>0</v>
      </c>
      <c r="AI41" s="48">
        <f t="shared" si="14"/>
        <v>0</v>
      </c>
      <c r="AJ41" s="48">
        <f t="shared" si="14"/>
        <v>0</v>
      </c>
      <c r="AK41" s="48">
        <f t="shared" si="14"/>
        <v>0</v>
      </c>
      <c r="AL41" s="48">
        <f t="shared" si="14"/>
        <v>0</v>
      </c>
      <c r="AM41" s="48">
        <f t="shared" si="14"/>
        <v>0</v>
      </c>
      <c r="AN41" s="48">
        <f t="shared" si="14"/>
        <v>0</v>
      </c>
      <c r="AO41" s="48">
        <f t="shared" si="14"/>
        <v>0</v>
      </c>
      <c r="AP41" s="48">
        <f t="shared" si="14"/>
        <v>0</v>
      </c>
      <c r="AQ41" s="48">
        <f t="shared" si="14"/>
        <v>0</v>
      </c>
      <c r="AR41" s="48">
        <f t="shared" si="14"/>
        <v>0</v>
      </c>
      <c r="AS41" s="48">
        <f t="shared" si="14"/>
        <v>0</v>
      </c>
      <c r="AT41" s="48">
        <f t="shared" si="14"/>
        <v>0</v>
      </c>
    </row>
    <row r="42" spans="2:46" x14ac:dyDescent="0.55000000000000004">
      <c r="B42" s="18" t="s">
        <v>41</v>
      </c>
      <c r="C42" s="59">
        <v>0.1</v>
      </c>
      <c r="D42" s="62">
        <v>0.02</v>
      </c>
      <c r="E42" s="62"/>
      <c r="G42" s="45">
        <f t="shared" si="10"/>
        <v>-0.10000000000000005</v>
      </c>
      <c r="H42" s="45">
        <f t="shared" si="11"/>
        <v>-3.5000000000000018</v>
      </c>
      <c r="I42" s="45"/>
      <c r="J42" s="45"/>
      <c r="K42" s="45"/>
      <c r="L42" s="48">
        <f>-$C42</f>
        <v>-0.1</v>
      </c>
      <c r="M42" s="48">
        <f t="shared" ref="M42:AB43" si="15">L42*(1+$E42)</f>
        <v>-0.1</v>
      </c>
      <c r="N42" s="48">
        <f t="shared" si="15"/>
        <v>-0.1</v>
      </c>
      <c r="O42" s="48">
        <f t="shared" si="15"/>
        <v>-0.1</v>
      </c>
      <c r="P42" s="48">
        <f t="shared" si="15"/>
        <v>-0.1</v>
      </c>
      <c r="Q42" s="48">
        <f t="shared" si="15"/>
        <v>-0.1</v>
      </c>
      <c r="R42" s="48">
        <f t="shared" si="15"/>
        <v>-0.1</v>
      </c>
      <c r="S42" s="48">
        <f t="shared" si="15"/>
        <v>-0.1</v>
      </c>
      <c r="T42" s="48">
        <f t="shared" si="15"/>
        <v>-0.1</v>
      </c>
      <c r="U42" s="48">
        <f t="shared" si="15"/>
        <v>-0.1</v>
      </c>
      <c r="V42" s="48">
        <f t="shared" si="15"/>
        <v>-0.1</v>
      </c>
      <c r="W42" s="48">
        <f t="shared" si="15"/>
        <v>-0.1</v>
      </c>
      <c r="X42" s="48">
        <f t="shared" si="15"/>
        <v>-0.1</v>
      </c>
      <c r="Y42" s="48">
        <f t="shared" si="15"/>
        <v>-0.1</v>
      </c>
      <c r="Z42" s="48">
        <f t="shared" si="15"/>
        <v>-0.1</v>
      </c>
      <c r="AA42" s="48">
        <f t="shared" si="15"/>
        <v>-0.1</v>
      </c>
      <c r="AB42" s="48">
        <f t="shared" si="15"/>
        <v>-0.1</v>
      </c>
      <c r="AC42" s="48">
        <f>AB42*(1+$E42)</f>
        <v>-0.1</v>
      </c>
      <c r="AD42" s="48">
        <f>AC42*(1+$E42)</f>
        <v>-0.1</v>
      </c>
      <c r="AE42" s="48">
        <f t="shared" ref="AE42:AT43" si="16">AD42*(1+$E42)</f>
        <v>-0.1</v>
      </c>
      <c r="AF42" s="48">
        <f t="shared" si="16"/>
        <v>-0.1</v>
      </c>
      <c r="AG42" s="48">
        <f t="shared" si="16"/>
        <v>-0.1</v>
      </c>
      <c r="AH42" s="48">
        <f t="shared" si="16"/>
        <v>-0.1</v>
      </c>
      <c r="AI42" s="48">
        <f t="shared" si="16"/>
        <v>-0.1</v>
      </c>
      <c r="AJ42" s="48">
        <f t="shared" si="16"/>
        <v>-0.1</v>
      </c>
      <c r="AK42" s="48">
        <f t="shared" si="16"/>
        <v>-0.1</v>
      </c>
      <c r="AL42" s="48">
        <f t="shared" si="16"/>
        <v>-0.1</v>
      </c>
      <c r="AM42" s="48">
        <f t="shared" si="16"/>
        <v>-0.1</v>
      </c>
      <c r="AN42" s="48">
        <f t="shared" si="16"/>
        <v>-0.1</v>
      </c>
      <c r="AO42" s="48">
        <f t="shared" si="16"/>
        <v>-0.1</v>
      </c>
      <c r="AP42" s="48">
        <f t="shared" si="16"/>
        <v>-0.1</v>
      </c>
      <c r="AQ42" s="48">
        <f t="shared" si="16"/>
        <v>-0.1</v>
      </c>
      <c r="AR42" s="48">
        <f t="shared" si="16"/>
        <v>-0.1</v>
      </c>
      <c r="AS42" s="48">
        <f t="shared" si="16"/>
        <v>-0.1</v>
      </c>
      <c r="AT42" s="48">
        <f t="shared" si="16"/>
        <v>-0.1</v>
      </c>
    </row>
    <row r="43" spans="2:46" x14ac:dyDescent="0.55000000000000004">
      <c r="B43" s="18" t="s">
        <v>68</v>
      </c>
      <c r="C43" s="59">
        <v>0.8</v>
      </c>
      <c r="D43" s="62">
        <v>0.02</v>
      </c>
      <c r="E43" s="62"/>
      <c r="G43" s="45">
        <f t="shared" si="10"/>
        <v>-0.80000000000000038</v>
      </c>
      <c r="H43" s="45">
        <f t="shared" si="11"/>
        <v>-28.000000000000014</v>
      </c>
      <c r="I43" s="45"/>
      <c r="J43" s="45"/>
      <c r="K43" s="45"/>
      <c r="L43" s="48">
        <f>-$C43</f>
        <v>-0.8</v>
      </c>
      <c r="M43" s="48">
        <f t="shared" si="15"/>
        <v>-0.8</v>
      </c>
      <c r="N43" s="48">
        <f t="shared" si="15"/>
        <v>-0.8</v>
      </c>
      <c r="O43" s="48">
        <f t="shared" si="15"/>
        <v>-0.8</v>
      </c>
      <c r="P43" s="48">
        <f t="shared" si="15"/>
        <v>-0.8</v>
      </c>
      <c r="Q43" s="48">
        <f t="shared" si="15"/>
        <v>-0.8</v>
      </c>
      <c r="R43" s="48">
        <f t="shared" si="15"/>
        <v>-0.8</v>
      </c>
      <c r="S43" s="48">
        <f t="shared" si="15"/>
        <v>-0.8</v>
      </c>
      <c r="T43" s="48">
        <f t="shared" si="15"/>
        <v>-0.8</v>
      </c>
      <c r="U43" s="48">
        <f t="shared" si="15"/>
        <v>-0.8</v>
      </c>
      <c r="V43" s="48">
        <f t="shared" si="15"/>
        <v>-0.8</v>
      </c>
      <c r="W43" s="48">
        <f t="shared" si="15"/>
        <v>-0.8</v>
      </c>
      <c r="X43" s="48">
        <f t="shared" si="15"/>
        <v>-0.8</v>
      </c>
      <c r="Y43" s="48">
        <f t="shared" si="15"/>
        <v>-0.8</v>
      </c>
      <c r="Z43" s="48">
        <f t="shared" si="15"/>
        <v>-0.8</v>
      </c>
      <c r="AA43" s="48">
        <f t="shared" si="15"/>
        <v>-0.8</v>
      </c>
      <c r="AB43" s="48">
        <f t="shared" si="15"/>
        <v>-0.8</v>
      </c>
      <c r="AC43" s="48">
        <f>AB43*(1+$E43)</f>
        <v>-0.8</v>
      </c>
      <c r="AD43" s="48">
        <f>AC43*(1+$E43)</f>
        <v>-0.8</v>
      </c>
      <c r="AE43" s="48">
        <f t="shared" si="16"/>
        <v>-0.8</v>
      </c>
      <c r="AF43" s="48">
        <f t="shared" si="16"/>
        <v>-0.8</v>
      </c>
      <c r="AG43" s="48">
        <f t="shared" si="16"/>
        <v>-0.8</v>
      </c>
      <c r="AH43" s="48">
        <f t="shared" si="16"/>
        <v>-0.8</v>
      </c>
      <c r="AI43" s="48">
        <f t="shared" si="16"/>
        <v>-0.8</v>
      </c>
      <c r="AJ43" s="48">
        <f t="shared" si="16"/>
        <v>-0.8</v>
      </c>
      <c r="AK43" s="48">
        <f t="shared" si="16"/>
        <v>-0.8</v>
      </c>
      <c r="AL43" s="48">
        <f t="shared" si="16"/>
        <v>-0.8</v>
      </c>
      <c r="AM43" s="48">
        <f t="shared" si="16"/>
        <v>-0.8</v>
      </c>
      <c r="AN43" s="48">
        <f t="shared" si="16"/>
        <v>-0.8</v>
      </c>
      <c r="AO43" s="48">
        <f t="shared" si="16"/>
        <v>-0.8</v>
      </c>
      <c r="AP43" s="48">
        <f t="shared" si="16"/>
        <v>-0.8</v>
      </c>
      <c r="AQ43" s="48">
        <f t="shared" si="16"/>
        <v>-0.8</v>
      </c>
      <c r="AR43" s="48">
        <f t="shared" si="16"/>
        <v>-0.8</v>
      </c>
      <c r="AS43" s="48">
        <f t="shared" si="16"/>
        <v>-0.8</v>
      </c>
      <c r="AT43" s="48">
        <f t="shared" si="16"/>
        <v>-0.8</v>
      </c>
    </row>
    <row r="44" spans="2:46" s="66" customFormat="1" x14ac:dyDescent="0.55000000000000004">
      <c r="B44" s="63" t="s">
        <v>42</v>
      </c>
      <c r="C44" s="64">
        <v>0</v>
      </c>
      <c r="D44" s="65">
        <v>0</v>
      </c>
      <c r="G44" s="67">
        <f t="shared" si="10"/>
        <v>0</v>
      </c>
      <c r="H44" s="67">
        <f t="shared" si="11"/>
        <v>0</v>
      </c>
      <c r="I44" s="67"/>
      <c r="J44" s="67"/>
      <c r="K44" s="67"/>
      <c r="L44" s="68">
        <f t="shared" ref="L44:AT44" si="17">-$C44*(1-$D44)*L$34</f>
        <v>0</v>
      </c>
      <c r="M44" s="68">
        <f t="shared" si="17"/>
        <v>0</v>
      </c>
      <c r="N44" s="68">
        <f t="shared" si="17"/>
        <v>0</v>
      </c>
      <c r="O44" s="68">
        <f t="shared" si="17"/>
        <v>0</v>
      </c>
      <c r="P44" s="68">
        <f t="shared" si="17"/>
        <v>0</v>
      </c>
      <c r="Q44" s="68">
        <f t="shared" si="17"/>
        <v>0</v>
      </c>
      <c r="R44" s="68">
        <f t="shared" si="17"/>
        <v>0</v>
      </c>
      <c r="S44" s="68">
        <f t="shared" si="17"/>
        <v>0</v>
      </c>
      <c r="T44" s="68">
        <f t="shared" si="17"/>
        <v>0</v>
      </c>
      <c r="U44" s="68">
        <f t="shared" si="17"/>
        <v>0</v>
      </c>
      <c r="V44" s="68">
        <f t="shared" si="17"/>
        <v>0</v>
      </c>
      <c r="W44" s="68">
        <f t="shared" si="17"/>
        <v>0</v>
      </c>
      <c r="X44" s="68">
        <f t="shared" si="17"/>
        <v>0</v>
      </c>
      <c r="Y44" s="68">
        <f t="shared" si="17"/>
        <v>0</v>
      </c>
      <c r="Z44" s="68">
        <f t="shared" si="17"/>
        <v>0</v>
      </c>
      <c r="AA44" s="68">
        <f t="shared" si="17"/>
        <v>0</v>
      </c>
      <c r="AB44" s="68">
        <f t="shared" si="17"/>
        <v>0</v>
      </c>
      <c r="AC44" s="68">
        <f t="shared" si="17"/>
        <v>0</v>
      </c>
      <c r="AD44" s="68">
        <f t="shared" si="17"/>
        <v>0</v>
      </c>
      <c r="AE44" s="68">
        <f t="shared" si="17"/>
        <v>0</v>
      </c>
      <c r="AF44" s="68">
        <f t="shared" si="17"/>
        <v>0</v>
      </c>
      <c r="AG44" s="68">
        <f t="shared" si="17"/>
        <v>0</v>
      </c>
      <c r="AH44" s="68">
        <f t="shared" si="17"/>
        <v>0</v>
      </c>
      <c r="AI44" s="68">
        <f t="shared" si="17"/>
        <v>0</v>
      </c>
      <c r="AJ44" s="68">
        <f t="shared" si="17"/>
        <v>0</v>
      </c>
      <c r="AK44" s="68">
        <f t="shared" si="17"/>
        <v>0</v>
      </c>
      <c r="AL44" s="68">
        <f t="shared" si="17"/>
        <v>0</v>
      </c>
      <c r="AM44" s="68">
        <f t="shared" si="17"/>
        <v>0</v>
      </c>
      <c r="AN44" s="68">
        <f t="shared" si="17"/>
        <v>0</v>
      </c>
      <c r="AO44" s="68">
        <f t="shared" si="17"/>
        <v>0</v>
      </c>
      <c r="AP44" s="68">
        <f t="shared" si="17"/>
        <v>0</v>
      </c>
      <c r="AQ44" s="68">
        <f t="shared" si="17"/>
        <v>0</v>
      </c>
      <c r="AR44" s="68">
        <f t="shared" si="17"/>
        <v>0</v>
      </c>
      <c r="AS44" s="68">
        <f t="shared" si="17"/>
        <v>0</v>
      </c>
      <c r="AT44" s="68">
        <f t="shared" si="17"/>
        <v>0</v>
      </c>
    </row>
    <row r="45" spans="2:46" s="66" customFormat="1" x14ac:dyDescent="0.55000000000000004">
      <c r="B45" s="63" t="s">
        <v>43</v>
      </c>
      <c r="C45" s="65">
        <v>0</v>
      </c>
      <c r="G45" s="67">
        <f t="shared" si="10"/>
        <v>0</v>
      </c>
      <c r="H45" s="67">
        <f t="shared" si="11"/>
        <v>0</v>
      </c>
      <c r="I45" s="67"/>
      <c r="J45" s="67"/>
      <c r="K45" s="67"/>
      <c r="L45" s="68">
        <f t="shared" ref="L45:AT45" si="18">-$C$45*L34</f>
        <v>0</v>
      </c>
      <c r="M45" s="68">
        <f t="shared" si="18"/>
        <v>0</v>
      </c>
      <c r="N45" s="68">
        <f t="shared" si="18"/>
        <v>0</v>
      </c>
      <c r="O45" s="68">
        <f t="shared" si="18"/>
        <v>0</v>
      </c>
      <c r="P45" s="68">
        <f t="shared" si="18"/>
        <v>0</v>
      </c>
      <c r="Q45" s="68">
        <f t="shared" si="18"/>
        <v>0</v>
      </c>
      <c r="R45" s="68">
        <f t="shared" si="18"/>
        <v>0</v>
      </c>
      <c r="S45" s="68">
        <f t="shared" si="18"/>
        <v>0</v>
      </c>
      <c r="T45" s="68">
        <f t="shared" si="18"/>
        <v>0</v>
      </c>
      <c r="U45" s="68">
        <f t="shared" si="18"/>
        <v>0</v>
      </c>
      <c r="V45" s="68">
        <f t="shared" si="18"/>
        <v>0</v>
      </c>
      <c r="W45" s="68">
        <f t="shared" si="18"/>
        <v>0</v>
      </c>
      <c r="X45" s="68">
        <f t="shared" si="18"/>
        <v>0</v>
      </c>
      <c r="Y45" s="68">
        <f t="shared" si="18"/>
        <v>0</v>
      </c>
      <c r="Z45" s="68">
        <f t="shared" si="18"/>
        <v>0</v>
      </c>
      <c r="AA45" s="68">
        <f t="shared" si="18"/>
        <v>0</v>
      </c>
      <c r="AB45" s="68">
        <f t="shared" si="18"/>
        <v>0</v>
      </c>
      <c r="AC45" s="68">
        <f t="shared" si="18"/>
        <v>0</v>
      </c>
      <c r="AD45" s="68">
        <f t="shared" si="18"/>
        <v>0</v>
      </c>
      <c r="AE45" s="68">
        <f t="shared" si="18"/>
        <v>0</v>
      </c>
      <c r="AF45" s="68">
        <f t="shared" si="18"/>
        <v>0</v>
      </c>
      <c r="AG45" s="68">
        <f t="shared" si="18"/>
        <v>0</v>
      </c>
      <c r="AH45" s="68">
        <f t="shared" si="18"/>
        <v>0</v>
      </c>
      <c r="AI45" s="68">
        <f t="shared" si="18"/>
        <v>0</v>
      </c>
      <c r="AJ45" s="68">
        <f t="shared" si="18"/>
        <v>0</v>
      </c>
      <c r="AK45" s="68">
        <f t="shared" si="18"/>
        <v>0</v>
      </c>
      <c r="AL45" s="68">
        <f t="shared" si="18"/>
        <v>0</v>
      </c>
      <c r="AM45" s="68">
        <f t="shared" si="18"/>
        <v>0</v>
      </c>
      <c r="AN45" s="68">
        <f t="shared" si="18"/>
        <v>0</v>
      </c>
      <c r="AO45" s="68">
        <f t="shared" si="18"/>
        <v>0</v>
      </c>
      <c r="AP45" s="68">
        <f t="shared" si="18"/>
        <v>0</v>
      </c>
      <c r="AQ45" s="68">
        <f t="shared" si="18"/>
        <v>0</v>
      </c>
      <c r="AR45" s="68">
        <f t="shared" si="18"/>
        <v>0</v>
      </c>
      <c r="AS45" s="68">
        <f t="shared" si="18"/>
        <v>0</v>
      </c>
      <c r="AT45" s="68">
        <f t="shared" si="18"/>
        <v>0</v>
      </c>
    </row>
    <row r="46" spans="2:46" x14ac:dyDescent="0.55000000000000004">
      <c r="B46" s="18" t="s">
        <v>44</v>
      </c>
      <c r="C46" s="17">
        <v>2E-3</v>
      </c>
      <c r="D46" s="62"/>
      <c r="G46" s="45">
        <f t="shared" si="10"/>
        <v>-3.7596999999999978</v>
      </c>
      <c r="H46" s="45">
        <f t="shared" si="11"/>
        <v>-131.58949999999993</v>
      </c>
      <c r="I46" s="45"/>
      <c r="J46" s="45"/>
      <c r="K46" s="45"/>
      <c r="L46" s="48">
        <f>-C46*(G9+G8)</f>
        <v>-3.7597</v>
      </c>
      <c r="M46" s="48">
        <f t="shared" ref="M46:AT46" si="19">L46*(1+$D46)</f>
        <v>-3.7597</v>
      </c>
      <c r="N46" s="48">
        <f t="shared" si="19"/>
        <v>-3.7597</v>
      </c>
      <c r="O46" s="48">
        <f t="shared" si="19"/>
        <v>-3.7597</v>
      </c>
      <c r="P46" s="48">
        <f t="shared" si="19"/>
        <v>-3.7597</v>
      </c>
      <c r="Q46" s="48">
        <f t="shared" si="19"/>
        <v>-3.7597</v>
      </c>
      <c r="R46" s="48">
        <f t="shared" si="19"/>
        <v>-3.7597</v>
      </c>
      <c r="S46" s="48">
        <f t="shared" si="19"/>
        <v>-3.7597</v>
      </c>
      <c r="T46" s="48">
        <f t="shared" si="19"/>
        <v>-3.7597</v>
      </c>
      <c r="U46" s="48">
        <f t="shared" si="19"/>
        <v>-3.7597</v>
      </c>
      <c r="V46" s="48">
        <f t="shared" si="19"/>
        <v>-3.7597</v>
      </c>
      <c r="W46" s="48">
        <f t="shared" si="19"/>
        <v>-3.7597</v>
      </c>
      <c r="X46" s="48">
        <f t="shared" si="19"/>
        <v>-3.7597</v>
      </c>
      <c r="Y46" s="48">
        <f t="shared" si="19"/>
        <v>-3.7597</v>
      </c>
      <c r="Z46" s="48">
        <f t="shared" si="19"/>
        <v>-3.7597</v>
      </c>
      <c r="AA46" s="48">
        <f t="shared" si="19"/>
        <v>-3.7597</v>
      </c>
      <c r="AB46" s="48">
        <f t="shared" si="19"/>
        <v>-3.7597</v>
      </c>
      <c r="AC46" s="48">
        <f t="shared" si="19"/>
        <v>-3.7597</v>
      </c>
      <c r="AD46" s="48">
        <f t="shared" si="19"/>
        <v>-3.7597</v>
      </c>
      <c r="AE46" s="48">
        <f t="shared" si="19"/>
        <v>-3.7597</v>
      </c>
      <c r="AF46" s="48">
        <f t="shared" si="19"/>
        <v>-3.7597</v>
      </c>
      <c r="AG46" s="48">
        <f t="shared" si="19"/>
        <v>-3.7597</v>
      </c>
      <c r="AH46" s="48">
        <f t="shared" si="19"/>
        <v>-3.7597</v>
      </c>
      <c r="AI46" s="48">
        <f t="shared" si="19"/>
        <v>-3.7597</v>
      </c>
      <c r="AJ46" s="48">
        <f t="shared" si="19"/>
        <v>-3.7597</v>
      </c>
      <c r="AK46" s="48">
        <f t="shared" si="19"/>
        <v>-3.7597</v>
      </c>
      <c r="AL46" s="48">
        <f t="shared" si="19"/>
        <v>-3.7597</v>
      </c>
      <c r="AM46" s="48">
        <f t="shared" si="19"/>
        <v>-3.7597</v>
      </c>
      <c r="AN46" s="48">
        <f t="shared" si="19"/>
        <v>-3.7597</v>
      </c>
      <c r="AO46" s="48">
        <f t="shared" si="19"/>
        <v>-3.7597</v>
      </c>
      <c r="AP46" s="48">
        <f t="shared" si="19"/>
        <v>-3.7597</v>
      </c>
      <c r="AQ46" s="48">
        <f t="shared" si="19"/>
        <v>-3.7597</v>
      </c>
      <c r="AR46" s="48">
        <f t="shared" si="19"/>
        <v>-3.7597</v>
      </c>
      <c r="AS46" s="48">
        <f t="shared" si="19"/>
        <v>-3.7597</v>
      </c>
      <c r="AT46" s="48">
        <f t="shared" si="19"/>
        <v>-3.7597</v>
      </c>
    </row>
    <row r="47" spans="2:46" x14ac:dyDescent="0.55000000000000004">
      <c r="B47" s="29" t="s">
        <v>45</v>
      </c>
      <c r="C47" s="29"/>
      <c r="F47" s="30"/>
      <c r="G47" s="69">
        <f t="shared" si="10"/>
        <v>-26.585849476240991</v>
      </c>
      <c r="H47" s="39">
        <f t="shared" si="11"/>
        <v>-930.50473166843472</v>
      </c>
      <c r="I47" s="39"/>
      <c r="J47" s="39"/>
      <c r="K47" s="39"/>
      <c r="L47" s="60">
        <f t="shared" ref="L47:AT47" si="20">SUM(L37:L46)</f>
        <v>-20.009699999999999</v>
      </c>
      <c r="M47" s="60">
        <f t="shared" si="20"/>
        <v>-20.316699999999997</v>
      </c>
      <c r="N47" s="60">
        <f t="shared" si="20"/>
        <v>-20.629840000000002</v>
      </c>
      <c r="O47" s="60">
        <f t="shared" si="20"/>
        <v>-20.9492428</v>
      </c>
      <c r="P47" s="60">
        <f t="shared" si="20"/>
        <v>-21.275033656000002</v>
      </c>
      <c r="Q47" s="60">
        <f t="shared" si="20"/>
        <v>-21.607340329120003</v>
      </c>
      <c r="R47" s="60">
        <f t="shared" si="20"/>
        <v>-21.946293135702401</v>
      </c>
      <c r="S47" s="60">
        <f t="shared" si="20"/>
        <v>-22.292024998416448</v>
      </c>
      <c r="T47" s="60">
        <f t="shared" si="20"/>
        <v>-22.644671498384778</v>
      </c>
      <c r="U47" s="60">
        <f t="shared" si="20"/>
        <v>-23.004370928352476</v>
      </c>
      <c r="V47" s="60">
        <f t="shared" si="20"/>
        <v>-23.371264346919528</v>
      </c>
      <c r="W47" s="60">
        <f t="shared" si="20"/>
        <v>-23.745495633857917</v>
      </c>
      <c r="X47" s="60">
        <f t="shared" si="20"/>
        <v>-24.127211546535076</v>
      </c>
      <c r="Y47" s="60">
        <f t="shared" si="20"/>
        <v>-24.516561777465775</v>
      </c>
      <c r="Z47" s="60">
        <f t="shared" si="20"/>
        <v>-24.913699013015094</v>
      </c>
      <c r="AA47" s="60">
        <f t="shared" si="20"/>
        <v>-25.318778993275398</v>
      </c>
      <c r="AB47" s="60">
        <f t="shared" si="20"/>
        <v>-25.731960573140906</v>
      </c>
      <c r="AC47" s="60">
        <f t="shared" si="20"/>
        <v>-26.153405784603724</v>
      </c>
      <c r="AD47" s="60">
        <f t="shared" si="20"/>
        <v>-26.583279900295796</v>
      </c>
      <c r="AE47" s="60">
        <f t="shared" si="20"/>
        <v>-27.021751498301718</v>
      </c>
      <c r="AF47" s="60">
        <f t="shared" si="20"/>
        <v>-27.468992528267751</v>
      </c>
      <c r="AG47" s="60">
        <f t="shared" si="20"/>
        <v>-27.925178378833106</v>
      </c>
      <c r="AH47" s="60">
        <f t="shared" si="20"/>
        <v>-28.390487946409774</v>
      </c>
      <c r="AI47" s="60">
        <f t="shared" si="20"/>
        <v>-28.865103705337965</v>
      </c>
      <c r="AJ47" s="60">
        <f t="shared" si="20"/>
        <v>-29.349211779444726</v>
      </c>
      <c r="AK47" s="60">
        <f t="shared" si="20"/>
        <v>-29.843002015033619</v>
      </c>
      <c r="AL47" s="60">
        <f t="shared" si="20"/>
        <v>-30.346668055334291</v>
      </c>
      <c r="AM47" s="60">
        <f t="shared" si="20"/>
        <v>-30.860407416440982</v>
      </c>
      <c r="AN47" s="60">
        <f t="shared" si="20"/>
        <v>-31.384421564769799</v>
      </c>
      <c r="AO47" s="60">
        <f t="shared" si="20"/>
        <v>-31.918915996065198</v>
      </c>
      <c r="AP47" s="60">
        <f t="shared" si="20"/>
        <v>-32.464100315986506</v>
      </c>
      <c r="AQ47" s="60">
        <f t="shared" si="20"/>
        <v>-33.020188322306232</v>
      </c>
      <c r="AR47" s="60">
        <f t="shared" si="20"/>
        <v>-33.587398088752359</v>
      </c>
      <c r="AS47" s="60">
        <f t="shared" si="20"/>
        <v>-34.165952050527409</v>
      </c>
      <c r="AT47" s="60">
        <f t="shared" si="20"/>
        <v>-34.756077091537954</v>
      </c>
    </row>
    <row r="48" spans="2:46" x14ac:dyDescent="0.55000000000000004">
      <c r="B48" s="29"/>
      <c r="C48" s="29"/>
      <c r="F48" s="30"/>
      <c r="G48" s="69"/>
      <c r="H48" s="39"/>
      <c r="I48" s="39"/>
      <c r="J48" s="39"/>
      <c r="K48" s="3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69"/>
      <c r="AM48" s="69"/>
      <c r="AN48" s="69"/>
      <c r="AO48" s="69"/>
      <c r="AP48" s="69"/>
      <c r="AQ48" s="69"/>
      <c r="AR48" s="69"/>
      <c r="AS48" s="69"/>
      <c r="AT48" s="69"/>
    </row>
    <row r="49" spans="2:51" x14ac:dyDescent="0.55000000000000004">
      <c r="H49" s="1"/>
      <c r="I49" s="1" t="s">
        <v>46</v>
      </c>
      <c r="J49" s="1" t="s">
        <v>47</v>
      </c>
      <c r="K49" s="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</row>
    <row r="50" spans="2:51" x14ac:dyDescent="0.55000000000000004">
      <c r="B50" s="14" t="s">
        <v>48</v>
      </c>
      <c r="C50" s="30"/>
      <c r="F50" s="30"/>
      <c r="G50" s="70">
        <f>AVERAGE(L50:AT50)</f>
        <v>246.091281047123</v>
      </c>
      <c r="H50" s="70">
        <f>SUM(L50:AT50)</f>
        <v>8613.1948366493052</v>
      </c>
      <c r="I50" s="71">
        <f>H34/H50</f>
        <v>1.1080324721912851</v>
      </c>
      <c r="J50" s="71">
        <f>H50/G15</f>
        <v>4.3636687510018177</v>
      </c>
      <c r="K50" s="70"/>
      <c r="L50" s="60">
        <f t="shared" ref="L50:AT50" si="21">L34+L47</f>
        <v>149.36445494999998</v>
      </c>
      <c r="M50" s="60">
        <f t="shared" si="21"/>
        <v>151.40101000000001</v>
      </c>
      <c r="N50" s="60">
        <f t="shared" si="21"/>
        <v>159.57612</v>
      </c>
      <c r="O50" s="60">
        <f t="shared" si="21"/>
        <v>168.15972959942334</v>
      </c>
      <c r="P50" s="60">
        <f t="shared" si="21"/>
        <v>172.51846557240401</v>
      </c>
      <c r="Q50" s="60">
        <f t="shared" si="21"/>
        <v>176.98155926284403</v>
      </c>
      <c r="R50" s="60">
        <f t="shared" si="21"/>
        <v>181.55131669232966</v>
      </c>
      <c r="S50" s="60">
        <f t="shared" si="21"/>
        <v>186.23008767021497</v>
      </c>
      <c r="T50" s="60">
        <f t="shared" si="21"/>
        <v>191.02026633243671</v>
      </c>
      <c r="U50" s="60">
        <f t="shared" si="21"/>
        <v>195.92429167298877</v>
      </c>
      <c r="V50" s="60">
        <f t="shared" si="21"/>
        <v>200.94464806712483</v>
      </c>
      <c r="W50" s="60">
        <f t="shared" si="21"/>
        <v>206.08386578531059</v>
      </c>
      <c r="X50" s="60">
        <f t="shared" si="21"/>
        <v>211.34452149689241</v>
      </c>
      <c r="Y50" s="60">
        <f t="shared" si="21"/>
        <v>216.72923876239895</v>
      </c>
      <c r="Z50" s="60">
        <f t="shared" si="21"/>
        <v>222.24068851333399</v>
      </c>
      <c r="AA50" s="60">
        <f t="shared" si="21"/>
        <v>227.88158951826128</v>
      </c>
      <c r="AB50" s="60">
        <f t="shared" si="21"/>
        <v>233.65470883392089</v>
      </c>
      <c r="AC50" s="60">
        <f t="shared" si="21"/>
        <v>239.56286224005427</v>
      </c>
      <c r="AD50" s="60">
        <f t="shared" si="21"/>
        <v>245.60891465654788</v>
      </c>
      <c r="AE50" s="60">
        <f t="shared" si="21"/>
        <v>251.79578054143653</v>
      </c>
      <c r="AF50" s="60">
        <f t="shared" si="21"/>
        <v>258.12642426823766</v>
      </c>
      <c r="AG50" s="60">
        <f t="shared" si="21"/>
        <v>264.60386048100963</v>
      </c>
      <c r="AH50" s="60">
        <f t="shared" si="21"/>
        <v>271.23115442545378</v>
      </c>
      <c r="AI50" s="60">
        <f t="shared" si="21"/>
        <v>278.01142225429373</v>
      </c>
      <c r="AJ50" s="60">
        <f t="shared" si="21"/>
        <v>284.94783130508654</v>
      </c>
      <c r="AK50" s="60">
        <f t="shared" si="21"/>
        <v>292.04360034852755</v>
      </c>
      <c r="AL50" s="60">
        <f t="shared" si="21"/>
        <v>299.30199980522247</v>
      </c>
      <c r="AM50" s="60">
        <f t="shared" si="21"/>
        <v>306.72635192880392</v>
      </c>
      <c r="AN50" s="60">
        <f t="shared" si="21"/>
        <v>314.32003095316998</v>
      </c>
      <c r="AO50" s="60">
        <f t="shared" si="21"/>
        <v>322.08646320152053</v>
      </c>
      <c r="AP50" s="60">
        <f t="shared" si="21"/>
        <v>330.0291271547577</v>
      </c>
      <c r="AQ50" s="60">
        <f t="shared" si="21"/>
        <v>338.15155347670816</v>
      </c>
      <c r="AR50" s="60">
        <f t="shared" si="21"/>
        <v>346.45732499350476</v>
      </c>
      <c r="AS50" s="60">
        <f t="shared" si="21"/>
        <v>354.95007662434784</v>
      </c>
      <c r="AT50" s="60">
        <f t="shared" si="21"/>
        <v>363.63349526073858</v>
      </c>
    </row>
    <row r="51" spans="2:51" x14ac:dyDescent="0.55000000000000004">
      <c r="B51" s="1" t="s">
        <v>49</v>
      </c>
      <c r="E51" s="61"/>
      <c r="H51" s="71"/>
      <c r="I51" s="1"/>
      <c r="J51" s="1"/>
      <c r="K51" s="1"/>
      <c r="L51" s="72">
        <f t="shared" ref="L51:AT51" si="22">L50/L34</f>
        <v>0.88186096039323736</v>
      </c>
      <c r="M51" s="72">
        <f t="shared" si="22"/>
        <v>0.88168547088125038</v>
      </c>
      <c r="N51" s="72">
        <f t="shared" si="22"/>
        <v>0.88552076745963337</v>
      </c>
      <c r="O51" s="72">
        <f t="shared" si="22"/>
        <v>0.88922131755994938</v>
      </c>
      <c r="P51" s="72">
        <f t="shared" si="22"/>
        <v>0.89021802206623368</v>
      </c>
      <c r="Q51" s="72">
        <f t="shared" si="22"/>
        <v>0.89119562889206749</v>
      </c>
      <c r="R51" s="72">
        <f t="shared" si="22"/>
        <v>0.89215454100788527</v>
      </c>
      <c r="S51" s="72">
        <f t="shared" si="22"/>
        <v>0.89309515085413815</v>
      </c>
      <c r="T51" s="72">
        <f t="shared" si="22"/>
        <v>0.89401784060464484</v>
      </c>
      <c r="U51" s="72">
        <f t="shared" si="22"/>
        <v>0.89492298242262436</v>
      </c>
      <c r="V51" s="72">
        <f t="shared" si="22"/>
        <v>0.89581093870959705</v>
      </c>
      <c r="W51" s="72">
        <f t="shared" si="22"/>
        <v>0.89668206234733294</v>
      </c>
      <c r="X51" s="72">
        <f t="shared" si="22"/>
        <v>0.89753669693302274</v>
      </c>
      <c r="Y51" s="72">
        <f t="shared" si="22"/>
        <v>0.89837517700783964</v>
      </c>
      <c r="Z51" s="72">
        <f t="shared" si="22"/>
        <v>0.8991978282790587</v>
      </c>
      <c r="AA51" s="72">
        <f t="shared" si="22"/>
        <v>0.90000496783589079</v>
      </c>
      <c r="AB51" s="72">
        <f t="shared" si="22"/>
        <v>0.90079690435918625</v>
      </c>
      <c r="AC51" s="72">
        <f t="shared" si="22"/>
        <v>0.90157393832515842</v>
      </c>
      <c r="AD51" s="72">
        <f t="shared" si="22"/>
        <v>0.90233636220327318</v>
      </c>
      <c r="AE51" s="72">
        <f t="shared" si="22"/>
        <v>0.90308446064844139</v>
      </c>
      <c r="AF51" s="72">
        <f t="shared" si="22"/>
        <v>0.90381851068765517</v>
      </c>
      <c r="AG51" s="72">
        <f t="shared" si="22"/>
        <v>0.90453878190119552</v>
      </c>
      <c r="AH51" s="72">
        <f t="shared" si="22"/>
        <v>0.90524553659854101</v>
      </c>
      <c r="AI51" s="72">
        <f t="shared" si="22"/>
        <v>0.90593902998910047</v>
      </c>
      <c r="AJ51" s="72">
        <f t="shared" si="22"/>
        <v>0.90661951034788724</v>
      </c>
      <c r="AK51" s="72">
        <f t="shared" si="22"/>
        <v>0.90728721917625244</v>
      </c>
      <c r="AL51" s="72">
        <f t="shared" si="22"/>
        <v>0.90794239135778609</v>
      </c>
      <c r="AM51" s="72">
        <f t="shared" si="22"/>
        <v>0.90858525530949363</v>
      </c>
      <c r="AN51" s="72">
        <f t="shared" si="22"/>
        <v>0.90921603312835209</v>
      </c>
      <c r="AO51" s="72">
        <f t="shared" si="22"/>
        <v>0.90983494073334437</v>
      </c>
      <c r="AP51" s="72">
        <f t="shared" si="22"/>
        <v>0.91044218800306664</v>
      </c>
      <c r="AQ51" s="72">
        <f t="shared" si="22"/>
        <v>0.9110379789090024</v>
      </c>
      <c r="AR51" s="72">
        <f t="shared" si="22"/>
        <v>0.9116225116445501</v>
      </c>
      <c r="AS51" s="72">
        <f t="shared" si="22"/>
        <v>0.91219597874988934</v>
      </c>
      <c r="AT51" s="72">
        <f t="shared" si="22"/>
        <v>0.91275856723276672</v>
      </c>
    </row>
    <row r="52" spans="2:51" s="66" customFormat="1" x14ac:dyDescent="0.55000000000000004">
      <c r="B52" s="73"/>
      <c r="E52" s="74"/>
      <c r="H52" s="73"/>
      <c r="I52" s="73"/>
      <c r="J52" s="73"/>
      <c r="K52" s="73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</row>
    <row r="53" spans="2:51" s="66" customFormat="1" x14ac:dyDescent="0.55000000000000004">
      <c r="B53" s="63" t="s">
        <v>50</v>
      </c>
      <c r="C53" s="66" t="s">
        <v>51</v>
      </c>
      <c r="D53" s="76" t="s">
        <v>69</v>
      </c>
      <c r="E53" s="73"/>
      <c r="F53" s="74"/>
      <c r="L53" s="65">
        <f>IF($D$53="Yes",60%,20%)</f>
        <v>0.6</v>
      </c>
      <c r="M53" s="65">
        <f>IF($D$53="Yes",16%,32%)</f>
        <v>0.16</v>
      </c>
      <c r="N53" s="65">
        <f>IF($D$53="Yes",9.6%,19.2%)</f>
        <v>9.6000000000000002E-2</v>
      </c>
      <c r="O53" s="65">
        <f>IF($D$53="Yes",5.76%,11.52%)</f>
        <v>5.7599999999999998E-2</v>
      </c>
      <c r="P53" s="65">
        <f>IF($D$53="Yes",5.76%,11.52%)</f>
        <v>5.7599999999999998E-2</v>
      </c>
      <c r="Q53" s="65">
        <f>IF($D$53="Yes",2.88%,5.76%)</f>
        <v>2.8799999999999999E-2</v>
      </c>
      <c r="R53" s="65">
        <v>0</v>
      </c>
      <c r="S53" s="65">
        <v>0</v>
      </c>
      <c r="T53" s="65">
        <v>0</v>
      </c>
      <c r="U53" s="65">
        <v>0</v>
      </c>
      <c r="V53" s="65">
        <v>0</v>
      </c>
      <c r="W53" s="65">
        <v>0</v>
      </c>
      <c r="X53" s="65">
        <v>0</v>
      </c>
      <c r="Y53" s="65">
        <v>0</v>
      </c>
      <c r="Z53" s="65">
        <v>0</v>
      </c>
      <c r="AA53" s="65">
        <v>0</v>
      </c>
      <c r="AB53" s="65">
        <v>0</v>
      </c>
      <c r="AC53" s="65">
        <v>0</v>
      </c>
      <c r="AD53" s="65">
        <v>0</v>
      </c>
      <c r="AE53" s="65">
        <v>0</v>
      </c>
      <c r="AF53" s="65">
        <v>0</v>
      </c>
      <c r="AG53" s="65">
        <v>0</v>
      </c>
      <c r="AH53" s="65">
        <v>0</v>
      </c>
      <c r="AI53" s="65">
        <v>0</v>
      </c>
      <c r="AJ53" s="65">
        <v>0</v>
      </c>
      <c r="AK53" s="65">
        <v>0</v>
      </c>
      <c r="AL53" s="65">
        <v>0</v>
      </c>
      <c r="AM53" s="65">
        <v>0</v>
      </c>
      <c r="AN53" s="65">
        <v>0</v>
      </c>
      <c r="AO53" s="65">
        <v>0</v>
      </c>
      <c r="AP53" s="65">
        <v>0</v>
      </c>
      <c r="AQ53" s="65">
        <v>0</v>
      </c>
      <c r="AR53" s="65">
        <v>0</v>
      </c>
      <c r="AS53" s="65">
        <v>0</v>
      </c>
      <c r="AT53" s="65">
        <v>0</v>
      </c>
    </row>
    <row r="54" spans="2:51" x14ac:dyDescent="0.55000000000000004">
      <c r="B54" s="18" t="s">
        <v>52</v>
      </c>
      <c r="F54" s="41"/>
      <c r="G54" s="45">
        <f>AVERAGE(L54:AT54)</f>
        <v>167.77661249999997</v>
      </c>
      <c r="H54" s="45">
        <f>SUM(L54:AT54)</f>
        <v>1677.7661249999996</v>
      </c>
      <c r="I54" s="45"/>
      <c r="J54" s="45"/>
      <c r="K54" s="45"/>
      <c r="L54" s="45">
        <f>L53*$G$16</f>
        <v>1006.6596749999999</v>
      </c>
      <c r="M54" s="45">
        <f t="shared" ref="M54:U54" si="23">M53*$G$16</f>
        <v>268.44257999999996</v>
      </c>
      <c r="N54" s="45">
        <f t="shared" si="23"/>
        <v>161.06554799999998</v>
      </c>
      <c r="O54" s="45">
        <f t="shared" si="23"/>
        <v>96.639328799999987</v>
      </c>
      <c r="P54" s="45">
        <f t="shared" si="23"/>
        <v>96.639328799999987</v>
      </c>
      <c r="Q54" s="45">
        <f t="shared" si="23"/>
        <v>48.319664399999994</v>
      </c>
      <c r="R54" s="45">
        <f t="shared" si="23"/>
        <v>0</v>
      </c>
      <c r="S54" s="45">
        <f t="shared" si="23"/>
        <v>0</v>
      </c>
      <c r="T54" s="45">
        <f t="shared" si="23"/>
        <v>0</v>
      </c>
      <c r="U54" s="45">
        <f t="shared" si="23"/>
        <v>0</v>
      </c>
      <c r="W54" s="1"/>
    </row>
    <row r="55" spans="2:51" x14ac:dyDescent="0.55000000000000004">
      <c r="B55" s="14" t="s">
        <v>53</v>
      </c>
      <c r="C55" s="30"/>
      <c r="F55" s="30"/>
      <c r="G55" s="77">
        <f>AVERAGE(L55:AT55)</f>
        <v>198.15510604712304</v>
      </c>
      <c r="H55" s="70">
        <f>SUM(L55:AT55)</f>
        <v>6935.428711649306</v>
      </c>
      <c r="I55" s="70"/>
      <c r="J55" s="70"/>
      <c r="K55" s="70"/>
      <c r="L55" s="60">
        <f>L50-L54</f>
        <v>-857.2952200499999</v>
      </c>
      <c r="M55" s="60">
        <f t="shared" ref="M55:AT55" si="24">M50-M54</f>
        <v>-117.04156999999995</v>
      </c>
      <c r="N55" s="60">
        <f t="shared" si="24"/>
        <v>-1.4894279999999753</v>
      </c>
      <c r="O55" s="60">
        <f t="shared" si="24"/>
        <v>71.520400799423356</v>
      </c>
      <c r="P55" s="60">
        <f t="shared" si="24"/>
        <v>75.879136772404024</v>
      </c>
      <c r="Q55" s="60">
        <f t="shared" si="24"/>
        <v>128.66189486284404</v>
      </c>
      <c r="R55" s="60">
        <f t="shared" si="24"/>
        <v>181.55131669232966</v>
      </c>
      <c r="S55" s="60">
        <f t="shared" si="24"/>
        <v>186.23008767021497</v>
      </c>
      <c r="T55" s="60">
        <f t="shared" si="24"/>
        <v>191.02026633243671</v>
      </c>
      <c r="U55" s="60">
        <f t="shared" si="24"/>
        <v>195.92429167298877</v>
      </c>
      <c r="V55" s="60">
        <f t="shared" si="24"/>
        <v>200.94464806712483</v>
      </c>
      <c r="W55" s="60">
        <f t="shared" si="24"/>
        <v>206.08386578531059</v>
      </c>
      <c r="X55" s="60">
        <f t="shared" si="24"/>
        <v>211.34452149689241</v>
      </c>
      <c r="Y55" s="60">
        <f t="shared" si="24"/>
        <v>216.72923876239895</v>
      </c>
      <c r="Z55" s="60">
        <f t="shared" si="24"/>
        <v>222.24068851333399</v>
      </c>
      <c r="AA55" s="60">
        <f t="shared" si="24"/>
        <v>227.88158951826128</v>
      </c>
      <c r="AB55" s="60">
        <f t="shared" si="24"/>
        <v>233.65470883392089</v>
      </c>
      <c r="AC55" s="60">
        <f t="shared" si="24"/>
        <v>239.56286224005427</v>
      </c>
      <c r="AD55" s="60">
        <f t="shared" si="24"/>
        <v>245.60891465654788</v>
      </c>
      <c r="AE55" s="60">
        <f t="shared" si="24"/>
        <v>251.79578054143653</v>
      </c>
      <c r="AF55" s="60">
        <f t="shared" si="24"/>
        <v>258.12642426823766</v>
      </c>
      <c r="AG55" s="60">
        <f t="shared" si="24"/>
        <v>264.60386048100963</v>
      </c>
      <c r="AH55" s="60">
        <f t="shared" si="24"/>
        <v>271.23115442545378</v>
      </c>
      <c r="AI55" s="60">
        <f t="shared" si="24"/>
        <v>278.01142225429373</v>
      </c>
      <c r="AJ55" s="60">
        <f t="shared" si="24"/>
        <v>284.94783130508654</v>
      </c>
      <c r="AK55" s="60">
        <f t="shared" si="24"/>
        <v>292.04360034852755</v>
      </c>
      <c r="AL55" s="60">
        <f t="shared" si="24"/>
        <v>299.30199980522247</v>
      </c>
      <c r="AM55" s="60">
        <f t="shared" si="24"/>
        <v>306.72635192880392</v>
      </c>
      <c r="AN55" s="60">
        <f t="shared" si="24"/>
        <v>314.32003095316998</v>
      </c>
      <c r="AO55" s="60">
        <f t="shared" si="24"/>
        <v>322.08646320152053</v>
      </c>
      <c r="AP55" s="60">
        <f t="shared" si="24"/>
        <v>330.0291271547577</v>
      </c>
      <c r="AQ55" s="60">
        <f t="shared" si="24"/>
        <v>338.15155347670816</v>
      </c>
      <c r="AR55" s="60">
        <f t="shared" si="24"/>
        <v>346.45732499350476</v>
      </c>
      <c r="AS55" s="60">
        <f t="shared" si="24"/>
        <v>354.95007662434784</v>
      </c>
      <c r="AT55" s="60">
        <f t="shared" si="24"/>
        <v>363.63349526073858</v>
      </c>
    </row>
    <row r="56" spans="2:51" x14ac:dyDescent="0.55000000000000004">
      <c r="B56" s="14"/>
      <c r="C56" s="30"/>
      <c r="F56" s="30"/>
      <c r="G56" s="77"/>
      <c r="H56" s="70"/>
      <c r="I56" s="70"/>
      <c r="J56" s="70"/>
      <c r="K56" s="70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</row>
    <row r="57" spans="2:51" x14ac:dyDescent="0.55000000000000004">
      <c r="B57" s="1"/>
      <c r="C57" s="1"/>
      <c r="D57" s="18" t="s">
        <v>54</v>
      </c>
      <c r="G57" s="78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  <c r="AY57" s="62"/>
    </row>
    <row r="58" spans="2:51" x14ac:dyDescent="0.55000000000000004">
      <c r="B58" s="18" t="s">
        <v>55</v>
      </c>
      <c r="D58" s="79">
        <v>0.35</v>
      </c>
      <c r="L58" s="45">
        <f t="shared" ref="L58:AT58" si="25">-L55*$D$58</f>
        <v>300.05332701749995</v>
      </c>
      <c r="M58" s="45">
        <f t="shared" si="25"/>
        <v>40.964549499999983</v>
      </c>
      <c r="N58" s="45">
        <f t="shared" si="25"/>
        <v>0.52129979999999132</v>
      </c>
      <c r="O58" s="45">
        <f t="shared" si="25"/>
        <v>-25.032140279798174</v>
      </c>
      <c r="P58" s="45">
        <f t="shared" si="25"/>
        <v>-26.557697870341407</v>
      </c>
      <c r="Q58" s="45">
        <f t="shared" si="25"/>
        <v>-45.031663201995407</v>
      </c>
      <c r="R58" s="45">
        <f t="shared" si="25"/>
        <v>-63.542960842315381</v>
      </c>
      <c r="S58" s="45">
        <f t="shared" si="25"/>
        <v>-65.180530684575231</v>
      </c>
      <c r="T58" s="45">
        <f t="shared" si="25"/>
        <v>-66.857093216352837</v>
      </c>
      <c r="U58" s="45">
        <f t="shared" si="25"/>
        <v>-68.573502085546068</v>
      </c>
      <c r="V58" s="45">
        <f t="shared" si="25"/>
        <v>-70.330626823493688</v>
      </c>
      <c r="W58" s="45">
        <f t="shared" si="25"/>
        <v>-72.129353024858702</v>
      </c>
      <c r="X58" s="45">
        <f t="shared" si="25"/>
        <v>-73.970582523912341</v>
      </c>
      <c r="Y58" s="45">
        <f t="shared" si="25"/>
        <v>-75.85523356683963</v>
      </c>
      <c r="Z58" s="45">
        <f t="shared" si="25"/>
        <v>-77.78424097966689</v>
      </c>
      <c r="AA58" s="45">
        <f t="shared" si="25"/>
        <v>-79.758556331391446</v>
      </c>
      <c r="AB58" s="45">
        <f t="shared" si="25"/>
        <v>-81.779148091872301</v>
      </c>
      <c r="AC58" s="45">
        <f t="shared" si="25"/>
        <v>-83.847001784018985</v>
      </c>
      <c r="AD58" s="45">
        <f t="shared" si="25"/>
        <v>-85.963120129791747</v>
      </c>
      <c r="AE58" s="45">
        <f t="shared" si="25"/>
        <v>-88.128523189502786</v>
      </c>
      <c r="AF58" s="45">
        <f t="shared" si="25"/>
        <v>-90.344248493883171</v>
      </c>
      <c r="AG58" s="45">
        <f t="shared" si="25"/>
        <v>-92.611351168353366</v>
      </c>
      <c r="AH58" s="45">
        <f t="shared" si="25"/>
        <v>-94.930904048908815</v>
      </c>
      <c r="AI58" s="45">
        <f t="shared" si="25"/>
        <v>-97.303997789002807</v>
      </c>
      <c r="AJ58" s="45">
        <f t="shared" si="25"/>
        <v>-99.731740956780286</v>
      </c>
      <c r="AK58" s="45">
        <f t="shared" si="25"/>
        <v>-102.21526012198464</v>
      </c>
      <c r="AL58" s="45">
        <f t="shared" si="25"/>
        <v>-104.75569993182786</v>
      </c>
      <c r="AM58" s="45">
        <f t="shared" si="25"/>
        <v>-107.35422317508137</v>
      </c>
      <c r="AN58" s="45">
        <f t="shared" si="25"/>
        <v>-110.01201083360948</v>
      </c>
      <c r="AO58" s="45">
        <f t="shared" si="25"/>
        <v>-112.73026212053217</v>
      </c>
      <c r="AP58" s="45">
        <f t="shared" si="25"/>
        <v>-115.51019450416518</v>
      </c>
      <c r="AQ58" s="45">
        <f t="shared" si="25"/>
        <v>-118.35304371684785</v>
      </c>
      <c r="AR58" s="45">
        <f t="shared" si="25"/>
        <v>-121.26006374772666</v>
      </c>
      <c r="AS58" s="45">
        <f t="shared" si="25"/>
        <v>-124.23252681852173</v>
      </c>
      <c r="AT58" s="45">
        <f t="shared" si="25"/>
        <v>-127.27172334125849</v>
      </c>
    </row>
    <row r="59" spans="2:51" x14ac:dyDescent="0.55000000000000004">
      <c r="B59" s="1"/>
    </row>
    <row r="60" spans="2:51" x14ac:dyDescent="0.55000000000000004">
      <c r="B60" s="1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  <c r="AK60" s="80"/>
      <c r="AL60" s="80"/>
      <c r="AM60" s="80"/>
      <c r="AN60" s="80"/>
      <c r="AO60" s="80"/>
      <c r="AP60" s="80"/>
      <c r="AQ60" s="80"/>
      <c r="AR60" s="80"/>
      <c r="AS60" s="80"/>
      <c r="AT60" s="80"/>
    </row>
    <row r="61" spans="2:51" x14ac:dyDescent="0.55000000000000004">
      <c r="B61" s="14" t="s">
        <v>56</v>
      </c>
      <c r="C61" s="81"/>
      <c r="D61" s="81"/>
      <c r="E61" s="14"/>
      <c r="F61" s="77"/>
      <c r="G61" s="81"/>
      <c r="H61" s="81"/>
      <c r="J61" s="81"/>
      <c r="K61" s="81"/>
      <c r="L61" s="60">
        <f>L55+L58</f>
        <v>-557.2418930325</v>
      </c>
      <c r="M61" s="60">
        <f>M55+M58</f>
        <v>-76.077020499999975</v>
      </c>
      <c r="N61" s="60">
        <f t="shared" ref="N61:AT61" si="26">N55+N58</f>
        <v>-0.96812819999998401</v>
      </c>
      <c r="O61" s="60">
        <f t="shared" si="26"/>
        <v>46.488260519625186</v>
      </c>
      <c r="P61" s="60">
        <f t="shared" si="26"/>
        <v>49.321438902062617</v>
      </c>
      <c r="Q61" s="60">
        <f t="shared" si="26"/>
        <v>83.630231660848636</v>
      </c>
      <c r="R61" s="60">
        <f t="shared" si="26"/>
        <v>118.00835585001428</v>
      </c>
      <c r="S61" s="60">
        <f t="shared" si="26"/>
        <v>121.04955698563974</v>
      </c>
      <c r="T61" s="60">
        <f t="shared" si="26"/>
        <v>124.16317311608387</v>
      </c>
      <c r="U61" s="60">
        <f t="shared" si="26"/>
        <v>127.3507895874427</v>
      </c>
      <c r="V61" s="60">
        <f t="shared" si="26"/>
        <v>130.61402124363116</v>
      </c>
      <c r="W61" s="60">
        <f t="shared" si="26"/>
        <v>133.95451276045191</v>
      </c>
      <c r="X61" s="60">
        <f t="shared" si="26"/>
        <v>137.37393897298006</v>
      </c>
      <c r="Y61" s="60">
        <f t="shared" si="26"/>
        <v>140.87400519555933</v>
      </c>
      <c r="Z61" s="60">
        <f t="shared" si="26"/>
        <v>144.4564475336671</v>
      </c>
      <c r="AA61" s="60">
        <f t="shared" si="26"/>
        <v>148.12303318686983</v>
      </c>
      <c r="AB61" s="60">
        <f t="shared" si="26"/>
        <v>151.87556074204861</v>
      </c>
      <c r="AC61" s="60">
        <f t="shared" si="26"/>
        <v>155.71586045603527</v>
      </c>
      <c r="AD61" s="60">
        <f t="shared" si="26"/>
        <v>159.64579452675613</v>
      </c>
      <c r="AE61" s="60">
        <f t="shared" si="26"/>
        <v>163.66725735193376</v>
      </c>
      <c r="AF61" s="60">
        <f t="shared" si="26"/>
        <v>167.78217577435447</v>
      </c>
      <c r="AG61" s="60">
        <f t="shared" si="26"/>
        <v>171.99250931265627</v>
      </c>
      <c r="AH61" s="60">
        <f t="shared" si="26"/>
        <v>176.30025037654497</v>
      </c>
      <c r="AI61" s="60">
        <f t="shared" si="26"/>
        <v>180.70742446529093</v>
      </c>
      <c r="AJ61" s="60">
        <f t="shared" si="26"/>
        <v>185.21609034830624</v>
      </c>
      <c r="AK61" s="60">
        <f t="shared" si="26"/>
        <v>189.82834022654291</v>
      </c>
      <c r="AL61" s="60">
        <f t="shared" si="26"/>
        <v>194.54629987339462</v>
      </c>
      <c r="AM61" s="60">
        <f t="shared" si="26"/>
        <v>199.37212875372256</v>
      </c>
      <c r="AN61" s="60">
        <f t="shared" si="26"/>
        <v>204.3080201195605</v>
      </c>
      <c r="AO61" s="60">
        <f t="shared" si="26"/>
        <v>209.35620108098834</v>
      </c>
      <c r="AP61" s="60">
        <f t="shared" si="26"/>
        <v>214.51893265059252</v>
      </c>
      <c r="AQ61" s="60">
        <f t="shared" si="26"/>
        <v>219.79850975986031</v>
      </c>
      <c r="AR61" s="60">
        <f t="shared" si="26"/>
        <v>225.19726124577809</v>
      </c>
      <c r="AS61" s="60">
        <f t="shared" si="26"/>
        <v>230.71754980582611</v>
      </c>
      <c r="AT61" s="60">
        <f t="shared" si="26"/>
        <v>236.36177191948008</v>
      </c>
    </row>
    <row r="62" spans="2:51" x14ac:dyDescent="0.55000000000000004">
      <c r="B62" s="14"/>
      <c r="C62" s="81"/>
      <c r="D62" s="81"/>
      <c r="E62" s="14"/>
      <c r="F62" s="77"/>
      <c r="G62" s="81"/>
      <c r="H62" s="81"/>
      <c r="J62" s="81"/>
      <c r="K62" s="81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</row>
    <row r="63" spans="2:51" s="83" customFormat="1" x14ac:dyDescent="0.55000000000000004">
      <c r="B63" s="82"/>
      <c r="J63" s="84"/>
      <c r="K63" s="84">
        <v>41609</v>
      </c>
      <c r="L63" s="84">
        <v>41820</v>
      </c>
      <c r="M63" s="84">
        <f>L63+365</f>
        <v>42185</v>
      </c>
      <c r="N63" s="84">
        <f t="shared" ref="N63:AT63" si="27">M63+365</f>
        <v>42550</v>
      </c>
      <c r="O63" s="84">
        <f t="shared" si="27"/>
        <v>42915</v>
      </c>
      <c r="P63" s="84">
        <f t="shared" si="27"/>
        <v>43280</v>
      </c>
      <c r="Q63" s="84">
        <f t="shared" si="27"/>
        <v>43645</v>
      </c>
      <c r="R63" s="84">
        <f t="shared" si="27"/>
        <v>44010</v>
      </c>
      <c r="S63" s="84">
        <f t="shared" si="27"/>
        <v>44375</v>
      </c>
      <c r="T63" s="84">
        <f t="shared" si="27"/>
        <v>44740</v>
      </c>
      <c r="U63" s="84">
        <f t="shared" si="27"/>
        <v>45105</v>
      </c>
      <c r="V63" s="84">
        <f t="shared" si="27"/>
        <v>45470</v>
      </c>
      <c r="W63" s="84">
        <f t="shared" si="27"/>
        <v>45835</v>
      </c>
      <c r="X63" s="84">
        <f t="shared" si="27"/>
        <v>46200</v>
      </c>
      <c r="Y63" s="84">
        <f t="shared" si="27"/>
        <v>46565</v>
      </c>
      <c r="Z63" s="84">
        <f t="shared" si="27"/>
        <v>46930</v>
      </c>
      <c r="AA63" s="84">
        <f t="shared" si="27"/>
        <v>47295</v>
      </c>
      <c r="AB63" s="84">
        <f t="shared" si="27"/>
        <v>47660</v>
      </c>
      <c r="AC63" s="84">
        <f t="shared" si="27"/>
        <v>48025</v>
      </c>
      <c r="AD63" s="84">
        <f t="shared" si="27"/>
        <v>48390</v>
      </c>
      <c r="AE63" s="84">
        <f t="shared" si="27"/>
        <v>48755</v>
      </c>
      <c r="AF63" s="84">
        <f t="shared" si="27"/>
        <v>49120</v>
      </c>
      <c r="AG63" s="84">
        <f t="shared" si="27"/>
        <v>49485</v>
      </c>
      <c r="AH63" s="84">
        <f t="shared" si="27"/>
        <v>49850</v>
      </c>
      <c r="AI63" s="84">
        <f t="shared" si="27"/>
        <v>50215</v>
      </c>
      <c r="AJ63" s="84">
        <f t="shared" si="27"/>
        <v>50580</v>
      </c>
      <c r="AK63" s="84">
        <f t="shared" si="27"/>
        <v>50945</v>
      </c>
      <c r="AL63" s="84">
        <f t="shared" si="27"/>
        <v>51310</v>
      </c>
      <c r="AM63" s="84">
        <f t="shared" si="27"/>
        <v>51675</v>
      </c>
      <c r="AN63" s="84">
        <f t="shared" si="27"/>
        <v>52040</v>
      </c>
      <c r="AO63" s="84">
        <f t="shared" si="27"/>
        <v>52405</v>
      </c>
      <c r="AP63" s="84">
        <f t="shared" si="27"/>
        <v>52770</v>
      </c>
      <c r="AQ63" s="84">
        <f t="shared" si="27"/>
        <v>53135</v>
      </c>
      <c r="AR63" s="84">
        <f t="shared" si="27"/>
        <v>53500</v>
      </c>
      <c r="AS63" s="84">
        <f t="shared" si="27"/>
        <v>53865</v>
      </c>
      <c r="AT63" s="84">
        <f t="shared" si="27"/>
        <v>54230</v>
      </c>
      <c r="AU63" s="84"/>
    </row>
    <row r="64" spans="2:51" x14ac:dyDescent="0.55000000000000004">
      <c r="B64" s="14" t="s">
        <v>57</v>
      </c>
      <c r="C64" s="81"/>
      <c r="D64" s="81"/>
      <c r="E64" s="14"/>
      <c r="F64" s="77"/>
      <c r="G64" s="81"/>
      <c r="H64" s="81"/>
      <c r="J64" s="81"/>
      <c r="K64" s="81"/>
      <c r="L64" s="60">
        <f>L50</f>
        <v>149.36445494999998</v>
      </c>
      <c r="M64" s="60">
        <f t="shared" ref="M64:AT64" si="28">M50</f>
        <v>151.40101000000001</v>
      </c>
      <c r="N64" s="60">
        <f t="shared" si="28"/>
        <v>159.57612</v>
      </c>
      <c r="O64" s="60">
        <f t="shared" si="28"/>
        <v>168.15972959942334</v>
      </c>
      <c r="P64" s="60">
        <f t="shared" si="28"/>
        <v>172.51846557240401</v>
      </c>
      <c r="Q64" s="60">
        <f t="shared" si="28"/>
        <v>176.98155926284403</v>
      </c>
      <c r="R64" s="60">
        <f t="shared" si="28"/>
        <v>181.55131669232966</v>
      </c>
      <c r="S64" s="60">
        <f t="shared" si="28"/>
        <v>186.23008767021497</v>
      </c>
      <c r="T64" s="60">
        <f t="shared" si="28"/>
        <v>191.02026633243671</v>
      </c>
      <c r="U64" s="60">
        <f t="shared" si="28"/>
        <v>195.92429167298877</v>
      </c>
      <c r="V64" s="60">
        <f t="shared" si="28"/>
        <v>200.94464806712483</v>
      </c>
      <c r="W64" s="60">
        <f t="shared" si="28"/>
        <v>206.08386578531059</v>
      </c>
      <c r="X64" s="60">
        <f t="shared" si="28"/>
        <v>211.34452149689241</v>
      </c>
      <c r="Y64" s="60">
        <f t="shared" si="28"/>
        <v>216.72923876239895</v>
      </c>
      <c r="Z64" s="60">
        <f t="shared" si="28"/>
        <v>222.24068851333399</v>
      </c>
      <c r="AA64" s="60">
        <f t="shared" si="28"/>
        <v>227.88158951826128</v>
      </c>
      <c r="AB64" s="60">
        <f t="shared" si="28"/>
        <v>233.65470883392089</v>
      </c>
      <c r="AC64" s="60">
        <f t="shared" si="28"/>
        <v>239.56286224005427</v>
      </c>
      <c r="AD64" s="60">
        <f t="shared" si="28"/>
        <v>245.60891465654788</v>
      </c>
      <c r="AE64" s="60">
        <f t="shared" si="28"/>
        <v>251.79578054143653</v>
      </c>
      <c r="AF64" s="60">
        <f t="shared" si="28"/>
        <v>258.12642426823766</v>
      </c>
      <c r="AG64" s="60">
        <f t="shared" si="28"/>
        <v>264.60386048100963</v>
      </c>
      <c r="AH64" s="60">
        <f t="shared" si="28"/>
        <v>271.23115442545378</v>
      </c>
      <c r="AI64" s="60">
        <f t="shared" si="28"/>
        <v>278.01142225429373</v>
      </c>
      <c r="AJ64" s="60">
        <f t="shared" si="28"/>
        <v>284.94783130508654</v>
      </c>
      <c r="AK64" s="60">
        <f t="shared" si="28"/>
        <v>292.04360034852755</v>
      </c>
      <c r="AL64" s="60">
        <f t="shared" si="28"/>
        <v>299.30199980522247</v>
      </c>
      <c r="AM64" s="60">
        <f t="shared" si="28"/>
        <v>306.72635192880392</v>
      </c>
      <c r="AN64" s="60">
        <f t="shared" si="28"/>
        <v>314.32003095316998</v>
      </c>
      <c r="AO64" s="60">
        <f t="shared" si="28"/>
        <v>322.08646320152053</v>
      </c>
      <c r="AP64" s="60">
        <f t="shared" si="28"/>
        <v>330.0291271547577</v>
      </c>
      <c r="AQ64" s="60">
        <f t="shared" si="28"/>
        <v>338.15155347670816</v>
      </c>
      <c r="AR64" s="60">
        <f t="shared" si="28"/>
        <v>346.45732499350476</v>
      </c>
      <c r="AS64" s="60">
        <f t="shared" si="28"/>
        <v>354.95007662434784</v>
      </c>
      <c r="AT64" s="60">
        <f t="shared" si="28"/>
        <v>363.63349526073858</v>
      </c>
    </row>
    <row r="65" spans="2:46" x14ac:dyDescent="0.55000000000000004">
      <c r="B65" s="18" t="s">
        <v>58</v>
      </c>
      <c r="C65" s="81"/>
      <c r="D65" s="81"/>
      <c r="E65" s="14"/>
      <c r="F65" s="77"/>
      <c r="G65" s="81"/>
      <c r="H65" s="81"/>
      <c r="J65" s="81"/>
      <c r="K65" s="45">
        <f>G13</f>
        <v>-1973.8425</v>
      </c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</row>
    <row r="66" spans="2:46" x14ac:dyDescent="0.55000000000000004">
      <c r="B66" s="18" t="s">
        <v>59</v>
      </c>
      <c r="D66" s="1"/>
      <c r="F66" s="48"/>
      <c r="L66" s="45">
        <f>G17</f>
        <v>580.30969499999992</v>
      </c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</row>
    <row r="67" spans="2:46" x14ac:dyDescent="0.55000000000000004">
      <c r="B67" s="18" t="s">
        <v>60</v>
      </c>
      <c r="D67" s="1"/>
      <c r="F67" s="48"/>
      <c r="L67" s="45">
        <f>L58</f>
        <v>300.05332701749995</v>
      </c>
      <c r="M67" s="45">
        <f t="shared" ref="M67:AT67" si="29">M58</f>
        <v>40.964549499999983</v>
      </c>
      <c r="N67" s="45">
        <f t="shared" si="29"/>
        <v>0.52129979999999132</v>
      </c>
      <c r="O67" s="45">
        <f t="shared" si="29"/>
        <v>-25.032140279798174</v>
      </c>
      <c r="P67" s="45">
        <f t="shared" si="29"/>
        <v>-26.557697870341407</v>
      </c>
      <c r="Q67" s="45">
        <f t="shared" si="29"/>
        <v>-45.031663201995407</v>
      </c>
      <c r="R67" s="45">
        <f t="shared" si="29"/>
        <v>-63.542960842315381</v>
      </c>
      <c r="S67" s="45">
        <f t="shared" si="29"/>
        <v>-65.180530684575231</v>
      </c>
      <c r="T67" s="45">
        <f t="shared" si="29"/>
        <v>-66.857093216352837</v>
      </c>
      <c r="U67" s="45">
        <f t="shared" si="29"/>
        <v>-68.573502085546068</v>
      </c>
      <c r="V67" s="45">
        <f t="shared" si="29"/>
        <v>-70.330626823493688</v>
      </c>
      <c r="W67" s="45">
        <f t="shared" si="29"/>
        <v>-72.129353024858702</v>
      </c>
      <c r="X67" s="45">
        <f t="shared" si="29"/>
        <v>-73.970582523912341</v>
      </c>
      <c r="Y67" s="45">
        <f t="shared" si="29"/>
        <v>-75.85523356683963</v>
      </c>
      <c r="Z67" s="45">
        <f t="shared" si="29"/>
        <v>-77.78424097966689</v>
      </c>
      <c r="AA67" s="45">
        <f t="shared" si="29"/>
        <v>-79.758556331391446</v>
      </c>
      <c r="AB67" s="45">
        <f t="shared" si="29"/>
        <v>-81.779148091872301</v>
      </c>
      <c r="AC67" s="45">
        <f t="shared" si="29"/>
        <v>-83.847001784018985</v>
      </c>
      <c r="AD67" s="45">
        <f t="shared" si="29"/>
        <v>-85.963120129791747</v>
      </c>
      <c r="AE67" s="45">
        <f t="shared" si="29"/>
        <v>-88.128523189502786</v>
      </c>
      <c r="AF67" s="45">
        <f t="shared" si="29"/>
        <v>-90.344248493883171</v>
      </c>
      <c r="AG67" s="45">
        <f t="shared" si="29"/>
        <v>-92.611351168353366</v>
      </c>
      <c r="AH67" s="45">
        <f t="shared" si="29"/>
        <v>-94.930904048908815</v>
      </c>
      <c r="AI67" s="45">
        <f t="shared" si="29"/>
        <v>-97.303997789002807</v>
      </c>
      <c r="AJ67" s="45">
        <f t="shared" si="29"/>
        <v>-99.731740956780286</v>
      </c>
      <c r="AK67" s="45">
        <f t="shared" si="29"/>
        <v>-102.21526012198464</v>
      </c>
      <c r="AL67" s="45">
        <f t="shared" si="29"/>
        <v>-104.75569993182786</v>
      </c>
      <c r="AM67" s="45">
        <f t="shared" si="29"/>
        <v>-107.35422317508137</v>
      </c>
      <c r="AN67" s="45">
        <f t="shared" si="29"/>
        <v>-110.01201083360948</v>
      </c>
      <c r="AO67" s="45">
        <f t="shared" si="29"/>
        <v>-112.73026212053217</v>
      </c>
      <c r="AP67" s="45">
        <f t="shared" si="29"/>
        <v>-115.51019450416518</v>
      </c>
      <c r="AQ67" s="45">
        <f t="shared" si="29"/>
        <v>-118.35304371684785</v>
      </c>
      <c r="AR67" s="45">
        <f t="shared" si="29"/>
        <v>-121.26006374772666</v>
      </c>
      <c r="AS67" s="45">
        <f t="shared" si="29"/>
        <v>-124.23252681852173</v>
      </c>
      <c r="AT67" s="45">
        <f t="shared" si="29"/>
        <v>-127.27172334125849</v>
      </c>
    </row>
    <row r="68" spans="2:46" x14ac:dyDescent="0.55000000000000004">
      <c r="B68" s="18" t="s">
        <v>61</v>
      </c>
      <c r="D68" s="79"/>
      <c r="F68" s="48"/>
    </row>
    <row r="69" spans="2:46" ht="12.9" x14ac:dyDescent="0.55000000000000004">
      <c r="B69" s="14" t="s">
        <v>62</v>
      </c>
      <c r="C69" s="85"/>
      <c r="D69" s="81"/>
      <c r="E69" s="77"/>
      <c r="F69" s="77"/>
      <c r="G69" s="81"/>
      <c r="K69" s="86">
        <f>G13</f>
        <v>-1973.8425</v>
      </c>
      <c r="L69" s="86">
        <f t="shared" ref="L69:AT69" si="30">SUM(L64:L67)</f>
        <v>1029.7274769674998</v>
      </c>
      <c r="M69" s="86">
        <f t="shared" si="30"/>
        <v>192.36555949999999</v>
      </c>
      <c r="N69" s="86">
        <f t="shared" si="30"/>
        <v>160.09741979999998</v>
      </c>
      <c r="O69" s="86">
        <f t="shared" si="30"/>
        <v>143.12758931962517</v>
      </c>
      <c r="P69" s="86">
        <f t="shared" si="30"/>
        <v>145.96076770206261</v>
      </c>
      <c r="Q69" s="86">
        <f t="shared" si="30"/>
        <v>131.94989606084863</v>
      </c>
      <c r="R69" s="86">
        <f t="shared" si="30"/>
        <v>118.00835585001428</v>
      </c>
      <c r="S69" s="86">
        <f t="shared" si="30"/>
        <v>121.04955698563974</v>
      </c>
      <c r="T69" s="86">
        <f t="shared" si="30"/>
        <v>124.16317311608387</v>
      </c>
      <c r="U69" s="86">
        <f t="shared" si="30"/>
        <v>127.3507895874427</v>
      </c>
      <c r="V69" s="86">
        <f t="shared" si="30"/>
        <v>130.61402124363116</v>
      </c>
      <c r="W69" s="86">
        <f t="shared" si="30"/>
        <v>133.95451276045191</v>
      </c>
      <c r="X69" s="86">
        <f t="shared" si="30"/>
        <v>137.37393897298006</v>
      </c>
      <c r="Y69" s="86">
        <f t="shared" si="30"/>
        <v>140.87400519555933</v>
      </c>
      <c r="Z69" s="86">
        <f t="shared" si="30"/>
        <v>144.4564475336671</v>
      </c>
      <c r="AA69" s="86">
        <f t="shared" si="30"/>
        <v>148.12303318686983</v>
      </c>
      <c r="AB69" s="86">
        <f t="shared" si="30"/>
        <v>151.87556074204861</v>
      </c>
      <c r="AC69" s="86">
        <f t="shared" si="30"/>
        <v>155.71586045603527</v>
      </c>
      <c r="AD69" s="86">
        <f t="shared" si="30"/>
        <v>159.64579452675613</v>
      </c>
      <c r="AE69" s="86">
        <f t="shared" si="30"/>
        <v>163.66725735193376</v>
      </c>
      <c r="AF69" s="86">
        <f t="shared" si="30"/>
        <v>167.78217577435447</v>
      </c>
      <c r="AG69" s="86">
        <f t="shared" si="30"/>
        <v>171.99250931265627</v>
      </c>
      <c r="AH69" s="86">
        <f t="shared" si="30"/>
        <v>176.30025037654497</v>
      </c>
      <c r="AI69" s="86">
        <f t="shared" si="30"/>
        <v>180.70742446529093</v>
      </c>
      <c r="AJ69" s="86">
        <f t="shared" si="30"/>
        <v>185.21609034830624</v>
      </c>
      <c r="AK69" s="86">
        <f t="shared" si="30"/>
        <v>189.82834022654291</v>
      </c>
      <c r="AL69" s="86">
        <f t="shared" si="30"/>
        <v>194.54629987339462</v>
      </c>
      <c r="AM69" s="86">
        <f t="shared" si="30"/>
        <v>199.37212875372256</v>
      </c>
      <c r="AN69" s="86">
        <f t="shared" si="30"/>
        <v>204.3080201195605</v>
      </c>
      <c r="AO69" s="86">
        <f t="shared" si="30"/>
        <v>209.35620108098834</v>
      </c>
      <c r="AP69" s="86">
        <f t="shared" si="30"/>
        <v>214.51893265059252</v>
      </c>
      <c r="AQ69" s="86">
        <f t="shared" si="30"/>
        <v>219.79850975986031</v>
      </c>
      <c r="AR69" s="86">
        <f t="shared" si="30"/>
        <v>225.19726124577809</v>
      </c>
      <c r="AS69" s="86">
        <f t="shared" si="30"/>
        <v>230.71754980582611</v>
      </c>
      <c r="AT69" s="86">
        <f t="shared" si="30"/>
        <v>236.36177191948008</v>
      </c>
    </row>
    <row r="70" spans="2:46" x14ac:dyDescent="0.55000000000000004">
      <c r="F70" s="18"/>
      <c r="G70" s="18"/>
      <c r="I70" s="87"/>
      <c r="K70" s="88"/>
      <c r="M70" s="48"/>
    </row>
    <row r="71" spans="2:46" ht="12.9" x14ac:dyDescent="0.55000000000000004">
      <c r="B71" s="89" t="s">
        <v>63</v>
      </c>
      <c r="C71" s="90"/>
      <c r="D71" s="83"/>
      <c r="E71" s="83"/>
      <c r="F71" s="83"/>
      <c r="G71" s="83"/>
      <c r="H71" s="91"/>
      <c r="I71" s="92"/>
      <c r="J71" s="92">
        <f>XIRR(K69:AT69,K63:AT63)</f>
        <v>0.13471218943595892</v>
      </c>
      <c r="K71" s="93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</row>
    <row r="74" spans="2:46" x14ac:dyDescent="0.55000000000000004">
      <c r="B74" s="14" t="s">
        <v>73</v>
      </c>
    </row>
    <row r="75" spans="2:46" ht="12.9" x14ac:dyDescent="0.55000000000000004">
      <c r="F75" s="2" t="s">
        <v>74</v>
      </c>
      <c r="J75" s="92"/>
    </row>
    <row r="77" spans="2:46" x14ac:dyDescent="0.55000000000000004">
      <c r="C77" s="96"/>
      <c r="D77" s="97"/>
      <c r="F77" s="96" t="s">
        <v>75</v>
      </c>
      <c r="G77" s="97">
        <v>6.3500000000000001E-2</v>
      </c>
    </row>
    <row r="78" spans="2:46" x14ac:dyDescent="0.55000000000000004">
      <c r="C78" s="96"/>
      <c r="D78" s="98"/>
      <c r="F78" s="96" t="s">
        <v>76</v>
      </c>
      <c r="G78" s="7">
        <v>1200</v>
      </c>
    </row>
    <row r="79" spans="2:46" x14ac:dyDescent="0.55000000000000004">
      <c r="C79" s="96"/>
      <c r="D79" s="7"/>
      <c r="F79" s="96" t="s">
        <v>77</v>
      </c>
      <c r="G79" s="7">
        <v>15</v>
      </c>
    </row>
    <row r="80" spans="2:46" x14ac:dyDescent="0.55000000000000004">
      <c r="C80" s="96"/>
      <c r="D80" s="98"/>
      <c r="F80" s="96" t="s">
        <v>78</v>
      </c>
      <c r="G80" s="7">
        <f>-PMT(G77,G79,G78)/4-L47/2</f>
        <v>41.603936562257978</v>
      </c>
    </row>
    <row r="81" spans="2:46" x14ac:dyDescent="0.55000000000000004">
      <c r="B81" s="2" t="s">
        <v>79</v>
      </c>
      <c r="K81" s="2">
        <v>1</v>
      </c>
      <c r="L81" s="2">
        <f>K81+1</f>
        <v>2</v>
      </c>
      <c r="M81" s="2">
        <f t="shared" ref="M81:AS81" si="31">L81+1</f>
        <v>3</v>
      </c>
      <c r="N81" s="2">
        <f t="shared" si="31"/>
        <v>4</v>
      </c>
      <c r="O81" s="2">
        <f t="shared" si="31"/>
        <v>5</v>
      </c>
      <c r="P81" s="2">
        <f t="shared" si="31"/>
        <v>6</v>
      </c>
      <c r="Q81" s="2">
        <f t="shared" si="31"/>
        <v>7</v>
      </c>
      <c r="R81" s="2">
        <f t="shared" si="31"/>
        <v>8</v>
      </c>
      <c r="S81" s="2">
        <f t="shared" si="31"/>
        <v>9</v>
      </c>
      <c r="T81" s="2">
        <f t="shared" si="31"/>
        <v>10</v>
      </c>
      <c r="U81" s="2">
        <f t="shared" si="31"/>
        <v>11</v>
      </c>
      <c r="V81" s="2">
        <f t="shared" si="31"/>
        <v>12</v>
      </c>
      <c r="W81" s="2">
        <f t="shared" si="31"/>
        <v>13</v>
      </c>
      <c r="X81" s="2">
        <f t="shared" si="31"/>
        <v>14</v>
      </c>
      <c r="Y81" s="2">
        <f t="shared" si="31"/>
        <v>15</v>
      </c>
      <c r="Z81" s="2">
        <f t="shared" si="31"/>
        <v>16</v>
      </c>
      <c r="AA81" s="2">
        <f t="shared" si="31"/>
        <v>17</v>
      </c>
      <c r="AB81" s="2">
        <f t="shared" si="31"/>
        <v>18</v>
      </c>
      <c r="AC81" s="2">
        <f t="shared" si="31"/>
        <v>19</v>
      </c>
      <c r="AD81" s="2">
        <f t="shared" si="31"/>
        <v>20</v>
      </c>
      <c r="AE81" s="2">
        <f t="shared" si="31"/>
        <v>21</v>
      </c>
      <c r="AF81" s="2">
        <f t="shared" si="31"/>
        <v>22</v>
      </c>
      <c r="AG81" s="2">
        <f t="shared" si="31"/>
        <v>23</v>
      </c>
      <c r="AH81" s="2">
        <f t="shared" si="31"/>
        <v>24</v>
      </c>
      <c r="AI81" s="2">
        <f t="shared" si="31"/>
        <v>25</v>
      </c>
      <c r="AJ81" s="2">
        <f t="shared" si="31"/>
        <v>26</v>
      </c>
      <c r="AK81" s="2">
        <f t="shared" si="31"/>
        <v>27</v>
      </c>
      <c r="AL81" s="2">
        <f t="shared" si="31"/>
        <v>28</v>
      </c>
      <c r="AM81" s="2">
        <f t="shared" si="31"/>
        <v>29</v>
      </c>
      <c r="AN81" s="2">
        <f t="shared" si="31"/>
        <v>30</v>
      </c>
      <c r="AO81" s="2">
        <f t="shared" si="31"/>
        <v>31</v>
      </c>
      <c r="AP81" s="2">
        <f t="shared" si="31"/>
        <v>32</v>
      </c>
      <c r="AQ81" s="2">
        <f t="shared" si="31"/>
        <v>33</v>
      </c>
      <c r="AR81" s="2">
        <f t="shared" si="31"/>
        <v>34</v>
      </c>
      <c r="AS81" s="2">
        <f t="shared" si="31"/>
        <v>35</v>
      </c>
    </row>
    <row r="83" spans="2:46" x14ac:dyDescent="0.55000000000000004">
      <c r="B83" s="2" t="s">
        <v>80</v>
      </c>
      <c r="K83" s="11">
        <f>J86</f>
        <v>0</v>
      </c>
      <c r="L83" s="11">
        <f t="shared" ref="L83:AS83" si="32">K86</f>
        <v>1200</v>
      </c>
      <c r="M83" s="11">
        <f t="shared" si="32"/>
        <v>1167.9000000000001</v>
      </c>
      <c r="N83" s="11">
        <f t="shared" si="32"/>
        <v>1132.2</v>
      </c>
      <c r="O83" s="11">
        <f t="shared" si="32"/>
        <v>1091.4000000000001</v>
      </c>
      <c r="P83" s="11">
        <f t="shared" si="32"/>
        <v>1044.9000000000001</v>
      </c>
      <c r="Q83" s="11">
        <f t="shared" si="32"/>
        <v>992.10000000000014</v>
      </c>
      <c r="R83" s="11">
        <f t="shared" si="32"/>
        <v>932.70000000000016</v>
      </c>
      <c r="S83" s="11">
        <f t="shared" si="32"/>
        <v>866.4000000000002</v>
      </c>
      <c r="T83" s="11">
        <f t="shared" si="32"/>
        <v>792.00000000000023</v>
      </c>
      <c r="U83" s="11">
        <f t="shared" si="32"/>
        <v>709.50000000000023</v>
      </c>
      <c r="V83" s="11">
        <f t="shared" si="32"/>
        <v>618.00000000000023</v>
      </c>
      <c r="W83" s="11">
        <f t="shared" si="32"/>
        <v>509.13238000074563</v>
      </c>
      <c r="X83" s="11">
        <f t="shared" si="32"/>
        <v>393.35166613153837</v>
      </c>
      <c r="Y83" s="11">
        <f t="shared" si="32"/>
        <v>270.21887693163649</v>
      </c>
      <c r="Z83" s="11">
        <f t="shared" si="32"/>
        <v>139.26715561754079</v>
      </c>
      <c r="AA83" s="11">
        <f t="shared" si="32"/>
        <v>0</v>
      </c>
      <c r="AB83" s="11">
        <f t="shared" si="32"/>
        <v>0</v>
      </c>
      <c r="AC83" s="11">
        <f t="shared" si="32"/>
        <v>0</v>
      </c>
      <c r="AD83" s="11">
        <f t="shared" si="32"/>
        <v>0</v>
      </c>
      <c r="AE83" s="11">
        <f t="shared" si="32"/>
        <v>0</v>
      </c>
      <c r="AF83" s="11">
        <f t="shared" si="32"/>
        <v>0</v>
      </c>
      <c r="AG83" s="11">
        <f t="shared" si="32"/>
        <v>0</v>
      </c>
      <c r="AH83" s="11">
        <f t="shared" si="32"/>
        <v>0</v>
      </c>
      <c r="AI83" s="11">
        <f t="shared" si="32"/>
        <v>0</v>
      </c>
      <c r="AJ83" s="11">
        <f t="shared" si="32"/>
        <v>0</v>
      </c>
      <c r="AK83" s="11">
        <f t="shared" si="32"/>
        <v>0</v>
      </c>
      <c r="AL83" s="11">
        <f t="shared" si="32"/>
        <v>0</v>
      </c>
      <c r="AM83" s="11">
        <f t="shared" si="32"/>
        <v>0</v>
      </c>
      <c r="AN83" s="11">
        <f t="shared" si="32"/>
        <v>0</v>
      </c>
      <c r="AO83" s="11">
        <f t="shared" si="32"/>
        <v>0</v>
      </c>
      <c r="AP83" s="11">
        <f t="shared" si="32"/>
        <v>0</v>
      </c>
      <c r="AQ83" s="11">
        <f t="shared" si="32"/>
        <v>0</v>
      </c>
      <c r="AR83" s="11">
        <f t="shared" si="32"/>
        <v>0</v>
      </c>
      <c r="AS83" s="11">
        <f t="shared" si="32"/>
        <v>0</v>
      </c>
    </row>
    <row r="84" spans="2:46" x14ac:dyDescent="0.55000000000000004">
      <c r="B84" s="2" t="s">
        <v>81</v>
      </c>
      <c r="K84" s="11">
        <f>G78</f>
        <v>1200</v>
      </c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</row>
    <row r="85" spans="2:46" x14ac:dyDescent="0.55000000000000004">
      <c r="B85" s="2" t="s">
        <v>82</v>
      </c>
      <c r="K85" s="11"/>
      <c r="L85" s="11">
        <v>-32.1</v>
      </c>
      <c r="M85" s="11">
        <v>-35.700000000000003</v>
      </c>
      <c r="N85" s="11">
        <v>-40.799999999999997</v>
      </c>
      <c r="O85" s="11">
        <v>-46.5</v>
      </c>
      <c r="P85" s="11">
        <v>-52.8</v>
      </c>
      <c r="Q85" s="11">
        <v>-59.4</v>
      </c>
      <c r="R85" s="11">
        <v>-66.3</v>
      </c>
      <c r="S85" s="11">
        <v>-74.400000000000006</v>
      </c>
      <c r="T85" s="11">
        <v>-82.5</v>
      </c>
      <c r="U85" s="11">
        <v>-91.5</v>
      </c>
      <c r="V85" s="11">
        <f>IFERROR(PPMT($G$77,U$81-10,$G$79-10,$V$83),)</f>
        <v>-108.8676199992546</v>
      </c>
      <c r="W85" s="11">
        <f t="shared" ref="W85:AB85" si="33">IFERROR(PPMT($G$77,V$81-10,$G$79-10,$V$83),)</f>
        <v>-115.78071386920726</v>
      </c>
      <c r="X85" s="11">
        <f t="shared" si="33"/>
        <v>-123.13278919990191</v>
      </c>
      <c r="Y85" s="11">
        <f t="shared" si="33"/>
        <v>-130.95172131409569</v>
      </c>
      <c r="Z85" s="11">
        <f t="shared" si="33"/>
        <v>-139.26715561754074</v>
      </c>
      <c r="AA85" s="11">
        <f t="shared" si="33"/>
        <v>0</v>
      </c>
      <c r="AB85" s="11">
        <f t="shared" si="33"/>
        <v>0</v>
      </c>
      <c r="AC85" s="11">
        <f t="shared" ref="AC85:AS85" si="34">IFERROR(PPMT($G$77,AB$81,$G$79,$G$78),)</f>
        <v>0</v>
      </c>
      <c r="AD85" s="11">
        <f t="shared" si="34"/>
        <v>0</v>
      </c>
      <c r="AE85" s="11">
        <f t="shared" si="34"/>
        <v>0</v>
      </c>
      <c r="AF85" s="11">
        <f t="shared" si="34"/>
        <v>0</v>
      </c>
      <c r="AG85" s="11">
        <f t="shared" si="34"/>
        <v>0</v>
      </c>
      <c r="AH85" s="11">
        <f t="shared" si="34"/>
        <v>0</v>
      </c>
      <c r="AI85" s="11">
        <f t="shared" si="34"/>
        <v>0</v>
      </c>
      <c r="AJ85" s="11">
        <f t="shared" si="34"/>
        <v>0</v>
      </c>
      <c r="AK85" s="11">
        <f t="shared" si="34"/>
        <v>0</v>
      </c>
      <c r="AL85" s="11">
        <f t="shared" si="34"/>
        <v>0</v>
      </c>
      <c r="AM85" s="11">
        <f t="shared" si="34"/>
        <v>0</v>
      </c>
      <c r="AN85" s="11">
        <f t="shared" si="34"/>
        <v>0</v>
      </c>
      <c r="AO85" s="11">
        <f t="shared" si="34"/>
        <v>0</v>
      </c>
      <c r="AP85" s="11">
        <f t="shared" si="34"/>
        <v>0</v>
      </c>
      <c r="AQ85" s="11">
        <f t="shared" si="34"/>
        <v>0</v>
      </c>
      <c r="AR85" s="11">
        <f t="shared" si="34"/>
        <v>0</v>
      </c>
      <c r="AS85" s="11">
        <f t="shared" si="34"/>
        <v>0</v>
      </c>
    </row>
    <row r="86" spans="2:46" x14ac:dyDescent="0.55000000000000004">
      <c r="B86" s="2" t="s">
        <v>83</v>
      </c>
      <c r="K86" s="11">
        <f>SUM(K83:K85)</f>
        <v>1200</v>
      </c>
      <c r="L86" s="11">
        <f t="shared" ref="L86:AS86" si="35">SUM(L83:L85)</f>
        <v>1167.9000000000001</v>
      </c>
      <c r="M86" s="11">
        <f t="shared" si="35"/>
        <v>1132.2</v>
      </c>
      <c r="N86" s="11">
        <f t="shared" si="35"/>
        <v>1091.4000000000001</v>
      </c>
      <c r="O86" s="11">
        <f t="shared" si="35"/>
        <v>1044.9000000000001</v>
      </c>
      <c r="P86" s="11">
        <f t="shared" si="35"/>
        <v>992.10000000000014</v>
      </c>
      <c r="Q86" s="11">
        <f t="shared" si="35"/>
        <v>932.70000000000016</v>
      </c>
      <c r="R86" s="11">
        <f t="shared" si="35"/>
        <v>866.4000000000002</v>
      </c>
      <c r="S86" s="11">
        <f t="shared" si="35"/>
        <v>792.00000000000023</v>
      </c>
      <c r="T86" s="11">
        <f t="shared" si="35"/>
        <v>709.50000000000023</v>
      </c>
      <c r="U86" s="11">
        <f t="shared" si="35"/>
        <v>618.00000000000023</v>
      </c>
      <c r="V86" s="11">
        <f t="shared" si="35"/>
        <v>509.13238000074563</v>
      </c>
      <c r="W86" s="11">
        <f t="shared" si="35"/>
        <v>393.35166613153837</v>
      </c>
      <c r="X86" s="11">
        <f t="shared" si="35"/>
        <v>270.21887693163649</v>
      </c>
      <c r="Y86" s="11">
        <f t="shared" si="35"/>
        <v>139.26715561754079</v>
      </c>
      <c r="Z86" s="11">
        <f t="shared" si="35"/>
        <v>0</v>
      </c>
      <c r="AA86" s="11">
        <f t="shared" si="35"/>
        <v>0</v>
      </c>
      <c r="AB86" s="11">
        <f t="shared" si="35"/>
        <v>0</v>
      </c>
      <c r="AC86" s="11">
        <f t="shared" si="35"/>
        <v>0</v>
      </c>
      <c r="AD86" s="11">
        <f t="shared" si="35"/>
        <v>0</v>
      </c>
      <c r="AE86" s="11">
        <f t="shared" si="35"/>
        <v>0</v>
      </c>
      <c r="AF86" s="11">
        <f t="shared" si="35"/>
        <v>0</v>
      </c>
      <c r="AG86" s="11">
        <f t="shared" si="35"/>
        <v>0</v>
      </c>
      <c r="AH86" s="11">
        <f t="shared" si="35"/>
        <v>0</v>
      </c>
      <c r="AI86" s="11">
        <f t="shared" si="35"/>
        <v>0</v>
      </c>
      <c r="AJ86" s="11">
        <f t="shared" si="35"/>
        <v>0</v>
      </c>
      <c r="AK86" s="11">
        <f t="shared" si="35"/>
        <v>0</v>
      </c>
      <c r="AL86" s="11">
        <f t="shared" si="35"/>
        <v>0</v>
      </c>
      <c r="AM86" s="11">
        <f t="shared" si="35"/>
        <v>0</v>
      </c>
      <c r="AN86" s="11">
        <f t="shared" si="35"/>
        <v>0</v>
      </c>
      <c r="AO86" s="11">
        <f t="shared" si="35"/>
        <v>0</v>
      </c>
      <c r="AP86" s="11">
        <f t="shared" si="35"/>
        <v>0</v>
      </c>
      <c r="AQ86" s="11">
        <f t="shared" si="35"/>
        <v>0</v>
      </c>
      <c r="AR86" s="11">
        <f t="shared" si="35"/>
        <v>0</v>
      </c>
      <c r="AS86" s="11">
        <f t="shared" si="35"/>
        <v>0</v>
      </c>
    </row>
    <row r="88" spans="2:46" x14ac:dyDescent="0.55000000000000004">
      <c r="B88" s="2" t="s">
        <v>84</v>
      </c>
      <c r="K88" s="11"/>
      <c r="L88" s="11">
        <f>-AVERAGE(L83,L86)*$G$77</f>
        <v>-75.180824999999999</v>
      </c>
      <c r="M88" s="11">
        <f t="shared" ref="M88:AS88" si="36">-AVERAGE(M83,M86)*$G$77</f>
        <v>-73.028175000000019</v>
      </c>
      <c r="N88" s="11">
        <f t="shared" si="36"/>
        <v>-70.599300000000014</v>
      </c>
      <c r="O88" s="11">
        <f t="shared" si="36"/>
        <v>-67.827525000000009</v>
      </c>
      <c r="P88" s="11">
        <f t="shared" si="36"/>
        <v>-64.674750000000003</v>
      </c>
      <c r="Q88" s="11">
        <f t="shared" si="36"/>
        <v>-61.112400000000008</v>
      </c>
      <c r="R88" s="11">
        <f t="shared" si="36"/>
        <v>-57.121425000000009</v>
      </c>
      <c r="S88" s="11">
        <f t="shared" si="36"/>
        <v>-52.654200000000017</v>
      </c>
      <c r="T88" s="11">
        <f t="shared" si="36"/>
        <v>-47.672625000000018</v>
      </c>
      <c r="U88" s="11">
        <f t="shared" si="36"/>
        <v>-42.148125000000014</v>
      </c>
      <c r="V88" s="11">
        <f t="shared" si="36"/>
        <v>-35.786453065023679</v>
      </c>
      <c r="W88" s="11">
        <f t="shared" si="36"/>
        <v>-28.653868464700018</v>
      </c>
      <c r="X88" s="11">
        <f t="shared" si="36"/>
        <v>-21.068364742255802</v>
      </c>
      <c r="Y88" s="11">
        <f t="shared" si="36"/>
        <v>-13.001181533436379</v>
      </c>
      <c r="Z88" s="11">
        <f t="shared" si="36"/>
        <v>-4.42173219085692</v>
      </c>
      <c r="AA88" s="11">
        <f t="shared" si="36"/>
        <v>0</v>
      </c>
      <c r="AB88" s="11">
        <f t="shared" si="36"/>
        <v>0</v>
      </c>
      <c r="AC88" s="11">
        <f t="shared" si="36"/>
        <v>0</v>
      </c>
      <c r="AD88" s="11">
        <f t="shared" si="36"/>
        <v>0</v>
      </c>
      <c r="AE88" s="11">
        <f t="shared" si="36"/>
        <v>0</v>
      </c>
      <c r="AF88" s="11">
        <f t="shared" si="36"/>
        <v>0</v>
      </c>
      <c r="AG88" s="11">
        <f t="shared" si="36"/>
        <v>0</v>
      </c>
      <c r="AH88" s="11">
        <f t="shared" si="36"/>
        <v>0</v>
      </c>
      <c r="AI88" s="11">
        <f t="shared" si="36"/>
        <v>0</v>
      </c>
      <c r="AJ88" s="11">
        <f t="shared" si="36"/>
        <v>0</v>
      </c>
      <c r="AK88" s="11">
        <f t="shared" si="36"/>
        <v>0</v>
      </c>
      <c r="AL88" s="11">
        <f t="shared" si="36"/>
        <v>0</v>
      </c>
      <c r="AM88" s="11">
        <f t="shared" si="36"/>
        <v>0</v>
      </c>
      <c r="AN88" s="11">
        <f t="shared" si="36"/>
        <v>0</v>
      </c>
      <c r="AO88" s="11">
        <f t="shared" si="36"/>
        <v>0</v>
      </c>
      <c r="AP88" s="11">
        <f t="shared" si="36"/>
        <v>0</v>
      </c>
      <c r="AQ88" s="11">
        <f t="shared" si="36"/>
        <v>0</v>
      </c>
      <c r="AR88" s="11">
        <f t="shared" si="36"/>
        <v>0</v>
      </c>
      <c r="AS88" s="11">
        <f t="shared" si="36"/>
        <v>0</v>
      </c>
    </row>
    <row r="89" spans="2:46" x14ac:dyDescent="0.55000000000000004">
      <c r="B89" s="2" t="s">
        <v>78</v>
      </c>
      <c r="K89" s="11">
        <f>-G80</f>
        <v>-41.603936562257978</v>
      </c>
      <c r="L89" s="11">
        <f>IF(L81=$G$79+1,-$K89,)</f>
        <v>0</v>
      </c>
      <c r="M89" s="11">
        <f t="shared" ref="M89:AS89" si="37">IF(M81=$G$79+1,-$K89,)</f>
        <v>0</v>
      </c>
      <c r="N89" s="11">
        <f t="shared" si="37"/>
        <v>0</v>
      </c>
      <c r="O89" s="11">
        <f t="shared" si="37"/>
        <v>0</v>
      </c>
      <c r="P89" s="11">
        <f t="shared" si="37"/>
        <v>0</v>
      </c>
      <c r="Q89" s="11">
        <f t="shared" si="37"/>
        <v>0</v>
      </c>
      <c r="R89" s="11">
        <f t="shared" si="37"/>
        <v>0</v>
      </c>
      <c r="S89" s="11">
        <f t="shared" si="37"/>
        <v>0</v>
      </c>
      <c r="T89" s="11">
        <f t="shared" si="37"/>
        <v>0</v>
      </c>
      <c r="U89" s="11">
        <f t="shared" si="37"/>
        <v>0</v>
      </c>
      <c r="V89" s="11">
        <f t="shared" si="37"/>
        <v>0</v>
      </c>
      <c r="W89" s="11">
        <f t="shared" si="37"/>
        <v>0</v>
      </c>
      <c r="X89" s="11">
        <f t="shared" si="37"/>
        <v>0</v>
      </c>
      <c r="Y89" s="11">
        <f t="shared" si="37"/>
        <v>0</v>
      </c>
      <c r="Z89" s="11">
        <f t="shared" si="37"/>
        <v>41.603936562257978</v>
      </c>
      <c r="AA89" s="11">
        <f t="shared" si="37"/>
        <v>0</v>
      </c>
      <c r="AB89" s="11">
        <f t="shared" si="37"/>
        <v>0</v>
      </c>
      <c r="AC89" s="11">
        <f t="shared" si="37"/>
        <v>0</v>
      </c>
      <c r="AD89" s="11">
        <f t="shared" si="37"/>
        <v>0</v>
      </c>
      <c r="AE89" s="11">
        <f t="shared" si="37"/>
        <v>0</v>
      </c>
      <c r="AF89" s="11">
        <f t="shared" si="37"/>
        <v>0</v>
      </c>
      <c r="AG89" s="11">
        <f t="shared" si="37"/>
        <v>0</v>
      </c>
      <c r="AH89" s="11">
        <f t="shared" si="37"/>
        <v>0</v>
      </c>
      <c r="AI89" s="11">
        <f t="shared" si="37"/>
        <v>0</v>
      </c>
      <c r="AJ89" s="11">
        <f t="shared" si="37"/>
        <v>0</v>
      </c>
      <c r="AK89" s="11">
        <f t="shared" si="37"/>
        <v>0</v>
      </c>
      <c r="AL89" s="11">
        <f t="shared" si="37"/>
        <v>0</v>
      </c>
      <c r="AM89" s="11">
        <f t="shared" si="37"/>
        <v>0</v>
      </c>
      <c r="AN89" s="11">
        <f t="shared" si="37"/>
        <v>0</v>
      </c>
      <c r="AO89" s="11">
        <f t="shared" si="37"/>
        <v>0</v>
      </c>
      <c r="AP89" s="11">
        <f t="shared" si="37"/>
        <v>0</v>
      </c>
      <c r="AQ89" s="11">
        <f t="shared" si="37"/>
        <v>0</v>
      </c>
      <c r="AR89" s="11">
        <f t="shared" si="37"/>
        <v>0</v>
      </c>
      <c r="AS89" s="11">
        <f t="shared" si="37"/>
        <v>0</v>
      </c>
    </row>
    <row r="90" spans="2:46" x14ac:dyDescent="0.55000000000000004"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2:46" x14ac:dyDescent="0.55000000000000004">
      <c r="B91" s="2" t="s">
        <v>58</v>
      </c>
      <c r="K91" s="11">
        <f>K69+K84+K89</f>
        <v>-815.44643656225799</v>
      </c>
    </row>
    <row r="92" spans="2:46" x14ac:dyDescent="0.55000000000000004">
      <c r="B92" s="2" t="s">
        <v>85</v>
      </c>
      <c r="L92" s="11">
        <f>L50+SUM(L84:L85,L88)+L89</f>
        <v>42.083629949999988</v>
      </c>
      <c r="M92" s="11">
        <f t="shared" ref="M92:AT92" si="38">M50+SUM(M84:M85,M88)+M89</f>
        <v>42.672834999999992</v>
      </c>
      <c r="N92" s="11">
        <f t="shared" si="38"/>
        <v>48.176819999999992</v>
      </c>
      <c r="O92" s="11">
        <f t="shared" si="38"/>
        <v>53.832204599423335</v>
      </c>
      <c r="P92" s="11">
        <f t="shared" si="38"/>
        <v>55.043715572404011</v>
      </c>
      <c r="Q92" s="11">
        <f t="shared" si="38"/>
        <v>56.469159262844016</v>
      </c>
      <c r="R92" s="11">
        <f t="shared" si="38"/>
        <v>58.129891692329664</v>
      </c>
      <c r="S92" s="11">
        <f t="shared" si="38"/>
        <v>59.175887670214948</v>
      </c>
      <c r="T92" s="11">
        <f t="shared" si="38"/>
        <v>60.847641332436694</v>
      </c>
      <c r="U92" s="11">
        <f t="shared" si="38"/>
        <v>62.276166672988751</v>
      </c>
      <c r="V92" s="11">
        <f t="shared" si="38"/>
        <v>56.290575002846538</v>
      </c>
      <c r="W92" s="11">
        <f t="shared" si="38"/>
        <v>61.649283451403306</v>
      </c>
      <c r="X92" s="11">
        <f t="shared" si="38"/>
        <v>67.143367554734709</v>
      </c>
      <c r="Y92" s="11">
        <f t="shared" si="38"/>
        <v>72.776335914866877</v>
      </c>
      <c r="Z92" s="11">
        <f t="shared" si="38"/>
        <v>120.15573726719433</v>
      </c>
      <c r="AA92" s="11">
        <f t="shared" si="38"/>
        <v>227.88158951826128</v>
      </c>
      <c r="AB92" s="11">
        <f t="shared" si="38"/>
        <v>233.65470883392089</v>
      </c>
      <c r="AC92" s="11">
        <f t="shared" si="38"/>
        <v>239.56286224005427</v>
      </c>
      <c r="AD92" s="11">
        <f t="shared" si="38"/>
        <v>245.60891465654788</v>
      </c>
      <c r="AE92" s="11">
        <f t="shared" si="38"/>
        <v>251.79578054143653</v>
      </c>
      <c r="AF92" s="11">
        <f t="shared" si="38"/>
        <v>258.12642426823766</v>
      </c>
      <c r="AG92" s="11">
        <f t="shared" si="38"/>
        <v>264.60386048100963</v>
      </c>
      <c r="AH92" s="11">
        <f t="shared" si="38"/>
        <v>271.23115442545378</v>
      </c>
      <c r="AI92" s="11">
        <f t="shared" si="38"/>
        <v>278.01142225429373</v>
      </c>
      <c r="AJ92" s="11">
        <f t="shared" si="38"/>
        <v>284.94783130508654</v>
      </c>
      <c r="AK92" s="11">
        <f t="shared" si="38"/>
        <v>292.04360034852755</v>
      </c>
      <c r="AL92" s="11">
        <f t="shared" si="38"/>
        <v>299.30199980522247</v>
      </c>
      <c r="AM92" s="11">
        <f t="shared" si="38"/>
        <v>306.72635192880392</v>
      </c>
      <c r="AN92" s="11">
        <f t="shared" si="38"/>
        <v>314.32003095316998</v>
      </c>
      <c r="AO92" s="11">
        <f t="shared" si="38"/>
        <v>322.08646320152053</v>
      </c>
      <c r="AP92" s="11">
        <f t="shared" si="38"/>
        <v>330.0291271547577</v>
      </c>
      <c r="AQ92" s="11">
        <f t="shared" si="38"/>
        <v>338.15155347670816</v>
      </c>
      <c r="AR92" s="11">
        <f t="shared" si="38"/>
        <v>346.45732499350476</v>
      </c>
      <c r="AS92" s="11">
        <f t="shared" si="38"/>
        <v>354.95007662434784</v>
      </c>
      <c r="AT92" s="11">
        <f t="shared" si="38"/>
        <v>363.63349526073858</v>
      </c>
    </row>
    <row r="93" spans="2:46" x14ac:dyDescent="0.55000000000000004">
      <c r="B93" s="2" t="s">
        <v>86</v>
      </c>
      <c r="L93" s="11">
        <f t="shared" ref="L93:AT93" si="39">L67-(35%*(L88))</f>
        <v>326.36661576749998</v>
      </c>
      <c r="M93" s="11">
        <f t="shared" si="39"/>
        <v>66.524410749999987</v>
      </c>
      <c r="N93" s="11">
        <f t="shared" si="39"/>
        <v>25.231054799999995</v>
      </c>
      <c r="O93" s="11">
        <f t="shared" si="39"/>
        <v>-1.292506529798171</v>
      </c>
      <c r="P93" s="11">
        <f t="shared" si="39"/>
        <v>-3.921535370341406</v>
      </c>
      <c r="Q93" s="11">
        <f t="shared" si="39"/>
        <v>-23.642323201995406</v>
      </c>
      <c r="R93" s="11">
        <f t="shared" si="39"/>
        <v>-43.550462092315378</v>
      </c>
      <c r="S93" s="11">
        <f t="shared" si="39"/>
        <v>-46.751560684575225</v>
      </c>
      <c r="T93" s="11">
        <f t="shared" si="39"/>
        <v>-50.171674466352833</v>
      </c>
      <c r="U93" s="11">
        <f t="shared" si="39"/>
        <v>-53.821658335546061</v>
      </c>
      <c r="V93" s="11">
        <f t="shared" si="39"/>
        <v>-57.805368250735398</v>
      </c>
      <c r="W93" s="11">
        <f t="shared" si="39"/>
        <v>-62.1004990622137</v>
      </c>
      <c r="X93" s="11">
        <f t="shared" si="39"/>
        <v>-66.596654864122812</v>
      </c>
      <c r="Y93" s="11">
        <f t="shared" si="39"/>
        <v>-71.304820030136895</v>
      </c>
      <c r="Z93" s="11">
        <f t="shared" si="39"/>
        <v>-76.236634712866973</v>
      </c>
      <c r="AA93" s="11">
        <f t="shared" si="39"/>
        <v>-79.758556331391446</v>
      </c>
      <c r="AB93" s="11">
        <f t="shared" si="39"/>
        <v>-81.779148091872301</v>
      </c>
      <c r="AC93" s="11">
        <f t="shared" si="39"/>
        <v>-83.847001784018985</v>
      </c>
      <c r="AD93" s="11">
        <f t="shared" si="39"/>
        <v>-85.963120129791747</v>
      </c>
      <c r="AE93" s="11">
        <f t="shared" si="39"/>
        <v>-88.128523189502786</v>
      </c>
      <c r="AF93" s="11">
        <f t="shared" si="39"/>
        <v>-90.344248493883171</v>
      </c>
      <c r="AG93" s="11">
        <f t="shared" si="39"/>
        <v>-92.611351168353366</v>
      </c>
      <c r="AH93" s="11">
        <f t="shared" si="39"/>
        <v>-94.930904048908815</v>
      </c>
      <c r="AI93" s="11">
        <f t="shared" si="39"/>
        <v>-97.303997789002807</v>
      </c>
      <c r="AJ93" s="11">
        <f t="shared" si="39"/>
        <v>-99.731740956780286</v>
      </c>
      <c r="AK93" s="11">
        <f t="shared" si="39"/>
        <v>-102.21526012198464</v>
      </c>
      <c r="AL93" s="11">
        <f t="shared" si="39"/>
        <v>-104.75569993182786</v>
      </c>
      <c r="AM93" s="11">
        <f t="shared" si="39"/>
        <v>-107.35422317508137</v>
      </c>
      <c r="AN93" s="11">
        <f t="shared" si="39"/>
        <v>-110.01201083360948</v>
      </c>
      <c r="AO93" s="11">
        <f t="shared" si="39"/>
        <v>-112.73026212053217</v>
      </c>
      <c r="AP93" s="11">
        <f t="shared" si="39"/>
        <v>-115.51019450416518</v>
      </c>
      <c r="AQ93" s="11">
        <f t="shared" si="39"/>
        <v>-118.35304371684785</v>
      </c>
      <c r="AR93" s="11">
        <f t="shared" si="39"/>
        <v>-121.26006374772666</v>
      </c>
      <c r="AS93" s="11">
        <f t="shared" si="39"/>
        <v>-124.23252681852173</v>
      </c>
      <c r="AT93" s="11">
        <f t="shared" si="39"/>
        <v>-127.27172334125849</v>
      </c>
    </row>
    <row r="94" spans="2:46" x14ac:dyDescent="0.55000000000000004">
      <c r="B94" s="2" t="s">
        <v>59</v>
      </c>
      <c r="L94" s="11">
        <f>L66</f>
        <v>580.30969499999992</v>
      </c>
    </row>
    <row r="95" spans="2:46" ht="12.9" x14ac:dyDescent="0.55000000000000004">
      <c r="B95" s="81" t="s">
        <v>87</v>
      </c>
      <c r="K95" s="86">
        <f>SUM(K91:K94)</f>
        <v>-815.44643656225799</v>
      </c>
      <c r="L95" s="86">
        <f t="shared" ref="L95:AT95" si="40">SUM(L91:L94)</f>
        <v>948.75994071749983</v>
      </c>
      <c r="M95" s="86">
        <f t="shared" si="40"/>
        <v>109.19724574999998</v>
      </c>
      <c r="N95" s="86">
        <f t="shared" si="40"/>
        <v>73.407874799999988</v>
      </c>
      <c r="O95" s="86">
        <f t="shared" si="40"/>
        <v>52.53969806962516</v>
      </c>
      <c r="P95" s="86">
        <f t="shared" si="40"/>
        <v>51.122180202062609</v>
      </c>
      <c r="Q95" s="86">
        <f t="shared" si="40"/>
        <v>32.826836060848606</v>
      </c>
      <c r="R95" s="86">
        <f t="shared" si="40"/>
        <v>14.579429600014286</v>
      </c>
      <c r="S95" s="86">
        <f t="shared" si="40"/>
        <v>12.424326985639723</v>
      </c>
      <c r="T95" s="86">
        <f t="shared" si="40"/>
        <v>10.675966866083861</v>
      </c>
      <c r="U95" s="86">
        <f t="shared" si="40"/>
        <v>8.4545083374426895</v>
      </c>
      <c r="V95" s="86">
        <f t="shared" si="40"/>
        <v>-1.5147932478888606</v>
      </c>
      <c r="W95" s="86">
        <f t="shared" si="40"/>
        <v>-0.45121561081039374</v>
      </c>
      <c r="X95" s="86">
        <f t="shared" si="40"/>
        <v>0.54671269061189776</v>
      </c>
      <c r="Y95" s="86">
        <f t="shared" si="40"/>
        <v>1.4715158847299818</v>
      </c>
      <c r="Z95" s="86">
        <f t="shared" si="40"/>
        <v>43.919102554327353</v>
      </c>
      <c r="AA95" s="86">
        <f t="shared" si="40"/>
        <v>148.12303318686983</v>
      </c>
      <c r="AB95" s="86">
        <f t="shared" si="40"/>
        <v>151.87556074204861</v>
      </c>
      <c r="AC95" s="86">
        <f t="shared" si="40"/>
        <v>155.71586045603527</v>
      </c>
      <c r="AD95" s="86">
        <f t="shared" si="40"/>
        <v>159.64579452675613</v>
      </c>
      <c r="AE95" s="86">
        <f t="shared" si="40"/>
        <v>163.66725735193376</v>
      </c>
      <c r="AF95" s="86">
        <f t="shared" si="40"/>
        <v>167.78217577435447</v>
      </c>
      <c r="AG95" s="86">
        <f t="shared" si="40"/>
        <v>171.99250931265627</v>
      </c>
      <c r="AH95" s="86">
        <f t="shared" si="40"/>
        <v>176.30025037654497</v>
      </c>
      <c r="AI95" s="86">
        <f t="shared" si="40"/>
        <v>180.70742446529093</v>
      </c>
      <c r="AJ95" s="86">
        <f t="shared" si="40"/>
        <v>185.21609034830624</v>
      </c>
      <c r="AK95" s="86">
        <f t="shared" si="40"/>
        <v>189.82834022654291</v>
      </c>
      <c r="AL95" s="86">
        <f t="shared" si="40"/>
        <v>194.54629987339462</v>
      </c>
      <c r="AM95" s="86">
        <f t="shared" si="40"/>
        <v>199.37212875372256</v>
      </c>
      <c r="AN95" s="86">
        <f t="shared" si="40"/>
        <v>204.3080201195605</v>
      </c>
      <c r="AO95" s="86">
        <f t="shared" si="40"/>
        <v>209.35620108098834</v>
      </c>
      <c r="AP95" s="86">
        <f t="shared" si="40"/>
        <v>214.51893265059252</v>
      </c>
      <c r="AQ95" s="86">
        <f t="shared" si="40"/>
        <v>219.79850975986031</v>
      </c>
      <c r="AR95" s="86">
        <f t="shared" si="40"/>
        <v>225.19726124577809</v>
      </c>
      <c r="AS95" s="86">
        <f t="shared" si="40"/>
        <v>230.71754980582611</v>
      </c>
      <c r="AT95" s="86">
        <f t="shared" si="40"/>
        <v>236.36177191948008</v>
      </c>
    </row>
  </sheetData>
  <mergeCells count="1">
    <mergeCell ref="AK18:AT18"/>
  </mergeCells>
  <dataValidations count="1">
    <dataValidation type="list" allowBlank="1" showInputMessage="1" showErrorMessage="1" sqref="C9" xr:uid="{00000000-0002-0000-0000-000000000000}">
      <formula1>"Option 1,Option 2"</formula1>
    </dataValidation>
  </dataValidations>
  <pageMargins left="0.7" right="0.7" top="0.75" bottom="0.75" header="0.3" footer="0.3"/>
  <pageSetup paperSize="9" scale="56" orientation="portrait" r:id="rId1"/>
  <colBreaks count="2" manualBreakCount="2">
    <brk id="10" max="1048575" man="1"/>
    <brk id="2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NS - Colusa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 Bujanover</dc:creator>
  <cp:lastModifiedBy>Ran Bujanover</cp:lastModifiedBy>
  <dcterms:created xsi:type="dcterms:W3CDTF">2016-08-06T00:43:16Z</dcterms:created>
  <dcterms:modified xsi:type="dcterms:W3CDTF">2020-05-28T19:25:39Z</dcterms:modified>
</cp:coreProperties>
</file>