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Ran Bujanover\Blue Sky Utility Dropbox\Ran Bujanover\Data Rooms for Funding\Data Room (Energetic)\Refinancing Opportunity\NS - Orland\07. Model\"/>
    </mc:Choice>
  </mc:AlternateContent>
  <xr:revisionPtr revIDLastSave="0" documentId="13_ncr:1_{F1C3EB03-038C-4D74-B49C-3504D2513811}" xr6:coauthVersionLast="45" xr6:coauthVersionMax="45" xr10:uidLastSave="{00000000-0000-0000-0000-000000000000}"/>
  <bookViews>
    <workbookView xWindow="252" yWindow="366" windowWidth="18948" windowHeight="10200" xr2:uid="{00000000-000D-0000-FFFF-FFFF00000000}"/>
  </bookViews>
  <sheets>
    <sheet name="Project NS - Orland" sheetId="8" r:id="rId1"/>
  </sheets>
  <externalReferences>
    <externalReference r:id="rId2"/>
  </externalReferences>
  <definedNames>
    <definedName name="Cases_List">[1]Scenarios!$B$5:$B$10</definedName>
    <definedName name="TEP_Payment" localSheetId="0">#REF!</definedName>
    <definedName name="TEP_Paymen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" i="8" l="1"/>
  <c r="N24" i="8" s="1"/>
  <c r="M24" i="8"/>
  <c r="M25" i="8"/>
  <c r="L81" i="8" l="1"/>
  <c r="K83" i="8"/>
  <c r="K84" i="8"/>
  <c r="K86" i="8" s="1"/>
  <c r="L83" i="8" s="1"/>
  <c r="L86" i="8" s="1"/>
  <c r="M83" i="8" s="1"/>
  <c r="M86" i="8"/>
  <c r="N83" i="8" s="1"/>
  <c r="M88" i="8"/>
  <c r="L88" i="8"/>
  <c r="G8" i="8"/>
  <c r="L20" i="8"/>
  <c r="L25" i="8"/>
  <c r="C20" i="8"/>
  <c r="L37" i="8"/>
  <c r="M37" i="8"/>
  <c r="N37" i="8" s="1"/>
  <c r="L39" i="8"/>
  <c r="M39" i="8"/>
  <c r="N39" i="8"/>
  <c r="O39" i="8" s="1"/>
  <c r="L41" i="8"/>
  <c r="M41" i="8"/>
  <c r="L42" i="8"/>
  <c r="M42" i="8" s="1"/>
  <c r="L43" i="8"/>
  <c r="M43" i="8"/>
  <c r="G9" i="8"/>
  <c r="L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Q24" i="8"/>
  <c r="AS24" i="8"/>
  <c r="U63" i="8"/>
  <c r="V63" i="8" s="1"/>
  <c r="W63" i="8" s="1"/>
  <c r="X63" i="8" s="1"/>
  <c r="Y63" i="8" s="1"/>
  <c r="Z63" i="8" s="1"/>
  <c r="AA63" i="8" s="1"/>
  <c r="AB63" i="8" s="1"/>
  <c r="AC63" i="8" s="1"/>
  <c r="AD63" i="8" s="1"/>
  <c r="AE63" i="8" s="1"/>
  <c r="AF63" i="8" s="1"/>
  <c r="AG63" i="8" s="1"/>
  <c r="AH63" i="8" s="1"/>
  <c r="AI63" i="8" s="1"/>
  <c r="AJ63" i="8" s="1"/>
  <c r="AK63" i="8" s="1"/>
  <c r="AL63" i="8" s="1"/>
  <c r="AM63" i="8" s="1"/>
  <c r="AN63" i="8" s="1"/>
  <c r="AO63" i="8" s="1"/>
  <c r="AP63" i="8" s="1"/>
  <c r="AQ63" i="8" s="1"/>
  <c r="AR63" i="8" s="1"/>
  <c r="AS63" i="8" s="1"/>
  <c r="AT63" i="8" s="1"/>
  <c r="M63" i="8"/>
  <c r="N63" i="8" s="1"/>
  <c r="O63" i="8" s="1"/>
  <c r="P63" i="8" s="1"/>
  <c r="Q63" i="8" s="1"/>
  <c r="R63" i="8" s="1"/>
  <c r="S63" i="8" s="1"/>
  <c r="T63" i="8" s="1"/>
  <c r="Q53" i="8"/>
  <c r="P53" i="8"/>
  <c r="O53" i="8"/>
  <c r="N53" i="8"/>
  <c r="M53" i="8"/>
  <c r="L53" i="8"/>
  <c r="L26" i="8"/>
  <c r="M26" i="8"/>
  <c r="N26" i="8" s="1"/>
  <c r="O26" i="8" s="1"/>
  <c r="P26" i="8" s="1"/>
  <c r="Q26" i="8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AB26" i="8" s="1"/>
  <c r="AC26" i="8" s="1"/>
  <c r="AD26" i="8" s="1"/>
  <c r="AE26" i="8" s="1"/>
  <c r="AF26" i="8" s="1"/>
  <c r="AG26" i="8" s="1"/>
  <c r="AH26" i="8" s="1"/>
  <c r="AI26" i="8" s="1"/>
  <c r="AJ26" i="8" s="1"/>
  <c r="AK26" i="8" s="1"/>
  <c r="AL26" i="8" s="1"/>
  <c r="AM26" i="8" s="1"/>
  <c r="AN26" i="8" s="1"/>
  <c r="AO26" i="8" s="1"/>
  <c r="AP26" i="8" s="1"/>
  <c r="AQ26" i="8" s="1"/>
  <c r="AR26" i="8" s="1"/>
  <c r="AS26" i="8" s="1"/>
  <c r="AT26" i="8" s="1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N21" i="8"/>
  <c r="O21" i="8" s="1"/>
  <c r="M21" i="8"/>
  <c r="M19" i="8"/>
  <c r="N19" i="8"/>
  <c r="O19" i="8"/>
  <c r="P19" i="8" s="1"/>
  <c r="Q19" i="8" s="1"/>
  <c r="R19" i="8"/>
  <c r="S19" i="8" s="1"/>
  <c r="T19" i="8" s="1"/>
  <c r="U19" i="8" s="1"/>
  <c r="V19" i="8" s="1"/>
  <c r="W19" i="8" s="1"/>
  <c r="X19" i="8" s="1"/>
  <c r="Y19" i="8" s="1"/>
  <c r="Z19" i="8" s="1"/>
  <c r="AA19" i="8" s="1"/>
  <c r="AB19" i="8" s="1"/>
  <c r="AC19" i="8" s="1"/>
  <c r="AD19" i="8" s="1"/>
  <c r="AE19" i="8" s="1"/>
  <c r="AF19" i="8" s="1"/>
  <c r="AG19" i="8" s="1"/>
  <c r="AH19" i="8" s="1"/>
  <c r="AI19" i="8" s="1"/>
  <c r="AJ19" i="8" s="1"/>
  <c r="AK19" i="8" s="1"/>
  <c r="AL19" i="8" s="1"/>
  <c r="AM19" i="8" s="1"/>
  <c r="AN19" i="8" s="1"/>
  <c r="AO19" i="8" s="1"/>
  <c r="AP19" i="8" s="1"/>
  <c r="AQ19" i="8" s="1"/>
  <c r="AR19" i="8" s="1"/>
  <c r="AS19" i="8" s="1"/>
  <c r="AT19" i="8" s="1"/>
  <c r="F11" i="8"/>
  <c r="AR24" i="8"/>
  <c r="AP24" i="8"/>
  <c r="AT24" i="8"/>
  <c r="O25" i="8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Z25" i="8" s="1"/>
  <c r="AA25" i="8" s="1"/>
  <c r="AB25" i="8" s="1"/>
  <c r="AC25" i="8" s="1"/>
  <c r="AD25" i="8" s="1"/>
  <c r="AE25" i="8" s="1"/>
  <c r="AF25" i="8" s="1"/>
  <c r="AG25" i="8" s="1"/>
  <c r="AH25" i="8" s="1"/>
  <c r="AI25" i="8" s="1"/>
  <c r="AJ25" i="8" s="1"/>
  <c r="AK25" i="8" s="1"/>
  <c r="AL25" i="8" s="1"/>
  <c r="AM25" i="8" s="1"/>
  <c r="AN25" i="8" s="1"/>
  <c r="AO25" i="8" s="1"/>
  <c r="AP25" i="8" s="1"/>
  <c r="AQ25" i="8" s="1"/>
  <c r="AR25" i="8" s="1"/>
  <c r="AS25" i="8" s="1"/>
  <c r="AT25" i="8" s="1"/>
  <c r="M20" i="8"/>
  <c r="M23" i="8" s="1"/>
  <c r="L23" i="8"/>
  <c r="L32" i="8"/>
  <c r="N43" i="8"/>
  <c r="O43" i="8" s="1"/>
  <c r="P43" i="8" s="1"/>
  <c r="Q43" i="8" s="1"/>
  <c r="N42" i="8"/>
  <c r="N41" i="8"/>
  <c r="N20" i="8"/>
  <c r="N23" i="8" s="1"/>
  <c r="G10" i="8"/>
  <c r="G13" i="8" s="1"/>
  <c r="L46" i="8"/>
  <c r="O41" i="8"/>
  <c r="P39" i="8"/>
  <c r="O42" i="8"/>
  <c r="O37" i="8"/>
  <c r="L38" i="8"/>
  <c r="L31" i="8"/>
  <c r="L34" i="8"/>
  <c r="G17" i="8"/>
  <c r="L66" i="8" s="1"/>
  <c r="L94" i="8" s="1"/>
  <c r="K65" i="8"/>
  <c r="F10" i="8"/>
  <c r="J8" i="8"/>
  <c r="G16" i="8"/>
  <c r="P42" i="8"/>
  <c r="Q42" i="8" s="1"/>
  <c r="M38" i="8"/>
  <c r="Q39" i="8"/>
  <c r="S54" i="8"/>
  <c r="O54" i="8"/>
  <c r="N54" i="8"/>
  <c r="T54" i="8"/>
  <c r="U54" i="8"/>
  <c r="L45" i="8"/>
  <c r="R39" i="8"/>
  <c r="S39" i="8" s="1"/>
  <c r="R43" i="8"/>
  <c r="S43" i="8" s="1"/>
  <c r="T43" i="8" s="1"/>
  <c r="U43" i="8" s="1"/>
  <c r="V43" i="8" s="1"/>
  <c r="W43" i="8" s="1"/>
  <c r="X43" i="8" s="1"/>
  <c r="Y43" i="8" s="1"/>
  <c r="Z43" i="8" s="1"/>
  <c r="AA43" i="8" s="1"/>
  <c r="AB43" i="8" s="1"/>
  <c r="AC43" i="8" s="1"/>
  <c r="AD43" i="8" s="1"/>
  <c r="AE43" i="8" s="1"/>
  <c r="AF43" i="8" s="1"/>
  <c r="AG43" i="8" s="1"/>
  <c r="AH43" i="8" s="1"/>
  <c r="AI43" i="8" s="1"/>
  <c r="AJ43" i="8" s="1"/>
  <c r="AK43" i="8" s="1"/>
  <c r="AL43" i="8" s="1"/>
  <c r="AM43" i="8" s="1"/>
  <c r="AN43" i="8" s="1"/>
  <c r="AO43" i="8" s="1"/>
  <c r="AP43" i="8" s="1"/>
  <c r="AQ43" i="8" s="1"/>
  <c r="AR43" i="8" s="1"/>
  <c r="AS43" i="8" s="1"/>
  <c r="AT43" i="8" s="1"/>
  <c r="T39" i="8"/>
  <c r="U39" i="8" s="1"/>
  <c r="V39" i="8"/>
  <c r="W39" i="8" s="1"/>
  <c r="X39" i="8" s="1"/>
  <c r="Y39" i="8" s="1"/>
  <c r="Z39" i="8" s="1"/>
  <c r="AA39" i="8" s="1"/>
  <c r="AB39" i="8" s="1"/>
  <c r="AC39" i="8" s="1"/>
  <c r="AD39" i="8" s="1"/>
  <c r="AE39" i="8" s="1"/>
  <c r="AF39" i="8" s="1"/>
  <c r="AG39" i="8" s="1"/>
  <c r="AH39" i="8" s="1"/>
  <c r="AI39" i="8" s="1"/>
  <c r="AJ39" i="8" s="1"/>
  <c r="AK39" i="8" s="1"/>
  <c r="AL39" i="8" s="1"/>
  <c r="AM39" i="8" s="1"/>
  <c r="AN39" i="8" s="1"/>
  <c r="AO39" i="8" s="1"/>
  <c r="AP39" i="8" s="1"/>
  <c r="AQ39" i="8" s="1"/>
  <c r="AR39" i="8" s="1"/>
  <c r="AS39" i="8" s="1"/>
  <c r="AT39" i="8" s="1"/>
  <c r="M32" i="8" l="1"/>
  <c r="E11" i="8"/>
  <c r="E13" i="8"/>
  <c r="E8" i="8"/>
  <c r="G15" i="8"/>
  <c r="F15" i="8" s="1"/>
  <c r="E9" i="8"/>
  <c r="K69" i="8"/>
  <c r="H43" i="8"/>
  <c r="E10" i="8"/>
  <c r="F13" i="8"/>
  <c r="L44" i="8"/>
  <c r="N32" i="8"/>
  <c r="N34" i="8"/>
  <c r="G43" i="8"/>
  <c r="P41" i="8"/>
  <c r="Q41" i="8" s="1"/>
  <c r="R41" i="8" s="1"/>
  <c r="S41" i="8" s="1"/>
  <c r="T41" i="8" s="1"/>
  <c r="U41" i="8" s="1"/>
  <c r="V41" i="8" s="1"/>
  <c r="W41" i="8" s="1"/>
  <c r="X41" i="8" s="1"/>
  <c r="Y41" i="8" s="1"/>
  <c r="Z41" i="8" s="1"/>
  <c r="AA41" i="8" s="1"/>
  <c r="AB41" i="8" s="1"/>
  <c r="AC41" i="8" s="1"/>
  <c r="AD41" i="8" s="1"/>
  <c r="AE41" i="8" s="1"/>
  <c r="AF41" i="8" s="1"/>
  <c r="AG41" i="8" s="1"/>
  <c r="AH41" i="8" s="1"/>
  <c r="AI41" i="8" s="1"/>
  <c r="AJ41" i="8" s="1"/>
  <c r="AK41" i="8" s="1"/>
  <c r="AL41" i="8" s="1"/>
  <c r="AM41" i="8" s="1"/>
  <c r="AN41" i="8" s="1"/>
  <c r="AO41" i="8" s="1"/>
  <c r="AP41" i="8" s="1"/>
  <c r="AQ41" i="8" s="1"/>
  <c r="AR41" i="8" s="1"/>
  <c r="AS41" i="8" s="1"/>
  <c r="AT41" i="8" s="1"/>
  <c r="H41" i="8"/>
  <c r="G41" i="8"/>
  <c r="G39" i="8"/>
  <c r="H39" i="8"/>
  <c r="R42" i="8"/>
  <c r="M46" i="8"/>
  <c r="N86" i="8"/>
  <c r="O83" i="8" s="1"/>
  <c r="N88" i="8"/>
  <c r="N38" i="8"/>
  <c r="P37" i="8"/>
  <c r="P21" i="8"/>
  <c r="O20" i="8"/>
  <c r="O23" i="8" s="1"/>
  <c r="L54" i="8"/>
  <c r="M54" i="8"/>
  <c r="R54" i="8"/>
  <c r="Q54" i="8"/>
  <c r="P54" i="8"/>
  <c r="M81" i="8"/>
  <c r="L89" i="8"/>
  <c r="O38" i="8" l="1"/>
  <c r="O31" i="8"/>
  <c r="O32" i="8"/>
  <c r="Q21" i="8"/>
  <c r="P20" i="8"/>
  <c r="P23" i="8" s="1"/>
  <c r="S42" i="8"/>
  <c r="N45" i="8"/>
  <c r="N44" i="8"/>
  <c r="N47" i="8" s="1"/>
  <c r="N50" i="8" s="1"/>
  <c r="L47" i="8"/>
  <c r="N81" i="8"/>
  <c r="M89" i="8"/>
  <c r="G54" i="8"/>
  <c r="H54" i="8"/>
  <c r="Q37" i="8"/>
  <c r="O86" i="8"/>
  <c r="P83" i="8" s="1"/>
  <c r="N46" i="8"/>
  <c r="M34" i="8"/>
  <c r="N55" i="8" l="1"/>
  <c r="N64" i="8"/>
  <c r="N51" i="8"/>
  <c r="P86" i="8"/>
  <c r="Q83" i="8" s="1"/>
  <c r="P88" i="8"/>
  <c r="O88" i="8"/>
  <c r="R37" i="8"/>
  <c r="N89" i="8"/>
  <c r="N92" i="8" s="1"/>
  <c r="O81" i="8"/>
  <c r="T42" i="8"/>
  <c r="O34" i="8"/>
  <c r="M44" i="8"/>
  <c r="M45" i="8"/>
  <c r="O46" i="8"/>
  <c r="P46" i="8" s="1"/>
  <c r="Q46" i="8" s="1"/>
  <c r="R46" i="8" s="1"/>
  <c r="S46" i="8" s="1"/>
  <c r="T46" i="8" s="1"/>
  <c r="U46" i="8" s="1"/>
  <c r="V46" i="8" s="1"/>
  <c r="W46" i="8" s="1"/>
  <c r="X46" i="8" s="1"/>
  <c r="Y46" i="8" s="1"/>
  <c r="Z46" i="8" s="1"/>
  <c r="AA46" i="8" s="1"/>
  <c r="AB46" i="8" s="1"/>
  <c r="AC46" i="8" s="1"/>
  <c r="AD46" i="8" s="1"/>
  <c r="AE46" i="8" s="1"/>
  <c r="AF46" i="8" s="1"/>
  <c r="AG46" i="8" s="1"/>
  <c r="AH46" i="8" s="1"/>
  <c r="AI46" i="8" s="1"/>
  <c r="AJ46" i="8" s="1"/>
  <c r="AK46" i="8" s="1"/>
  <c r="AL46" i="8" s="1"/>
  <c r="AM46" i="8" s="1"/>
  <c r="AN46" i="8" s="1"/>
  <c r="AO46" i="8" s="1"/>
  <c r="AP46" i="8" s="1"/>
  <c r="AQ46" i="8" s="1"/>
  <c r="AR46" i="8" s="1"/>
  <c r="AS46" i="8" s="1"/>
  <c r="AT46" i="8" s="1"/>
  <c r="G80" i="8"/>
  <c r="K89" i="8" s="1"/>
  <c r="K91" i="8" s="1"/>
  <c r="K95" i="8" s="1"/>
  <c r="L50" i="8"/>
  <c r="P32" i="8"/>
  <c r="P31" i="8"/>
  <c r="G46" i="8"/>
  <c r="Q20" i="8"/>
  <c r="R21" i="8"/>
  <c r="P38" i="8"/>
  <c r="L92" i="8" l="1"/>
  <c r="L51" i="8"/>
  <c r="L64" i="8"/>
  <c r="L55" i="8"/>
  <c r="O44" i="8"/>
  <c r="O45" i="8"/>
  <c r="S21" i="8"/>
  <c r="R20" i="8"/>
  <c r="R23" i="8" s="1"/>
  <c r="H46" i="8"/>
  <c r="Q86" i="8"/>
  <c r="R83" i="8" s="1"/>
  <c r="Q38" i="8"/>
  <c r="Q23" i="8"/>
  <c r="P34" i="8"/>
  <c r="M47" i="8"/>
  <c r="U42" i="8"/>
  <c r="S37" i="8"/>
  <c r="N58" i="8"/>
  <c r="N67" i="8" s="1"/>
  <c r="N93" i="8" s="1"/>
  <c r="N95" i="8" s="1"/>
  <c r="O89" i="8"/>
  <c r="P81" i="8"/>
  <c r="N69" i="8" l="1"/>
  <c r="P45" i="8"/>
  <c r="P44" i="8"/>
  <c r="R86" i="8"/>
  <c r="S83" i="8" s="1"/>
  <c r="T37" i="8"/>
  <c r="Q88" i="8"/>
  <c r="R32" i="8"/>
  <c r="R31" i="8"/>
  <c r="R34" i="8" s="1"/>
  <c r="O47" i="8"/>
  <c r="O50" i="8" s="1"/>
  <c r="V42" i="8"/>
  <c r="W42" i="8" s="1"/>
  <c r="X42" i="8" s="1"/>
  <c r="Y42" i="8" s="1"/>
  <c r="Z42" i="8" s="1"/>
  <c r="AA42" i="8" s="1"/>
  <c r="AB42" i="8" s="1"/>
  <c r="AC42" i="8" s="1"/>
  <c r="AD42" i="8" s="1"/>
  <c r="AE42" i="8" s="1"/>
  <c r="AF42" i="8" s="1"/>
  <c r="AG42" i="8" s="1"/>
  <c r="AH42" i="8" s="1"/>
  <c r="AI42" i="8" s="1"/>
  <c r="AJ42" i="8" s="1"/>
  <c r="AK42" i="8" s="1"/>
  <c r="AL42" i="8" s="1"/>
  <c r="AM42" i="8" s="1"/>
  <c r="AN42" i="8" s="1"/>
  <c r="AO42" i="8" s="1"/>
  <c r="AP42" i="8" s="1"/>
  <c r="AQ42" i="8" s="1"/>
  <c r="AR42" i="8" s="1"/>
  <c r="AS42" i="8" s="1"/>
  <c r="AT42" i="8" s="1"/>
  <c r="L58" i="8"/>
  <c r="L67" i="8" s="1"/>
  <c r="L93" i="8" s="1"/>
  <c r="L95" i="8" s="1"/>
  <c r="L61" i="8"/>
  <c r="Q81" i="8"/>
  <c r="P89" i="8"/>
  <c r="N61" i="8"/>
  <c r="H42" i="8"/>
  <c r="M50" i="8"/>
  <c r="Q31" i="8"/>
  <c r="Q32" i="8"/>
  <c r="R38" i="8"/>
  <c r="T21" i="8"/>
  <c r="S20" i="8"/>
  <c r="R45" i="8" l="1"/>
  <c r="R44" i="8"/>
  <c r="R47" i="8" s="1"/>
  <c r="R50" i="8" s="1"/>
  <c r="S88" i="8"/>
  <c r="S86" i="8"/>
  <c r="T83" i="8" s="1"/>
  <c r="G42" i="8"/>
  <c r="U21" i="8"/>
  <c r="T20" i="8"/>
  <c r="T23" i="8" s="1"/>
  <c r="U37" i="8"/>
  <c r="P47" i="8"/>
  <c r="L69" i="8"/>
  <c r="Q34" i="8"/>
  <c r="S38" i="8"/>
  <c r="S23" i="8"/>
  <c r="M92" i="8"/>
  <c r="M51" i="8"/>
  <c r="M64" i="8"/>
  <c r="M55" i="8"/>
  <c r="R81" i="8"/>
  <c r="Q89" i="8"/>
  <c r="O92" i="8"/>
  <c r="O55" i="8"/>
  <c r="O64" i="8"/>
  <c r="O51" i="8"/>
  <c r="R88" i="8"/>
  <c r="R64" i="8" l="1"/>
  <c r="R55" i="8"/>
  <c r="R51" i="8"/>
  <c r="O58" i="8"/>
  <c r="O67" i="8" s="1"/>
  <c r="O93" i="8" s="1"/>
  <c r="O95" i="8" s="1"/>
  <c r="V21" i="8"/>
  <c r="U20" i="8"/>
  <c r="S32" i="8"/>
  <c r="S31" i="8"/>
  <c r="T38" i="8"/>
  <c r="M58" i="8"/>
  <c r="M67" i="8" s="1"/>
  <c r="M93" i="8" s="1"/>
  <c r="M95" i="8" s="1"/>
  <c r="V37" i="8"/>
  <c r="T86" i="8"/>
  <c r="U83" i="8" s="1"/>
  <c r="T88" i="8"/>
  <c r="Q44" i="8"/>
  <c r="Q45" i="8"/>
  <c r="S81" i="8"/>
  <c r="R89" i="8"/>
  <c r="R92" i="8" s="1"/>
  <c r="P50" i="8"/>
  <c r="T32" i="8"/>
  <c r="T31" i="8"/>
  <c r="T34" i="8" s="1"/>
  <c r="O69" i="8" l="1"/>
  <c r="O61" i="8"/>
  <c r="M61" i="8"/>
  <c r="T44" i="8"/>
  <c r="T45" i="8"/>
  <c r="R58" i="8"/>
  <c r="R67" i="8" s="1"/>
  <c r="R93" i="8" s="1"/>
  <c r="R95" i="8" s="1"/>
  <c r="R61" i="8"/>
  <c r="S89" i="8"/>
  <c r="T81" i="8"/>
  <c r="S34" i="8"/>
  <c r="W21" i="8"/>
  <c r="V20" i="8"/>
  <c r="V23" i="8" s="1"/>
  <c r="Q47" i="8"/>
  <c r="R69" i="8"/>
  <c r="P92" i="8"/>
  <c r="P64" i="8"/>
  <c r="P55" i="8"/>
  <c r="P51" i="8"/>
  <c r="U88" i="8"/>
  <c r="U86" i="8"/>
  <c r="V83" i="8" s="1"/>
  <c r="M69" i="8"/>
  <c r="W37" i="8"/>
  <c r="U38" i="8"/>
  <c r="T47" i="8"/>
  <c r="T50" i="8" s="1"/>
  <c r="U23" i="8"/>
  <c r="X21" i="8" l="1"/>
  <c r="W20" i="8"/>
  <c r="W23" i="8" s="1"/>
  <c r="X37" i="8"/>
  <c r="P58" i="8"/>
  <c r="P67" i="8" s="1"/>
  <c r="P93" i="8" s="1"/>
  <c r="P95" i="8" s="1"/>
  <c r="U81" i="8"/>
  <c r="T89" i="8"/>
  <c r="T92" i="8" s="1"/>
  <c r="U31" i="8"/>
  <c r="U32" i="8"/>
  <c r="Q50" i="8"/>
  <c r="V32" i="8"/>
  <c r="V31" i="8"/>
  <c r="T51" i="8"/>
  <c r="T64" i="8"/>
  <c r="T55" i="8"/>
  <c r="V38" i="8"/>
  <c r="S45" i="8"/>
  <c r="S44" i="8"/>
  <c r="P61" i="8" l="1"/>
  <c r="S47" i="8"/>
  <c r="V81" i="8"/>
  <c r="V85" i="8"/>
  <c r="V86" i="8" s="1"/>
  <c r="U89" i="8"/>
  <c r="W32" i="8"/>
  <c r="W31" i="8"/>
  <c r="Y21" i="8"/>
  <c r="X20" i="8"/>
  <c r="X23" i="8" s="1"/>
  <c r="W38" i="8"/>
  <c r="U34" i="8"/>
  <c r="P69" i="8"/>
  <c r="T58" i="8"/>
  <c r="T67" i="8" s="1"/>
  <c r="T93" i="8" s="1"/>
  <c r="T95" i="8" s="1"/>
  <c r="T61" i="8"/>
  <c r="V34" i="8"/>
  <c r="Q92" i="8"/>
  <c r="Q64" i="8"/>
  <c r="Q55" i="8"/>
  <c r="Q51" i="8"/>
  <c r="Y37" i="8"/>
  <c r="T69" i="8" l="1"/>
  <c r="Z37" i="8"/>
  <c r="X32" i="8"/>
  <c r="X31" i="8"/>
  <c r="X34" i="8" s="1"/>
  <c r="U45" i="8"/>
  <c r="U44" i="8"/>
  <c r="W83" i="8"/>
  <c r="V88" i="8"/>
  <c r="S50" i="8"/>
  <c r="Q58" i="8"/>
  <c r="Q67" i="8" s="1"/>
  <c r="Q93" i="8" s="1"/>
  <c r="Q95" i="8" s="1"/>
  <c r="Y20" i="8"/>
  <c r="Y23" i="8" s="1"/>
  <c r="Z21" i="8"/>
  <c r="V44" i="8"/>
  <c r="V45" i="8"/>
  <c r="X38" i="8"/>
  <c r="W34" i="8"/>
  <c r="W85" i="8"/>
  <c r="V89" i="8"/>
  <c r="W81" i="8"/>
  <c r="Q69" i="8" l="1"/>
  <c r="Q61" i="8"/>
  <c r="U47" i="8"/>
  <c r="U50" i="8" s="1"/>
  <c r="U64" i="8" s="1"/>
  <c r="U92" i="8"/>
  <c r="Y32" i="8"/>
  <c r="Y31" i="8"/>
  <c r="Y34" i="8" s="1"/>
  <c r="W45" i="8"/>
  <c r="W44" i="8"/>
  <c r="W89" i="8"/>
  <c r="X81" i="8"/>
  <c r="X85" i="8"/>
  <c r="V47" i="8"/>
  <c r="V50" i="8" s="1"/>
  <c r="X45" i="8"/>
  <c r="X44" i="8"/>
  <c r="Y38" i="8"/>
  <c r="Z20" i="8"/>
  <c r="Z23" i="8" s="1"/>
  <c r="AA21" i="8"/>
  <c r="S92" i="8"/>
  <c r="S55" i="8"/>
  <c r="S51" i="8"/>
  <c r="S64" i="8"/>
  <c r="W86" i="8"/>
  <c r="X83" i="8" s="1"/>
  <c r="AA37" i="8"/>
  <c r="W47" i="8" l="1"/>
  <c r="W50" i="8" s="1"/>
  <c r="U55" i="8"/>
  <c r="U51" i="8"/>
  <c r="X47" i="8"/>
  <c r="X50" i="8" s="1"/>
  <c r="X55" i="8" s="1"/>
  <c r="W55" i="8"/>
  <c r="W64" i="8"/>
  <c r="W51" i="8"/>
  <c r="W88" i="8"/>
  <c r="W92" i="8" s="1"/>
  <c r="Z31" i="8"/>
  <c r="Z32" i="8"/>
  <c r="Y81" i="8"/>
  <c r="X89" i="8"/>
  <c r="Y85" i="8"/>
  <c r="X86" i="8"/>
  <c r="Y83" i="8" s="1"/>
  <c r="X88" i="8"/>
  <c r="AB21" i="8"/>
  <c r="AA20" i="8"/>
  <c r="AA23" i="8" s="1"/>
  <c r="Y44" i="8"/>
  <c r="Y45" i="8"/>
  <c r="U58" i="8"/>
  <c r="U67" i="8" s="1"/>
  <c r="U93" i="8" s="1"/>
  <c r="U95" i="8" s="1"/>
  <c r="AB37" i="8"/>
  <c r="S58" i="8"/>
  <c r="S67" i="8" s="1"/>
  <c r="S93" i="8" s="1"/>
  <c r="S95" i="8" s="1"/>
  <c r="Z38" i="8"/>
  <c r="V64" i="8"/>
  <c r="V55" i="8"/>
  <c r="V92" i="8"/>
  <c r="V51" i="8"/>
  <c r="X51" i="8" l="1"/>
  <c r="X64" i="8"/>
  <c r="Y47" i="8"/>
  <c r="Y50" i="8" s="1"/>
  <c r="Y51" i="8" s="1"/>
  <c r="X92" i="8"/>
  <c r="Z81" i="8"/>
  <c r="Z85" i="8"/>
  <c r="Y89" i="8"/>
  <c r="AC37" i="8"/>
  <c r="S69" i="8"/>
  <c r="Y86" i="8"/>
  <c r="Z83" i="8" s="1"/>
  <c r="Y88" i="8"/>
  <c r="X58" i="8"/>
  <c r="X67" i="8" s="1"/>
  <c r="X93" i="8" s="1"/>
  <c r="AA31" i="8"/>
  <c r="AA32" i="8"/>
  <c r="Z34" i="8"/>
  <c r="V58" i="8"/>
  <c r="V67" i="8" s="1"/>
  <c r="V93" i="8" s="1"/>
  <c r="V95" i="8" s="1"/>
  <c r="U69" i="8"/>
  <c r="AA38" i="8"/>
  <c r="S61" i="8"/>
  <c r="U61" i="8"/>
  <c r="AC21" i="8"/>
  <c r="AB20" i="8"/>
  <c r="AB23" i="8" s="1"/>
  <c r="W58" i="8"/>
  <c r="W67" i="8" s="1"/>
  <c r="W93" i="8" s="1"/>
  <c r="W95" i="8" s="1"/>
  <c r="X95" i="8" l="1"/>
  <c r="Y55" i="8"/>
  <c r="W61" i="8"/>
  <c r="Y92" i="8"/>
  <c r="Y64" i="8"/>
  <c r="V61" i="8"/>
  <c r="AB38" i="8"/>
  <c r="AD37" i="8"/>
  <c r="AA85" i="8"/>
  <c r="AA81" i="8"/>
  <c r="Z89" i="8"/>
  <c r="AB32" i="8"/>
  <c r="AB31" i="8"/>
  <c r="AB34" i="8" s="1"/>
  <c r="AD21" i="8"/>
  <c r="AC20" i="8"/>
  <c r="AC23" i="8" s="1"/>
  <c r="X69" i="8"/>
  <c r="W69" i="8"/>
  <c r="Z86" i="8"/>
  <c r="AA83" i="8" s="1"/>
  <c r="Z88" i="8"/>
  <c r="V69" i="8"/>
  <c r="Y58" i="8"/>
  <c r="Y67" i="8" s="1"/>
  <c r="Y93" i="8" s="1"/>
  <c r="AA34" i="8"/>
  <c r="Z45" i="8"/>
  <c r="Z44" i="8"/>
  <c r="Z47" i="8" s="1"/>
  <c r="Z50" i="8" s="1"/>
  <c r="X61" i="8"/>
  <c r="Y95" i="8" l="1"/>
  <c r="Z92" i="8"/>
  <c r="Z64" i="8"/>
  <c r="Z55" i="8"/>
  <c r="Z51" i="8"/>
  <c r="AA44" i="8"/>
  <c r="AA45" i="8"/>
  <c r="AE21" i="8"/>
  <c r="AD20" i="8"/>
  <c r="AD23" i="8" s="1"/>
  <c r="AB85" i="8"/>
  <c r="AA89" i="8"/>
  <c r="AB81" i="8"/>
  <c r="AC32" i="8"/>
  <c r="AC31" i="8"/>
  <c r="AC34" i="8" s="1"/>
  <c r="AB44" i="8"/>
  <c r="AB45" i="8"/>
  <c r="AC38" i="8"/>
  <c r="AE37" i="8"/>
  <c r="AA86" i="8"/>
  <c r="AB83" i="8" s="1"/>
  <c r="AA88" i="8"/>
  <c r="Y61" i="8"/>
  <c r="Y69" i="8"/>
  <c r="AB47" i="8" l="1"/>
  <c r="AB50" i="8" s="1"/>
  <c r="AB51" i="8" s="1"/>
  <c r="AB64" i="8"/>
  <c r="AB55" i="8"/>
  <c r="AF21" i="8"/>
  <c r="AE20" i="8"/>
  <c r="AE23" i="8" s="1"/>
  <c r="Z58" i="8"/>
  <c r="Z67" i="8" s="1"/>
  <c r="Z93" i="8" s="1"/>
  <c r="Z95" i="8" s="1"/>
  <c r="AB86" i="8"/>
  <c r="AC83" i="8" s="1"/>
  <c r="AB88" i="8"/>
  <c r="AD38" i="8"/>
  <c r="AA47" i="8"/>
  <c r="AA50" i="8" s="1"/>
  <c r="AF37" i="8"/>
  <c r="AC81" i="8"/>
  <c r="AC85" i="8"/>
  <c r="AB89" i="8"/>
  <c r="AB92" i="8" s="1"/>
  <c r="AC44" i="8"/>
  <c r="AC45" i="8"/>
  <c r="AD32" i="8"/>
  <c r="AD31" i="8"/>
  <c r="AD34" i="8" s="1"/>
  <c r="AC47" i="8" l="1"/>
  <c r="AC50" i="8" s="1"/>
  <c r="AC64" i="8"/>
  <c r="AC51" i="8"/>
  <c r="AC55" i="8"/>
  <c r="AG37" i="8"/>
  <c r="AE38" i="8"/>
  <c r="Z61" i="8"/>
  <c r="Z69" i="8"/>
  <c r="AE32" i="8"/>
  <c r="AE31" i="8"/>
  <c r="AE34" i="8" s="1"/>
  <c r="AD44" i="8"/>
  <c r="AD45" i="8"/>
  <c r="AB58" i="8"/>
  <c r="AB67" i="8" s="1"/>
  <c r="AB93" i="8" s="1"/>
  <c r="AB95" i="8" s="1"/>
  <c r="AD81" i="8"/>
  <c r="AD85" i="8"/>
  <c r="AC89" i="8"/>
  <c r="AA92" i="8"/>
  <c r="AA55" i="8"/>
  <c r="AA51" i="8"/>
  <c r="AA64" i="8"/>
  <c r="AC86" i="8"/>
  <c r="AD83" i="8" s="1"/>
  <c r="AG21" i="8"/>
  <c r="AF20" i="8"/>
  <c r="AF23" i="8" s="1"/>
  <c r="AD47" i="8" l="1"/>
  <c r="AD50" i="8" s="1"/>
  <c r="AB61" i="8"/>
  <c r="AD64" i="8"/>
  <c r="AD55" i="8"/>
  <c r="AD51" i="8"/>
  <c r="AA58" i="8"/>
  <c r="AA67" i="8" s="1"/>
  <c r="AA93" i="8" s="1"/>
  <c r="AA95" i="8" s="1"/>
  <c r="AC58" i="8"/>
  <c r="AC67" i="8" s="1"/>
  <c r="AC93" i="8" s="1"/>
  <c r="AB69" i="8"/>
  <c r="AH37" i="8"/>
  <c r="AE85" i="8"/>
  <c r="AD89" i="8"/>
  <c r="AE81" i="8"/>
  <c r="AC88" i="8"/>
  <c r="AC92" i="8" s="1"/>
  <c r="AE44" i="8"/>
  <c r="AE45" i="8"/>
  <c r="AD86" i="8"/>
  <c r="AE83" i="8" s="1"/>
  <c r="AF38" i="8"/>
  <c r="AF32" i="8"/>
  <c r="AF31" i="8"/>
  <c r="AF34" i="8" s="1"/>
  <c r="AG20" i="8"/>
  <c r="AG23" i="8" s="1"/>
  <c r="AH21" i="8"/>
  <c r="AE47" i="8" l="1"/>
  <c r="AE50" i="8" s="1"/>
  <c r="AE55" i="8" s="1"/>
  <c r="AC95" i="8"/>
  <c r="AE51" i="8"/>
  <c r="AE64" i="8"/>
  <c r="AE86" i="8"/>
  <c r="AF83" i="8" s="1"/>
  <c r="AE88" i="8"/>
  <c r="AF85" i="8"/>
  <c r="AF81" i="8"/>
  <c r="AE89" i="8"/>
  <c r="AE92" i="8" s="1"/>
  <c r="AI37" i="8"/>
  <c r="AD58" i="8"/>
  <c r="AD67" i="8" s="1"/>
  <c r="AD69" i="8" s="1"/>
  <c r="AD88" i="8"/>
  <c r="AD92" i="8" s="1"/>
  <c r="AC69" i="8"/>
  <c r="AA69" i="8"/>
  <c r="AA61" i="8"/>
  <c r="AF45" i="8"/>
  <c r="AF44" i="8"/>
  <c r="AH20" i="8"/>
  <c r="AH23" i="8" s="1"/>
  <c r="AI21" i="8"/>
  <c r="AG32" i="8"/>
  <c r="AG31" i="8"/>
  <c r="AG34" i="8" s="1"/>
  <c r="AG38" i="8"/>
  <c r="AC61" i="8"/>
  <c r="AF47" i="8" l="1"/>
  <c r="AF50" i="8" s="1"/>
  <c r="AD61" i="8"/>
  <c r="AF64" i="8"/>
  <c r="AF55" i="8"/>
  <c r="AF51" i="8"/>
  <c r="AJ21" i="8"/>
  <c r="AI20" i="8"/>
  <c r="AI23" i="8" s="1"/>
  <c r="AH32" i="8"/>
  <c r="AH31" i="8"/>
  <c r="AH38" i="8"/>
  <c r="AG44" i="8"/>
  <c r="AG45" i="8"/>
  <c r="AD93" i="8"/>
  <c r="AD95" i="8" s="1"/>
  <c r="AF86" i="8"/>
  <c r="AG83" i="8" s="1"/>
  <c r="AE58" i="8"/>
  <c r="AE67" i="8" s="1"/>
  <c r="AE93" i="8" s="1"/>
  <c r="AE95" i="8" s="1"/>
  <c r="AE61" i="8"/>
  <c r="AJ37" i="8"/>
  <c r="AG81" i="8"/>
  <c r="AG85" i="8"/>
  <c r="AF89" i="8"/>
  <c r="AG47" i="8" l="1"/>
  <c r="AG50" i="8" s="1"/>
  <c r="AG64" i="8" s="1"/>
  <c r="AG55" i="8"/>
  <c r="AG51" i="8"/>
  <c r="AE69" i="8"/>
  <c r="AI38" i="8"/>
  <c r="AJ20" i="8"/>
  <c r="AJ23" i="8" s="1"/>
  <c r="AK21" i="8"/>
  <c r="AF58" i="8"/>
  <c r="AF67" i="8" s="1"/>
  <c r="AF93" i="8" s="1"/>
  <c r="AF88" i="8"/>
  <c r="AF92" i="8" s="1"/>
  <c r="AH34" i="8"/>
  <c r="AH81" i="8"/>
  <c r="AH85" i="8"/>
  <c r="AG89" i="8"/>
  <c r="AI31" i="8"/>
  <c r="AI32" i="8"/>
  <c r="AK37" i="8"/>
  <c r="AG86" i="8"/>
  <c r="AH83" i="8" s="1"/>
  <c r="AF95" i="8" l="1"/>
  <c r="AH86" i="8"/>
  <c r="AI83" i="8" s="1"/>
  <c r="AH88" i="8"/>
  <c r="AI85" i="8"/>
  <c r="AH89" i="8"/>
  <c r="AI81" i="8"/>
  <c r="AG58" i="8"/>
  <c r="AG67" i="8" s="1"/>
  <c r="AG69" i="8" s="1"/>
  <c r="AG61" i="8"/>
  <c r="AF69" i="8"/>
  <c r="AJ38" i="8"/>
  <c r="AG88" i="8"/>
  <c r="AG92" i="8" s="1"/>
  <c r="AF61" i="8"/>
  <c r="AH45" i="8"/>
  <c r="AH44" i="8"/>
  <c r="AH47" i="8" s="1"/>
  <c r="AH50" i="8" s="1"/>
  <c r="AK20" i="8"/>
  <c r="AK23" i="8" s="1"/>
  <c r="AL21" i="8"/>
  <c r="AI34" i="8"/>
  <c r="AL37" i="8"/>
  <c r="AJ32" i="8"/>
  <c r="AJ31" i="8"/>
  <c r="AJ34" i="8" s="1"/>
  <c r="AH92" i="8" l="1"/>
  <c r="AH55" i="8"/>
  <c r="AH51" i="8"/>
  <c r="AH64" i="8"/>
  <c r="AG93" i="8"/>
  <c r="AG95" i="8" s="1"/>
  <c r="AL20" i="8"/>
  <c r="AL23" i="8" s="1"/>
  <c r="AM21" i="8"/>
  <c r="AK31" i="8"/>
  <c r="AK32" i="8"/>
  <c r="AK38" i="8"/>
  <c r="AJ85" i="8"/>
  <c r="AI89" i="8"/>
  <c r="AJ81" i="8"/>
  <c r="AI86" i="8"/>
  <c r="AJ83" i="8" s="1"/>
  <c r="AJ45" i="8"/>
  <c r="AJ44" i="8"/>
  <c r="AJ47" i="8" s="1"/>
  <c r="AJ50" i="8" s="1"/>
  <c r="AI45" i="8"/>
  <c r="AI44" i="8"/>
  <c r="AM37" i="8"/>
  <c r="AJ64" i="8" l="1"/>
  <c r="AJ51" i="8"/>
  <c r="AJ55" i="8"/>
  <c r="AI47" i="8"/>
  <c r="AI50" i="8" s="1"/>
  <c r="AK81" i="8"/>
  <c r="AK85" i="8"/>
  <c r="AJ89" i="8"/>
  <c r="AJ92" i="8" s="1"/>
  <c r="AL38" i="8"/>
  <c r="AL31" i="8"/>
  <c r="AL32" i="8"/>
  <c r="AH58" i="8"/>
  <c r="AH67" i="8" s="1"/>
  <c r="AH93" i="8" s="1"/>
  <c r="AH95" i="8" s="1"/>
  <c r="AH61" i="8"/>
  <c r="AN21" i="8"/>
  <c r="AM20" i="8"/>
  <c r="AM23" i="8" s="1"/>
  <c r="AJ86" i="8"/>
  <c r="AK83" i="8" s="1"/>
  <c r="AJ88" i="8"/>
  <c r="AN37" i="8"/>
  <c r="AI88" i="8"/>
  <c r="AK34" i="8"/>
  <c r="AH69" i="8"/>
  <c r="AL34" i="8" l="1"/>
  <c r="AM31" i="8"/>
  <c r="AM32" i="8"/>
  <c r="AJ58" i="8"/>
  <c r="AJ67" i="8" s="1"/>
  <c r="AJ93" i="8" s="1"/>
  <c r="AJ95" i="8" s="1"/>
  <c r="AO21" i="8"/>
  <c r="AN20" i="8"/>
  <c r="AN23" i="8" s="1"/>
  <c r="AK86" i="8"/>
  <c r="AL83" i="8" s="1"/>
  <c r="AL81" i="8"/>
  <c r="AL85" i="8"/>
  <c r="AK89" i="8"/>
  <c r="AK45" i="8"/>
  <c r="AK44" i="8"/>
  <c r="AO37" i="8"/>
  <c r="AM38" i="8"/>
  <c r="AI92" i="8"/>
  <c r="AI55" i="8"/>
  <c r="AI51" i="8"/>
  <c r="AI64" i="8"/>
  <c r="AJ69" i="8" l="1"/>
  <c r="AM85" i="8"/>
  <c r="AL89" i="8"/>
  <c r="AM81" i="8"/>
  <c r="AO20" i="8"/>
  <c r="AO23" i="8" s="1"/>
  <c r="AP21" i="8"/>
  <c r="AM34" i="8"/>
  <c r="AN38" i="8"/>
  <c r="AN32" i="8"/>
  <c r="AN31" i="8"/>
  <c r="AN34" i="8" s="1"/>
  <c r="AI58" i="8"/>
  <c r="AI67" i="8" s="1"/>
  <c r="AI93" i="8" s="1"/>
  <c r="AI95" i="8" s="1"/>
  <c r="AP37" i="8"/>
  <c r="AL88" i="8"/>
  <c r="AL86" i="8"/>
  <c r="AM83" i="8" s="1"/>
  <c r="AL45" i="8"/>
  <c r="AL44" i="8"/>
  <c r="AL47" i="8" s="1"/>
  <c r="AL50" i="8" s="1"/>
  <c r="AK47" i="8"/>
  <c r="AK50" i="8" s="1"/>
  <c r="AK88" i="8"/>
  <c r="AJ61" i="8"/>
  <c r="AN81" i="8" l="1"/>
  <c r="AN85" i="8"/>
  <c r="AM89" i="8"/>
  <c r="AN45" i="8"/>
  <c r="AN47" i="8" s="1"/>
  <c r="AN50" i="8" s="1"/>
  <c r="AN44" i="8"/>
  <c r="AL92" i="8"/>
  <c r="AL64" i="8"/>
  <c r="AL55" i="8"/>
  <c r="AL51" i="8"/>
  <c r="AO32" i="8"/>
  <c r="AO31" i="8"/>
  <c r="AO34" i="8" s="1"/>
  <c r="AI61" i="8"/>
  <c r="AO38" i="8"/>
  <c r="AK92" i="8"/>
  <c r="AK55" i="8"/>
  <c r="AK51" i="8"/>
  <c r="AK64" i="8"/>
  <c r="AQ37" i="8"/>
  <c r="AM45" i="8"/>
  <c r="AM44" i="8"/>
  <c r="AM47" i="8" s="1"/>
  <c r="AM50" i="8" s="1"/>
  <c r="AI69" i="8"/>
  <c r="AM86" i="8"/>
  <c r="AN83" i="8" s="1"/>
  <c r="AM88" i="8"/>
  <c r="AP20" i="8"/>
  <c r="AP23" i="8" s="1"/>
  <c r="AQ21" i="8"/>
  <c r="AN51" i="8" l="1"/>
  <c r="AN64" i="8"/>
  <c r="AN55" i="8"/>
  <c r="AM92" i="8"/>
  <c r="AM64" i="8"/>
  <c r="AM51" i="8"/>
  <c r="AM55" i="8"/>
  <c r="AR37" i="8"/>
  <c r="AO44" i="8"/>
  <c r="AO45" i="8"/>
  <c r="AO47" i="8" s="1"/>
  <c r="AO50" i="8" s="1"/>
  <c r="AP32" i="8"/>
  <c r="AP31" i="8"/>
  <c r="AP34" i="8" s="1"/>
  <c r="AN86" i="8"/>
  <c r="AO83" i="8" s="1"/>
  <c r="AP38" i="8"/>
  <c r="AR21" i="8"/>
  <c r="AQ20" i="8"/>
  <c r="AQ23" i="8" s="1"/>
  <c r="AK58" i="8"/>
  <c r="AK67" i="8" s="1"/>
  <c r="AK93" i="8" s="1"/>
  <c r="AK95" i="8" s="1"/>
  <c r="AL58" i="8"/>
  <c r="AL67" i="8" s="1"/>
  <c r="AL93" i="8" s="1"/>
  <c r="AL95" i="8" s="1"/>
  <c r="AO81" i="8"/>
  <c r="AN89" i="8"/>
  <c r="AO85" i="8"/>
  <c r="AK61" i="8" l="1"/>
  <c r="AO86" i="8"/>
  <c r="AP83" i="8" s="1"/>
  <c r="AM58" i="8"/>
  <c r="AM67" i="8" s="1"/>
  <c r="AM93" i="8" s="1"/>
  <c r="AM95" i="8" s="1"/>
  <c r="AN58" i="8"/>
  <c r="AN67" i="8" s="1"/>
  <c r="AN69" i="8" s="1"/>
  <c r="AP81" i="8"/>
  <c r="AP85" i="8"/>
  <c r="AO89" i="8"/>
  <c r="AQ38" i="8"/>
  <c r="AK69" i="8"/>
  <c r="AS21" i="8"/>
  <c r="AR20" i="8"/>
  <c r="AR23" i="8" s="1"/>
  <c r="AO64" i="8"/>
  <c r="AO55" i="8"/>
  <c r="AO51" i="8"/>
  <c r="AP45" i="8"/>
  <c r="AP44" i="8"/>
  <c r="AP47" i="8" s="1"/>
  <c r="AP50" i="8" s="1"/>
  <c r="AL61" i="8"/>
  <c r="AQ32" i="8"/>
  <c r="AQ31" i="8"/>
  <c r="AQ34" i="8" s="1"/>
  <c r="AN88" i="8"/>
  <c r="AN92" i="8" s="1"/>
  <c r="AL69" i="8"/>
  <c r="AS37" i="8"/>
  <c r="AN61" i="8" l="1"/>
  <c r="AP55" i="8"/>
  <c r="AP51" i="8"/>
  <c r="AP64" i="8"/>
  <c r="AM69" i="8"/>
  <c r="AP86" i="8"/>
  <c r="AQ83" i="8" s="1"/>
  <c r="AO58" i="8"/>
  <c r="AO67" i="8" s="1"/>
  <c r="AR38" i="8"/>
  <c r="AT37" i="8"/>
  <c r="AN93" i="8"/>
  <c r="AN95" i="8" s="1"/>
  <c r="AO88" i="8"/>
  <c r="AO92" i="8" s="1"/>
  <c r="AT21" i="8"/>
  <c r="AT20" i="8" s="1"/>
  <c r="AS20" i="8"/>
  <c r="AS23" i="8" s="1"/>
  <c r="AQ45" i="8"/>
  <c r="AQ44" i="8"/>
  <c r="AQ47" i="8" s="1"/>
  <c r="AQ50" i="8" s="1"/>
  <c r="AO69" i="8"/>
  <c r="AR32" i="8"/>
  <c r="AR31" i="8"/>
  <c r="AQ85" i="8"/>
  <c r="AP89" i="8"/>
  <c r="AQ81" i="8"/>
  <c r="AM61" i="8"/>
  <c r="AQ51" i="8" l="1"/>
  <c r="AQ64" i="8"/>
  <c r="AQ55" i="8"/>
  <c r="AQ86" i="8"/>
  <c r="AR83" i="8" s="1"/>
  <c r="AQ88" i="8"/>
  <c r="AS32" i="8"/>
  <c r="AS31" i="8"/>
  <c r="AS34" i="8" s="1"/>
  <c r="AO93" i="8"/>
  <c r="AO95" i="8" s="1"/>
  <c r="AR85" i="8"/>
  <c r="AQ89" i="8"/>
  <c r="AQ92" i="8" s="1"/>
  <c r="AR81" i="8"/>
  <c r="AS38" i="8"/>
  <c r="AP58" i="8"/>
  <c r="AP67" i="8" s="1"/>
  <c r="AT23" i="8"/>
  <c r="E20" i="8"/>
  <c r="H37" i="8"/>
  <c r="G37" i="8"/>
  <c r="AO61" i="8"/>
  <c r="AP69" i="8"/>
  <c r="AR34" i="8"/>
  <c r="AP88" i="8"/>
  <c r="AP92" i="8" s="1"/>
  <c r="AT38" i="8" l="1"/>
  <c r="AR86" i="8"/>
  <c r="AS83" i="8" s="1"/>
  <c r="AR88" i="8"/>
  <c r="AT32" i="8"/>
  <c r="AT31" i="8"/>
  <c r="AR45" i="8"/>
  <c r="AR44" i="8"/>
  <c r="AP93" i="8"/>
  <c r="AP95" i="8" s="1"/>
  <c r="AS85" i="8"/>
  <c r="AS81" i="8"/>
  <c r="AS89" i="8" s="1"/>
  <c r="AR89" i="8"/>
  <c r="AS44" i="8"/>
  <c r="AS47" i="8" s="1"/>
  <c r="AS50" i="8" s="1"/>
  <c r="AS45" i="8"/>
  <c r="AQ58" i="8"/>
  <c r="AQ67" i="8" s="1"/>
  <c r="AQ93" i="8" s="1"/>
  <c r="AQ95" i="8" s="1"/>
  <c r="AP61" i="8"/>
  <c r="AR47" i="8" l="1"/>
  <c r="AR50" i="8" s="1"/>
  <c r="AR64" i="8" s="1"/>
  <c r="AS64" i="8"/>
  <c r="AS55" i="8"/>
  <c r="AS51" i="8"/>
  <c r="H38" i="8"/>
  <c r="G38" i="8"/>
  <c r="AT34" i="8"/>
  <c r="H31" i="8"/>
  <c r="G31" i="8"/>
  <c r="H32" i="8"/>
  <c r="G32" i="8"/>
  <c r="AQ61" i="8"/>
  <c r="AR51" i="8"/>
  <c r="AR92" i="8"/>
  <c r="AR55" i="8"/>
  <c r="AQ69" i="8"/>
  <c r="AS86" i="8"/>
  <c r="AS88" i="8"/>
  <c r="AS92" i="8" s="1"/>
  <c r="AT45" i="8" l="1"/>
  <c r="AT44" i="8"/>
  <c r="G34" i="8"/>
  <c r="H34" i="8"/>
  <c r="AS58" i="8"/>
  <c r="AS67" i="8" s="1"/>
  <c r="AS93" i="8" s="1"/>
  <c r="AS95" i="8" s="1"/>
  <c r="AR58" i="8"/>
  <c r="AR67" i="8" s="1"/>
  <c r="AR93" i="8" s="1"/>
  <c r="AR95" i="8" s="1"/>
  <c r="AR61" i="8" l="1"/>
  <c r="AR69" i="8"/>
  <c r="G45" i="8"/>
  <c r="H45" i="8"/>
  <c r="AS69" i="8"/>
  <c r="AS61" i="8"/>
  <c r="G44" i="8"/>
  <c r="H44" i="8"/>
  <c r="AT47" i="8"/>
  <c r="G47" i="8" l="1"/>
  <c r="H47" i="8"/>
  <c r="AT50" i="8"/>
  <c r="AT92" i="8" l="1"/>
  <c r="AT51" i="8"/>
  <c r="AT64" i="8"/>
  <c r="AT55" i="8"/>
  <c r="H50" i="8"/>
  <c r="G50" i="8"/>
  <c r="AT58" i="8" l="1"/>
  <c r="AT67" i="8" s="1"/>
  <c r="AT93" i="8" s="1"/>
  <c r="AT61" i="8"/>
  <c r="G55" i="8"/>
  <c r="H55" i="8"/>
  <c r="J50" i="8"/>
  <c r="I50" i="8"/>
  <c r="AT95" i="8"/>
  <c r="AT69" i="8" l="1"/>
  <c r="J71" i="8" s="1"/>
  <c r="J9" i="8" s="1"/>
</calcChain>
</file>

<file path=xl/sharedStrings.xml><?xml version="1.0" encoding="utf-8"?>
<sst xmlns="http://schemas.openxmlformats.org/spreadsheetml/2006/main" count="96" uniqueCount="89">
  <si>
    <t>OPERATING DETAILS ($000's)</t>
  </si>
  <si>
    <t>Project Name</t>
  </si>
  <si>
    <t>Name Plate (DC)</t>
  </si>
  <si>
    <t>Sites</t>
  </si>
  <si>
    <t>Development Costs</t>
  </si>
  <si>
    <t>%</t>
  </si>
  <si>
    <t>$/W</t>
  </si>
  <si>
    <t>Dev Cost</t>
  </si>
  <si>
    <t>Total Cost per Wp</t>
  </si>
  <si>
    <t>MW</t>
  </si>
  <si>
    <t>Total Returns</t>
  </si>
  <si>
    <t>Interconnection/Telemetry Costs</t>
  </si>
  <si>
    <t>LED Project</t>
  </si>
  <si>
    <t>Investments</t>
  </si>
  <si>
    <t>Total Assets</t>
  </si>
  <si>
    <t>Total Depreciable Assets</t>
  </si>
  <si>
    <t>Yield</t>
  </si>
  <si>
    <t xml:space="preserve">Total Grant </t>
  </si>
  <si>
    <t>Total kW</t>
  </si>
  <si>
    <t>Escl.</t>
  </si>
  <si>
    <t>Total</t>
  </si>
  <si>
    <t>kWh/kWp</t>
  </si>
  <si>
    <t>Electricity Produced (kWhr/yr)</t>
  </si>
  <si>
    <t>Production Factor Post Degradation</t>
  </si>
  <si>
    <t>Sensitivity (Uptime)</t>
  </si>
  <si>
    <t>Total Production</t>
  </si>
  <si>
    <t>PPA</t>
  </si>
  <si>
    <t>Price (Base)</t>
  </si>
  <si>
    <t>PPA Price ($/MWh)</t>
  </si>
  <si>
    <t>REC Price ($/MWh)</t>
  </si>
  <si>
    <t>Revenue</t>
  </si>
  <si>
    <t>Average</t>
  </si>
  <si>
    <t>Power Revenue</t>
  </si>
  <si>
    <t>REC Sales</t>
  </si>
  <si>
    <t>Total Revenue</t>
  </si>
  <si>
    <t>Costs</t>
  </si>
  <si>
    <t>O&amp;M Costs (k$'s/yr/MW)</t>
  </si>
  <si>
    <t>Replacement Costs (k$'s/yr/MW)</t>
  </si>
  <si>
    <t>Management Fee (k$'s/yr)</t>
  </si>
  <si>
    <t>Lease Costs (k$'s/yr/MW)</t>
  </si>
  <si>
    <t>WREGIS  (k$'s/yr/MW)</t>
  </si>
  <si>
    <t>M. Tax</t>
  </si>
  <si>
    <t>Bad Debt</t>
  </si>
  <si>
    <t>Insurance Costs G, C &amp; L (% of Capex)</t>
  </si>
  <si>
    <t>Total Costs</t>
  </si>
  <si>
    <t>Revenue/EBITDA</t>
  </si>
  <si>
    <t>EBITDA/Cost</t>
  </si>
  <si>
    <t>EBITDA</t>
  </si>
  <si>
    <t>Op Margin</t>
  </si>
  <si>
    <t>Depn Percentage</t>
  </si>
  <si>
    <t>Bonus Dep? (Yes/NO)</t>
  </si>
  <si>
    <t>Total Depreciation</t>
  </si>
  <si>
    <t>EBT</t>
  </si>
  <si>
    <t>Tax Rate</t>
  </si>
  <si>
    <t>Income Tax Benefits (Tax Equity)</t>
  </si>
  <si>
    <t>EAT</t>
  </si>
  <si>
    <t>FCF BT</t>
  </si>
  <si>
    <t>Investment</t>
  </si>
  <si>
    <t>ITC</t>
  </si>
  <si>
    <t xml:space="preserve">Tax </t>
  </si>
  <si>
    <t>Residual</t>
  </si>
  <si>
    <t>Total Cash flows</t>
  </si>
  <si>
    <t>Implied Purchase IRR</t>
  </si>
  <si>
    <t>BOP</t>
  </si>
  <si>
    <t>Roof Work</t>
  </si>
  <si>
    <t>Contingency</t>
  </si>
  <si>
    <t>Residual Assumed</t>
  </si>
  <si>
    <t>Gross Receipt Tax (k$'s/yr/MW)</t>
  </si>
  <si>
    <t>Yes</t>
  </si>
  <si>
    <t>Backside Boost</t>
  </si>
  <si>
    <t>NS - Orland</t>
  </si>
  <si>
    <t>Cost</t>
  </si>
  <si>
    <t>Discount (Incl)</t>
  </si>
  <si>
    <t>Debt Leverage</t>
  </si>
  <si>
    <t>Term Loan</t>
  </si>
  <si>
    <t>Debt Margin</t>
  </si>
  <si>
    <t>Principle</t>
  </si>
  <si>
    <t>Term(Sizing)</t>
  </si>
  <si>
    <t>Reserves</t>
  </si>
  <si>
    <t>Loan Year</t>
  </si>
  <si>
    <t>Beginning Balance</t>
  </si>
  <si>
    <t>Draw</t>
  </si>
  <si>
    <t>Principle Payment</t>
  </si>
  <si>
    <t>End Balance</t>
  </si>
  <si>
    <t>Interest</t>
  </si>
  <si>
    <t>Cash</t>
  </si>
  <si>
    <t>Tax</t>
  </si>
  <si>
    <t>Total Levered Cash Flows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</si>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</sst>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_(&quot;$&quot;* #,##0.000_);_(&quot;$&quot;* \(#,##0.000\);_(&quot;$&quot;* &quot;-&quot;??_);_(@_)"/>
    <numFmt numFmtId="167" formatCode="&quot;Year &quot;0"/>
    <numFmt numFmtId="168" formatCode="0.0000"/>
    <numFmt numFmtId="169" formatCode="0.0%"/>
    <numFmt numFmtId="170" formatCode="_(&quot;$&quot;* #,##0.0000_);_(&quot;$&quot;* \(#,##0.0000\);_(&quot;$&quot;* &quot;-&quot;??_);_(@_)"/>
    <numFmt numFmtId="171" formatCode="_(&quot;$&quot;* #,##0.00000_);_(&quot;$&quot;* \(#,##0.00000\);_(&quot;$&quot;* &quot;-&quot;??_);_(@_)"/>
    <numFmt numFmtId="172" formatCode="_(* #,##0.0_);_(* \(#,##0.0\);_(* &quot;-&quot;??_);_(@_)"/>
    <numFmt numFmtId="173" formatCode="mmm\ yyyy"/>
    <numFmt numFmtId="174" formatCode="[$-409]mmm\-yy;@"/>
    <numFmt numFmtId="175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sz val="11"/>
      <color rgb="FF993366"/>
      <name val="Calibri"/>
      <family val="2"/>
      <scheme val="minor"/>
    </font>
    <font>
      <u/>
      <sz val="11"/>
      <color theme="10"/>
      <name val="Calibri"/>
      <family val="2"/>
    </font>
    <font>
      <b/>
      <sz val="8"/>
      <color rgb="FF0070C0"/>
      <name val="Times New Roman"/>
      <family val="1"/>
    </font>
    <font>
      <sz val="8"/>
      <name val="Times New Roman"/>
      <family val="1"/>
    </font>
    <font>
      <b/>
      <u/>
      <sz val="8"/>
      <color rgb="FF000000"/>
      <name val="Times New Roman"/>
      <family val="1"/>
    </font>
    <font>
      <b/>
      <u val="singleAccounting"/>
      <sz val="8"/>
      <name val="Times New Roman"/>
      <family val="1"/>
    </font>
    <font>
      <b/>
      <sz val="8"/>
      <name val="Times New Roman"/>
      <family val="1"/>
    </font>
    <font>
      <sz val="8"/>
      <color rgb="FF0070C0"/>
      <name val="Times New Roman"/>
      <family val="1"/>
    </font>
    <font>
      <b/>
      <sz val="8"/>
      <color rgb="FF000000"/>
      <name val="Times New Roman"/>
      <family val="1"/>
    </font>
    <font>
      <b/>
      <sz val="8"/>
      <color theme="1"/>
      <name val="Times New Roman"/>
      <family val="1"/>
    </font>
    <font>
      <u/>
      <sz val="8"/>
      <color rgb="FF000000"/>
      <name val="Times New Roman"/>
      <family val="1"/>
    </font>
    <font>
      <u/>
      <sz val="8"/>
      <color theme="10"/>
      <name val="Times New Roman"/>
      <family val="1"/>
    </font>
    <font>
      <b/>
      <i/>
      <sz val="8"/>
      <color rgb="FF000000"/>
      <name val="Times New Roman"/>
      <family val="1"/>
    </font>
    <font>
      <b/>
      <u/>
      <sz val="8"/>
      <color theme="1"/>
      <name val="Times New Roman"/>
      <family val="1"/>
    </font>
    <font>
      <b/>
      <u val="singleAccounting"/>
      <sz val="8"/>
      <color rgb="FF000000"/>
      <name val="Times New Roman"/>
      <family val="1"/>
    </font>
    <font>
      <i/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49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4" applyAlignment="1" applyProtection="1"/>
    <xf numFmtId="0" fontId="6" fillId="0" borderId="0" xfId="0" applyFont="1" applyAlignment="1">
      <alignment vertical="center" wrapText="1"/>
    </xf>
    <xf numFmtId="164" fontId="5" fillId="0" borderId="0" xfId="4" applyNumberFormat="1" applyAlignment="1" applyProtection="1"/>
    <xf numFmtId="165" fontId="6" fillId="0" borderId="0" xfId="1" applyNumberFormat="1" applyFont="1" applyBorder="1" applyAlignment="1">
      <alignment vertical="center"/>
    </xf>
    <xf numFmtId="43" fontId="7" fillId="0" borderId="0" xfId="0" applyNumberFormat="1" applyFont="1" applyAlignment="1">
      <alignment vertical="center"/>
    </xf>
    <xf numFmtId="165" fontId="7" fillId="0" borderId="0" xfId="1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44" fontId="9" fillId="0" borderId="0" xfId="2" applyFont="1" applyAlignment="1">
      <alignment vertical="center"/>
    </xf>
    <xf numFmtId="164" fontId="10" fillId="0" borderId="0" xfId="3" applyNumberFormat="1" applyFont="1" applyAlignment="1">
      <alignment vertical="center"/>
    </xf>
    <xf numFmtId="10" fontId="6" fillId="0" borderId="0" xfId="3" applyNumberFormat="1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9" fontId="7" fillId="0" borderId="0" xfId="3" applyFont="1" applyAlignment="1">
      <alignment vertical="center"/>
    </xf>
    <xf numFmtId="164" fontId="10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165" fontId="10" fillId="0" borderId="0" xfId="1" applyNumberFormat="1" applyFont="1" applyAlignment="1">
      <alignment vertical="center"/>
    </xf>
    <xf numFmtId="10" fontId="10" fillId="0" borderId="0" xfId="3" applyNumberFormat="1" applyFont="1" applyAlignment="1">
      <alignment vertical="center"/>
    </xf>
    <xf numFmtId="9" fontId="11" fillId="0" borderId="0" xfId="3" applyFont="1" applyAlignment="1">
      <alignment vertical="center"/>
    </xf>
    <xf numFmtId="43" fontId="3" fillId="0" borderId="0" xfId="1" applyFont="1" applyAlignment="1">
      <alignment vertical="center"/>
    </xf>
    <xf numFmtId="43" fontId="6" fillId="0" borderId="0" xfId="1" applyNumberFormat="1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9" fontId="12" fillId="0" borderId="1" xfId="3" applyFont="1" applyBorder="1" applyAlignment="1">
      <alignment vertical="center"/>
    </xf>
    <xf numFmtId="166" fontId="12" fillId="0" borderId="1" xfId="2" applyNumberFormat="1" applyFont="1" applyBorder="1" applyAlignment="1">
      <alignment vertical="center"/>
    </xf>
    <xf numFmtId="37" fontId="12" fillId="0" borderId="1" xfId="0" applyNumberFormat="1" applyFont="1" applyBorder="1" applyAlignment="1">
      <alignment vertical="center"/>
    </xf>
    <xf numFmtId="37" fontId="10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43" fontId="10" fillId="0" borderId="0" xfId="1" applyFont="1" applyAlignment="1">
      <alignment vertical="center"/>
    </xf>
    <xf numFmtId="44" fontId="13" fillId="0" borderId="0" xfId="2" applyFont="1" applyAlignment="1">
      <alignment vertical="center"/>
    </xf>
    <xf numFmtId="3" fontId="12" fillId="0" borderId="0" xfId="0" applyNumberFormat="1" applyFont="1" applyAlignment="1">
      <alignment vertical="center"/>
    </xf>
    <xf numFmtId="9" fontId="6" fillId="0" borderId="0" xfId="3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49" fontId="14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0" fontId="6" fillId="0" borderId="0" xfId="3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169" fontId="6" fillId="0" borderId="0" xfId="3" applyNumberFormat="1" applyFont="1" applyAlignment="1">
      <alignment vertical="center"/>
    </xf>
    <xf numFmtId="9" fontId="3" fillId="0" borderId="0" xfId="3" applyFont="1" applyAlignment="1">
      <alignment vertical="center"/>
    </xf>
    <xf numFmtId="170" fontId="6" fillId="0" borderId="0" xfId="2" applyNumberFormat="1" applyFont="1" applyAlignment="1">
      <alignment vertical="center"/>
    </xf>
    <xf numFmtId="170" fontId="2" fillId="0" borderId="0" xfId="2" applyNumberFormat="1" applyFont="1" applyAlignment="1">
      <alignment vertical="center"/>
    </xf>
    <xf numFmtId="168" fontId="2" fillId="0" borderId="0" xfId="0" applyNumberFormat="1" applyFont="1" applyAlignment="1">
      <alignment vertical="center"/>
    </xf>
    <xf numFmtId="169" fontId="15" fillId="0" borderId="0" xfId="4" applyNumberFormat="1" applyFont="1" applyAlignment="1" applyProtection="1">
      <alignment vertical="center"/>
    </xf>
    <xf numFmtId="169" fontId="2" fillId="0" borderId="0" xfId="0" applyNumberFormat="1" applyFont="1" applyAlignment="1">
      <alignment vertical="center"/>
    </xf>
    <xf numFmtId="171" fontId="6" fillId="0" borderId="0" xfId="2" applyNumberFormat="1" applyFont="1" applyAlignment="1">
      <alignment vertical="center"/>
    </xf>
    <xf numFmtId="172" fontId="6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10" fontId="6" fillId="0" borderId="0" xfId="3" applyNumberFormat="1" applyFont="1" applyFill="1" applyAlignment="1">
      <alignment vertical="center"/>
    </xf>
    <xf numFmtId="10" fontId="6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1" fontId="2" fillId="0" borderId="0" xfId="0" applyNumberFormat="1" applyFont="1" applyFill="1" applyAlignment="1">
      <alignment vertical="center"/>
    </xf>
    <xf numFmtId="1" fontId="12" fillId="0" borderId="0" xfId="0" applyNumberFormat="1" applyFont="1" applyAlignment="1">
      <alignment vertical="center"/>
    </xf>
    <xf numFmtId="3" fontId="8" fillId="0" borderId="0" xfId="0" applyNumberFormat="1" applyFont="1" applyAlignment="1">
      <alignment vertical="center"/>
    </xf>
    <xf numFmtId="4" fontId="8" fillId="0" borderId="0" xfId="0" applyNumberFormat="1" applyFont="1" applyAlignment="1">
      <alignment horizontal="center" vertical="center"/>
    </xf>
    <xf numFmtId="9" fontId="2" fillId="0" borderId="0" xfId="3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14" fillId="0" borderId="0" xfId="0" applyNumberFormat="1" applyFont="1" applyFill="1" applyAlignment="1">
      <alignment vertical="center"/>
    </xf>
    <xf numFmtId="9" fontId="2" fillId="0" borderId="0" xfId="3" applyFont="1" applyFill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1" fontId="8" fillId="0" borderId="0" xfId="0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9" fontId="6" fillId="0" borderId="0" xfId="3" applyFont="1" applyAlignment="1">
      <alignment vertical="center"/>
    </xf>
    <xf numFmtId="173" fontId="16" fillId="0" borderId="0" xfId="1" applyNumberFormat="1" applyFont="1" applyAlignment="1">
      <alignment vertical="center"/>
    </xf>
    <xf numFmtId="0" fontId="17" fillId="0" borderId="0" xfId="0" applyFont="1" applyAlignment="1">
      <alignment vertical="center"/>
    </xf>
    <xf numFmtId="49" fontId="2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173" fontId="16" fillId="2" borderId="0" xfId="1" applyNumberFormat="1" applyFont="1" applyFill="1" applyAlignment="1">
      <alignment vertical="center"/>
    </xf>
    <xf numFmtId="8" fontId="8" fillId="0" borderId="0" xfId="0" applyNumberFormat="1" applyFont="1" applyAlignment="1">
      <alignment vertical="center"/>
    </xf>
    <xf numFmtId="165" fontId="18" fillId="0" borderId="0" xfId="1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/>
    </xf>
    <xf numFmtId="49" fontId="8" fillId="2" borderId="0" xfId="0" applyNumberFormat="1" applyFont="1" applyFill="1" applyAlignment="1">
      <alignment vertical="center"/>
    </xf>
    <xf numFmtId="49" fontId="14" fillId="2" borderId="0" xfId="0" applyNumberFormat="1" applyFont="1" applyFill="1" applyAlignment="1">
      <alignment vertical="center"/>
    </xf>
    <xf numFmtId="10" fontId="3" fillId="2" borderId="0" xfId="0" applyNumberFormat="1" applyFont="1" applyFill="1" applyAlignment="1">
      <alignment vertical="center"/>
    </xf>
    <xf numFmtId="10" fontId="18" fillId="2" borderId="0" xfId="3" applyNumberFormat="1" applyFont="1" applyFill="1" applyAlignment="1">
      <alignment vertical="center"/>
    </xf>
    <xf numFmtId="17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175" fontId="6" fillId="0" borderId="0" xfId="3" applyNumberFormat="1" applyFont="1" applyBorder="1" applyAlignment="1">
      <alignment vertical="center"/>
    </xf>
    <xf numFmtId="169" fontId="6" fillId="0" borderId="0" xfId="3" applyNumberFormat="1" applyFont="1" applyBorder="1" applyAlignment="1">
      <alignment vertical="center"/>
    </xf>
    <xf numFmtId="165" fontId="2" fillId="0" borderId="0" xfId="1" applyNumberFormat="1" applyFont="1" applyAlignment="1">
      <alignment horizontal="center" vertical="center"/>
    </xf>
    <xf numFmtId="165" fontId="2" fillId="3" borderId="0" xfId="1" applyNumberFormat="1" applyFont="1" applyFill="1" applyAlignment="1">
      <alignment vertical="center"/>
    </xf>
    <xf numFmtId="9" fontId="3" fillId="3" borderId="0" xfId="3" applyFont="1" applyFill="1" applyAlignment="1">
      <alignment vertical="center"/>
    </xf>
    <xf numFmtId="170" fontId="2" fillId="3" borderId="0" xfId="2" applyNumberFormat="1" applyFont="1" applyFill="1" applyAlignment="1">
      <alignment vertical="center"/>
    </xf>
    <xf numFmtId="168" fontId="2" fillId="3" borderId="0" xfId="0" applyNumberFormat="1" applyFont="1" applyFill="1" applyAlignment="1">
      <alignment vertic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n%20Bujanover/Documents/Files/Capital%20Raising/Vert/Model%20Sets%20Provided/2015%20Portfolio%201%20Analysis%204.25.2015%20(Input%20Based)%20(Only%20Hanford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Start-&gt;"/>
      <sheetName val="Project Placerville"/>
      <sheetName val="Project Hanford"/>
      <sheetName val="&lt;-Sum End"/>
      <sheetName val="Summary"/>
      <sheetName val="Source &amp; Uses"/>
      <sheetName val="Scenarios"/>
      <sheetName val="Project Placerville (ET 315 2)"/>
      <sheetName val="Project Hanford (Trina)"/>
      <sheetName val="Project Hanford (Sunpreme)"/>
      <sheetName val="Project Hanford (Sunpower)"/>
      <sheetName val="Project Hanford (Sunpreme SW)"/>
      <sheetName val="Project Hanford (ET 315)"/>
      <sheetName val="Project Hanford (CS 330)"/>
      <sheetName val="Project Hanford (CS 290)"/>
      <sheetName val="Project Hanford (Sunpreme 2)"/>
      <sheetName val="Project Orland (ET 315)"/>
      <sheetName val="Project Orland (CS 330)"/>
      <sheetName val="Project Orland (Centro 360)"/>
      <sheetName val="Project Placerville (BenQ)"/>
      <sheetName val="Project Placerville (Trina)"/>
      <sheetName val="Project Placerville (Sunpower)"/>
      <sheetName val="Project Rose"/>
      <sheetName val="Project Gateway"/>
      <sheetName val="Project Shasta"/>
      <sheetName val="Project Winery"/>
      <sheetName val="Project Silverado"/>
      <sheetName val="Project WestPark"/>
      <sheetName val="Project Oakshade"/>
      <sheetName val="Project El Cerrito"/>
      <sheetName val="Project East Washington"/>
      <sheetName val="Project Clayton Valley"/>
      <sheetName val="Project Bayhill"/>
      <sheetName val="Project Loehmans"/>
      <sheetName val="Project Calusa"/>
      <sheetName val="Project Magalia"/>
      <sheetName val="Project Paradise"/>
      <sheetName val="Project Quincy"/>
      <sheetName val="Project Medows Vista"/>
      <sheetName val="Project Cool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>
        <row r="5">
          <cell r="B5" t="str">
            <v>Case 1</v>
          </cell>
        </row>
        <row r="6">
          <cell r="B6" t="str">
            <v>Case 2</v>
          </cell>
        </row>
        <row r="7">
          <cell r="B7" t="str">
            <v>Case 3</v>
          </cell>
        </row>
        <row r="8">
          <cell r="B8" t="str">
            <v>Case 4</v>
          </cell>
        </row>
        <row r="9">
          <cell r="B9" t="str">
            <v>Case 5</v>
          </cell>
        </row>
        <row r="10">
          <cell r="B10" t="str">
            <v>Case 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X95"/>
  <sheetViews>
    <sheetView showGridLines="0" tabSelected="1" zoomScaleNormal="100" workbookViewId="0"/>
  </sheetViews>
  <sheetFormatPr defaultColWidth="0" defaultRowHeight="10.5" x14ac:dyDescent="0.55000000000000004"/>
  <cols>
    <col min="1" max="1" width="9.15625" style="2" customWidth="1"/>
    <col min="2" max="2" width="27.578125" style="2" bestFit="1" customWidth="1"/>
    <col min="3" max="3" width="22.68359375" style="2" bestFit="1" customWidth="1"/>
    <col min="4" max="4" width="8.578125" style="2" bestFit="1" customWidth="1"/>
    <col min="5" max="5" width="9.578125" style="2" bestFit="1" customWidth="1"/>
    <col min="6" max="6" width="11.83984375" style="2" bestFit="1" customWidth="1"/>
    <col min="7" max="7" width="9.83984375" style="2" bestFit="1" customWidth="1"/>
    <col min="8" max="8" width="8" style="2" bestFit="1" customWidth="1"/>
    <col min="9" max="9" width="13.15625" style="2" bestFit="1" customWidth="1"/>
    <col min="10" max="10" width="18.41796875" style="2" bestFit="1" customWidth="1"/>
    <col min="11" max="11" width="16" style="2" bestFit="1" customWidth="1"/>
    <col min="12" max="12" width="9.83984375" style="2" bestFit="1" customWidth="1"/>
    <col min="13" max="13" width="8" style="2" bestFit="1" customWidth="1"/>
    <col min="14" max="20" width="9.15625" style="2" bestFit="1" customWidth="1"/>
    <col min="21" max="46" width="8" style="2" bestFit="1" customWidth="1"/>
    <col min="47" max="47" width="4.41796875" style="2" bestFit="1" customWidth="1"/>
    <col min="48" max="50" width="10.41796875" style="2" bestFit="1" customWidth="1"/>
    <col min="51" max="51" width="5.41796875" style="2" bestFit="1" customWidth="1"/>
    <col min="52" max="52" width="0" style="2" hidden="1" customWidth="1"/>
    <col min="53" max="54" width="7.83984375" style="2" hidden="1" customWidth="1"/>
    <col min="55" max="58" width="0" style="2" hidden="1" customWidth="1"/>
    <col min="59" max="59" width="7.83984375" style="2" hidden="1" customWidth="1"/>
    <col min="60" max="63" width="0" style="2" hidden="1" customWidth="1"/>
    <col min="64" max="68" width="7.83984375" style="2" hidden="1" customWidth="1"/>
    <col min="69" max="72" width="0" style="2" hidden="1" customWidth="1"/>
    <col min="73" max="76" width="7.83984375" style="2" hidden="1" customWidth="1"/>
    <col min="77" max="16384" width="9.15625" style="2" hidden="1"/>
  </cols>
  <sheetData>
    <row r="2" spans="2:46" ht="14.4" x14ac:dyDescent="0.55000000000000004">
      <c r="B2" s="1" t="s">
        <v>0</v>
      </c>
      <c r="F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2:46" ht="14.4" x14ac:dyDescent="0.55000000000000004">
      <c r="B3" s="1"/>
      <c r="F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2:46" ht="14.4" x14ac:dyDescent="0.55000000000000004">
      <c r="B4" s="1" t="s">
        <v>1</v>
      </c>
      <c r="C4" s="5" t="s">
        <v>70</v>
      </c>
      <c r="F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2:46" x14ac:dyDescent="0.55000000000000004">
      <c r="B5" s="1" t="s">
        <v>2</v>
      </c>
      <c r="C5" s="7">
        <v>576</v>
      </c>
      <c r="D5" s="8"/>
      <c r="E5" s="8"/>
      <c r="F5" s="9"/>
      <c r="G5" s="10"/>
      <c r="H5" s="11"/>
      <c r="I5" s="12"/>
      <c r="J5" s="12"/>
      <c r="K5" s="12"/>
      <c r="L5" s="1"/>
      <c r="M5" s="1"/>
      <c r="N5" s="1"/>
      <c r="O5" s="1"/>
      <c r="P5" s="1"/>
      <c r="Q5" s="1"/>
    </row>
    <row r="6" spans="2:46" x14ac:dyDescent="0.55000000000000004">
      <c r="B6" s="1" t="s">
        <v>3</v>
      </c>
      <c r="C6" s="13">
        <v>1</v>
      </c>
      <c r="D6" s="13"/>
      <c r="E6" s="13"/>
      <c r="F6" s="13"/>
      <c r="G6" s="1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2:46" ht="12.9" x14ac:dyDescent="0.55000000000000004">
      <c r="B7" s="14" t="s">
        <v>4</v>
      </c>
      <c r="C7" s="13"/>
      <c r="D7" s="13"/>
      <c r="E7" s="15" t="s">
        <v>5</v>
      </c>
      <c r="F7" s="15" t="s">
        <v>6</v>
      </c>
      <c r="G7" s="15" t="s">
        <v>7</v>
      </c>
      <c r="I7" s="16"/>
      <c r="J7" s="1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2:46" x14ac:dyDescent="0.55000000000000004">
      <c r="B8" s="18" t="s">
        <v>63</v>
      </c>
      <c r="C8" s="13"/>
      <c r="D8" s="13"/>
      <c r="E8" s="19">
        <f>-G8/$G$13</f>
        <v>0.81279534714649226</v>
      </c>
      <c r="F8" s="23">
        <v>2.7949999999999999</v>
      </c>
      <c r="G8" s="24">
        <f>F8*$C$5</f>
        <v>1609.92</v>
      </c>
      <c r="I8" s="1" t="s">
        <v>8</v>
      </c>
      <c r="J8" s="16">
        <f>SUM(F8:F11)</f>
        <v>3.4387499999999998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2:46" x14ac:dyDescent="0.55000000000000004">
      <c r="B9" s="18" t="s">
        <v>64</v>
      </c>
      <c r="C9" s="22"/>
      <c r="D9" s="13" t="s">
        <v>9</v>
      </c>
      <c r="E9" s="19">
        <f>-G9/$G$13</f>
        <v>0.1395856052344602</v>
      </c>
      <c r="F9" s="23">
        <v>0.48</v>
      </c>
      <c r="G9" s="24">
        <f>F9*$C$5</f>
        <v>276.48</v>
      </c>
      <c r="I9" s="1" t="s">
        <v>10</v>
      </c>
      <c r="J9" s="25">
        <f>J71</f>
        <v>0.14148582816123959</v>
      </c>
      <c r="L9" s="1"/>
      <c r="M9" s="1"/>
      <c r="N9" s="1"/>
      <c r="O9" s="1"/>
      <c r="P9" s="1"/>
      <c r="Q9" s="1"/>
      <c r="R9" s="26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2:46" x14ac:dyDescent="0.55000000000000004">
      <c r="B10" s="18" t="s">
        <v>65</v>
      </c>
      <c r="C10" s="13"/>
      <c r="D10" s="13"/>
      <c r="E10" s="19">
        <f>-G10/$G$13</f>
        <v>4.7619047619047623E-2</v>
      </c>
      <c r="F10" s="20">
        <f>G10/$C$5</f>
        <v>0.16375000000000001</v>
      </c>
      <c r="G10" s="21">
        <f>(G8+G9)*0.05</f>
        <v>94.320000000000007</v>
      </c>
      <c r="I10" s="1"/>
      <c r="J10" s="2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2:46" x14ac:dyDescent="0.55000000000000004">
      <c r="B11" s="18" t="s">
        <v>11</v>
      </c>
      <c r="C11" s="13"/>
      <c r="D11" s="13"/>
      <c r="E11" s="19">
        <f>-G11/$G$13</f>
        <v>0</v>
      </c>
      <c r="F11" s="20">
        <f>G11/$C$5</f>
        <v>0</v>
      </c>
      <c r="G11" s="21"/>
      <c r="I11" s="1"/>
      <c r="J11" s="2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2:46" x14ac:dyDescent="0.55000000000000004">
      <c r="B12" s="18" t="s">
        <v>12</v>
      </c>
      <c r="C12" s="13"/>
      <c r="D12" s="13"/>
      <c r="E12" s="19"/>
      <c r="F12" s="20"/>
      <c r="G12" s="21"/>
      <c r="I12" s="1"/>
      <c r="J12" s="2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2:46" x14ac:dyDescent="0.55000000000000004">
      <c r="B13" s="29" t="s">
        <v>13</v>
      </c>
      <c r="C13" s="30"/>
      <c r="D13" s="30"/>
      <c r="E13" s="31">
        <f>G13/$G$13</f>
        <v>1</v>
      </c>
      <c r="F13" s="32">
        <f>-G13/C20</f>
        <v>3.4387500000000002</v>
      </c>
      <c r="G13" s="33">
        <f>-SUM(G8:G11)</f>
        <v>-1980.72</v>
      </c>
      <c r="H13" s="34"/>
      <c r="I13" s="34"/>
      <c r="J13" s="1"/>
      <c r="K13" s="1"/>
      <c r="L13" s="1"/>
      <c r="M13" s="35"/>
      <c r="N13" s="35"/>
      <c r="O13" s="35"/>
      <c r="P13" s="35"/>
      <c r="Q13" s="36"/>
      <c r="R13" s="35"/>
      <c r="S13" s="36"/>
      <c r="T13" s="35"/>
      <c r="U13" s="3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2:46" x14ac:dyDescent="0.55000000000000004">
      <c r="B14" s="1"/>
      <c r="H14" s="1"/>
      <c r="I14" s="3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2:46" x14ac:dyDescent="0.55000000000000004">
      <c r="B15" s="1" t="s">
        <v>14</v>
      </c>
      <c r="F15" s="38">
        <f>G15/C5</f>
        <v>3.4387500000000002</v>
      </c>
      <c r="G15" s="39">
        <f>-G13</f>
        <v>1980.72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2:46" x14ac:dyDescent="0.55000000000000004">
      <c r="B16" s="1" t="s">
        <v>15</v>
      </c>
      <c r="F16" s="2" t="s">
        <v>16</v>
      </c>
      <c r="G16" s="39">
        <f>SUM(G8:G10,)*85%</f>
        <v>1683.6120000000001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2:47" x14ac:dyDescent="0.55000000000000004">
      <c r="B17" s="1" t="s">
        <v>17</v>
      </c>
      <c r="F17" s="40">
        <v>0.98</v>
      </c>
      <c r="G17" s="39">
        <f>SUM(G8:G10,)*0.3*$F$17</f>
        <v>582.33168000000001</v>
      </c>
      <c r="H17" s="1"/>
      <c r="I17" s="1"/>
      <c r="J17" s="1"/>
      <c r="K17" s="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</row>
    <row r="18" spans="2:47" x14ac:dyDescent="0.55000000000000004">
      <c r="B18" s="1"/>
      <c r="G18" s="39"/>
      <c r="H18" s="1"/>
      <c r="I18" s="1"/>
      <c r="J18" s="1"/>
      <c r="K18" s="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99" t="s">
        <v>66</v>
      </c>
      <c r="AL18" s="99"/>
      <c r="AM18" s="99"/>
      <c r="AN18" s="99"/>
      <c r="AO18" s="99"/>
      <c r="AP18" s="99"/>
      <c r="AQ18" s="99"/>
      <c r="AR18" s="99"/>
      <c r="AS18" s="99"/>
      <c r="AT18" s="99"/>
    </row>
    <row r="19" spans="2:47" x14ac:dyDescent="0.55000000000000004">
      <c r="C19" s="42" t="s">
        <v>18</v>
      </c>
      <c r="D19" s="43" t="s">
        <v>19</v>
      </c>
      <c r="E19" s="43" t="s">
        <v>20</v>
      </c>
      <c r="F19" s="43" t="s">
        <v>21</v>
      </c>
      <c r="G19" s="43" t="s">
        <v>69</v>
      </c>
      <c r="H19" s="43"/>
      <c r="K19" s="44">
        <v>0</v>
      </c>
      <c r="L19" s="44">
        <v>1</v>
      </c>
      <c r="M19" s="44">
        <f>L19+1</f>
        <v>2</v>
      </c>
      <c r="N19" s="44">
        <f t="shared" ref="N19:AT19" si="0">M19+1</f>
        <v>3</v>
      </c>
      <c r="O19" s="44">
        <f t="shared" si="0"/>
        <v>4</v>
      </c>
      <c r="P19" s="44">
        <f t="shared" si="0"/>
        <v>5</v>
      </c>
      <c r="Q19" s="44">
        <f t="shared" si="0"/>
        <v>6</v>
      </c>
      <c r="R19" s="44">
        <f t="shared" si="0"/>
        <v>7</v>
      </c>
      <c r="S19" s="44">
        <f t="shared" si="0"/>
        <v>8</v>
      </c>
      <c r="T19" s="44">
        <f t="shared" si="0"/>
        <v>9</v>
      </c>
      <c r="U19" s="44">
        <f t="shared" si="0"/>
        <v>10</v>
      </c>
      <c r="V19" s="44">
        <f t="shared" si="0"/>
        <v>11</v>
      </c>
      <c r="W19" s="44">
        <f t="shared" si="0"/>
        <v>12</v>
      </c>
      <c r="X19" s="44">
        <f t="shared" si="0"/>
        <v>13</v>
      </c>
      <c r="Y19" s="44">
        <f t="shared" si="0"/>
        <v>14</v>
      </c>
      <c r="Z19" s="44">
        <f t="shared" si="0"/>
        <v>15</v>
      </c>
      <c r="AA19" s="44">
        <f t="shared" si="0"/>
        <v>16</v>
      </c>
      <c r="AB19" s="44">
        <f t="shared" si="0"/>
        <v>17</v>
      </c>
      <c r="AC19" s="44">
        <f t="shared" si="0"/>
        <v>18</v>
      </c>
      <c r="AD19" s="44">
        <f t="shared" si="0"/>
        <v>19</v>
      </c>
      <c r="AE19" s="44">
        <f t="shared" si="0"/>
        <v>20</v>
      </c>
      <c r="AF19" s="44">
        <f t="shared" si="0"/>
        <v>21</v>
      </c>
      <c r="AG19" s="44">
        <f t="shared" si="0"/>
        <v>22</v>
      </c>
      <c r="AH19" s="44">
        <f t="shared" si="0"/>
        <v>23</v>
      </c>
      <c r="AI19" s="44">
        <f t="shared" si="0"/>
        <v>24</v>
      </c>
      <c r="AJ19" s="44">
        <f t="shared" si="0"/>
        <v>25</v>
      </c>
      <c r="AK19" s="44">
        <f t="shared" si="0"/>
        <v>26</v>
      </c>
      <c r="AL19" s="44">
        <f t="shared" si="0"/>
        <v>27</v>
      </c>
      <c r="AM19" s="44">
        <f t="shared" si="0"/>
        <v>28</v>
      </c>
      <c r="AN19" s="44">
        <f t="shared" si="0"/>
        <v>29</v>
      </c>
      <c r="AO19" s="44">
        <f t="shared" si="0"/>
        <v>30</v>
      </c>
      <c r="AP19" s="44">
        <f t="shared" si="0"/>
        <v>31</v>
      </c>
      <c r="AQ19" s="44">
        <f t="shared" si="0"/>
        <v>32</v>
      </c>
      <c r="AR19" s="44">
        <f t="shared" si="0"/>
        <v>33</v>
      </c>
      <c r="AS19" s="44">
        <f t="shared" si="0"/>
        <v>34</v>
      </c>
      <c r="AT19" s="44">
        <f t="shared" si="0"/>
        <v>35</v>
      </c>
    </row>
    <row r="20" spans="2:47" x14ac:dyDescent="0.55000000000000004">
      <c r="B20" s="1" t="s">
        <v>22</v>
      </c>
      <c r="C20" s="45">
        <f>C5</f>
        <v>576</v>
      </c>
      <c r="D20" s="46">
        <v>-5.0000000000000001E-3</v>
      </c>
      <c r="E20" s="47">
        <f>SUM(L20:AT20)</f>
        <v>29590423.631999999</v>
      </c>
      <c r="F20" s="28">
        <v>1604.13</v>
      </c>
      <c r="G20" s="17">
        <v>0</v>
      </c>
      <c r="H20" s="28"/>
      <c r="I20" s="48"/>
      <c r="J20" s="48"/>
      <c r="K20" s="48"/>
      <c r="L20" s="39">
        <f>F20*C5*(1+G20)</f>
        <v>923978.88000000012</v>
      </c>
      <c r="M20" s="45">
        <f t="shared" ref="M20:AT20" si="1">$L$20*M21</f>
        <v>919358.98560000013</v>
      </c>
      <c r="N20" s="45">
        <f t="shared" si="1"/>
        <v>914739.09120000014</v>
      </c>
      <c r="O20" s="45">
        <f t="shared" si="1"/>
        <v>910119.19680000015</v>
      </c>
      <c r="P20" s="45">
        <f t="shared" si="1"/>
        <v>905499.30240000004</v>
      </c>
      <c r="Q20" s="45">
        <f t="shared" si="1"/>
        <v>900879.40800000005</v>
      </c>
      <c r="R20" s="45">
        <f t="shared" si="1"/>
        <v>896259.51360000006</v>
      </c>
      <c r="S20" s="45">
        <f t="shared" si="1"/>
        <v>891639.61920000007</v>
      </c>
      <c r="T20" s="45">
        <f t="shared" si="1"/>
        <v>887019.72480000008</v>
      </c>
      <c r="U20" s="45">
        <f t="shared" si="1"/>
        <v>882399.83040000009</v>
      </c>
      <c r="V20" s="45">
        <f t="shared" si="1"/>
        <v>877779.9360000001</v>
      </c>
      <c r="W20" s="45">
        <f t="shared" si="1"/>
        <v>873160.04160000011</v>
      </c>
      <c r="X20" s="45">
        <f t="shared" si="1"/>
        <v>868540.14720000001</v>
      </c>
      <c r="Y20" s="45">
        <f t="shared" si="1"/>
        <v>863920.25280000002</v>
      </c>
      <c r="Z20" s="45">
        <f t="shared" si="1"/>
        <v>859300.35840000003</v>
      </c>
      <c r="AA20" s="45">
        <f t="shared" si="1"/>
        <v>854680.46400000004</v>
      </c>
      <c r="AB20" s="45">
        <f t="shared" si="1"/>
        <v>850060.56960000005</v>
      </c>
      <c r="AC20" s="45">
        <f t="shared" si="1"/>
        <v>845440.67520000006</v>
      </c>
      <c r="AD20" s="45">
        <f t="shared" si="1"/>
        <v>840820.78080000007</v>
      </c>
      <c r="AE20" s="45">
        <f t="shared" si="1"/>
        <v>836200.88640000008</v>
      </c>
      <c r="AF20" s="45">
        <f t="shared" si="1"/>
        <v>831580.99199999997</v>
      </c>
      <c r="AG20" s="45">
        <f t="shared" si="1"/>
        <v>826961.09759999998</v>
      </c>
      <c r="AH20" s="45">
        <f t="shared" si="1"/>
        <v>822341.20319999999</v>
      </c>
      <c r="AI20" s="45">
        <f t="shared" si="1"/>
        <v>817721.3088</v>
      </c>
      <c r="AJ20" s="45">
        <f t="shared" si="1"/>
        <v>813101.41440000001</v>
      </c>
      <c r="AK20" s="45">
        <f t="shared" si="1"/>
        <v>808481.52</v>
      </c>
      <c r="AL20" s="45">
        <f t="shared" si="1"/>
        <v>803861.62560000003</v>
      </c>
      <c r="AM20" s="45">
        <f t="shared" si="1"/>
        <v>799241.73120000004</v>
      </c>
      <c r="AN20" s="45">
        <f t="shared" si="1"/>
        <v>794621.83679999993</v>
      </c>
      <c r="AO20" s="45">
        <f t="shared" si="1"/>
        <v>790001.94239999994</v>
      </c>
      <c r="AP20" s="45">
        <f t="shared" si="1"/>
        <v>785382.04799999995</v>
      </c>
      <c r="AQ20" s="45">
        <f t="shared" si="1"/>
        <v>780762.15359999996</v>
      </c>
      <c r="AR20" s="45">
        <f t="shared" si="1"/>
        <v>776142.25919999997</v>
      </c>
      <c r="AS20" s="45">
        <f t="shared" si="1"/>
        <v>771522.36479999998</v>
      </c>
      <c r="AT20" s="45">
        <f t="shared" si="1"/>
        <v>766902.47039999999</v>
      </c>
    </row>
    <row r="21" spans="2:47" x14ac:dyDescent="0.55000000000000004">
      <c r="B21" s="1" t="s">
        <v>23</v>
      </c>
      <c r="I21" s="12"/>
      <c r="L21" s="49">
        <v>1</v>
      </c>
      <c r="M21" s="49">
        <f>L21+$D$20</f>
        <v>0.995</v>
      </c>
      <c r="N21" s="49">
        <f t="shared" ref="N21:AT21" si="2">M21+$D$20</f>
        <v>0.99</v>
      </c>
      <c r="O21" s="49">
        <f t="shared" si="2"/>
        <v>0.98499999999999999</v>
      </c>
      <c r="P21" s="49">
        <f t="shared" si="2"/>
        <v>0.98</v>
      </c>
      <c r="Q21" s="49">
        <f t="shared" si="2"/>
        <v>0.97499999999999998</v>
      </c>
      <c r="R21" s="49">
        <f t="shared" si="2"/>
        <v>0.97</v>
      </c>
      <c r="S21" s="49">
        <f t="shared" si="2"/>
        <v>0.96499999999999997</v>
      </c>
      <c r="T21" s="49">
        <f t="shared" si="2"/>
        <v>0.96</v>
      </c>
      <c r="U21" s="49">
        <f t="shared" si="2"/>
        <v>0.95499999999999996</v>
      </c>
      <c r="V21" s="49">
        <f t="shared" si="2"/>
        <v>0.95</v>
      </c>
      <c r="W21" s="49">
        <f t="shared" si="2"/>
        <v>0.94499999999999995</v>
      </c>
      <c r="X21" s="49">
        <f t="shared" si="2"/>
        <v>0.94</v>
      </c>
      <c r="Y21" s="49">
        <f t="shared" si="2"/>
        <v>0.93499999999999994</v>
      </c>
      <c r="Z21" s="49">
        <f t="shared" si="2"/>
        <v>0.92999999999999994</v>
      </c>
      <c r="AA21" s="49">
        <f t="shared" si="2"/>
        <v>0.92499999999999993</v>
      </c>
      <c r="AB21" s="49">
        <f t="shared" si="2"/>
        <v>0.91999999999999993</v>
      </c>
      <c r="AC21" s="49">
        <f t="shared" si="2"/>
        <v>0.91499999999999992</v>
      </c>
      <c r="AD21" s="49">
        <f t="shared" si="2"/>
        <v>0.90999999999999992</v>
      </c>
      <c r="AE21" s="49">
        <f t="shared" si="2"/>
        <v>0.90499999999999992</v>
      </c>
      <c r="AF21" s="49">
        <f t="shared" si="2"/>
        <v>0.89999999999999991</v>
      </c>
      <c r="AG21" s="49">
        <f t="shared" si="2"/>
        <v>0.89499999999999991</v>
      </c>
      <c r="AH21" s="49">
        <f t="shared" si="2"/>
        <v>0.8899999999999999</v>
      </c>
      <c r="AI21" s="49">
        <f t="shared" si="2"/>
        <v>0.8849999999999999</v>
      </c>
      <c r="AJ21" s="49">
        <f t="shared" si="2"/>
        <v>0.87999999999999989</v>
      </c>
      <c r="AK21" s="49">
        <f t="shared" si="2"/>
        <v>0.87499999999999989</v>
      </c>
      <c r="AL21" s="49">
        <f t="shared" si="2"/>
        <v>0.86999999999999988</v>
      </c>
      <c r="AM21" s="49">
        <f t="shared" si="2"/>
        <v>0.86499999999999988</v>
      </c>
      <c r="AN21" s="49">
        <f t="shared" si="2"/>
        <v>0.85999999999999988</v>
      </c>
      <c r="AO21" s="49">
        <f t="shared" si="2"/>
        <v>0.85499999999999987</v>
      </c>
      <c r="AP21" s="49">
        <f t="shared" si="2"/>
        <v>0.84999999999999987</v>
      </c>
      <c r="AQ21" s="49">
        <f t="shared" si="2"/>
        <v>0.84499999999999986</v>
      </c>
      <c r="AR21" s="49">
        <f t="shared" si="2"/>
        <v>0.83999999999999986</v>
      </c>
      <c r="AS21" s="49">
        <f t="shared" si="2"/>
        <v>0.83499999999999985</v>
      </c>
      <c r="AT21" s="49">
        <f t="shared" si="2"/>
        <v>0.82999999999999985</v>
      </c>
    </row>
    <row r="22" spans="2:47" x14ac:dyDescent="0.55000000000000004">
      <c r="B22" s="1" t="s">
        <v>24</v>
      </c>
      <c r="C22" s="17">
        <v>0.99</v>
      </c>
      <c r="E22" s="1"/>
      <c r="F22" s="12"/>
      <c r="K22" s="12"/>
      <c r="L22" s="49">
        <f t="shared" ref="L22:AT22" si="3">$C$22</f>
        <v>0.99</v>
      </c>
      <c r="M22" s="49">
        <f t="shared" si="3"/>
        <v>0.99</v>
      </c>
      <c r="N22" s="49">
        <f t="shared" si="3"/>
        <v>0.99</v>
      </c>
      <c r="O22" s="49">
        <f t="shared" si="3"/>
        <v>0.99</v>
      </c>
      <c r="P22" s="49">
        <f t="shared" si="3"/>
        <v>0.99</v>
      </c>
      <c r="Q22" s="49">
        <f t="shared" si="3"/>
        <v>0.99</v>
      </c>
      <c r="R22" s="49">
        <f t="shared" si="3"/>
        <v>0.99</v>
      </c>
      <c r="S22" s="49">
        <f t="shared" si="3"/>
        <v>0.99</v>
      </c>
      <c r="T22" s="49">
        <f t="shared" si="3"/>
        <v>0.99</v>
      </c>
      <c r="U22" s="49">
        <f t="shared" si="3"/>
        <v>0.99</v>
      </c>
      <c r="V22" s="49">
        <f t="shared" si="3"/>
        <v>0.99</v>
      </c>
      <c r="W22" s="49">
        <f t="shared" si="3"/>
        <v>0.99</v>
      </c>
      <c r="X22" s="49">
        <f t="shared" si="3"/>
        <v>0.99</v>
      </c>
      <c r="Y22" s="49">
        <f t="shared" si="3"/>
        <v>0.99</v>
      </c>
      <c r="Z22" s="49">
        <f t="shared" si="3"/>
        <v>0.99</v>
      </c>
      <c r="AA22" s="49">
        <f t="shared" si="3"/>
        <v>0.99</v>
      </c>
      <c r="AB22" s="49">
        <f t="shared" si="3"/>
        <v>0.99</v>
      </c>
      <c r="AC22" s="49">
        <f t="shared" si="3"/>
        <v>0.99</v>
      </c>
      <c r="AD22" s="49">
        <f t="shared" si="3"/>
        <v>0.99</v>
      </c>
      <c r="AE22" s="49">
        <f t="shared" si="3"/>
        <v>0.99</v>
      </c>
      <c r="AF22" s="49">
        <f t="shared" si="3"/>
        <v>0.99</v>
      </c>
      <c r="AG22" s="49">
        <f t="shared" si="3"/>
        <v>0.99</v>
      </c>
      <c r="AH22" s="49">
        <f t="shared" si="3"/>
        <v>0.99</v>
      </c>
      <c r="AI22" s="49">
        <f t="shared" si="3"/>
        <v>0.99</v>
      </c>
      <c r="AJ22" s="49">
        <f t="shared" si="3"/>
        <v>0.99</v>
      </c>
      <c r="AK22" s="49">
        <f t="shared" si="3"/>
        <v>0.99</v>
      </c>
      <c r="AL22" s="49">
        <f t="shared" si="3"/>
        <v>0.99</v>
      </c>
      <c r="AM22" s="49">
        <f t="shared" si="3"/>
        <v>0.99</v>
      </c>
      <c r="AN22" s="49">
        <f t="shared" si="3"/>
        <v>0.99</v>
      </c>
      <c r="AO22" s="49">
        <f t="shared" si="3"/>
        <v>0.99</v>
      </c>
      <c r="AP22" s="49">
        <f t="shared" si="3"/>
        <v>0.99</v>
      </c>
      <c r="AQ22" s="49">
        <f t="shared" si="3"/>
        <v>0.99</v>
      </c>
      <c r="AR22" s="49">
        <f t="shared" si="3"/>
        <v>0.99</v>
      </c>
      <c r="AS22" s="49">
        <f t="shared" si="3"/>
        <v>0.99</v>
      </c>
      <c r="AT22" s="49">
        <f t="shared" si="3"/>
        <v>0.99</v>
      </c>
    </row>
    <row r="23" spans="2:47" x14ac:dyDescent="0.55000000000000004">
      <c r="B23" s="1" t="s">
        <v>25</v>
      </c>
      <c r="C23" s="50"/>
      <c r="D23" s="1"/>
      <c r="E23" s="51"/>
      <c r="G23" s="1"/>
      <c r="L23" s="45">
        <f>L22*L20</f>
        <v>914739.09120000014</v>
      </c>
      <c r="M23" s="45">
        <f t="shared" ref="M23:AT23" si="4">M22*M20</f>
        <v>910165.3957440001</v>
      </c>
      <c r="N23" s="45">
        <f t="shared" si="4"/>
        <v>905591.70028800017</v>
      </c>
      <c r="O23" s="45">
        <f t="shared" si="4"/>
        <v>901018.00483200012</v>
      </c>
      <c r="P23" s="45">
        <f t="shared" si="4"/>
        <v>896444.30937600008</v>
      </c>
      <c r="Q23" s="45">
        <f t="shared" si="4"/>
        <v>891870.61392000003</v>
      </c>
      <c r="R23" s="45">
        <f t="shared" si="4"/>
        <v>887296.9184640001</v>
      </c>
      <c r="S23" s="45">
        <f t="shared" si="4"/>
        <v>882723.22300800006</v>
      </c>
      <c r="T23" s="45">
        <f t="shared" si="4"/>
        <v>878149.52755200013</v>
      </c>
      <c r="U23" s="45">
        <f t="shared" si="4"/>
        <v>873575.83209600009</v>
      </c>
      <c r="V23" s="45">
        <f t="shared" si="4"/>
        <v>869002.13664000004</v>
      </c>
      <c r="W23" s="45">
        <f t="shared" si="4"/>
        <v>864428.44118400011</v>
      </c>
      <c r="X23" s="45">
        <f t="shared" si="4"/>
        <v>859854.74572799995</v>
      </c>
      <c r="Y23" s="45">
        <f t="shared" si="4"/>
        <v>855281.05027200002</v>
      </c>
      <c r="Z23" s="45">
        <f t="shared" si="4"/>
        <v>850707.35481599998</v>
      </c>
      <c r="AA23" s="45">
        <f t="shared" si="4"/>
        <v>846133.65936000005</v>
      </c>
      <c r="AB23" s="45">
        <f t="shared" si="4"/>
        <v>841559.963904</v>
      </c>
      <c r="AC23" s="45">
        <f t="shared" si="4"/>
        <v>836986.26844800008</v>
      </c>
      <c r="AD23" s="45">
        <f t="shared" si="4"/>
        <v>832412.57299200003</v>
      </c>
      <c r="AE23" s="45">
        <f t="shared" si="4"/>
        <v>827838.8775360001</v>
      </c>
      <c r="AF23" s="45">
        <f t="shared" si="4"/>
        <v>823265.18207999994</v>
      </c>
      <c r="AG23" s="45">
        <f t="shared" si="4"/>
        <v>818691.48662400001</v>
      </c>
      <c r="AH23" s="45">
        <f t="shared" si="4"/>
        <v>814117.79116799997</v>
      </c>
      <c r="AI23" s="45">
        <f t="shared" si="4"/>
        <v>809544.09571200004</v>
      </c>
      <c r="AJ23" s="45">
        <f t="shared" si="4"/>
        <v>804970.40025599999</v>
      </c>
      <c r="AK23" s="45">
        <f t="shared" si="4"/>
        <v>800396.70480000007</v>
      </c>
      <c r="AL23" s="45">
        <f t="shared" si="4"/>
        <v>795823.00934400002</v>
      </c>
      <c r="AM23" s="45">
        <f t="shared" si="4"/>
        <v>791249.31388799998</v>
      </c>
      <c r="AN23" s="45">
        <f t="shared" si="4"/>
        <v>786675.61843199993</v>
      </c>
      <c r="AO23" s="45">
        <f t="shared" si="4"/>
        <v>782101.92297599989</v>
      </c>
      <c r="AP23" s="45">
        <f t="shared" si="4"/>
        <v>777528.22751999996</v>
      </c>
      <c r="AQ23" s="45">
        <f t="shared" si="4"/>
        <v>772954.53206399991</v>
      </c>
      <c r="AR23" s="45">
        <f t="shared" si="4"/>
        <v>768380.83660799998</v>
      </c>
      <c r="AS23" s="45">
        <f t="shared" si="4"/>
        <v>763807.14115199994</v>
      </c>
      <c r="AT23" s="45">
        <f t="shared" si="4"/>
        <v>759233.44569600001</v>
      </c>
    </row>
    <row r="24" spans="2:47" x14ac:dyDescent="0.55000000000000004">
      <c r="B24" s="1" t="s">
        <v>26</v>
      </c>
      <c r="C24" s="2" t="s">
        <v>27</v>
      </c>
      <c r="D24" s="2" t="s">
        <v>72</v>
      </c>
      <c r="E24" s="2" t="s">
        <v>19</v>
      </c>
      <c r="L24" s="52">
        <f>$E$25</f>
        <v>0.03</v>
      </c>
      <c r="M24" s="101">
        <f>M25/L25-1</f>
        <v>5.4363950929357863E-2</v>
      </c>
      <c r="N24" s="101">
        <f>N25/M25-1</f>
        <v>7.4460193411798103E-2</v>
      </c>
      <c r="O24" s="52">
        <f t="shared" ref="M24:AT24" si="5">$E$25</f>
        <v>0.03</v>
      </c>
      <c r="P24" s="52">
        <f t="shared" si="5"/>
        <v>0.03</v>
      </c>
      <c r="Q24" s="52">
        <f t="shared" si="5"/>
        <v>0.03</v>
      </c>
      <c r="R24" s="52">
        <f t="shared" si="5"/>
        <v>0.03</v>
      </c>
      <c r="S24" s="52">
        <f t="shared" si="5"/>
        <v>0.03</v>
      </c>
      <c r="T24" s="52">
        <f t="shared" si="5"/>
        <v>0.03</v>
      </c>
      <c r="U24" s="52">
        <f t="shared" si="5"/>
        <v>0.03</v>
      </c>
      <c r="V24" s="52">
        <f t="shared" si="5"/>
        <v>0.03</v>
      </c>
      <c r="W24" s="52">
        <f t="shared" si="5"/>
        <v>0.03</v>
      </c>
      <c r="X24" s="52">
        <f t="shared" si="5"/>
        <v>0.03</v>
      </c>
      <c r="Y24" s="52">
        <f t="shared" si="5"/>
        <v>0.03</v>
      </c>
      <c r="Z24" s="52">
        <f t="shared" si="5"/>
        <v>0.03</v>
      </c>
      <c r="AA24" s="52">
        <f t="shared" si="5"/>
        <v>0.03</v>
      </c>
      <c r="AB24" s="52">
        <f t="shared" si="5"/>
        <v>0.03</v>
      </c>
      <c r="AC24" s="52">
        <f t="shared" si="5"/>
        <v>0.03</v>
      </c>
      <c r="AD24" s="52">
        <f t="shared" si="5"/>
        <v>0.03</v>
      </c>
      <c r="AE24" s="52">
        <f t="shared" si="5"/>
        <v>0.03</v>
      </c>
      <c r="AF24" s="52">
        <f t="shared" si="5"/>
        <v>0.03</v>
      </c>
      <c r="AG24" s="52">
        <f t="shared" si="5"/>
        <v>0.03</v>
      </c>
      <c r="AH24" s="52">
        <f t="shared" si="5"/>
        <v>0.03</v>
      </c>
      <c r="AI24" s="52">
        <f t="shared" si="5"/>
        <v>0.03</v>
      </c>
      <c r="AJ24" s="52">
        <f t="shared" si="5"/>
        <v>0.03</v>
      </c>
      <c r="AK24" s="52">
        <f t="shared" si="5"/>
        <v>0.03</v>
      </c>
      <c r="AL24" s="52">
        <f t="shared" si="5"/>
        <v>0.03</v>
      </c>
      <c r="AM24" s="52">
        <f t="shared" si="5"/>
        <v>0.03</v>
      </c>
      <c r="AN24" s="52">
        <f t="shared" si="5"/>
        <v>0.03</v>
      </c>
      <c r="AO24" s="52">
        <f t="shared" si="5"/>
        <v>0.03</v>
      </c>
      <c r="AP24" s="52">
        <f t="shared" si="5"/>
        <v>0.03</v>
      </c>
      <c r="AQ24" s="52">
        <f t="shared" si="5"/>
        <v>0.03</v>
      </c>
      <c r="AR24" s="52">
        <f t="shared" si="5"/>
        <v>0.03</v>
      </c>
      <c r="AS24" s="52">
        <f t="shared" si="5"/>
        <v>0.03</v>
      </c>
      <c r="AT24" s="52">
        <f t="shared" si="5"/>
        <v>0.03</v>
      </c>
      <c r="AU24" s="51"/>
    </row>
    <row r="25" spans="2:47" x14ac:dyDescent="0.55000000000000004">
      <c r="B25" s="1" t="s">
        <v>28</v>
      </c>
      <c r="C25" s="53">
        <v>0.20499999999999999</v>
      </c>
      <c r="D25" s="17">
        <v>0.1</v>
      </c>
      <c r="E25" s="25">
        <v>0.03</v>
      </c>
      <c r="G25" s="1"/>
      <c r="H25" s="94"/>
      <c r="I25" s="95"/>
      <c r="L25" s="54">
        <f>$C25*(1-D25)</f>
        <v>0.1845</v>
      </c>
      <c r="M25" s="102">
        <f>M31/M23*1000</f>
        <v>0.19453014894646653</v>
      </c>
      <c r="N25" s="102">
        <f>N31/N23*1000</f>
        <v>0.20901490146144633</v>
      </c>
      <c r="O25" s="54">
        <f t="shared" ref="N25:AT25" si="6">N25*(1+N24)</f>
        <v>0.22457819145021354</v>
      </c>
      <c r="P25" s="54">
        <f t="shared" si="6"/>
        <v>0.23131553719371994</v>
      </c>
      <c r="Q25" s="54">
        <f t="shared" si="6"/>
        <v>0.23825500330953156</v>
      </c>
      <c r="R25" s="54">
        <f t="shared" si="6"/>
        <v>0.24540265340881751</v>
      </c>
      <c r="S25" s="54">
        <f t="shared" si="6"/>
        <v>0.25276473301108204</v>
      </c>
      <c r="T25" s="54">
        <f t="shared" si="6"/>
        <v>0.26034767500141454</v>
      </c>
      <c r="U25" s="54">
        <f t="shared" si="6"/>
        <v>0.268158105251457</v>
      </c>
      <c r="V25" s="54">
        <f t="shared" si="6"/>
        <v>0.27620284840900072</v>
      </c>
      <c r="W25" s="54">
        <f t="shared" si="6"/>
        <v>0.28448893386127078</v>
      </c>
      <c r="X25" s="54">
        <f t="shared" si="6"/>
        <v>0.29302360187710891</v>
      </c>
      <c r="Y25" s="54">
        <f t="shared" si="6"/>
        <v>0.30181430993342218</v>
      </c>
      <c r="Z25" s="54">
        <f t="shared" si="6"/>
        <v>0.31086873923142483</v>
      </c>
      <c r="AA25" s="54">
        <f t="shared" si="6"/>
        <v>0.32019480140836759</v>
      </c>
      <c r="AB25" s="54">
        <f t="shared" si="6"/>
        <v>0.3298006454506186</v>
      </c>
      <c r="AC25" s="54">
        <f t="shared" si="6"/>
        <v>0.33969466481413718</v>
      </c>
      <c r="AD25" s="54">
        <f t="shared" si="6"/>
        <v>0.34988550475856128</v>
      </c>
      <c r="AE25" s="54">
        <f t="shared" si="6"/>
        <v>0.36038206990131816</v>
      </c>
      <c r="AF25" s="54">
        <f t="shared" si="6"/>
        <v>0.3711935319983577</v>
      </c>
      <c r="AG25" s="54">
        <f t="shared" si="6"/>
        <v>0.38232933795830842</v>
      </c>
      <c r="AH25" s="54">
        <f t="shared" si="6"/>
        <v>0.3937992180970577</v>
      </c>
      <c r="AI25" s="54">
        <f t="shared" si="6"/>
        <v>0.40561319463996942</v>
      </c>
      <c r="AJ25" s="54">
        <f t="shared" si="6"/>
        <v>0.41778159047916852</v>
      </c>
      <c r="AK25" s="54">
        <f t="shared" si="6"/>
        <v>0.43031503819354361</v>
      </c>
      <c r="AL25" s="54">
        <f t="shared" si="6"/>
        <v>0.44322448933934994</v>
      </c>
      <c r="AM25" s="54">
        <f t="shared" si="6"/>
        <v>0.45652122401953044</v>
      </c>
      <c r="AN25" s="54">
        <f t="shared" si="6"/>
        <v>0.47021686074011637</v>
      </c>
      <c r="AO25" s="54">
        <f t="shared" si="6"/>
        <v>0.48432336656231989</v>
      </c>
      <c r="AP25" s="54">
        <f t="shared" si="6"/>
        <v>0.49885306755918951</v>
      </c>
      <c r="AQ25" s="54">
        <f t="shared" si="6"/>
        <v>0.51381865958596518</v>
      </c>
      <c r="AR25" s="54">
        <f t="shared" si="6"/>
        <v>0.52923321937354417</v>
      </c>
      <c r="AS25" s="54">
        <f t="shared" si="6"/>
        <v>0.54511021595475051</v>
      </c>
      <c r="AT25" s="54">
        <f t="shared" si="6"/>
        <v>0.56146352243339304</v>
      </c>
    </row>
    <row r="26" spans="2:47" x14ac:dyDescent="0.55000000000000004">
      <c r="B26" s="1" t="s">
        <v>29</v>
      </c>
      <c r="C26" s="53">
        <v>0</v>
      </c>
      <c r="D26" s="17"/>
      <c r="G26" s="1"/>
      <c r="L26" s="54">
        <f>$C26</f>
        <v>0</v>
      </c>
      <c r="M26" s="54">
        <f>L26*(1+$D26)</f>
        <v>0</v>
      </c>
      <c r="N26" s="54">
        <f t="shared" ref="N26:AT26" si="7">M26*(1+$D26)</f>
        <v>0</v>
      </c>
      <c r="O26" s="54">
        <f t="shared" si="7"/>
        <v>0</v>
      </c>
      <c r="P26" s="54">
        <f t="shared" si="7"/>
        <v>0</v>
      </c>
      <c r="Q26" s="54">
        <f t="shared" si="7"/>
        <v>0</v>
      </c>
      <c r="R26" s="54">
        <f t="shared" si="7"/>
        <v>0</v>
      </c>
      <c r="S26" s="54">
        <f t="shared" si="7"/>
        <v>0</v>
      </c>
      <c r="T26" s="54">
        <f t="shared" si="7"/>
        <v>0</v>
      </c>
      <c r="U26" s="54">
        <f t="shared" si="7"/>
        <v>0</v>
      </c>
      <c r="V26" s="54">
        <f t="shared" si="7"/>
        <v>0</v>
      </c>
      <c r="W26" s="54">
        <f t="shared" si="7"/>
        <v>0</v>
      </c>
      <c r="X26" s="54">
        <f t="shared" si="7"/>
        <v>0</v>
      </c>
      <c r="Y26" s="54">
        <f t="shared" si="7"/>
        <v>0</v>
      </c>
      <c r="Z26" s="54">
        <f t="shared" si="7"/>
        <v>0</v>
      </c>
      <c r="AA26" s="54">
        <f t="shared" si="7"/>
        <v>0</v>
      </c>
      <c r="AB26" s="54">
        <f t="shared" si="7"/>
        <v>0</v>
      </c>
      <c r="AC26" s="54">
        <f t="shared" si="7"/>
        <v>0</v>
      </c>
      <c r="AD26" s="54">
        <f t="shared" si="7"/>
        <v>0</v>
      </c>
      <c r="AE26" s="54">
        <f t="shared" si="7"/>
        <v>0</v>
      </c>
      <c r="AF26" s="54">
        <f t="shared" si="7"/>
        <v>0</v>
      </c>
      <c r="AG26" s="54">
        <f t="shared" si="7"/>
        <v>0</v>
      </c>
      <c r="AH26" s="54">
        <f t="shared" si="7"/>
        <v>0</v>
      </c>
      <c r="AI26" s="54">
        <f t="shared" si="7"/>
        <v>0</v>
      </c>
      <c r="AJ26" s="54">
        <f t="shared" si="7"/>
        <v>0</v>
      </c>
      <c r="AK26" s="54">
        <f t="shared" si="7"/>
        <v>0</v>
      </c>
      <c r="AL26" s="54">
        <f t="shared" si="7"/>
        <v>0</v>
      </c>
      <c r="AM26" s="54">
        <f t="shared" si="7"/>
        <v>0</v>
      </c>
      <c r="AN26" s="54">
        <f t="shared" si="7"/>
        <v>0</v>
      </c>
      <c r="AO26" s="54">
        <f t="shared" si="7"/>
        <v>0</v>
      </c>
      <c r="AP26" s="54">
        <f t="shared" si="7"/>
        <v>0</v>
      </c>
      <c r="AQ26" s="54">
        <f t="shared" si="7"/>
        <v>0</v>
      </c>
      <c r="AR26" s="54">
        <f t="shared" si="7"/>
        <v>0</v>
      </c>
      <c r="AS26" s="54">
        <f t="shared" si="7"/>
        <v>0</v>
      </c>
      <c r="AT26" s="54">
        <f t="shared" si="7"/>
        <v>0</v>
      </c>
    </row>
    <row r="27" spans="2:47" x14ac:dyDescent="0.55000000000000004">
      <c r="B27" s="1"/>
      <c r="C27" s="22"/>
      <c r="G27" s="1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</row>
    <row r="28" spans="2:47" x14ac:dyDescent="0.55000000000000004">
      <c r="B28" s="1"/>
      <c r="C28" s="22"/>
      <c r="G28" s="1"/>
      <c r="L28" s="55"/>
      <c r="M28" s="56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</row>
    <row r="29" spans="2:47" x14ac:dyDescent="0.55000000000000004">
      <c r="B29" s="1"/>
      <c r="C29" s="22"/>
      <c r="G29" s="1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</row>
    <row r="30" spans="2:47" x14ac:dyDescent="0.55000000000000004">
      <c r="B30" s="29" t="s">
        <v>30</v>
      </c>
      <c r="C30" s="58"/>
      <c r="G30" s="1" t="s">
        <v>31</v>
      </c>
      <c r="H30" s="1" t="s">
        <v>20</v>
      </c>
      <c r="I30" s="1"/>
      <c r="J30" s="1"/>
      <c r="K30" s="1"/>
      <c r="L30" s="55"/>
      <c r="M30" s="103" t="s">
        <v>88</v>
      </c>
      <c r="N30" s="103" t="s">
        <v>88</v>
      </c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</row>
    <row r="31" spans="2:47" x14ac:dyDescent="0.55000000000000004">
      <c r="B31" s="18" t="s">
        <v>32</v>
      </c>
      <c r="C31" s="1"/>
      <c r="G31" s="45">
        <f>AVERAGE(L31:AT31)</f>
        <v>291.11971979481541</v>
      </c>
      <c r="H31" s="45">
        <f>SUM(L31:AT31)</f>
        <v>10189.19019281854</v>
      </c>
      <c r="I31" s="45"/>
      <c r="J31" s="45"/>
      <c r="K31" s="45"/>
      <c r="L31" s="41">
        <f t="shared" ref="L31:AT32" si="8">PRODUCT(L$23,L25)/1000</f>
        <v>168.76936232640003</v>
      </c>
      <c r="M31" s="100">
        <v>177.05461</v>
      </c>
      <c r="N31" s="100">
        <v>189.28216</v>
      </c>
      <c r="O31" s="41">
        <f t="shared" si="8"/>
        <v>202.34899398925037</v>
      </c>
      <c r="P31" s="41">
        <f t="shared" si="8"/>
        <v>207.36149698756273</v>
      </c>
      <c r="Q31" s="41">
        <f t="shared" si="8"/>
        <v>212.49263607118354</v>
      </c>
      <c r="R31" s="41">
        <f t="shared" si="8"/>
        <v>217.74501815253285</v>
      </c>
      <c r="S31" s="41">
        <f t="shared" si="8"/>
        <v>223.12129978629898</v>
      </c>
      <c r="T31" s="41">
        <f t="shared" si="8"/>
        <v>228.62418780175383</v>
      </c>
      <c r="U31" s="41">
        <f t="shared" si="8"/>
        <v>234.25643992832832</v>
      </c>
      <c r="V31" s="41">
        <f t="shared" si="8"/>
        <v>240.02086541347566</v>
      </c>
      <c r="W31" s="41">
        <f t="shared" si="8"/>
        <v>245.9203256317964</v>
      </c>
      <c r="X31" s="41">
        <f t="shared" si="8"/>
        <v>251.95773468434419</v>
      </c>
      <c r="Y31" s="41">
        <f t="shared" si="8"/>
        <v>258.13605998697625</v>
      </c>
      <c r="Z31" s="41">
        <f t="shared" si="8"/>
        <v>264.45832284655035</v>
      </c>
      <c r="AA31" s="41">
        <f t="shared" si="8"/>
        <v>270.92759902371057</v>
      </c>
      <c r="AB31" s="41">
        <f t="shared" si="8"/>
        <v>277.54701928093851</v>
      </c>
      <c r="AC31" s="41">
        <f t="shared" si="8"/>
        <v>284.3197699144788</v>
      </c>
      <c r="AD31" s="41">
        <f t="shared" si="8"/>
        <v>291.24909326867862</v>
      </c>
      <c r="AE31" s="41">
        <f t="shared" si="8"/>
        <v>298.33828823120751</v>
      </c>
      <c r="AF31" s="41">
        <f t="shared" si="8"/>
        <v>305.59071070754624</v>
      </c>
      <c r="AG31" s="41">
        <f t="shared" si="8"/>
        <v>313.0097740730572</v>
      </c>
      <c r="AH31" s="41">
        <f t="shared" si="8"/>
        <v>320.59894960086211</v>
      </c>
      <c r="AI31" s="41">
        <f t="shared" si="8"/>
        <v>328.36176686366952</v>
      </c>
      <c r="AJ31" s="41">
        <f t="shared" si="8"/>
        <v>336.30181410760457</v>
      </c>
      <c r="AK31" s="41">
        <f t="shared" si="8"/>
        <v>344.42273859599851</v>
      </c>
      <c r="AL31" s="41">
        <f t="shared" si="8"/>
        <v>352.72824692099914</v>
      </c>
      <c r="AM31" s="41">
        <f t="shared" si="8"/>
        <v>361.2221052807634</v>
      </c>
      <c r="AN31" s="41">
        <f t="shared" si="8"/>
        <v>369.90813971988462</v>
      </c>
      <c r="AO31" s="41">
        <f t="shared" si="8"/>
        <v>378.79023633060046</v>
      </c>
      <c r="AP31" s="41">
        <f t="shared" si="8"/>
        <v>387.87234141221143</v>
      </c>
      <c r="AQ31" s="41">
        <f t="shared" si="8"/>
        <v>397.15846158602136</v>
      </c>
      <c r="AR31" s="41">
        <f t="shared" si="8"/>
        <v>406.65266386298907</v>
      </c>
      <c r="AS31" s="41">
        <f t="shared" si="8"/>
        <v>416.3590756611473</v>
      </c>
      <c r="AT31" s="41">
        <f t="shared" si="8"/>
        <v>426.28188476971837</v>
      </c>
    </row>
    <row r="32" spans="2:47" x14ac:dyDescent="0.55000000000000004">
      <c r="B32" s="18" t="s">
        <v>33</v>
      </c>
      <c r="C32" s="1"/>
      <c r="G32" s="45">
        <f>AVERAGE(L32:AT32)</f>
        <v>0</v>
      </c>
      <c r="H32" s="45">
        <f>SUM(L32:AT32)</f>
        <v>0</v>
      </c>
      <c r="I32" s="45"/>
      <c r="J32" s="45"/>
      <c r="K32" s="45"/>
      <c r="L32" s="41">
        <f t="shared" si="8"/>
        <v>0</v>
      </c>
      <c r="M32" s="41">
        <f t="shared" si="8"/>
        <v>0</v>
      </c>
      <c r="N32" s="41">
        <f t="shared" si="8"/>
        <v>0</v>
      </c>
      <c r="O32" s="41">
        <f t="shared" si="8"/>
        <v>0</v>
      </c>
      <c r="P32" s="41">
        <f t="shared" si="8"/>
        <v>0</v>
      </c>
      <c r="Q32" s="41">
        <f t="shared" si="8"/>
        <v>0</v>
      </c>
      <c r="R32" s="41">
        <f t="shared" si="8"/>
        <v>0</v>
      </c>
      <c r="S32" s="41">
        <f t="shared" si="8"/>
        <v>0</v>
      </c>
      <c r="T32" s="41">
        <f t="shared" si="8"/>
        <v>0</v>
      </c>
      <c r="U32" s="41">
        <f t="shared" si="8"/>
        <v>0</v>
      </c>
      <c r="V32" s="41">
        <f t="shared" si="8"/>
        <v>0</v>
      </c>
      <c r="W32" s="41">
        <f t="shared" si="8"/>
        <v>0</v>
      </c>
      <c r="X32" s="41">
        <f t="shared" si="8"/>
        <v>0</v>
      </c>
      <c r="Y32" s="41">
        <f t="shared" si="8"/>
        <v>0</v>
      </c>
      <c r="Z32" s="41">
        <f t="shared" si="8"/>
        <v>0</v>
      </c>
      <c r="AA32" s="41">
        <f t="shared" si="8"/>
        <v>0</v>
      </c>
      <c r="AB32" s="41">
        <f t="shared" si="8"/>
        <v>0</v>
      </c>
      <c r="AC32" s="41">
        <f t="shared" si="8"/>
        <v>0</v>
      </c>
      <c r="AD32" s="41">
        <f t="shared" si="8"/>
        <v>0</v>
      </c>
      <c r="AE32" s="41">
        <f t="shared" si="8"/>
        <v>0</v>
      </c>
      <c r="AF32" s="41">
        <f t="shared" si="8"/>
        <v>0</v>
      </c>
      <c r="AG32" s="41">
        <f t="shared" si="8"/>
        <v>0</v>
      </c>
      <c r="AH32" s="41">
        <f t="shared" si="8"/>
        <v>0</v>
      </c>
      <c r="AI32" s="41">
        <f t="shared" si="8"/>
        <v>0</v>
      </c>
      <c r="AJ32" s="41">
        <f t="shared" si="8"/>
        <v>0</v>
      </c>
      <c r="AK32" s="41">
        <f t="shared" si="8"/>
        <v>0</v>
      </c>
      <c r="AL32" s="41">
        <f t="shared" si="8"/>
        <v>0</v>
      </c>
      <c r="AM32" s="41">
        <f t="shared" si="8"/>
        <v>0</v>
      </c>
      <c r="AN32" s="41">
        <f t="shared" si="8"/>
        <v>0</v>
      </c>
      <c r="AO32" s="41">
        <f t="shared" si="8"/>
        <v>0</v>
      </c>
      <c r="AP32" s="41">
        <f t="shared" si="8"/>
        <v>0</v>
      </c>
      <c r="AQ32" s="41">
        <f t="shared" si="8"/>
        <v>0</v>
      </c>
      <c r="AR32" s="41">
        <f t="shared" si="8"/>
        <v>0</v>
      </c>
      <c r="AS32" s="41">
        <f t="shared" si="8"/>
        <v>0</v>
      </c>
      <c r="AT32" s="41">
        <f t="shared" si="8"/>
        <v>0</v>
      </c>
    </row>
    <row r="33" spans="2:46" x14ac:dyDescent="0.55000000000000004">
      <c r="B33" s="18"/>
      <c r="C33" s="1"/>
      <c r="G33" s="45"/>
      <c r="H33" s="45"/>
      <c r="I33" s="45"/>
      <c r="J33" s="45"/>
      <c r="K33" s="45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</row>
    <row r="34" spans="2:46" s="30" customFormat="1" ht="10.199999999999999" x14ac:dyDescent="0.55000000000000004">
      <c r="B34" s="29" t="s">
        <v>34</v>
      </c>
      <c r="G34" s="39">
        <f>AVERAGE(L34:AT34)</f>
        <v>291.11971979481541</v>
      </c>
      <c r="H34" s="39">
        <f>SUM(L34:AT34)</f>
        <v>10189.19019281854</v>
      </c>
      <c r="I34" s="39"/>
      <c r="J34" s="39"/>
      <c r="K34" s="39"/>
      <c r="L34" s="60">
        <f t="shared" ref="L34:AT34" si="9">SUM(L31:L32)</f>
        <v>168.76936232640003</v>
      </c>
      <c r="M34" s="60">
        <f t="shared" si="9"/>
        <v>177.05461</v>
      </c>
      <c r="N34" s="60">
        <f t="shared" si="9"/>
        <v>189.28216</v>
      </c>
      <c r="O34" s="60">
        <f t="shared" si="9"/>
        <v>202.34899398925037</v>
      </c>
      <c r="P34" s="60">
        <f t="shared" si="9"/>
        <v>207.36149698756273</v>
      </c>
      <c r="Q34" s="60">
        <f t="shared" si="9"/>
        <v>212.49263607118354</v>
      </c>
      <c r="R34" s="60">
        <f t="shared" si="9"/>
        <v>217.74501815253285</v>
      </c>
      <c r="S34" s="60">
        <f t="shared" si="9"/>
        <v>223.12129978629898</v>
      </c>
      <c r="T34" s="60">
        <f t="shared" si="9"/>
        <v>228.62418780175383</v>
      </c>
      <c r="U34" s="60">
        <f t="shared" si="9"/>
        <v>234.25643992832832</v>
      </c>
      <c r="V34" s="60">
        <f t="shared" si="9"/>
        <v>240.02086541347566</v>
      </c>
      <c r="W34" s="60">
        <f t="shared" si="9"/>
        <v>245.9203256317964</v>
      </c>
      <c r="X34" s="60">
        <f t="shared" si="9"/>
        <v>251.95773468434419</v>
      </c>
      <c r="Y34" s="60">
        <f t="shared" si="9"/>
        <v>258.13605998697625</v>
      </c>
      <c r="Z34" s="60">
        <f t="shared" si="9"/>
        <v>264.45832284655035</v>
      </c>
      <c r="AA34" s="60">
        <f t="shared" si="9"/>
        <v>270.92759902371057</v>
      </c>
      <c r="AB34" s="60">
        <f t="shared" si="9"/>
        <v>277.54701928093851</v>
      </c>
      <c r="AC34" s="60">
        <f t="shared" si="9"/>
        <v>284.3197699144788</v>
      </c>
      <c r="AD34" s="60">
        <f t="shared" si="9"/>
        <v>291.24909326867862</v>
      </c>
      <c r="AE34" s="60">
        <f t="shared" si="9"/>
        <v>298.33828823120751</v>
      </c>
      <c r="AF34" s="60">
        <f t="shared" si="9"/>
        <v>305.59071070754624</v>
      </c>
      <c r="AG34" s="60">
        <f t="shared" si="9"/>
        <v>313.0097740730572</v>
      </c>
      <c r="AH34" s="60">
        <f t="shared" si="9"/>
        <v>320.59894960086211</v>
      </c>
      <c r="AI34" s="60">
        <f t="shared" si="9"/>
        <v>328.36176686366952</v>
      </c>
      <c r="AJ34" s="60">
        <f t="shared" si="9"/>
        <v>336.30181410760457</v>
      </c>
      <c r="AK34" s="60">
        <f t="shared" si="9"/>
        <v>344.42273859599851</v>
      </c>
      <c r="AL34" s="60">
        <f t="shared" si="9"/>
        <v>352.72824692099914</v>
      </c>
      <c r="AM34" s="60">
        <f t="shared" si="9"/>
        <v>361.2221052807634</v>
      </c>
      <c r="AN34" s="60">
        <f t="shared" si="9"/>
        <v>369.90813971988462</v>
      </c>
      <c r="AO34" s="60">
        <f t="shared" si="9"/>
        <v>378.79023633060046</v>
      </c>
      <c r="AP34" s="60">
        <f t="shared" si="9"/>
        <v>387.87234141221143</v>
      </c>
      <c r="AQ34" s="60">
        <f t="shared" si="9"/>
        <v>397.15846158602136</v>
      </c>
      <c r="AR34" s="60">
        <f t="shared" si="9"/>
        <v>406.65266386298907</v>
      </c>
      <c r="AS34" s="60">
        <f t="shared" si="9"/>
        <v>416.3590756611473</v>
      </c>
      <c r="AT34" s="60">
        <f t="shared" si="9"/>
        <v>426.28188476971837</v>
      </c>
    </row>
    <row r="35" spans="2:46" x14ac:dyDescent="0.55000000000000004">
      <c r="B35" s="1"/>
      <c r="C35" s="1"/>
      <c r="H35" s="1"/>
      <c r="I35" s="1"/>
      <c r="J35" s="1"/>
      <c r="K35" s="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</row>
    <row r="36" spans="2:46" x14ac:dyDescent="0.55000000000000004">
      <c r="B36" s="29" t="s">
        <v>35</v>
      </c>
      <c r="C36" s="1" t="s">
        <v>71</v>
      </c>
      <c r="D36" s="1" t="s">
        <v>19</v>
      </c>
      <c r="G36" s="61"/>
      <c r="H36" s="61"/>
      <c r="I36" s="61"/>
      <c r="J36" s="61"/>
      <c r="K36" s="61"/>
    </row>
    <row r="37" spans="2:46" x14ac:dyDescent="0.55000000000000004">
      <c r="B37" s="18" t="s">
        <v>36</v>
      </c>
      <c r="C37" s="59">
        <v>20</v>
      </c>
      <c r="D37" s="62">
        <v>0.02</v>
      </c>
      <c r="G37" s="45">
        <f t="shared" ref="G37:G47" si="10">AVERAGE(L37:AT37)</f>
        <v>-16.455325209530699</v>
      </c>
      <c r="H37" s="45">
        <f t="shared" ref="H37:H47" si="11">SUM(L37:AT37)</f>
        <v>-575.93638233357444</v>
      </c>
      <c r="I37" s="45"/>
      <c r="J37" s="45"/>
      <c r="K37" s="45"/>
      <c r="L37" s="48">
        <f>-$C37*$C$20/1000</f>
        <v>-11.52</v>
      </c>
      <c r="M37" s="48">
        <f t="shared" ref="M37:AT37" si="12">L37*(1+$D37)</f>
        <v>-11.750399999999999</v>
      </c>
      <c r="N37" s="48">
        <f t="shared" si="12"/>
        <v>-11.985408</v>
      </c>
      <c r="O37" s="48">
        <f t="shared" si="12"/>
        <v>-12.225116160000001</v>
      </c>
      <c r="P37" s="48">
        <f t="shared" si="12"/>
        <v>-12.469618483200001</v>
      </c>
      <c r="Q37" s="48">
        <f t="shared" si="12"/>
        <v>-12.719010852864002</v>
      </c>
      <c r="R37" s="48">
        <f t="shared" si="12"/>
        <v>-12.973391069921282</v>
      </c>
      <c r="S37" s="48">
        <f t="shared" si="12"/>
        <v>-13.232858891319708</v>
      </c>
      <c r="T37" s="48">
        <f t="shared" si="12"/>
        <v>-13.497516069146103</v>
      </c>
      <c r="U37" s="48">
        <f t="shared" si="12"/>
        <v>-13.767466390529025</v>
      </c>
      <c r="V37" s="48">
        <f t="shared" si="12"/>
        <v>-14.042815718339606</v>
      </c>
      <c r="W37" s="48">
        <f t="shared" si="12"/>
        <v>-14.323672032706398</v>
      </c>
      <c r="X37" s="48">
        <f t="shared" si="12"/>
        <v>-14.610145473360525</v>
      </c>
      <c r="Y37" s="48">
        <f t="shared" si="12"/>
        <v>-14.902348382827736</v>
      </c>
      <c r="Z37" s="48">
        <f t="shared" si="12"/>
        <v>-15.200395350484291</v>
      </c>
      <c r="AA37" s="48">
        <f t="shared" si="12"/>
        <v>-15.504403257493976</v>
      </c>
      <c r="AB37" s="48">
        <f t="shared" si="12"/>
        <v>-15.814491322643857</v>
      </c>
      <c r="AC37" s="48">
        <f t="shared" si="12"/>
        <v>-16.130781149096734</v>
      </c>
      <c r="AD37" s="48">
        <f t="shared" si="12"/>
        <v>-16.453396772078669</v>
      </c>
      <c r="AE37" s="48">
        <f t="shared" si="12"/>
        <v>-16.782464707520244</v>
      </c>
      <c r="AF37" s="48">
        <f t="shared" si="12"/>
        <v>-17.118114001670648</v>
      </c>
      <c r="AG37" s="48">
        <f t="shared" si="12"/>
        <v>-17.460476281704061</v>
      </c>
      <c r="AH37" s="48">
        <f t="shared" si="12"/>
        <v>-17.809685807338141</v>
      </c>
      <c r="AI37" s="48">
        <f t="shared" si="12"/>
        <v>-18.165879523484904</v>
      </c>
      <c r="AJ37" s="48">
        <f t="shared" si="12"/>
        <v>-18.529197113954602</v>
      </c>
      <c r="AK37" s="48">
        <f t="shared" si="12"/>
        <v>-18.899781056233696</v>
      </c>
      <c r="AL37" s="48">
        <f t="shared" si="12"/>
        <v>-19.277776677358371</v>
      </c>
      <c r="AM37" s="48">
        <f t="shared" si="12"/>
        <v>-19.663332210905541</v>
      </c>
      <c r="AN37" s="48">
        <f t="shared" si="12"/>
        <v>-20.056598855123653</v>
      </c>
      <c r="AO37" s="48">
        <f t="shared" si="12"/>
        <v>-20.457730832226126</v>
      </c>
      <c r="AP37" s="48">
        <f t="shared" si="12"/>
        <v>-20.866885448870647</v>
      </c>
      <c r="AQ37" s="48">
        <f t="shared" si="12"/>
        <v>-21.284223157848061</v>
      </c>
      <c r="AR37" s="48">
        <f t="shared" si="12"/>
        <v>-21.709907621005023</v>
      </c>
      <c r="AS37" s="48">
        <f t="shared" si="12"/>
        <v>-22.144105773425125</v>
      </c>
      <c r="AT37" s="48">
        <f t="shared" si="12"/>
        <v>-22.586987888893628</v>
      </c>
    </row>
    <row r="38" spans="2:46" x14ac:dyDescent="0.55000000000000004">
      <c r="B38" s="18" t="s">
        <v>37</v>
      </c>
      <c r="C38" s="59">
        <v>5</v>
      </c>
      <c r="D38" s="62">
        <v>0.02</v>
      </c>
      <c r="G38" s="45">
        <f t="shared" si="10"/>
        <v>-4.1138313023826747</v>
      </c>
      <c r="H38" s="45">
        <f t="shared" si="11"/>
        <v>-143.98409558339361</v>
      </c>
      <c r="I38" s="45"/>
      <c r="J38" s="45"/>
      <c r="K38" s="45"/>
      <c r="L38" s="48">
        <f>-C38*$C$20/1000</f>
        <v>-2.88</v>
      </c>
      <c r="M38" s="48">
        <f>L38*(1+$D38)</f>
        <v>-2.9375999999999998</v>
      </c>
      <c r="N38" s="48">
        <f t="shared" ref="N38:AT39" si="13">M38*(1+$D38)</f>
        <v>-2.9963519999999999</v>
      </c>
      <c r="O38" s="48">
        <f t="shared" si="13"/>
        <v>-3.0562790400000002</v>
      </c>
      <c r="P38" s="48">
        <f t="shared" si="13"/>
        <v>-3.1174046208000004</v>
      </c>
      <c r="Q38" s="48">
        <f t="shared" si="13"/>
        <v>-3.1797527132160006</v>
      </c>
      <c r="R38" s="48">
        <f t="shared" si="13"/>
        <v>-3.2433477674803206</v>
      </c>
      <c r="S38" s="48">
        <f t="shared" si="13"/>
        <v>-3.308214722829927</v>
      </c>
      <c r="T38" s="48">
        <f t="shared" si="13"/>
        <v>-3.3743790172865258</v>
      </c>
      <c r="U38" s="48">
        <f t="shared" si="13"/>
        <v>-3.4418665976322562</v>
      </c>
      <c r="V38" s="48">
        <f t="shared" si="13"/>
        <v>-3.5107039295849014</v>
      </c>
      <c r="W38" s="48">
        <f t="shared" si="13"/>
        <v>-3.5809180081765994</v>
      </c>
      <c r="X38" s="48">
        <f t="shared" si="13"/>
        <v>-3.6525363683401313</v>
      </c>
      <c r="Y38" s="48">
        <f t="shared" si="13"/>
        <v>-3.7255870957069339</v>
      </c>
      <c r="Z38" s="48">
        <f t="shared" si="13"/>
        <v>-3.8000988376210727</v>
      </c>
      <c r="AA38" s="48">
        <f t="shared" si="13"/>
        <v>-3.8761008143734941</v>
      </c>
      <c r="AB38" s="48">
        <f t="shared" si="13"/>
        <v>-3.9536228306609642</v>
      </c>
      <c r="AC38" s="48">
        <f t="shared" si="13"/>
        <v>-4.0326952872741835</v>
      </c>
      <c r="AD38" s="48">
        <f t="shared" si="13"/>
        <v>-4.1133491930196673</v>
      </c>
      <c r="AE38" s="48">
        <f t="shared" si="13"/>
        <v>-4.1956161768800611</v>
      </c>
      <c r="AF38" s="48">
        <f t="shared" si="13"/>
        <v>-4.279528500417662</v>
      </c>
      <c r="AG38" s="48">
        <f t="shared" si="13"/>
        <v>-4.3651190704260152</v>
      </c>
      <c r="AH38" s="48">
        <f t="shared" si="13"/>
        <v>-4.4524214518345353</v>
      </c>
      <c r="AI38" s="48">
        <f t="shared" si="13"/>
        <v>-4.5414698808712259</v>
      </c>
      <c r="AJ38" s="48">
        <f t="shared" si="13"/>
        <v>-4.6322992784886505</v>
      </c>
      <c r="AK38" s="48">
        <f t="shared" si="13"/>
        <v>-4.724945264058424</v>
      </c>
      <c r="AL38" s="48">
        <f t="shared" si="13"/>
        <v>-4.8194441693395929</v>
      </c>
      <c r="AM38" s="48">
        <f t="shared" si="13"/>
        <v>-4.9158330527263852</v>
      </c>
      <c r="AN38" s="48">
        <f t="shared" si="13"/>
        <v>-5.0141497137809132</v>
      </c>
      <c r="AO38" s="48">
        <f t="shared" si="13"/>
        <v>-5.1144327080565315</v>
      </c>
      <c r="AP38" s="48">
        <f t="shared" si="13"/>
        <v>-5.2167213622176618</v>
      </c>
      <c r="AQ38" s="48">
        <f t="shared" si="13"/>
        <v>-5.3210557894620152</v>
      </c>
      <c r="AR38" s="48">
        <f t="shared" si="13"/>
        <v>-5.4274769052512557</v>
      </c>
      <c r="AS38" s="48">
        <f t="shared" si="13"/>
        <v>-5.5360264433562811</v>
      </c>
      <c r="AT38" s="48">
        <f t="shared" si="13"/>
        <v>-5.6467469722234069</v>
      </c>
    </row>
    <row r="39" spans="2:46" x14ac:dyDescent="0.55000000000000004">
      <c r="B39" s="18" t="s">
        <v>38</v>
      </c>
      <c r="C39" s="59">
        <v>1</v>
      </c>
      <c r="D39" s="62">
        <v>0.02</v>
      </c>
      <c r="G39" s="45">
        <f t="shared" si="10"/>
        <v>-1.4284136466606503</v>
      </c>
      <c r="H39" s="45">
        <f t="shared" si="11"/>
        <v>-49.994477633122763</v>
      </c>
      <c r="I39" s="45"/>
      <c r="J39" s="45"/>
      <c r="K39" s="45"/>
      <c r="L39" s="48">
        <f>-$C39</f>
        <v>-1</v>
      </c>
      <c r="M39" s="48">
        <f>L39*(1+$D39)</f>
        <v>-1.02</v>
      </c>
      <c r="N39" s="48">
        <f t="shared" si="13"/>
        <v>-1.0404</v>
      </c>
      <c r="O39" s="48">
        <f t="shared" si="13"/>
        <v>-1.0612079999999999</v>
      </c>
      <c r="P39" s="48">
        <f t="shared" si="13"/>
        <v>-1.08243216</v>
      </c>
      <c r="Q39" s="48">
        <f t="shared" si="13"/>
        <v>-1.1040808032</v>
      </c>
      <c r="R39" s="48">
        <f t="shared" si="13"/>
        <v>-1.1261624192640001</v>
      </c>
      <c r="S39" s="48">
        <f t="shared" si="13"/>
        <v>-1.14868566764928</v>
      </c>
      <c r="T39" s="48">
        <f t="shared" si="13"/>
        <v>-1.1716593810022657</v>
      </c>
      <c r="U39" s="48">
        <f t="shared" si="13"/>
        <v>-1.1950925686223111</v>
      </c>
      <c r="V39" s="48">
        <f t="shared" si="13"/>
        <v>-1.2189944199947573</v>
      </c>
      <c r="W39" s="48">
        <f t="shared" si="13"/>
        <v>-1.2433743083946525</v>
      </c>
      <c r="X39" s="48">
        <f t="shared" si="13"/>
        <v>-1.2682417945625455</v>
      </c>
      <c r="Y39" s="48">
        <f t="shared" si="13"/>
        <v>-1.2936066304537963</v>
      </c>
      <c r="Z39" s="48">
        <f t="shared" si="13"/>
        <v>-1.3194787630628724</v>
      </c>
      <c r="AA39" s="48">
        <f t="shared" si="13"/>
        <v>-1.3458683383241299</v>
      </c>
      <c r="AB39" s="48">
        <f t="shared" si="13"/>
        <v>-1.3727857050906125</v>
      </c>
      <c r="AC39" s="48">
        <f t="shared" si="13"/>
        <v>-1.4002414191924248</v>
      </c>
      <c r="AD39" s="48">
        <f t="shared" si="13"/>
        <v>-1.4282462475762734</v>
      </c>
      <c r="AE39" s="48">
        <f t="shared" si="13"/>
        <v>-1.4568111725277988</v>
      </c>
      <c r="AF39" s="48">
        <f t="shared" si="13"/>
        <v>-1.4859473959783549</v>
      </c>
      <c r="AG39" s="48">
        <f t="shared" si="13"/>
        <v>-1.5156663438979221</v>
      </c>
      <c r="AH39" s="48">
        <f t="shared" si="13"/>
        <v>-1.5459796707758806</v>
      </c>
      <c r="AI39" s="48">
        <f t="shared" si="13"/>
        <v>-1.5768992641913981</v>
      </c>
      <c r="AJ39" s="48">
        <f t="shared" si="13"/>
        <v>-1.6084372494752261</v>
      </c>
      <c r="AK39" s="48">
        <f t="shared" si="13"/>
        <v>-1.6406059944647307</v>
      </c>
      <c r="AL39" s="48">
        <f t="shared" si="13"/>
        <v>-1.6734181143540252</v>
      </c>
      <c r="AM39" s="48">
        <f t="shared" si="13"/>
        <v>-1.7068864766411058</v>
      </c>
      <c r="AN39" s="48">
        <f t="shared" si="13"/>
        <v>-1.7410242061739281</v>
      </c>
      <c r="AO39" s="48">
        <f t="shared" si="13"/>
        <v>-1.7758446902974065</v>
      </c>
      <c r="AP39" s="48">
        <f t="shared" si="13"/>
        <v>-1.8113615841033548</v>
      </c>
      <c r="AQ39" s="48">
        <f t="shared" si="13"/>
        <v>-1.8475888157854219</v>
      </c>
      <c r="AR39" s="48">
        <f t="shared" si="13"/>
        <v>-1.8845405921011305</v>
      </c>
      <c r="AS39" s="48">
        <f t="shared" si="13"/>
        <v>-1.9222314039431532</v>
      </c>
      <c r="AT39" s="48">
        <f t="shared" si="13"/>
        <v>-1.9606760320220162</v>
      </c>
    </row>
    <row r="40" spans="2:46" x14ac:dyDescent="0.55000000000000004">
      <c r="B40" s="18"/>
      <c r="C40" s="59"/>
      <c r="D40" s="62"/>
      <c r="G40" s="45"/>
      <c r="H40" s="45"/>
      <c r="I40" s="45"/>
      <c r="J40" s="45"/>
      <c r="K40" s="45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</row>
    <row r="41" spans="2:46" x14ac:dyDescent="0.55000000000000004">
      <c r="B41" s="18" t="s">
        <v>39</v>
      </c>
      <c r="C41" s="59">
        <v>0</v>
      </c>
      <c r="D41" s="62">
        <v>0.02</v>
      </c>
      <c r="G41" s="45">
        <f t="shared" si="10"/>
        <v>0</v>
      </c>
      <c r="H41" s="45">
        <f t="shared" si="11"/>
        <v>0</v>
      </c>
      <c r="I41" s="45"/>
      <c r="J41" s="45"/>
      <c r="K41" s="45"/>
      <c r="L41" s="48">
        <f>-$C41</f>
        <v>0</v>
      </c>
      <c r="M41" s="48">
        <f t="shared" ref="M41:AT41" si="14">L41*(1+$D41)</f>
        <v>0</v>
      </c>
      <c r="N41" s="48">
        <f t="shared" si="14"/>
        <v>0</v>
      </c>
      <c r="O41" s="48">
        <f t="shared" si="14"/>
        <v>0</v>
      </c>
      <c r="P41" s="48">
        <f t="shared" si="14"/>
        <v>0</v>
      </c>
      <c r="Q41" s="48">
        <f t="shared" si="14"/>
        <v>0</v>
      </c>
      <c r="R41" s="48">
        <f t="shared" si="14"/>
        <v>0</v>
      </c>
      <c r="S41" s="48">
        <f t="shared" si="14"/>
        <v>0</v>
      </c>
      <c r="T41" s="48">
        <f t="shared" si="14"/>
        <v>0</v>
      </c>
      <c r="U41" s="48">
        <f t="shared" si="14"/>
        <v>0</v>
      </c>
      <c r="V41" s="48">
        <f t="shared" si="14"/>
        <v>0</v>
      </c>
      <c r="W41" s="48">
        <f t="shared" si="14"/>
        <v>0</v>
      </c>
      <c r="X41" s="48">
        <f t="shared" si="14"/>
        <v>0</v>
      </c>
      <c r="Y41" s="48">
        <f t="shared" si="14"/>
        <v>0</v>
      </c>
      <c r="Z41" s="48">
        <f t="shared" si="14"/>
        <v>0</v>
      </c>
      <c r="AA41" s="48">
        <f t="shared" si="14"/>
        <v>0</v>
      </c>
      <c r="AB41" s="48">
        <f t="shared" si="14"/>
        <v>0</v>
      </c>
      <c r="AC41" s="48">
        <f t="shared" si="14"/>
        <v>0</v>
      </c>
      <c r="AD41" s="48">
        <f t="shared" si="14"/>
        <v>0</v>
      </c>
      <c r="AE41" s="48">
        <f t="shared" si="14"/>
        <v>0</v>
      </c>
      <c r="AF41" s="48">
        <f t="shared" si="14"/>
        <v>0</v>
      </c>
      <c r="AG41" s="48">
        <f t="shared" si="14"/>
        <v>0</v>
      </c>
      <c r="AH41" s="48">
        <f t="shared" si="14"/>
        <v>0</v>
      </c>
      <c r="AI41" s="48">
        <f t="shared" si="14"/>
        <v>0</v>
      </c>
      <c r="AJ41" s="48">
        <f t="shared" si="14"/>
        <v>0</v>
      </c>
      <c r="AK41" s="48">
        <f t="shared" si="14"/>
        <v>0</v>
      </c>
      <c r="AL41" s="48">
        <f t="shared" si="14"/>
        <v>0</v>
      </c>
      <c r="AM41" s="48">
        <f t="shared" si="14"/>
        <v>0</v>
      </c>
      <c r="AN41" s="48">
        <f t="shared" si="14"/>
        <v>0</v>
      </c>
      <c r="AO41" s="48">
        <f t="shared" si="14"/>
        <v>0</v>
      </c>
      <c r="AP41" s="48">
        <f t="shared" si="14"/>
        <v>0</v>
      </c>
      <c r="AQ41" s="48">
        <f t="shared" si="14"/>
        <v>0</v>
      </c>
      <c r="AR41" s="48">
        <f t="shared" si="14"/>
        <v>0</v>
      </c>
      <c r="AS41" s="48">
        <f t="shared" si="14"/>
        <v>0</v>
      </c>
      <c r="AT41" s="48">
        <f t="shared" si="14"/>
        <v>0</v>
      </c>
    </row>
    <row r="42" spans="2:46" x14ac:dyDescent="0.55000000000000004">
      <c r="B42" s="18" t="s">
        <v>40</v>
      </c>
      <c r="C42" s="59">
        <v>0.1</v>
      </c>
      <c r="D42" s="62">
        <v>0.02</v>
      </c>
      <c r="E42" s="62"/>
      <c r="G42" s="45">
        <f t="shared" si="10"/>
        <v>-0.10000000000000005</v>
      </c>
      <c r="H42" s="45">
        <f t="shared" si="11"/>
        <v>-3.5000000000000018</v>
      </c>
      <c r="I42" s="45"/>
      <c r="J42" s="45"/>
      <c r="K42" s="45"/>
      <c r="L42" s="48">
        <f>-$C42</f>
        <v>-0.1</v>
      </c>
      <c r="M42" s="48">
        <f t="shared" ref="M42:AB43" si="15">L42*(1+$E42)</f>
        <v>-0.1</v>
      </c>
      <c r="N42" s="48">
        <f t="shared" si="15"/>
        <v>-0.1</v>
      </c>
      <c r="O42" s="48">
        <f t="shared" si="15"/>
        <v>-0.1</v>
      </c>
      <c r="P42" s="48">
        <f t="shared" si="15"/>
        <v>-0.1</v>
      </c>
      <c r="Q42" s="48">
        <f t="shared" si="15"/>
        <v>-0.1</v>
      </c>
      <c r="R42" s="48">
        <f t="shared" si="15"/>
        <v>-0.1</v>
      </c>
      <c r="S42" s="48">
        <f t="shared" si="15"/>
        <v>-0.1</v>
      </c>
      <c r="T42" s="48">
        <f t="shared" si="15"/>
        <v>-0.1</v>
      </c>
      <c r="U42" s="48">
        <f t="shared" si="15"/>
        <v>-0.1</v>
      </c>
      <c r="V42" s="48">
        <f t="shared" si="15"/>
        <v>-0.1</v>
      </c>
      <c r="W42" s="48">
        <f t="shared" si="15"/>
        <v>-0.1</v>
      </c>
      <c r="X42" s="48">
        <f t="shared" si="15"/>
        <v>-0.1</v>
      </c>
      <c r="Y42" s="48">
        <f t="shared" si="15"/>
        <v>-0.1</v>
      </c>
      <c r="Z42" s="48">
        <f t="shared" si="15"/>
        <v>-0.1</v>
      </c>
      <c r="AA42" s="48">
        <f t="shared" si="15"/>
        <v>-0.1</v>
      </c>
      <c r="AB42" s="48">
        <f t="shared" si="15"/>
        <v>-0.1</v>
      </c>
      <c r="AC42" s="48">
        <f>AB42*(1+$E42)</f>
        <v>-0.1</v>
      </c>
      <c r="AD42" s="48">
        <f>AC42*(1+$E42)</f>
        <v>-0.1</v>
      </c>
      <c r="AE42" s="48">
        <f t="shared" ref="AE42:AT43" si="16">AD42*(1+$E42)</f>
        <v>-0.1</v>
      </c>
      <c r="AF42" s="48">
        <f t="shared" si="16"/>
        <v>-0.1</v>
      </c>
      <c r="AG42" s="48">
        <f t="shared" si="16"/>
        <v>-0.1</v>
      </c>
      <c r="AH42" s="48">
        <f t="shared" si="16"/>
        <v>-0.1</v>
      </c>
      <c r="AI42" s="48">
        <f t="shared" si="16"/>
        <v>-0.1</v>
      </c>
      <c r="AJ42" s="48">
        <f t="shared" si="16"/>
        <v>-0.1</v>
      </c>
      <c r="AK42" s="48">
        <f t="shared" si="16"/>
        <v>-0.1</v>
      </c>
      <c r="AL42" s="48">
        <f t="shared" si="16"/>
        <v>-0.1</v>
      </c>
      <c r="AM42" s="48">
        <f t="shared" si="16"/>
        <v>-0.1</v>
      </c>
      <c r="AN42" s="48">
        <f t="shared" si="16"/>
        <v>-0.1</v>
      </c>
      <c r="AO42" s="48">
        <f t="shared" si="16"/>
        <v>-0.1</v>
      </c>
      <c r="AP42" s="48">
        <f t="shared" si="16"/>
        <v>-0.1</v>
      </c>
      <c r="AQ42" s="48">
        <f t="shared" si="16"/>
        <v>-0.1</v>
      </c>
      <c r="AR42" s="48">
        <f t="shared" si="16"/>
        <v>-0.1</v>
      </c>
      <c r="AS42" s="48">
        <f t="shared" si="16"/>
        <v>-0.1</v>
      </c>
      <c r="AT42" s="48">
        <f t="shared" si="16"/>
        <v>-0.1</v>
      </c>
    </row>
    <row r="43" spans="2:46" x14ac:dyDescent="0.55000000000000004">
      <c r="B43" s="18" t="s">
        <v>67</v>
      </c>
      <c r="C43" s="59">
        <v>0.8</v>
      </c>
      <c r="D43" s="62">
        <v>0.02</v>
      </c>
      <c r="E43" s="62"/>
      <c r="G43" s="45">
        <f t="shared" si="10"/>
        <v>-0.80000000000000038</v>
      </c>
      <c r="H43" s="45">
        <f t="shared" si="11"/>
        <v>-28.000000000000014</v>
      </c>
      <c r="I43" s="45"/>
      <c r="J43" s="45"/>
      <c r="K43" s="45"/>
      <c r="L43" s="48">
        <f>-$C43</f>
        <v>-0.8</v>
      </c>
      <c r="M43" s="48">
        <f t="shared" si="15"/>
        <v>-0.8</v>
      </c>
      <c r="N43" s="48">
        <f t="shared" si="15"/>
        <v>-0.8</v>
      </c>
      <c r="O43" s="48">
        <f t="shared" si="15"/>
        <v>-0.8</v>
      </c>
      <c r="P43" s="48">
        <f t="shared" si="15"/>
        <v>-0.8</v>
      </c>
      <c r="Q43" s="48">
        <f t="shared" si="15"/>
        <v>-0.8</v>
      </c>
      <c r="R43" s="48">
        <f t="shared" si="15"/>
        <v>-0.8</v>
      </c>
      <c r="S43" s="48">
        <f t="shared" si="15"/>
        <v>-0.8</v>
      </c>
      <c r="T43" s="48">
        <f t="shared" si="15"/>
        <v>-0.8</v>
      </c>
      <c r="U43" s="48">
        <f t="shared" si="15"/>
        <v>-0.8</v>
      </c>
      <c r="V43" s="48">
        <f t="shared" si="15"/>
        <v>-0.8</v>
      </c>
      <c r="W43" s="48">
        <f t="shared" si="15"/>
        <v>-0.8</v>
      </c>
      <c r="X43" s="48">
        <f t="shared" si="15"/>
        <v>-0.8</v>
      </c>
      <c r="Y43" s="48">
        <f t="shared" si="15"/>
        <v>-0.8</v>
      </c>
      <c r="Z43" s="48">
        <f t="shared" si="15"/>
        <v>-0.8</v>
      </c>
      <c r="AA43" s="48">
        <f t="shared" si="15"/>
        <v>-0.8</v>
      </c>
      <c r="AB43" s="48">
        <f t="shared" si="15"/>
        <v>-0.8</v>
      </c>
      <c r="AC43" s="48">
        <f>AB43*(1+$E43)</f>
        <v>-0.8</v>
      </c>
      <c r="AD43" s="48">
        <f>AC43*(1+$E43)</f>
        <v>-0.8</v>
      </c>
      <c r="AE43" s="48">
        <f t="shared" si="16"/>
        <v>-0.8</v>
      </c>
      <c r="AF43" s="48">
        <f t="shared" si="16"/>
        <v>-0.8</v>
      </c>
      <c r="AG43" s="48">
        <f t="shared" si="16"/>
        <v>-0.8</v>
      </c>
      <c r="AH43" s="48">
        <f t="shared" si="16"/>
        <v>-0.8</v>
      </c>
      <c r="AI43" s="48">
        <f t="shared" si="16"/>
        <v>-0.8</v>
      </c>
      <c r="AJ43" s="48">
        <f t="shared" si="16"/>
        <v>-0.8</v>
      </c>
      <c r="AK43" s="48">
        <f t="shared" si="16"/>
        <v>-0.8</v>
      </c>
      <c r="AL43" s="48">
        <f t="shared" si="16"/>
        <v>-0.8</v>
      </c>
      <c r="AM43" s="48">
        <f t="shared" si="16"/>
        <v>-0.8</v>
      </c>
      <c r="AN43" s="48">
        <f t="shared" si="16"/>
        <v>-0.8</v>
      </c>
      <c r="AO43" s="48">
        <f t="shared" si="16"/>
        <v>-0.8</v>
      </c>
      <c r="AP43" s="48">
        <f t="shared" si="16"/>
        <v>-0.8</v>
      </c>
      <c r="AQ43" s="48">
        <f t="shared" si="16"/>
        <v>-0.8</v>
      </c>
      <c r="AR43" s="48">
        <f t="shared" si="16"/>
        <v>-0.8</v>
      </c>
      <c r="AS43" s="48">
        <f t="shared" si="16"/>
        <v>-0.8</v>
      </c>
      <c r="AT43" s="48">
        <f t="shared" si="16"/>
        <v>-0.8</v>
      </c>
    </row>
    <row r="44" spans="2:46" s="66" customFormat="1" x14ac:dyDescent="0.55000000000000004">
      <c r="B44" s="63" t="s">
        <v>41</v>
      </c>
      <c r="C44" s="64">
        <v>0</v>
      </c>
      <c r="D44" s="65">
        <v>0</v>
      </c>
      <c r="G44" s="67">
        <f t="shared" si="10"/>
        <v>0</v>
      </c>
      <c r="H44" s="67">
        <f t="shared" si="11"/>
        <v>0</v>
      </c>
      <c r="I44" s="67"/>
      <c r="J44" s="67"/>
      <c r="K44" s="67"/>
      <c r="L44" s="68">
        <f t="shared" ref="L44:AT44" si="17">-$C44*(1-$D44)*L$34</f>
        <v>0</v>
      </c>
      <c r="M44" s="68">
        <f t="shared" si="17"/>
        <v>0</v>
      </c>
      <c r="N44" s="68">
        <f t="shared" si="17"/>
        <v>0</v>
      </c>
      <c r="O44" s="68">
        <f t="shared" si="17"/>
        <v>0</v>
      </c>
      <c r="P44" s="68">
        <f t="shared" si="17"/>
        <v>0</v>
      </c>
      <c r="Q44" s="68">
        <f t="shared" si="17"/>
        <v>0</v>
      </c>
      <c r="R44" s="68">
        <f t="shared" si="17"/>
        <v>0</v>
      </c>
      <c r="S44" s="68">
        <f t="shared" si="17"/>
        <v>0</v>
      </c>
      <c r="T44" s="68">
        <f t="shared" si="17"/>
        <v>0</v>
      </c>
      <c r="U44" s="68">
        <f t="shared" si="17"/>
        <v>0</v>
      </c>
      <c r="V44" s="68">
        <f t="shared" si="17"/>
        <v>0</v>
      </c>
      <c r="W44" s="68">
        <f t="shared" si="17"/>
        <v>0</v>
      </c>
      <c r="X44" s="68">
        <f t="shared" si="17"/>
        <v>0</v>
      </c>
      <c r="Y44" s="68">
        <f t="shared" si="17"/>
        <v>0</v>
      </c>
      <c r="Z44" s="68">
        <f t="shared" si="17"/>
        <v>0</v>
      </c>
      <c r="AA44" s="68">
        <f t="shared" si="17"/>
        <v>0</v>
      </c>
      <c r="AB44" s="68">
        <f t="shared" si="17"/>
        <v>0</v>
      </c>
      <c r="AC44" s="68">
        <f t="shared" si="17"/>
        <v>0</v>
      </c>
      <c r="AD44" s="68">
        <f t="shared" si="17"/>
        <v>0</v>
      </c>
      <c r="AE44" s="68">
        <f t="shared" si="17"/>
        <v>0</v>
      </c>
      <c r="AF44" s="68">
        <f t="shared" si="17"/>
        <v>0</v>
      </c>
      <c r="AG44" s="68">
        <f t="shared" si="17"/>
        <v>0</v>
      </c>
      <c r="AH44" s="68">
        <f t="shared" si="17"/>
        <v>0</v>
      </c>
      <c r="AI44" s="68">
        <f t="shared" si="17"/>
        <v>0</v>
      </c>
      <c r="AJ44" s="68">
        <f t="shared" si="17"/>
        <v>0</v>
      </c>
      <c r="AK44" s="68">
        <f t="shared" si="17"/>
        <v>0</v>
      </c>
      <c r="AL44" s="68">
        <f t="shared" si="17"/>
        <v>0</v>
      </c>
      <c r="AM44" s="68">
        <f t="shared" si="17"/>
        <v>0</v>
      </c>
      <c r="AN44" s="68">
        <f t="shared" si="17"/>
        <v>0</v>
      </c>
      <c r="AO44" s="68">
        <f t="shared" si="17"/>
        <v>0</v>
      </c>
      <c r="AP44" s="68">
        <f t="shared" si="17"/>
        <v>0</v>
      </c>
      <c r="AQ44" s="68">
        <f t="shared" si="17"/>
        <v>0</v>
      </c>
      <c r="AR44" s="68">
        <f t="shared" si="17"/>
        <v>0</v>
      </c>
      <c r="AS44" s="68">
        <f t="shared" si="17"/>
        <v>0</v>
      </c>
      <c r="AT44" s="68">
        <f t="shared" si="17"/>
        <v>0</v>
      </c>
    </row>
    <row r="45" spans="2:46" s="66" customFormat="1" x14ac:dyDescent="0.55000000000000004">
      <c r="B45" s="63" t="s">
        <v>42</v>
      </c>
      <c r="C45" s="65">
        <v>0</v>
      </c>
      <c r="D45" s="65"/>
      <c r="E45" s="65"/>
      <c r="G45" s="67">
        <f t="shared" si="10"/>
        <v>0</v>
      </c>
      <c r="H45" s="67">
        <f t="shared" si="11"/>
        <v>0</v>
      </c>
      <c r="I45" s="67"/>
      <c r="J45" s="67"/>
      <c r="K45" s="67"/>
      <c r="L45" s="68">
        <f>-$E$45*L34</f>
        <v>0</v>
      </c>
      <c r="M45" s="68">
        <f t="shared" ref="M45:AT45" si="18">-$E$45*M34</f>
        <v>0</v>
      </c>
      <c r="N45" s="68">
        <f t="shared" si="18"/>
        <v>0</v>
      </c>
      <c r="O45" s="68">
        <f t="shared" si="18"/>
        <v>0</v>
      </c>
      <c r="P45" s="68">
        <f t="shared" si="18"/>
        <v>0</v>
      </c>
      <c r="Q45" s="68">
        <f t="shared" si="18"/>
        <v>0</v>
      </c>
      <c r="R45" s="68">
        <f t="shared" si="18"/>
        <v>0</v>
      </c>
      <c r="S45" s="68">
        <f t="shared" si="18"/>
        <v>0</v>
      </c>
      <c r="T45" s="68">
        <f t="shared" si="18"/>
        <v>0</v>
      </c>
      <c r="U45" s="68">
        <f t="shared" si="18"/>
        <v>0</v>
      </c>
      <c r="V45" s="68">
        <f t="shared" si="18"/>
        <v>0</v>
      </c>
      <c r="W45" s="68">
        <f t="shared" si="18"/>
        <v>0</v>
      </c>
      <c r="X45" s="68">
        <f t="shared" si="18"/>
        <v>0</v>
      </c>
      <c r="Y45" s="68">
        <f t="shared" si="18"/>
        <v>0</v>
      </c>
      <c r="Z45" s="68">
        <f t="shared" si="18"/>
        <v>0</v>
      </c>
      <c r="AA45" s="68">
        <f t="shared" si="18"/>
        <v>0</v>
      </c>
      <c r="AB45" s="68">
        <f t="shared" si="18"/>
        <v>0</v>
      </c>
      <c r="AC45" s="68">
        <f t="shared" si="18"/>
        <v>0</v>
      </c>
      <c r="AD45" s="68">
        <f t="shared" si="18"/>
        <v>0</v>
      </c>
      <c r="AE45" s="68">
        <f t="shared" si="18"/>
        <v>0</v>
      </c>
      <c r="AF45" s="68">
        <f t="shared" si="18"/>
        <v>0</v>
      </c>
      <c r="AG45" s="68">
        <f t="shared" si="18"/>
        <v>0</v>
      </c>
      <c r="AH45" s="68">
        <f t="shared" si="18"/>
        <v>0</v>
      </c>
      <c r="AI45" s="68">
        <f t="shared" si="18"/>
        <v>0</v>
      </c>
      <c r="AJ45" s="68">
        <f t="shared" si="18"/>
        <v>0</v>
      </c>
      <c r="AK45" s="68">
        <f t="shared" si="18"/>
        <v>0</v>
      </c>
      <c r="AL45" s="68">
        <f t="shared" si="18"/>
        <v>0</v>
      </c>
      <c r="AM45" s="68">
        <f t="shared" si="18"/>
        <v>0</v>
      </c>
      <c r="AN45" s="68">
        <f t="shared" si="18"/>
        <v>0</v>
      </c>
      <c r="AO45" s="68">
        <f t="shared" si="18"/>
        <v>0</v>
      </c>
      <c r="AP45" s="68">
        <f t="shared" si="18"/>
        <v>0</v>
      </c>
      <c r="AQ45" s="68">
        <f t="shared" si="18"/>
        <v>0</v>
      </c>
      <c r="AR45" s="68">
        <f t="shared" si="18"/>
        <v>0</v>
      </c>
      <c r="AS45" s="68">
        <f t="shared" si="18"/>
        <v>0</v>
      </c>
      <c r="AT45" s="68">
        <f t="shared" si="18"/>
        <v>0</v>
      </c>
    </row>
    <row r="46" spans="2:46" x14ac:dyDescent="0.55000000000000004">
      <c r="B46" s="18" t="s">
        <v>43</v>
      </c>
      <c r="C46" s="17">
        <v>2E-3</v>
      </c>
      <c r="D46" s="62"/>
      <c r="G46" s="45">
        <f t="shared" si="10"/>
        <v>-3.7728000000000024</v>
      </c>
      <c r="H46" s="45">
        <f t="shared" si="11"/>
        <v>-132.04800000000009</v>
      </c>
      <c r="I46" s="45"/>
      <c r="J46" s="45"/>
      <c r="K46" s="45"/>
      <c r="L46" s="48">
        <f>-C46*(G9+G8)</f>
        <v>-3.7728000000000002</v>
      </c>
      <c r="M46" s="48">
        <f t="shared" ref="M46:AT46" si="19">L46*(1+$D46)</f>
        <v>-3.7728000000000002</v>
      </c>
      <c r="N46" s="48">
        <f t="shared" si="19"/>
        <v>-3.7728000000000002</v>
      </c>
      <c r="O46" s="48">
        <f t="shared" si="19"/>
        <v>-3.7728000000000002</v>
      </c>
      <c r="P46" s="48">
        <f t="shared" si="19"/>
        <v>-3.7728000000000002</v>
      </c>
      <c r="Q46" s="48">
        <f t="shared" si="19"/>
        <v>-3.7728000000000002</v>
      </c>
      <c r="R46" s="48">
        <f t="shared" si="19"/>
        <v>-3.7728000000000002</v>
      </c>
      <c r="S46" s="48">
        <f t="shared" si="19"/>
        <v>-3.7728000000000002</v>
      </c>
      <c r="T46" s="48">
        <f t="shared" si="19"/>
        <v>-3.7728000000000002</v>
      </c>
      <c r="U46" s="48">
        <f t="shared" si="19"/>
        <v>-3.7728000000000002</v>
      </c>
      <c r="V46" s="48">
        <f t="shared" si="19"/>
        <v>-3.7728000000000002</v>
      </c>
      <c r="W46" s="48">
        <f t="shared" si="19"/>
        <v>-3.7728000000000002</v>
      </c>
      <c r="X46" s="48">
        <f t="shared" si="19"/>
        <v>-3.7728000000000002</v>
      </c>
      <c r="Y46" s="48">
        <f t="shared" si="19"/>
        <v>-3.7728000000000002</v>
      </c>
      <c r="Z46" s="48">
        <f t="shared" si="19"/>
        <v>-3.7728000000000002</v>
      </c>
      <c r="AA46" s="48">
        <f t="shared" si="19"/>
        <v>-3.7728000000000002</v>
      </c>
      <c r="AB46" s="48">
        <f t="shared" si="19"/>
        <v>-3.7728000000000002</v>
      </c>
      <c r="AC46" s="48">
        <f t="shared" si="19"/>
        <v>-3.7728000000000002</v>
      </c>
      <c r="AD46" s="48">
        <f t="shared" si="19"/>
        <v>-3.7728000000000002</v>
      </c>
      <c r="AE46" s="48">
        <f t="shared" si="19"/>
        <v>-3.7728000000000002</v>
      </c>
      <c r="AF46" s="48">
        <f t="shared" si="19"/>
        <v>-3.7728000000000002</v>
      </c>
      <c r="AG46" s="48">
        <f t="shared" si="19"/>
        <v>-3.7728000000000002</v>
      </c>
      <c r="AH46" s="48">
        <f t="shared" si="19"/>
        <v>-3.7728000000000002</v>
      </c>
      <c r="AI46" s="48">
        <f t="shared" si="19"/>
        <v>-3.7728000000000002</v>
      </c>
      <c r="AJ46" s="48">
        <f t="shared" si="19"/>
        <v>-3.7728000000000002</v>
      </c>
      <c r="AK46" s="48">
        <f t="shared" si="19"/>
        <v>-3.7728000000000002</v>
      </c>
      <c r="AL46" s="48">
        <f t="shared" si="19"/>
        <v>-3.7728000000000002</v>
      </c>
      <c r="AM46" s="48">
        <f t="shared" si="19"/>
        <v>-3.7728000000000002</v>
      </c>
      <c r="AN46" s="48">
        <f t="shared" si="19"/>
        <v>-3.7728000000000002</v>
      </c>
      <c r="AO46" s="48">
        <f t="shared" si="19"/>
        <v>-3.7728000000000002</v>
      </c>
      <c r="AP46" s="48">
        <f t="shared" si="19"/>
        <v>-3.7728000000000002</v>
      </c>
      <c r="AQ46" s="48">
        <f t="shared" si="19"/>
        <v>-3.7728000000000002</v>
      </c>
      <c r="AR46" s="48">
        <f t="shared" si="19"/>
        <v>-3.7728000000000002</v>
      </c>
      <c r="AS46" s="48">
        <f t="shared" si="19"/>
        <v>-3.7728000000000002</v>
      </c>
      <c r="AT46" s="48">
        <f t="shared" si="19"/>
        <v>-3.7728000000000002</v>
      </c>
    </row>
    <row r="47" spans="2:46" x14ac:dyDescent="0.55000000000000004">
      <c r="B47" s="29" t="s">
        <v>44</v>
      </c>
      <c r="C47" s="29"/>
      <c r="F47" s="30"/>
      <c r="G47" s="69">
        <f t="shared" si="10"/>
        <v>-26.67037015857403</v>
      </c>
      <c r="H47" s="39">
        <f t="shared" si="11"/>
        <v>-933.46295555009112</v>
      </c>
      <c r="I47" s="39"/>
      <c r="J47" s="39"/>
      <c r="K47" s="39"/>
      <c r="L47" s="60">
        <f t="shared" ref="L47:AT47" si="20">SUM(L37:L46)</f>
        <v>-20.072799999999997</v>
      </c>
      <c r="M47" s="60">
        <f t="shared" si="20"/>
        <v>-20.380799999999997</v>
      </c>
      <c r="N47" s="60">
        <f t="shared" si="20"/>
        <v>-20.694960000000002</v>
      </c>
      <c r="O47" s="60">
        <f t="shared" si="20"/>
        <v>-21.015403200000002</v>
      </c>
      <c r="P47" s="60">
        <f t="shared" si="20"/>
        <v>-21.342255264000006</v>
      </c>
      <c r="Q47" s="60">
        <f t="shared" si="20"/>
        <v>-21.675644369280004</v>
      </c>
      <c r="R47" s="60">
        <f t="shared" si="20"/>
        <v>-22.015701256665604</v>
      </c>
      <c r="S47" s="60">
        <f t="shared" si="20"/>
        <v>-22.362559281798916</v>
      </c>
      <c r="T47" s="60">
        <f t="shared" si="20"/>
        <v>-22.716354467434897</v>
      </c>
      <c r="U47" s="60">
        <f t="shared" si="20"/>
        <v>-23.077225556783596</v>
      </c>
      <c r="V47" s="60">
        <f t="shared" si="20"/>
        <v>-23.445314067919266</v>
      </c>
      <c r="W47" s="60">
        <f t="shared" si="20"/>
        <v>-23.820764349277653</v>
      </c>
      <c r="X47" s="60">
        <f t="shared" si="20"/>
        <v>-24.203723636263202</v>
      </c>
      <c r="Y47" s="60">
        <f t="shared" si="20"/>
        <v>-24.594342108988471</v>
      </c>
      <c r="Z47" s="60">
        <f t="shared" si="20"/>
        <v>-24.992772951168238</v>
      </c>
      <c r="AA47" s="60">
        <f t="shared" si="20"/>
        <v>-25.399172410191603</v>
      </c>
      <c r="AB47" s="60">
        <f t="shared" si="20"/>
        <v>-25.813699858395438</v>
      </c>
      <c r="AC47" s="60">
        <f t="shared" si="20"/>
        <v>-26.236517855563346</v>
      </c>
      <c r="AD47" s="60">
        <f t="shared" si="20"/>
        <v>-26.667792212674609</v>
      </c>
      <c r="AE47" s="60">
        <f t="shared" si="20"/>
        <v>-27.107692056928109</v>
      </c>
      <c r="AF47" s="60">
        <f t="shared" si="20"/>
        <v>-27.556389898066666</v>
      </c>
      <c r="AG47" s="60">
        <f t="shared" si="20"/>
        <v>-28.014061696028001</v>
      </c>
      <c r="AH47" s="60">
        <f t="shared" si="20"/>
        <v>-28.480886929948561</v>
      </c>
      <c r="AI47" s="60">
        <f t="shared" si="20"/>
        <v>-28.957048668547529</v>
      </c>
      <c r="AJ47" s="60">
        <f t="shared" si="20"/>
        <v>-29.442733641918483</v>
      </c>
      <c r="AK47" s="60">
        <f t="shared" si="20"/>
        <v>-29.938132314756853</v>
      </c>
      <c r="AL47" s="60">
        <f t="shared" si="20"/>
        <v>-30.443438961051992</v>
      </c>
      <c r="AM47" s="60">
        <f t="shared" si="20"/>
        <v>-30.958851740273033</v>
      </c>
      <c r="AN47" s="60">
        <f t="shared" si="20"/>
        <v>-31.484572775078497</v>
      </c>
      <c r="AO47" s="60">
        <f t="shared" si="20"/>
        <v>-32.020808230580073</v>
      </c>
      <c r="AP47" s="60">
        <f t="shared" si="20"/>
        <v>-32.567768395191663</v>
      </c>
      <c r="AQ47" s="60">
        <f t="shared" si="20"/>
        <v>-33.1256677630955</v>
      </c>
      <c r="AR47" s="60">
        <f t="shared" si="20"/>
        <v>-33.694725118357411</v>
      </c>
      <c r="AS47" s="60">
        <f t="shared" si="20"/>
        <v>-34.275163620724562</v>
      </c>
      <c r="AT47" s="60">
        <f t="shared" si="20"/>
        <v>-34.867210893139053</v>
      </c>
    </row>
    <row r="48" spans="2:46" x14ac:dyDescent="0.55000000000000004">
      <c r="B48" s="29"/>
      <c r="C48" s="29"/>
      <c r="F48" s="30"/>
      <c r="G48" s="69"/>
      <c r="H48" s="39"/>
      <c r="I48" s="39"/>
      <c r="J48" s="39"/>
      <c r="K48" s="3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</row>
    <row r="49" spans="2:51" x14ac:dyDescent="0.55000000000000004">
      <c r="H49" s="1"/>
      <c r="I49" s="1" t="s">
        <v>45</v>
      </c>
      <c r="J49" s="1" t="s">
        <v>46</v>
      </c>
      <c r="K49" s="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</row>
    <row r="50" spans="2:51" x14ac:dyDescent="0.55000000000000004">
      <c r="B50" s="14" t="s">
        <v>47</v>
      </c>
      <c r="C50" s="30"/>
      <c r="F50" s="30"/>
      <c r="G50" s="70">
        <f>AVERAGE(L50:AT50)</f>
        <v>264.44934963624138</v>
      </c>
      <c r="H50" s="70">
        <f>SUM(L50:AT50)</f>
        <v>9255.7272372684492</v>
      </c>
      <c r="I50" s="71">
        <f>H34/H50</f>
        <v>1.1008524702188149</v>
      </c>
      <c r="J50" s="71">
        <f>H50/G15</f>
        <v>4.6729104756191937</v>
      </c>
      <c r="K50" s="70"/>
      <c r="L50" s="60">
        <f t="shared" ref="L50:AT50" si="21">L34+L47</f>
        <v>148.69656232640003</v>
      </c>
      <c r="M50" s="60">
        <f t="shared" si="21"/>
        <v>156.67381</v>
      </c>
      <c r="N50" s="60">
        <f t="shared" si="21"/>
        <v>168.5872</v>
      </c>
      <c r="O50" s="60">
        <f t="shared" si="21"/>
        <v>181.33359078925037</v>
      </c>
      <c r="P50" s="60">
        <f t="shared" si="21"/>
        <v>186.01924172356271</v>
      </c>
      <c r="Q50" s="60">
        <f t="shared" si="21"/>
        <v>190.81699170190353</v>
      </c>
      <c r="R50" s="60">
        <f t="shared" si="21"/>
        <v>195.72931689586724</v>
      </c>
      <c r="S50" s="60">
        <f t="shared" si="21"/>
        <v>200.75874050450005</v>
      </c>
      <c r="T50" s="60">
        <f t="shared" si="21"/>
        <v>205.90783333431892</v>
      </c>
      <c r="U50" s="60">
        <f t="shared" si="21"/>
        <v>211.17921437154473</v>
      </c>
      <c r="V50" s="60">
        <f t="shared" si="21"/>
        <v>216.57555134555639</v>
      </c>
      <c r="W50" s="60">
        <f t="shared" si="21"/>
        <v>222.09956128251875</v>
      </c>
      <c r="X50" s="60">
        <f t="shared" si="21"/>
        <v>227.754011048081</v>
      </c>
      <c r="Y50" s="60">
        <f t="shared" si="21"/>
        <v>233.54171787798776</v>
      </c>
      <c r="Z50" s="60">
        <f t="shared" si="21"/>
        <v>239.46554989538211</v>
      </c>
      <c r="AA50" s="60">
        <f t="shared" si="21"/>
        <v>245.52842661351897</v>
      </c>
      <c r="AB50" s="60">
        <f t="shared" si="21"/>
        <v>251.73331942254308</v>
      </c>
      <c r="AC50" s="60">
        <f t="shared" si="21"/>
        <v>258.08325205891543</v>
      </c>
      <c r="AD50" s="60">
        <f t="shared" si="21"/>
        <v>264.58130105600401</v>
      </c>
      <c r="AE50" s="60">
        <f t="shared" si="21"/>
        <v>271.23059617427941</v>
      </c>
      <c r="AF50" s="60">
        <f t="shared" si="21"/>
        <v>278.0343208094796</v>
      </c>
      <c r="AG50" s="60">
        <f t="shared" si="21"/>
        <v>284.99571237702918</v>
      </c>
      <c r="AH50" s="60">
        <f t="shared" si="21"/>
        <v>292.11806267091356</v>
      </c>
      <c r="AI50" s="60">
        <f t="shared" si="21"/>
        <v>299.40471819512197</v>
      </c>
      <c r="AJ50" s="60">
        <f t="shared" si="21"/>
        <v>306.85908046568608</v>
      </c>
      <c r="AK50" s="60">
        <f t="shared" si="21"/>
        <v>314.48460628124167</v>
      </c>
      <c r="AL50" s="60">
        <f t="shared" si="21"/>
        <v>322.28480795994716</v>
      </c>
      <c r="AM50" s="60">
        <f t="shared" si="21"/>
        <v>330.26325354049038</v>
      </c>
      <c r="AN50" s="60">
        <f t="shared" si="21"/>
        <v>338.42356694480611</v>
      </c>
      <c r="AO50" s="60">
        <f t="shared" si="21"/>
        <v>346.76942810002038</v>
      </c>
      <c r="AP50" s="60">
        <f t="shared" si="21"/>
        <v>355.30457301701978</v>
      </c>
      <c r="AQ50" s="60">
        <f t="shared" si="21"/>
        <v>364.03279382292584</v>
      </c>
      <c r="AR50" s="60">
        <f t="shared" si="21"/>
        <v>372.95793874463163</v>
      </c>
      <c r="AS50" s="60">
        <f t="shared" si="21"/>
        <v>382.08391204042272</v>
      </c>
      <c r="AT50" s="60">
        <f t="shared" si="21"/>
        <v>391.41467387657934</v>
      </c>
    </row>
    <row r="51" spans="2:51" x14ac:dyDescent="0.55000000000000004">
      <c r="B51" s="1" t="s">
        <v>48</v>
      </c>
      <c r="E51" s="61"/>
      <c r="H51" s="71"/>
      <c r="I51" s="1"/>
      <c r="J51" s="1"/>
      <c r="K51" s="1"/>
      <c r="L51" s="72">
        <f t="shared" ref="L51:AT51" si="22">L50/L34</f>
        <v>0.88106372078849715</v>
      </c>
      <c r="M51" s="72">
        <f t="shared" si="22"/>
        <v>0.88488975237639966</v>
      </c>
      <c r="N51" s="72">
        <f t="shared" si="22"/>
        <v>0.89066608284689897</v>
      </c>
      <c r="O51" s="72">
        <f t="shared" si="22"/>
        <v>0.89614278388200719</v>
      </c>
      <c r="P51" s="72">
        <f t="shared" si="22"/>
        <v>0.8970770583061517</v>
      </c>
      <c r="Q51" s="72">
        <f t="shared" si="22"/>
        <v>0.89799343276056487</v>
      </c>
      <c r="R51" s="72">
        <f t="shared" si="22"/>
        <v>0.89889228491444351</v>
      </c>
      <c r="S51" s="72">
        <f t="shared" si="22"/>
        <v>0.89977398256814867</v>
      </c>
      <c r="T51" s="72">
        <f t="shared" si="22"/>
        <v>0.90063888390001468</v>
      </c>
      <c r="U51" s="72">
        <f t="shared" si="22"/>
        <v>0.90148733770630107</v>
      </c>
      <c r="V51" s="72">
        <f t="shared" si="22"/>
        <v>0.90231968363445891</v>
      </c>
      <c r="W51" s="72">
        <f t="shared" si="22"/>
        <v>0.90313625240988327</v>
      </c>
      <c r="X51" s="72">
        <f t="shared" si="22"/>
        <v>0.90393736605631125</v>
      </c>
      <c r="Y51" s="72">
        <f t="shared" si="22"/>
        <v>0.9047233381100287</v>
      </c>
      <c r="Z51" s="72">
        <f t="shared" si="22"/>
        <v>0.90549447382803649</v>
      </c>
      <c r="AA51" s="72">
        <f t="shared" si="22"/>
        <v>0.90625107039032682</v>
      </c>
      <c r="AB51" s="72">
        <f t="shared" si="22"/>
        <v>0.90699341709641523</v>
      </c>
      <c r="AC51" s="72">
        <f t="shared" si="22"/>
        <v>0.90772179555626709</v>
      </c>
      <c r="AD51" s="72">
        <f t="shared" si="22"/>
        <v>0.90843647987575549</v>
      </c>
      <c r="AE51" s="72">
        <f t="shared" si="22"/>
        <v>0.90913773683678156</v>
      </c>
      <c r="AF51" s="72">
        <f t="shared" si="22"/>
        <v>0.90982582607218576</v>
      </c>
      <c r="AG51" s="72">
        <f t="shared" si="22"/>
        <v>0.91050100023557257</v>
      </c>
      <c r="AH51" s="72">
        <f t="shared" si="22"/>
        <v>0.91116350516616929</v>
      </c>
      <c r="AI51" s="72">
        <f t="shared" si="22"/>
        <v>0.91181358004883062</v>
      </c>
      <c r="AJ51" s="72">
        <f t="shared" si="22"/>
        <v>0.91245145756930746</v>
      </c>
      <c r="AK51" s="72">
        <f t="shared" si="22"/>
        <v>0.91307736406488038</v>
      </c>
      <c r="AL51" s="72">
        <f t="shared" si="22"/>
        <v>0.91369151967046625</v>
      </c>
      <c r="AM51" s="72">
        <f t="shared" si="22"/>
        <v>0.91429413846029728</v>
      </c>
      <c r="AN51" s="72">
        <f t="shared" si="22"/>
        <v>0.91488542858526878</v>
      </c>
      <c r="AO51" s="72">
        <f t="shared" si="22"/>
        <v>0.91546559240604874</v>
      </c>
      <c r="AP51" s="72">
        <f t="shared" si="22"/>
        <v>0.91603482662203994</v>
      </c>
      <c r="AQ51" s="72">
        <f t="shared" si="22"/>
        <v>0.91659332239627789</v>
      </c>
      <c r="AR51" s="72">
        <f t="shared" si="22"/>
        <v>0.91714126547635255</v>
      </c>
      <c r="AS51" s="72">
        <f t="shared" si="22"/>
        <v>0.91767883631142622</v>
      </c>
      <c r="AT51" s="72">
        <f t="shared" si="22"/>
        <v>0.91820621016542925</v>
      </c>
    </row>
    <row r="52" spans="2:51" s="66" customFormat="1" x14ac:dyDescent="0.55000000000000004">
      <c r="B52" s="73"/>
      <c r="E52" s="74"/>
      <c r="H52" s="73"/>
      <c r="I52" s="73"/>
      <c r="J52" s="73"/>
      <c r="K52" s="73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</row>
    <row r="53" spans="2:51" s="66" customFormat="1" x14ac:dyDescent="0.55000000000000004">
      <c r="B53" s="63" t="s">
        <v>49</v>
      </c>
      <c r="C53" s="66" t="s">
        <v>50</v>
      </c>
      <c r="D53" s="76" t="s">
        <v>68</v>
      </c>
      <c r="E53" s="73"/>
      <c r="F53" s="74"/>
      <c r="L53" s="65">
        <f>IF($D$53="Yes",60%,20%)</f>
        <v>0.6</v>
      </c>
      <c r="M53" s="65">
        <f>IF($D$53="Yes",16%,32%)</f>
        <v>0.16</v>
      </c>
      <c r="N53" s="65">
        <f>IF($D$53="Yes",9.6%,19.2%)</f>
        <v>9.6000000000000002E-2</v>
      </c>
      <c r="O53" s="65">
        <f>IF($D$53="Yes",5.76%,11.52%)</f>
        <v>5.7599999999999998E-2</v>
      </c>
      <c r="P53" s="65">
        <f>IF($D$53="Yes",5.76%,11.52%)</f>
        <v>5.7599999999999998E-2</v>
      </c>
      <c r="Q53" s="65">
        <f>IF($D$53="Yes",2.88%,5.76%)</f>
        <v>2.8799999999999999E-2</v>
      </c>
      <c r="R53" s="65">
        <v>0</v>
      </c>
      <c r="S53" s="65">
        <v>0</v>
      </c>
      <c r="T53" s="65">
        <v>0</v>
      </c>
      <c r="U53" s="65">
        <v>0</v>
      </c>
      <c r="V53" s="65">
        <v>0</v>
      </c>
      <c r="W53" s="65">
        <v>0</v>
      </c>
      <c r="X53" s="65">
        <v>0</v>
      </c>
      <c r="Y53" s="65">
        <v>0</v>
      </c>
      <c r="Z53" s="65">
        <v>0</v>
      </c>
      <c r="AA53" s="65">
        <v>0</v>
      </c>
      <c r="AB53" s="65">
        <v>0</v>
      </c>
      <c r="AC53" s="65">
        <v>0</v>
      </c>
      <c r="AD53" s="65">
        <v>0</v>
      </c>
      <c r="AE53" s="65">
        <v>0</v>
      </c>
      <c r="AF53" s="65">
        <v>0</v>
      </c>
      <c r="AG53" s="65">
        <v>0</v>
      </c>
      <c r="AH53" s="65">
        <v>0</v>
      </c>
      <c r="AI53" s="65">
        <v>0</v>
      </c>
      <c r="AJ53" s="65">
        <v>0</v>
      </c>
      <c r="AK53" s="65">
        <v>0</v>
      </c>
      <c r="AL53" s="65">
        <v>0</v>
      </c>
      <c r="AM53" s="65">
        <v>0</v>
      </c>
      <c r="AN53" s="65">
        <v>0</v>
      </c>
      <c r="AO53" s="65">
        <v>0</v>
      </c>
      <c r="AP53" s="65">
        <v>0</v>
      </c>
      <c r="AQ53" s="65">
        <v>0</v>
      </c>
      <c r="AR53" s="65">
        <v>0</v>
      </c>
      <c r="AS53" s="65">
        <v>0</v>
      </c>
      <c r="AT53" s="65">
        <v>0</v>
      </c>
    </row>
    <row r="54" spans="2:51" x14ac:dyDescent="0.55000000000000004">
      <c r="B54" s="18" t="s">
        <v>51</v>
      </c>
      <c r="F54" s="41"/>
      <c r="G54" s="45">
        <f>AVERAGE(L54:AT54)</f>
        <v>168.3612</v>
      </c>
      <c r="H54" s="45">
        <f>SUM(L54:AT54)</f>
        <v>1683.6119999999999</v>
      </c>
      <c r="I54" s="45"/>
      <c r="J54" s="45"/>
      <c r="K54" s="45"/>
      <c r="L54" s="45">
        <f>L53*$G$16</f>
        <v>1010.1672</v>
      </c>
      <c r="M54" s="45">
        <f t="shared" ref="M54:U54" si="23">M53*$G$16</f>
        <v>269.37792000000002</v>
      </c>
      <c r="N54" s="45">
        <f t="shared" si="23"/>
        <v>161.62675200000001</v>
      </c>
      <c r="O54" s="45">
        <f t="shared" si="23"/>
        <v>96.976051200000001</v>
      </c>
      <c r="P54" s="45">
        <f t="shared" si="23"/>
        <v>96.976051200000001</v>
      </c>
      <c r="Q54" s="45">
        <f t="shared" si="23"/>
        <v>48.4880256</v>
      </c>
      <c r="R54" s="45">
        <f t="shared" si="23"/>
        <v>0</v>
      </c>
      <c r="S54" s="45">
        <f t="shared" si="23"/>
        <v>0</v>
      </c>
      <c r="T54" s="45">
        <f t="shared" si="23"/>
        <v>0</v>
      </c>
      <c r="U54" s="45">
        <f t="shared" si="23"/>
        <v>0</v>
      </c>
      <c r="W54" s="1"/>
    </row>
    <row r="55" spans="2:51" x14ac:dyDescent="0.55000000000000004">
      <c r="B55" s="14" t="s">
        <v>52</v>
      </c>
      <c r="C55" s="30"/>
      <c r="F55" s="30"/>
      <c r="G55" s="77">
        <f>AVERAGE(L55:AT55)</f>
        <v>216.34614963624142</v>
      </c>
      <c r="H55" s="70">
        <f>SUM(L55:AT55)</f>
        <v>7572.1152372684501</v>
      </c>
      <c r="I55" s="70"/>
      <c r="J55" s="70"/>
      <c r="K55" s="70"/>
      <c r="L55" s="60">
        <f>L50-L54</f>
        <v>-861.47063767359998</v>
      </c>
      <c r="M55" s="60">
        <f t="shared" ref="M55:AT55" si="24">M50-M54</f>
        <v>-112.70411000000001</v>
      </c>
      <c r="N55" s="60">
        <f t="shared" si="24"/>
        <v>6.9604479999999853</v>
      </c>
      <c r="O55" s="60">
        <f t="shared" si="24"/>
        <v>84.357539589250365</v>
      </c>
      <c r="P55" s="60">
        <f t="shared" si="24"/>
        <v>89.043190523562714</v>
      </c>
      <c r="Q55" s="60">
        <f t="shared" si="24"/>
        <v>142.32896610190352</v>
      </c>
      <c r="R55" s="60">
        <f t="shared" si="24"/>
        <v>195.72931689586724</v>
      </c>
      <c r="S55" s="60">
        <f t="shared" si="24"/>
        <v>200.75874050450005</v>
      </c>
      <c r="T55" s="60">
        <f t="shared" si="24"/>
        <v>205.90783333431892</v>
      </c>
      <c r="U55" s="60">
        <f t="shared" si="24"/>
        <v>211.17921437154473</v>
      </c>
      <c r="V55" s="60">
        <f t="shared" si="24"/>
        <v>216.57555134555639</v>
      </c>
      <c r="W55" s="60">
        <f t="shared" si="24"/>
        <v>222.09956128251875</v>
      </c>
      <c r="X55" s="60">
        <f t="shared" si="24"/>
        <v>227.754011048081</v>
      </c>
      <c r="Y55" s="60">
        <f t="shared" si="24"/>
        <v>233.54171787798776</v>
      </c>
      <c r="Z55" s="60">
        <f t="shared" si="24"/>
        <v>239.46554989538211</v>
      </c>
      <c r="AA55" s="60">
        <f t="shared" si="24"/>
        <v>245.52842661351897</v>
      </c>
      <c r="AB55" s="60">
        <f t="shared" si="24"/>
        <v>251.73331942254308</v>
      </c>
      <c r="AC55" s="60">
        <f t="shared" si="24"/>
        <v>258.08325205891543</v>
      </c>
      <c r="AD55" s="60">
        <f t="shared" si="24"/>
        <v>264.58130105600401</v>
      </c>
      <c r="AE55" s="60">
        <f t="shared" si="24"/>
        <v>271.23059617427941</v>
      </c>
      <c r="AF55" s="60">
        <f t="shared" si="24"/>
        <v>278.0343208094796</v>
      </c>
      <c r="AG55" s="60">
        <f t="shared" si="24"/>
        <v>284.99571237702918</v>
      </c>
      <c r="AH55" s="60">
        <f t="shared" si="24"/>
        <v>292.11806267091356</v>
      </c>
      <c r="AI55" s="60">
        <f t="shared" si="24"/>
        <v>299.40471819512197</v>
      </c>
      <c r="AJ55" s="60">
        <f t="shared" si="24"/>
        <v>306.85908046568608</v>
      </c>
      <c r="AK55" s="60">
        <f t="shared" si="24"/>
        <v>314.48460628124167</v>
      </c>
      <c r="AL55" s="60">
        <f t="shared" si="24"/>
        <v>322.28480795994716</v>
      </c>
      <c r="AM55" s="60">
        <f t="shared" si="24"/>
        <v>330.26325354049038</v>
      </c>
      <c r="AN55" s="60">
        <f t="shared" si="24"/>
        <v>338.42356694480611</v>
      </c>
      <c r="AO55" s="60">
        <f t="shared" si="24"/>
        <v>346.76942810002038</v>
      </c>
      <c r="AP55" s="60">
        <f t="shared" si="24"/>
        <v>355.30457301701978</v>
      </c>
      <c r="AQ55" s="60">
        <f t="shared" si="24"/>
        <v>364.03279382292584</v>
      </c>
      <c r="AR55" s="60">
        <f t="shared" si="24"/>
        <v>372.95793874463163</v>
      </c>
      <c r="AS55" s="60">
        <f t="shared" si="24"/>
        <v>382.08391204042272</v>
      </c>
      <c r="AT55" s="60">
        <f t="shared" si="24"/>
        <v>391.41467387657934</v>
      </c>
    </row>
    <row r="56" spans="2:51" x14ac:dyDescent="0.55000000000000004">
      <c r="B56" s="14"/>
      <c r="C56" s="30"/>
      <c r="F56" s="30"/>
      <c r="G56" s="77"/>
      <c r="H56" s="70"/>
      <c r="I56" s="70"/>
      <c r="J56" s="70"/>
      <c r="K56" s="70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</row>
    <row r="57" spans="2:51" x14ac:dyDescent="0.55000000000000004">
      <c r="B57" s="1"/>
      <c r="C57" s="1"/>
      <c r="D57" s="18" t="s">
        <v>53</v>
      </c>
      <c r="G57" s="78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</row>
    <row r="58" spans="2:51" x14ac:dyDescent="0.55000000000000004">
      <c r="B58" s="18" t="s">
        <v>54</v>
      </c>
      <c r="D58" s="79">
        <v>0.35</v>
      </c>
      <c r="L58" s="45">
        <f t="shared" ref="L58:AT58" si="25">-L55*$D$58</f>
        <v>301.51472318575998</v>
      </c>
      <c r="M58" s="45">
        <f t="shared" si="25"/>
        <v>39.446438499999999</v>
      </c>
      <c r="N58" s="45">
        <f t="shared" si="25"/>
        <v>-2.4361567999999947</v>
      </c>
      <c r="O58" s="45">
        <f t="shared" si="25"/>
        <v>-29.525138856237625</v>
      </c>
      <c r="P58" s="45">
        <f t="shared" si="25"/>
        <v>-31.165116683246946</v>
      </c>
      <c r="Q58" s="45">
        <f t="shared" si="25"/>
        <v>-49.815138135666231</v>
      </c>
      <c r="R58" s="45">
        <f t="shared" si="25"/>
        <v>-68.505260913553528</v>
      </c>
      <c r="S58" s="45">
        <f t="shared" si="25"/>
        <v>-70.26555917657501</v>
      </c>
      <c r="T58" s="45">
        <f t="shared" si="25"/>
        <v>-72.067741667011617</v>
      </c>
      <c r="U58" s="45">
        <f t="shared" si="25"/>
        <v>-73.912725030040647</v>
      </c>
      <c r="V58" s="45">
        <f t="shared" si="25"/>
        <v>-75.801442970944734</v>
      </c>
      <c r="W58" s="45">
        <f t="shared" si="25"/>
        <v>-77.734846448881555</v>
      </c>
      <c r="X58" s="45">
        <f t="shared" si="25"/>
        <v>-79.713903866828346</v>
      </c>
      <c r="Y58" s="45">
        <f t="shared" si="25"/>
        <v>-81.739601257295718</v>
      </c>
      <c r="Z58" s="45">
        <f t="shared" si="25"/>
        <v>-83.812942463383735</v>
      </c>
      <c r="AA58" s="45">
        <f t="shared" si="25"/>
        <v>-85.934949314731639</v>
      </c>
      <c r="AB58" s="45">
        <f t="shared" si="25"/>
        <v>-88.106661797890069</v>
      </c>
      <c r="AC58" s="45">
        <f t="shared" si="25"/>
        <v>-90.329138220620393</v>
      </c>
      <c r="AD58" s="45">
        <f t="shared" si="25"/>
        <v>-92.603455369601392</v>
      </c>
      <c r="AE58" s="45">
        <f t="shared" si="25"/>
        <v>-94.930708660997794</v>
      </c>
      <c r="AF58" s="45">
        <f t="shared" si="25"/>
        <v>-97.312012283317856</v>
      </c>
      <c r="AG58" s="45">
        <f t="shared" si="25"/>
        <v>-99.748499331960204</v>
      </c>
      <c r="AH58" s="45">
        <f t="shared" si="25"/>
        <v>-102.24132193481974</v>
      </c>
      <c r="AI58" s="45">
        <f t="shared" si="25"/>
        <v>-104.79165136829269</v>
      </c>
      <c r="AJ58" s="45">
        <f t="shared" si="25"/>
        <v>-107.40067816299012</v>
      </c>
      <c r="AK58" s="45">
        <f t="shared" si="25"/>
        <v>-110.06961219843458</v>
      </c>
      <c r="AL58" s="45">
        <f t="shared" si="25"/>
        <v>-112.7996827859815</v>
      </c>
      <c r="AM58" s="45">
        <f t="shared" si="25"/>
        <v>-115.59213873917163</v>
      </c>
      <c r="AN58" s="45">
        <f t="shared" si="25"/>
        <v>-118.44824843068213</v>
      </c>
      <c r="AO58" s="45">
        <f t="shared" si="25"/>
        <v>-121.36929983500713</v>
      </c>
      <c r="AP58" s="45">
        <f t="shared" si="25"/>
        <v>-124.35660055595692</v>
      </c>
      <c r="AQ58" s="45">
        <f t="shared" si="25"/>
        <v>-127.41147783802404</v>
      </c>
      <c r="AR58" s="45">
        <f t="shared" si="25"/>
        <v>-130.53527856062107</v>
      </c>
      <c r="AS58" s="45">
        <f t="shared" si="25"/>
        <v>-133.72936921414794</v>
      </c>
      <c r="AT58" s="45">
        <f t="shared" si="25"/>
        <v>-136.99513585680276</v>
      </c>
    </row>
    <row r="59" spans="2:51" x14ac:dyDescent="0.55000000000000004">
      <c r="B59" s="1"/>
    </row>
    <row r="60" spans="2:51" x14ac:dyDescent="0.55000000000000004">
      <c r="B60" s="1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</row>
    <row r="61" spans="2:51" x14ac:dyDescent="0.55000000000000004">
      <c r="B61" s="14" t="s">
        <v>55</v>
      </c>
      <c r="C61" s="81"/>
      <c r="D61" s="81"/>
      <c r="E61" s="14"/>
      <c r="F61" s="77"/>
      <c r="G61" s="81"/>
      <c r="H61" s="81"/>
      <c r="J61" s="81"/>
      <c r="K61" s="81"/>
      <c r="L61" s="60">
        <f>L55+L58</f>
        <v>-559.95591448784</v>
      </c>
      <c r="M61" s="60">
        <f>M55+M58</f>
        <v>-73.257671500000015</v>
      </c>
      <c r="N61" s="60">
        <f t="shared" ref="N61:AT61" si="26">N55+N58</f>
        <v>4.5242911999999906</v>
      </c>
      <c r="O61" s="60">
        <f t="shared" si="26"/>
        <v>54.83240073301274</v>
      </c>
      <c r="P61" s="60">
        <f t="shared" si="26"/>
        <v>57.878073840315764</v>
      </c>
      <c r="Q61" s="60">
        <f t="shared" si="26"/>
        <v>92.513827966237287</v>
      </c>
      <c r="R61" s="60">
        <f t="shared" si="26"/>
        <v>127.22405598231371</v>
      </c>
      <c r="S61" s="60">
        <f t="shared" si="26"/>
        <v>130.49318132792504</v>
      </c>
      <c r="T61" s="60">
        <f t="shared" si="26"/>
        <v>133.84009166730732</v>
      </c>
      <c r="U61" s="60">
        <f t="shared" si="26"/>
        <v>137.2664893415041</v>
      </c>
      <c r="V61" s="60">
        <f t="shared" si="26"/>
        <v>140.77410837461167</v>
      </c>
      <c r="W61" s="60">
        <f t="shared" si="26"/>
        <v>144.36471483363721</v>
      </c>
      <c r="X61" s="60">
        <f t="shared" si="26"/>
        <v>148.04010718125267</v>
      </c>
      <c r="Y61" s="60">
        <f t="shared" si="26"/>
        <v>151.80211662069206</v>
      </c>
      <c r="Z61" s="60">
        <f t="shared" si="26"/>
        <v>155.65260743199838</v>
      </c>
      <c r="AA61" s="60">
        <f t="shared" si="26"/>
        <v>159.59347729878732</v>
      </c>
      <c r="AB61" s="60">
        <f t="shared" si="26"/>
        <v>163.62665762465301</v>
      </c>
      <c r="AC61" s="60">
        <f t="shared" si="26"/>
        <v>167.75411383829504</v>
      </c>
      <c r="AD61" s="60">
        <f t="shared" si="26"/>
        <v>171.97784568640262</v>
      </c>
      <c r="AE61" s="60">
        <f t="shared" si="26"/>
        <v>176.29988751328162</v>
      </c>
      <c r="AF61" s="60">
        <f t="shared" si="26"/>
        <v>180.72230852616173</v>
      </c>
      <c r="AG61" s="60">
        <f t="shared" si="26"/>
        <v>185.24721304506897</v>
      </c>
      <c r="AH61" s="60">
        <f t="shared" si="26"/>
        <v>189.87674073609384</v>
      </c>
      <c r="AI61" s="60">
        <f t="shared" si="26"/>
        <v>194.61306682682928</v>
      </c>
      <c r="AJ61" s="60">
        <f t="shared" si="26"/>
        <v>199.45840230269596</v>
      </c>
      <c r="AK61" s="60">
        <f t="shared" si="26"/>
        <v>204.41499408280708</v>
      </c>
      <c r="AL61" s="60">
        <f t="shared" si="26"/>
        <v>209.48512517396566</v>
      </c>
      <c r="AM61" s="60">
        <f t="shared" si="26"/>
        <v>214.67111480131877</v>
      </c>
      <c r="AN61" s="60">
        <f t="shared" si="26"/>
        <v>219.97531851412398</v>
      </c>
      <c r="AO61" s="60">
        <f t="shared" si="26"/>
        <v>225.40012826501325</v>
      </c>
      <c r="AP61" s="60">
        <f t="shared" si="26"/>
        <v>230.94797246106288</v>
      </c>
      <c r="AQ61" s="60">
        <f t="shared" si="26"/>
        <v>236.6213159849018</v>
      </c>
      <c r="AR61" s="60">
        <f t="shared" si="26"/>
        <v>242.42266018401057</v>
      </c>
      <c r="AS61" s="60">
        <f t="shared" si="26"/>
        <v>248.35454282627478</v>
      </c>
      <c r="AT61" s="60">
        <f t="shared" si="26"/>
        <v>254.41953801977658</v>
      </c>
    </row>
    <row r="62" spans="2:51" x14ac:dyDescent="0.55000000000000004">
      <c r="B62" s="14"/>
      <c r="C62" s="81"/>
      <c r="D62" s="81"/>
      <c r="E62" s="14"/>
      <c r="F62" s="77"/>
      <c r="G62" s="81"/>
      <c r="H62" s="81"/>
      <c r="J62" s="81"/>
      <c r="K62" s="81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</row>
    <row r="63" spans="2:51" s="83" customFormat="1" x14ac:dyDescent="0.55000000000000004">
      <c r="B63" s="82"/>
      <c r="J63" s="84"/>
      <c r="K63" s="84">
        <v>41609</v>
      </c>
      <c r="L63" s="84">
        <v>41820</v>
      </c>
      <c r="M63" s="84">
        <f>L63+365</f>
        <v>42185</v>
      </c>
      <c r="N63" s="84">
        <f t="shared" ref="N63:AT63" si="27">M63+365</f>
        <v>42550</v>
      </c>
      <c r="O63" s="84">
        <f t="shared" si="27"/>
        <v>42915</v>
      </c>
      <c r="P63" s="84">
        <f t="shared" si="27"/>
        <v>43280</v>
      </c>
      <c r="Q63" s="84">
        <f t="shared" si="27"/>
        <v>43645</v>
      </c>
      <c r="R63" s="84">
        <f t="shared" si="27"/>
        <v>44010</v>
      </c>
      <c r="S63" s="84">
        <f t="shared" si="27"/>
        <v>44375</v>
      </c>
      <c r="T63" s="84">
        <f t="shared" si="27"/>
        <v>44740</v>
      </c>
      <c r="U63" s="84">
        <f t="shared" si="27"/>
        <v>45105</v>
      </c>
      <c r="V63" s="84">
        <f t="shared" si="27"/>
        <v>45470</v>
      </c>
      <c r="W63" s="84">
        <f t="shared" si="27"/>
        <v>45835</v>
      </c>
      <c r="X63" s="84">
        <f t="shared" si="27"/>
        <v>46200</v>
      </c>
      <c r="Y63" s="84">
        <f t="shared" si="27"/>
        <v>46565</v>
      </c>
      <c r="Z63" s="84">
        <f t="shared" si="27"/>
        <v>46930</v>
      </c>
      <c r="AA63" s="84">
        <f t="shared" si="27"/>
        <v>47295</v>
      </c>
      <c r="AB63" s="84">
        <f t="shared" si="27"/>
        <v>47660</v>
      </c>
      <c r="AC63" s="84">
        <f t="shared" si="27"/>
        <v>48025</v>
      </c>
      <c r="AD63" s="84">
        <f t="shared" si="27"/>
        <v>48390</v>
      </c>
      <c r="AE63" s="84">
        <f t="shared" si="27"/>
        <v>48755</v>
      </c>
      <c r="AF63" s="84">
        <f t="shared" si="27"/>
        <v>49120</v>
      </c>
      <c r="AG63" s="84">
        <f t="shared" si="27"/>
        <v>49485</v>
      </c>
      <c r="AH63" s="84">
        <f t="shared" si="27"/>
        <v>49850</v>
      </c>
      <c r="AI63" s="84">
        <f t="shared" si="27"/>
        <v>50215</v>
      </c>
      <c r="AJ63" s="84">
        <f t="shared" si="27"/>
        <v>50580</v>
      </c>
      <c r="AK63" s="84">
        <f t="shared" si="27"/>
        <v>50945</v>
      </c>
      <c r="AL63" s="84">
        <f t="shared" si="27"/>
        <v>51310</v>
      </c>
      <c r="AM63" s="84">
        <f t="shared" si="27"/>
        <v>51675</v>
      </c>
      <c r="AN63" s="84">
        <f t="shared" si="27"/>
        <v>52040</v>
      </c>
      <c r="AO63" s="84">
        <f t="shared" si="27"/>
        <v>52405</v>
      </c>
      <c r="AP63" s="84">
        <f t="shared" si="27"/>
        <v>52770</v>
      </c>
      <c r="AQ63" s="84">
        <f t="shared" si="27"/>
        <v>53135</v>
      </c>
      <c r="AR63" s="84">
        <f t="shared" si="27"/>
        <v>53500</v>
      </c>
      <c r="AS63" s="84">
        <f t="shared" si="27"/>
        <v>53865</v>
      </c>
      <c r="AT63" s="84">
        <f t="shared" si="27"/>
        <v>54230</v>
      </c>
      <c r="AU63" s="84"/>
    </row>
    <row r="64" spans="2:51" x14ac:dyDescent="0.55000000000000004">
      <c r="B64" s="14" t="s">
        <v>56</v>
      </c>
      <c r="C64" s="81"/>
      <c r="D64" s="81"/>
      <c r="E64" s="14"/>
      <c r="F64" s="77"/>
      <c r="G64" s="81"/>
      <c r="H64" s="81"/>
      <c r="J64" s="81"/>
      <c r="K64" s="81"/>
      <c r="L64" s="60">
        <f>L50</f>
        <v>148.69656232640003</v>
      </c>
      <c r="M64" s="60">
        <f t="shared" ref="M64:AT64" si="28">M50</f>
        <v>156.67381</v>
      </c>
      <c r="N64" s="60">
        <f t="shared" si="28"/>
        <v>168.5872</v>
      </c>
      <c r="O64" s="60">
        <f t="shared" si="28"/>
        <v>181.33359078925037</v>
      </c>
      <c r="P64" s="60">
        <f t="shared" si="28"/>
        <v>186.01924172356271</v>
      </c>
      <c r="Q64" s="60">
        <f t="shared" si="28"/>
        <v>190.81699170190353</v>
      </c>
      <c r="R64" s="60">
        <f t="shared" si="28"/>
        <v>195.72931689586724</v>
      </c>
      <c r="S64" s="60">
        <f t="shared" si="28"/>
        <v>200.75874050450005</v>
      </c>
      <c r="T64" s="60">
        <f t="shared" si="28"/>
        <v>205.90783333431892</v>
      </c>
      <c r="U64" s="60">
        <f t="shared" si="28"/>
        <v>211.17921437154473</v>
      </c>
      <c r="V64" s="60">
        <f t="shared" si="28"/>
        <v>216.57555134555639</v>
      </c>
      <c r="W64" s="60">
        <f t="shared" si="28"/>
        <v>222.09956128251875</v>
      </c>
      <c r="X64" s="60">
        <f t="shared" si="28"/>
        <v>227.754011048081</v>
      </c>
      <c r="Y64" s="60">
        <f t="shared" si="28"/>
        <v>233.54171787798776</v>
      </c>
      <c r="Z64" s="60">
        <f t="shared" si="28"/>
        <v>239.46554989538211</v>
      </c>
      <c r="AA64" s="60">
        <f t="shared" si="28"/>
        <v>245.52842661351897</v>
      </c>
      <c r="AB64" s="60">
        <f t="shared" si="28"/>
        <v>251.73331942254308</v>
      </c>
      <c r="AC64" s="60">
        <f t="shared" si="28"/>
        <v>258.08325205891543</v>
      </c>
      <c r="AD64" s="60">
        <f t="shared" si="28"/>
        <v>264.58130105600401</v>
      </c>
      <c r="AE64" s="60">
        <f t="shared" si="28"/>
        <v>271.23059617427941</v>
      </c>
      <c r="AF64" s="60">
        <f t="shared" si="28"/>
        <v>278.0343208094796</v>
      </c>
      <c r="AG64" s="60">
        <f t="shared" si="28"/>
        <v>284.99571237702918</v>
      </c>
      <c r="AH64" s="60">
        <f t="shared" si="28"/>
        <v>292.11806267091356</v>
      </c>
      <c r="AI64" s="60">
        <f t="shared" si="28"/>
        <v>299.40471819512197</v>
      </c>
      <c r="AJ64" s="60">
        <f t="shared" si="28"/>
        <v>306.85908046568608</v>
      </c>
      <c r="AK64" s="60">
        <f t="shared" si="28"/>
        <v>314.48460628124167</v>
      </c>
      <c r="AL64" s="60">
        <f t="shared" si="28"/>
        <v>322.28480795994716</v>
      </c>
      <c r="AM64" s="60">
        <f t="shared" si="28"/>
        <v>330.26325354049038</v>
      </c>
      <c r="AN64" s="60">
        <f t="shared" si="28"/>
        <v>338.42356694480611</v>
      </c>
      <c r="AO64" s="60">
        <f t="shared" si="28"/>
        <v>346.76942810002038</v>
      </c>
      <c r="AP64" s="60">
        <f t="shared" si="28"/>
        <v>355.30457301701978</v>
      </c>
      <c r="AQ64" s="60">
        <f t="shared" si="28"/>
        <v>364.03279382292584</v>
      </c>
      <c r="AR64" s="60">
        <f t="shared" si="28"/>
        <v>372.95793874463163</v>
      </c>
      <c r="AS64" s="60">
        <f t="shared" si="28"/>
        <v>382.08391204042272</v>
      </c>
      <c r="AT64" s="60">
        <f t="shared" si="28"/>
        <v>391.41467387657934</v>
      </c>
    </row>
    <row r="65" spans="2:46" x14ac:dyDescent="0.55000000000000004">
      <c r="B65" s="18" t="s">
        <v>57</v>
      </c>
      <c r="C65" s="81"/>
      <c r="D65" s="81"/>
      <c r="E65" s="14"/>
      <c r="F65" s="77"/>
      <c r="G65" s="81"/>
      <c r="H65" s="81"/>
      <c r="J65" s="81"/>
      <c r="K65" s="45">
        <f>G13</f>
        <v>-1980.72</v>
      </c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</row>
    <row r="66" spans="2:46" x14ac:dyDescent="0.55000000000000004">
      <c r="B66" s="18" t="s">
        <v>58</v>
      </c>
      <c r="D66" s="1"/>
      <c r="F66" s="48"/>
      <c r="L66" s="45">
        <f>G17</f>
        <v>582.33168000000001</v>
      </c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</row>
    <row r="67" spans="2:46" x14ac:dyDescent="0.55000000000000004">
      <c r="B67" s="18" t="s">
        <v>59</v>
      </c>
      <c r="D67" s="1"/>
      <c r="F67" s="48"/>
      <c r="L67" s="45">
        <f>L58</f>
        <v>301.51472318575998</v>
      </c>
      <c r="M67" s="45">
        <f t="shared" ref="M67:AT67" si="29">M58</f>
        <v>39.446438499999999</v>
      </c>
      <c r="N67" s="45">
        <f t="shared" si="29"/>
        <v>-2.4361567999999947</v>
      </c>
      <c r="O67" s="45">
        <f t="shared" si="29"/>
        <v>-29.525138856237625</v>
      </c>
      <c r="P67" s="45">
        <f t="shared" si="29"/>
        <v>-31.165116683246946</v>
      </c>
      <c r="Q67" s="45">
        <f t="shared" si="29"/>
        <v>-49.815138135666231</v>
      </c>
      <c r="R67" s="45">
        <f t="shared" si="29"/>
        <v>-68.505260913553528</v>
      </c>
      <c r="S67" s="45">
        <f t="shared" si="29"/>
        <v>-70.26555917657501</v>
      </c>
      <c r="T67" s="45">
        <f t="shared" si="29"/>
        <v>-72.067741667011617</v>
      </c>
      <c r="U67" s="45">
        <f t="shared" si="29"/>
        <v>-73.912725030040647</v>
      </c>
      <c r="V67" s="45">
        <f t="shared" si="29"/>
        <v>-75.801442970944734</v>
      </c>
      <c r="W67" s="45">
        <f t="shared" si="29"/>
        <v>-77.734846448881555</v>
      </c>
      <c r="X67" s="45">
        <f t="shared" si="29"/>
        <v>-79.713903866828346</v>
      </c>
      <c r="Y67" s="45">
        <f t="shared" si="29"/>
        <v>-81.739601257295718</v>
      </c>
      <c r="Z67" s="45">
        <f t="shared" si="29"/>
        <v>-83.812942463383735</v>
      </c>
      <c r="AA67" s="45">
        <f t="shared" si="29"/>
        <v>-85.934949314731639</v>
      </c>
      <c r="AB67" s="45">
        <f t="shared" si="29"/>
        <v>-88.106661797890069</v>
      </c>
      <c r="AC67" s="45">
        <f t="shared" si="29"/>
        <v>-90.329138220620393</v>
      </c>
      <c r="AD67" s="45">
        <f t="shared" si="29"/>
        <v>-92.603455369601392</v>
      </c>
      <c r="AE67" s="45">
        <f t="shared" si="29"/>
        <v>-94.930708660997794</v>
      </c>
      <c r="AF67" s="45">
        <f t="shared" si="29"/>
        <v>-97.312012283317856</v>
      </c>
      <c r="AG67" s="45">
        <f t="shared" si="29"/>
        <v>-99.748499331960204</v>
      </c>
      <c r="AH67" s="45">
        <f t="shared" si="29"/>
        <v>-102.24132193481974</v>
      </c>
      <c r="AI67" s="45">
        <f t="shared" si="29"/>
        <v>-104.79165136829269</v>
      </c>
      <c r="AJ67" s="45">
        <f t="shared" si="29"/>
        <v>-107.40067816299012</v>
      </c>
      <c r="AK67" s="45">
        <f t="shared" si="29"/>
        <v>-110.06961219843458</v>
      </c>
      <c r="AL67" s="45">
        <f t="shared" si="29"/>
        <v>-112.7996827859815</v>
      </c>
      <c r="AM67" s="45">
        <f t="shared" si="29"/>
        <v>-115.59213873917163</v>
      </c>
      <c r="AN67" s="45">
        <f t="shared" si="29"/>
        <v>-118.44824843068213</v>
      </c>
      <c r="AO67" s="45">
        <f t="shared" si="29"/>
        <v>-121.36929983500713</v>
      </c>
      <c r="AP67" s="45">
        <f t="shared" si="29"/>
        <v>-124.35660055595692</v>
      </c>
      <c r="AQ67" s="45">
        <f t="shared" si="29"/>
        <v>-127.41147783802404</v>
      </c>
      <c r="AR67" s="45">
        <f t="shared" si="29"/>
        <v>-130.53527856062107</v>
      </c>
      <c r="AS67" s="45">
        <f t="shared" si="29"/>
        <v>-133.72936921414794</v>
      </c>
      <c r="AT67" s="45">
        <f t="shared" si="29"/>
        <v>-136.99513585680276</v>
      </c>
    </row>
    <row r="68" spans="2:46" x14ac:dyDescent="0.55000000000000004">
      <c r="B68" s="18" t="s">
        <v>60</v>
      </c>
      <c r="D68" s="79"/>
      <c r="F68" s="48"/>
    </row>
    <row r="69" spans="2:46" ht="12.9" x14ac:dyDescent="0.55000000000000004">
      <c r="B69" s="14" t="s">
        <v>61</v>
      </c>
      <c r="C69" s="85"/>
      <c r="D69" s="81"/>
      <c r="E69" s="77"/>
      <c r="F69" s="77"/>
      <c r="G69" s="81"/>
      <c r="K69" s="86">
        <f>G13</f>
        <v>-1980.72</v>
      </c>
      <c r="L69" s="86">
        <f t="shared" ref="L69:AT69" si="30">SUM(L64:L67)</f>
        <v>1032.54296551216</v>
      </c>
      <c r="M69" s="86">
        <f t="shared" si="30"/>
        <v>196.1202485</v>
      </c>
      <c r="N69" s="86">
        <f t="shared" si="30"/>
        <v>166.1510432</v>
      </c>
      <c r="O69" s="86">
        <f t="shared" si="30"/>
        <v>151.80845193301275</v>
      </c>
      <c r="P69" s="86">
        <f t="shared" si="30"/>
        <v>154.85412504031578</v>
      </c>
      <c r="Q69" s="86">
        <f t="shared" si="30"/>
        <v>141.00185356623729</v>
      </c>
      <c r="R69" s="86">
        <f t="shared" si="30"/>
        <v>127.22405598231371</v>
      </c>
      <c r="S69" s="86">
        <f t="shared" si="30"/>
        <v>130.49318132792504</v>
      </c>
      <c r="T69" s="86">
        <f t="shared" si="30"/>
        <v>133.84009166730732</v>
      </c>
      <c r="U69" s="86">
        <f t="shared" si="30"/>
        <v>137.2664893415041</v>
      </c>
      <c r="V69" s="86">
        <f t="shared" si="30"/>
        <v>140.77410837461167</v>
      </c>
      <c r="W69" s="86">
        <f t="shared" si="30"/>
        <v>144.36471483363721</v>
      </c>
      <c r="X69" s="86">
        <f t="shared" si="30"/>
        <v>148.04010718125267</v>
      </c>
      <c r="Y69" s="86">
        <f t="shared" si="30"/>
        <v>151.80211662069206</v>
      </c>
      <c r="Z69" s="86">
        <f t="shared" si="30"/>
        <v>155.65260743199838</v>
      </c>
      <c r="AA69" s="86">
        <f t="shared" si="30"/>
        <v>159.59347729878732</v>
      </c>
      <c r="AB69" s="86">
        <f t="shared" si="30"/>
        <v>163.62665762465301</v>
      </c>
      <c r="AC69" s="86">
        <f t="shared" si="30"/>
        <v>167.75411383829504</v>
      </c>
      <c r="AD69" s="86">
        <f t="shared" si="30"/>
        <v>171.97784568640262</v>
      </c>
      <c r="AE69" s="86">
        <f t="shared" si="30"/>
        <v>176.29988751328162</v>
      </c>
      <c r="AF69" s="86">
        <f t="shared" si="30"/>
        <v>180.72230852616173</v>
      </c>
      <c r="AG69" s="86">
        <f t="shared" si="30"/>
        <v>185.24721304506897</v>
      </c>
      <c r="AH69" s="86">
        <f t="shared" si="30"/>
        <v>189.87674073609384</v>
      </c>
      <c r="AI69" s="86">
        <f t="shared" si="30"/>
        <v>194.61306682682928</v>
      </c>
      <c r="AJ69" s="86">
        <f t="shared" si="30"/>
        <v>199.45840230269596</v>
      </c>
      <c r="AK69" s="86">
        <f t="shared" si="30"/>
        <v>204.41499408280708</v>
      </c>
      <c r="AL69" s="86">
        <f t="shared" si="30"/>
        <v>209.48512517396566</v>
      </c>
      <c r="AM69" s="86">
        <f t="shared" si="30"/>
        <v>214.67111480131877</v>
      </c>
      <c r="AN69" s="86">
        <f t="shared" si="30"/>
        <v>219.97531851412398</v>
      </c>
      <c r="AO69" s="86">
        <f t="shared" si="30"/>
        <v>225.40012826501325</v>
      </c>
      <c r="AP69" s="86">
        <f t="shared" si="30"/>
        <v>230.94797246106288</v>
      </c>
      <c r="AQ69" s="86">
        <f t="shared" si="30"/>
        <v>236.6213159849018</v>
      </c>
      <c r="AR69" s="86">
        <f t="shared" si="30"/>
        <v>242.42266018401057</v>
      </c>
      <c r="AS69" s="86">
        <f t="shared" si="30"/>
        <v>248.35454282627478</v>
      </c>
      <c r="AT69" s="86">
        <f t="shared" si="30"/>
        <v>254.41953801977658</v>
      </c>
    </row>
    <row r="70" spans="2:46" x14ac:dyDescent="0.55000000000000004">
      <c r="F70" s="18"/>
      <c r="G70" s="18"/>
      <c r="I70" s="87"/>
      <c r="K70" s="88"/>
      <c r="M70" s="48"/>
    </row>
    <row r="71" spans="2:46" ht="12.9" x14ac:dyDescent="0.55000000000000004">
      <c r="B71" s="89" t="s">
        <v>62</v>
      </c>
      <c r="C71" s="90"/>
      <c r="D71" s="83"/>
      <c r="E71" s="83"/>
      <c r="F71" s="83"/>
      <c r="G71" s="83"/>
      <c r="H71" s="91"/>
      <c r="I71" s="92"/>
      <c r="J71" s="92">
        <f>XIRR(K69:AT69,K63:AT63)</f>
        <v>0.14148582816123959</v>
      </c>
      <c r="K71" s="93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</row>
    <row r="74" spans="2:46" x14ac:dyDescent="0.55000000000000004">
      <c r="B74" s="14" t="s">
        <v>73</v>
      </c>
    </row>
    <row r="75" spans="2:46" ht="12.9" x14ac:dyDescent="0.55000000000000004">
      <c r="F75" s="2" t="s">
        <v>74</v>
      </c>
      <c r="J75" s="92"/>
    </row>
    <row r="77" spans="2:46" x14ac:dyDescent="0.55000000000000004">
      <c r="C77" s="96"/>
      <c r="D77" s="97"/>
      <c r="F77" s="96" t="s">
        <v>75</v>
      </c>
      <c r="G77" s="97">
        <v>6.3500000000000001E-2</v>
      </c>
    </row>
    <row r="78" spans="2:46" x14ac:dyDescent="0.55000000000000004">
      <c r="C78" s="96"/>
      <c r="D78" s="98"/>
      <c r="F78" s="96" t="s">
        <v>76</v>
      </c>
      <c r="G78" s="7">
        <v>1200</v>
      </c>
    </row>
    <row r="79" spans="2:46" x14ac:dyDescent="0.55000000000000004">
      <c r="C79" s="96"/>
      <c r="D79" s="7"/>
      <c r="F79" s="96" t="s">
        <v>77</v>
      </c>
      <c r="G79" s="7">
        <v>15</v>
      </c>
    </row>
    <row r="80" spans="2:46" x14ac:dyDescent="0.55000000000000004">
      <c r="C80" s="96"/>
      <c r="D80" s="98"/>
      <c r="F80" s="96" t="s">
        <v>78</v>
      </c>
      <c r="G80" s="7">
        <f>-PMT(G77,G79,G78)/4-L47/2</f>
        <v>41.635486562257974</v>
      </c>
    </row>
    <row r="81" spans="2:46" x14ac:dyDescent="0.55000000000000004">
      <c r="B81" s="2" t="s">
        <v>79</v>
      </c>
      <c r="K81" s="2">
        <v>1</v>
      </c>
      <c r="L81" s="2">
        <f>K81+1</f>
        <v>2</v>
      </c>
      <c r="M81" s="2">
        <f t="shared" ref="M81:AS81" si="31">L81+1</f>
        <v>3</v>
      </c>
      <c r="N81" s="2">
        <f t="shared" si="31"/>
        <v>4</v>
      </c>
      <c r="O81" s="2">
        <f t="shared" si="31"/>
        <v>5</v>
      </c>
      <c r="P81" s="2">
        <f t="shared" si="31"/>
        <v>6</v>
      </c>
      <c r="Q81" s="2">
        <f t="shared" si="31"/>
        <v>7</v>
      </c>
      <c r="R81" s="2">
        <f t="shared" si="31"/>
        <v>8</v>
      </c>
      <c r="S81" s="2">
        <f t="shared" si="31"/>
        <v>9</v>
      </c>
      <c r="T81" s="2">
        <f t="shared" si="31"/>
        <v>10</v>
      </c>
      <c r="U81" s="2">
        <f t="shared" si="31"/>
        <v>11</v>
      </c>
      <c r="V81" s="2">
        <f t="shared" si="31"/>
        <v>12</v>
      </c>
      <c r="W81" s="2">
        <f t="shared" si="31"/>
        <v>13</v>
      </c>
      <c r="X81" s="2">
        <f t="shared" si="31"/>
        <v>14</v>
      </c>
      <c r="Y81" s="2">
        <f t="shared" si="31"/>
        <v>15</v>
      </c>
      <c r="Z81" s="2">
        <f t="shared" si="31"/>
        <v>16</v>
      </c>
      <c r="AA81" s="2">
        <f t="shared" si="31"/>
        <v>17</v>
      </c>
      <c r="AB81" s="2">
        <f t="shared" si="31"/>
        <v>18</v>
      </c>
      <c r="AC81" s="2">
        <f t="shared" si="31"/>
        <v>19</v>
      </c>
      <c r="AD81" s="2">
        <f t="shared" si="31"/>
        <v>20</v>
      </c>
      <c r="AE81" s="2">
        <f t="shared" si="31"/>
        <v>21</v>
      </c>
      <c r="AF81" s="2">
        <f t="shared" si="31"/>
        <v>22</v>
      </c>
      <c r="AG81" s="2">
        <f t="shared" si="31"/>
        <v>23</v>
      </c>
      <c r="AH81" s="2">
        <f t="shared" si="31"/>
        <v>24</v>
      </c>
      <c r="AI81" s="2">
        <f t="shared" si="31"/>
        <v>25</v>
      </c>
      <c r="AJ81" s="2">
        <f t="shared" si="31"/>
        <v>26</v>
      </c>
      <c r="AK81" s="2">
        <f t="shared" si="31"/>
        <v>27</v>
      </c>
      <c r="AL81" s="2">
        <f t="shared" si="31"/>
        <v>28</v>
      </c>
      <c r="AM81" s="2">
        <f t="shared" si="31"/>
        <v>29</v>
      </c>
      <c r="AN81" s="2">
        <f t="shared" si="31"/>
        <v>30</v>
      </c>
      <c r="AO81" s="2">
        <f t="shared" si="31"/>
        <v>31</v>
      </c>
      <c r="AP81" s="2">
        <f t="shared" si="31"/>
        <v>32</v>
      </c>
      <c r="AQ81" s="2">
        <f t="shared" si="31"/>
        <v>33</v>
      </c>
      <c r="AR81" s="2">
        <f t="shared" si="31"/>
        <v>34</v>
      </c>
      <c r="AS81" s="2">
        <f t="shared" si="31"/>
        <v>35</v>
      </c>
    </row>
    <row r="83" spans="2:46" x14ac:dyDescent="0.55000000000000004">
      <c r="B83" s="2" t="s">
        <v>80</v>
      </c>
      <c r="K83" s="11">
        <f>J86</f>
        <v>0</v>
      </c>
      <c r="L83" s="11">
        <f t="shared" ref="L83:AS83" si="32">K86</f>
        <v>1200</v>
      </c>
      <c r="M83" s="11">
        <f t="shared" si="32"/>
        <v>1167.9000000000001</v>
      </c>
      <c r="N83" s="11">
        <f t="shared" si="32"/>
        <v>1132.2</v>
      </c>
      <c r="O83" s="11">
        <f t="shared" si="32"/>
        <v>1091.4000000000001</v>
      </c>
      <c r="P83" s="11">
        <f t="shared" si="32"/>
        <v>1044.9000000000001</v>
      </c>
      <c r="Q83" s="11">
        <f t="shared" si="32"/>
        <v>992.10000000000014</v>
      </c>
      <c r="R83" s="11">
        <f t="shared" si="32"/>
        <v>932.70000000000016</v>
      </c>
      <c r="S83" s="11">
        <f t="shared" si="32"/>
        <v>866.4000000000002</v>
      </c>
      <c r="T83" s="11">
        <f t="shared" si="32"/>
        <v>792.00000000000023</v>
      </c>
      <c r="U83" s="11">
        <f t="shared" si="32"/>
        <v>709.50000000000023</v>
      </c>
      <c r="V83" s="11">
        <f t="shared" si="32"/>
        <v>618.00000000000023</v>
      </c>
      <c r="W83" s="11">
        <f t="shared" si="32"/>
        <v>509.13238000074563</v>
      </c>
      <c r="X83" s="11">
        <f t="shared" si="32"/>
        <v>393.35166613153837</v>
      </c>
      <c r="Y83" s="11">
        <f t="shared" si="32"/>
        <v>270.21887693163649</v>
      </c>
      <c r="Z83" s="11">
        <f t="shared" si="32"/>
        <v>139.26715561754079</v>
      </c>
      <c r="AA83" s="11">
        <f t="shared" si="32"/>
        <v>0</v>
      </c>
      <c r="AB83" s="11">
        <f t="shared" si="32"/>
        <v>0</v>
      </c>
      <c r="AC83" s="11">
        <f t="shared" si="32"/>
        <v>0</v>
      </c>
      <c r="AD83" s="11">
        <f t="shared" si="32"/>
        <v>0</v>
      </c>
      <c r="AE83" s="11">
        <f t="shared" si="32"/>
        <v>0</v>
      </c>
      <c r="AF83" s="11">
        <f t="shared" si="32"/>
        <v>0</v>
      </c>
      <c r="AG83" s="11">
        <f t="shared" si="32"/>
        <v>0</v>
      </c>
      <c r="AH83" s="11">
        <f t="shared" si="32"/>
        <v>0</v>
      </c>
      <c r="AI83" s="11">
        <f t="shared" si="32"/>
        <v>0</v>
      </c>
      <c r="AJ83" s="11">
        <f t="shared" si="32"/>
        <v>0</v>
      </c>
      <c r="AK83" s="11">
        <f t="shared" si="32"/>
        <v>0</v>
      </c>
      <c r="AL83" s="11">
        <f t="shared" si="32"/>
        <v>0</v>
      </c>
      <c r="AM83" s="11">
        <f t="shared" si="32"/>
        <v>0</v>
      </c>
      <c r="AN83" s="11">
        <f t="shared" si="32"/>
        <v>0</v>
      </c>
      <c r="AO83" s="11">
        <f t="shared" si="32"/>
        <v>0</v>
      </c>
      <c r="AP83" s="11">
        <f t="shared" si="32"/>
        <v>0</v>
      </c>
      <c r="AQ83" s="11">
        <f t="shared" si="32"/>
        <v>0</v>
      </c>
      <c r="AR83" s="11">
        <f t="shared" si="32"/>
        <v>0</v>
      </c>
      <c r="AS83" s="11">
        <f t="shared" si="32"/>
        <v>0</v>
      </c>
    </row>
    <row r="84" spans="2:46" x14ac:dyDescent="0.55000000000000004">
      <c r="B84" s="2" t="s">
        <v>81</v>
      </c>
      <c r="K84" s="11">
        <f>G78</f>
        <v>1200</v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</row>
    <row r="85" spans="2:46" x14ac:dyDescent="0.55000000000000004">
      <c r="B85" s="2" t="s">
        <v>82</v>
      </c>
      <c r="K85" s="11"/>
      <c r="L85" s="11">
        <v>-32.1</v>
      </c>
      <c r="M85" s="11">
        <v>-35.700000000000003</v>
      </c>
      <c r="N85" s="11">
        <v>-40.799999999999997</v>
      </c>
      <c r="O85" s="11">
        <v>-46.5</v>
      </c>
      <c r="P85" s="11">
        <v>-52.8</v>
      </c>
      <c r="Q85" s="11">
        <v>-59.4</v>
      </c>
      <c r="R85" s="11">
        <v>-66.3</v>
      </c>
      <c r="S85" s="11">
        <v>-74.400000000000006</v>
      </c>
      <c r="T85" s="11">
        <v>-82.5</v>
      </c>
      <c r="U85" s="11">
        <v>-91.5</v>
      </c>
      <c r="V85" s="11">
        <f>IFERROR(PPMT($G$77,U$81-10,$G$79-10,$V$83),)</f>
        <v>-108.8676199992546</v>
      </c>
      <c r="W85" s="11">
        <f t="shared" ref="W85:AB85" si="33">IFERROR(PPMT($G$77,V$81-10,$G$79-10,$V$83),)</f>
        <v>-115.78071386920726</v>
      </c>
      <c r="X85" s="11">
        <f t="shared" si="33"/>
        <v>-123.13278919990191</v>
      </c>
      <c r="Y85" s="11">
        <f t="shared" si="33"/>
        <v>-130.95172131409569</v>
      </c>
      <c r="Z85" s="11">
        <f t="shared" si="33"/>
        <v>-139.26715561754074</v>
      </c>
      <c r="AA85" s="11">
        <f t="shared" si="33"/>
        <v>0</v>
      </c>
      <c r="AB85" s="11">
        <f t="shared" si="33"/>
        <v>0</v>
      </c>
      <c r="AC85" s="11">
        <f t="shared" ref="AC85:AS85" si="34">IFERROR(PPMT($G$77,AB$81,$G$79,$G$78),)</f>
        <v>0</v>
      </c>
      <c r="AD85" s="11">
        <f t="shared" si="34"/>
        <v>0</v>
      </c>
      <c r="AE85" s="11">
        <f t="shared" si="34"/>
        <v>0</v>
      </c>
      <c r="AF85" s="11">
        <f t="shared" si="34"/>
        <v>0</v>
      </c>
      <c r="AG85" s="11">
        <f t="shared" si="34"/>
        <v>0</v>
      </c>
      <c r="AH85" s="11">
        <f t="shared" si="34"/>
        <v>0</v>
      </c>
      <c r="AI85" s="11">
        <f t="shared" si="34"/>
        <v>0</v>
      </c>
      <c r="AJ85" s="11">
        <f t="shared" si="34"/>
        <v>0</v>
      </c>
      <c r="AK85" s="11">
        <f t="shared" si="34"/>
        <v>0</v>
      </c>
      <c r="AL85" s="11">
        <f t="shared" si="34"/>
        <v>0</v>
      </c>
      <c r="AM85" s="11">
        <f t="shared" si="34"/>
        <v>0</v>
      </c>
      <c r="AN85" s="11">
        <f t="shared" si="34"/>
        <v>0</v>
      </c>
      <c r="AO85" s="11">
        <f t="shared" si="34"/>
        <v>0</v>
      </c>
      <c r="AP85" s="11">
        <f t="shared" si="34"/>
        <v>0</v>
      </c>
      <c r="AQ85" s="11">
        <f t="shared" si="34"/>
        <v>0</v>
      </c>
      <c r="AR85" s="11">
        <f t="shared" si="34"/>
        <v>0</v>
      </c>
      <c r="AS85" s="11">
        <f t="shared" si="34"/>
        <v>0</v>
      </c>
    </row>
    <row r="86" spans="2:46" x14ac:dyDescent="0.55000000000000004">
      <c r="B86" s="2" t="s">
        <v>83</v>
      </c>
      <c r="K86" s="11">
        <f>SUM(K83:K85)</f>
        <v>1200</v>
      </c>
      <c r="L86" s="11">
        <f t="shared" ref="L86:AS86" si="35">SUM(L83:L85)</f>
        <v>1167.9000000000001</v>
      </c>
      <c r="M86" s="11">
        <f t="shared" si="35"/>
        <v>1132.2</v>
      </c>
      <c r="N86" s="11">
        <f t="shared" si="35"/>
        <v>1091.4000000000001</v>
      </c>
      <c r="O86" s="11">
        <f t="shared" si="35"/>
        <v>1044.9000000000001</v>
      </c>
      <c r="P86" s="11">
        <f t="shared" si="35"/>
        <v>992.10000000000014</v>
      </c>
      <c r="Q86" s="11">
        <f t="shared" si="35"/>
        <v>932.70000000000016</v>
      </c>
      <c r="R86" s="11">
        <f t="shared" si="35"/>
        <v>866.4000000000002</v>
      </c>
      <c r="S86" s="11">
        <f t="shared" si="35"/>
        <v>792.00000000000023</v>
      </c>
      <c r="T86" s="11">
        <f t="shared" si="35"/>
        <v>709.50000000000023</v>
      </c>
      <c r="U86" s="11">
        <f t="shared" si="35"/>
        <v>618.00000000000023</v>
      </c>
      <c r="V86" s="11">
        <f t="shared" si="35"/>
        <v>509.13238000074563</v>
      </c>
      <c r="W86" s="11">
        <f t="shared" si="35"/>
        <v>393.35166613153837</v>
      </c>
      <c r="X86" s="11">
        <f t="shared" si="35"/>
        <v>270.21887693163649</v>
      </c>
      <c r="Y86" s="11">
        <f t="shared" si="35"/>
        <v>139.26715561754079</v>
      </c>
      <c r="Z86" s="11">
        <f t="shared" si="35"/>
        <v>0</v>
      </c>
      <c r="AA86" s="11">
        <f t="shared" si="35"/>
        <v>0</v>
      </c>
      <c r="AB86" s="11">
        <f t="shared" si="35"/>
        <v>0</v>
      </c>
      <c r="AC86" s="11">
        <f t="shared" si="35"/>
        <v>0</v>
      </c>
      <c r="AD86" s="11">
        <f t="shared" si="35"/>
        <v>0</v>
      </c>
      <c r="AE86" s="11">
        <f t="shared" si="35"/>
        <v>0</v>
      </c>
      <c r="AF86" s="11">
        <f t="shared" si="35"/>
        <v>0</v>
      </c>
      <c r="AG86" s="11">
        <f t="shared" si="35"/>
        <v>0</v>
      </c>
      <c r="AH86" s="11">
        <f t="shared" si="35"/>
        <v>0</v>
      </c>
      <c r="AI86" s="11">
        <f t="shared" si="35"/>
        <v>0</v>
      </c>
      <c r="AJ86" s="11">
        <f t="shared" si="35"/>
        <v>0</v>
      </c>
      <c r="AK86" s="11">
        <f t="shared" si="35"/>
        <v>0</v>
      </c>
      <c r="AL86" s="11">
        <f t="shared" si="35"/>
        <v>0</v>
      </c>
      <c r="AM86" s="11">
        <f t="shared" si="35"/>
        <v>0</v>
      </c>
      <c r="AN86" s="11">
        <f t="shared" si="35"/>
        <v>0</v>
      </c>
      <c r="AO86" s="11">
        <f t="shared" si="35"/>
        <v>0</v>
      </c>
      <c r="AP86" s="11">
        <f t="shared" si="35"/>
        <v>0</v>
      </c>
      <c r="AQ86" s="11">
        <f t="shared" si="35"/>
        <v>0</v>
      </c>
      <c r="AR86" s="11">
        <f t="shared" si="35"/>
        <v>0</v>
      </c>
      <c r="AS86" s="11">
        <f t="shared" si="35"/>
        <v>0</v>
      </c>
    </row>
    <row r="88" spans="2:46" x14ac:dyDescent="0.55000000000000004">
      <c r="B88" s="2" t="s">
        <v>84</v>
      </c>
      <c r="K88" s="11"/>
      <c r="L88" s="11">
        <f>-AVERAGE(L83,L86)*$G$77</f>
        <v>-75.180824999999999</v>
      </c>
      <c r="M88" s="11">
        <f t="shared" ref="M88:AS88" si="36">-AVERAGE(M83,M86)*$G$77</f>
        <v>-73.028175000000019</v>
      </c>
      <c r="N88" s="11">
        <f t="shared" si="36"/>
        <v>-70.599300000000014</v>
      </c>
      <c r="O88" s="11">
        <f t="shared" si="36"/>
        <v>-67.827525000000009</v>
      </c>
      <c r="P88" s="11">
        <f t="shared" si="36"/>
        <v>-64.674750000000003</v>
      </c>
      <c r="Q88" s="11">
        <f t="shared" si="36"/>
        <v>-61.112400000000008</v>
      </c>
      <c r="R88" s="11">
        <f t="shared" si="36"/>
        <v>-57.121425000000009</v>
      </c>
      <c r="S88" s="11">
        <f t="shared" si="36"/>
        <v>-52.654200000000017</v>
      </c>
      <c r="T88" s="11">
        <f t="shared" si="36"/>
        <v>-47.672625000000018</v>
      </c>
      <c r="U88" s="11">
        <f t="shared" si="36"/>
        <v>-42.148125000000014</v>
      </c>
      <c r="V88" s="11">
        <f t="shared" si="36"/>
        <v>-35.786453065023679</v>
      </c>
      <c r="W88" s="11">
        <f t="shared" si="36"/>
        <v>-28.653868464700018</v>
      </c>
      <c r="X88" s="11">
        <f t="shared" si="36"/>
        <v>-21.068364742255802</v>
      </c>
      <c r="Y88" s="11">
        <f t="shared" si="36"/>
        <v>-13.001181533436379</v>
      </c>
      <c r="Z88" s="11">
        <f t="shared" si="36"/>
        <v>-4.42173219085692</v>
      </c>
      <c r="AA88" s="11">
        <f t="shared" si="36"/>
        <v>0</v>
      </c>
      <c r="AB88" s="11">
        <f t="shared" si="36"/>
        <v>0</v>
      </c>
      <c r="AC88" s="11">
        <f t="shared" si="36"/>
        <v>0</v>
      </c>
      <c r="AD88" s="11">
        <f t="shared" si="36"/>
        <v>0</v>
      </c>
      <c r="AE88" s="11">
        <f t="shared" si="36"/>
        <v>0</v>
      </c>
      <c r="AF88" s="11">
        <f t="shared" si="36"/>
        <v>0</v>
      </c>
      <c r="AG88" s="11">
        <f t="shared" si="36"/>
        <v>0</v>
      </c>
      <c r="AH88" s="11">
        <f t="shared" si="36"/>
        <v>0</v>
      </c>
      <c r="AI88" s="11">
        <f t="shared" si="36"/>
        <v>0</v>
      </c>
      <c r="AJ88" s="11">
        <f t="shared" si="36"/>
        <v>0</v>
      </c>
      <c r="AK88" s="11">
        <f t="shared" si="36"/>
        <v>0</v>
      </c>
      <c r="AL88" s="11">
        <f t="shared" si="36"/>
        <v>0</v>
      </c>
      <c r="AM88" s="11">
        <f t="shared" si="36"/>
        <v>0</v>
      </c>
      <c r="AN88" s="11">
        <f t="shared" si="36"/>
        <v>0</v>
      </c>
      <c r="AO88" s="11">
        <f t="shared" si="36"/>
        <v>0</v>
      </c>
      <c r="AP88" s="11">
        <f t="shared" si="36"/>
        <v>0</v>
      </c>
      <c r="AQ88" s="11">
        <f t="shared" si="36"/>
        <v>0</v>
      </c>
      <c r="AR88" s="11">
        <f t="shared" si="36"/>
        <v>0</v>
      </c>
      <c r="AS88" s="11">
        <f t="shared" si="36"/>
        <v>0</v>
      </c>
    </row>
    <row r="89" spans="2:46" x14ac:dyDescent="0.55000000000000004">
      <c r="B89" s="2" t="s">
        <v>78</v>
      </c>
      <c r="K89" s="11">
        <f>-G80</f>
        <v>-41.635486562257974</v>
      </c>
      <c r="L89" s="11">
        <f>IF(L81=$G$79+1,-$K89,)</f>
        <v>0</v>
      </c>
      <c r="M89" s="11">
        <f t="shared" ref="M89:AS89" si="37">IF(M81=$G$79+1,-$K89,)</f>
        <v>0</v>
      </c>
      <c r="N89" s="11">
        <f t="shared" si="37"/>
        <v>0</v>
      </c>
      <c r="O89" s="11">
        <f t="shared" si="37"/>
        <v>0</v>
      </c>
      <c r="P89" s="11">
        <f t="shared" si="37"/>
        <v>0</v>
      </c>
      <c r="Q89" s="11">
        <f t="shared" si="37"/>
        <v>0</v>
      </c>
      <c r="R89" s="11">
        <f t="shared" si="37"/>
        <v>0</v>
      </c>
      <c r="S89" s="11">
        <f t="shared" si="37"/>
        <v>0</v>
      </c>
      <c r="T89" s="11">
        <f t="shared" si="37"/>
        <v>0</v>
      </c>
      <c r="U89" s="11">
        <f t="shared" si="37"/>
        <v>0</v>
      </c>
      <c r="V89" s="11">
        <f t="shared" si="37"/>
        <v>0</v>
      </c>
      <c r="W89" s="11">
        <f t="shared" si="37"/>
        <v>0</v>
      </c>
      <c r="X89" s="11">
        <f t="shared" si="37"/>
        <v>0</v>
      </c>
      <c r="Y89" s="11">
        <f t="shared" si="37"/>
        <v>0</v>
      </c>
      <c r="Z89" s="11">
        <f t="shared" si="37"/>
        <v>41.635486562257974</v>
      </c>
      <c r="AA89" s="11">
        <f t="shared" si="37"/>
        <v>0</v>
      </c>
      <c r="AB89" s="11">
        <f t="shared" si="37"/>
        <v>0</v>
      </c>
      <c r="AC89" s="11">
        <f t="shared" si="37"/>
        <v>0</v>
      </c>
      <c r="AD89" s="11">
        <f t="shared" si="37"/>
        <v>0</v>
      </c>
      <c r="AE89" s="11">
        <f t="shared" si="37"/>
        <v>0</v>
      </c>
      <c r="AF89" s="11">
        <f t="shared" si="37"/>
        <v>0</v>
      </c>
      <c r="AG89" s="11">
        <f t="shared" si="37"/>
        <v>0</v>
      </c>
      <c r="AH89" s="11">
        <f t="shared" si="37"/>
        <v>0</v>
      </c>
      <c r="AI89" s="11">
        <f t="shared" si="37"/>
        <v>0</v>
      </c>
      <c r="AJ89" s="11">
        <f t="shared" si="37"/>
        <v>0</v>
      </c>
      <c r="AK89" s="11">
        <f t="shared" si="37"/>
        <v>0</v>
      </c>
      <c r="AL89" s="11">
        <f t="shared" si="37"/>
        <v>0</v>
      </c>
      <c r="AM89" s="11">
        <f t="shared" si="37"/>
        <v>0</v>
      </c>
      <c r="AN89" s="11">
        <f t="shared" si="37"/>
        <v>0</v>
      </c>
      <c r="AO89" s="11">
        <f t="shared" si="37"/>
        <v>0</v>
      </c>
      <c r="AP89" s="11">
        <f t="shared" si="37"/>
        <v>0</v>
      </c>
      <c r="AQ89" s="11">
        <f t="shared" si="37"/>
        <v>0</v>
      </c>
      <c r="AR89" s="11">
        <f t="shared" si="37"/>
        <v>0</v>
      </c>
      <c r="AS89" s="11">
        <f t="shared" si="37"/>
        <v>0</v>
      </c>
    </row>
    <row r="90" spans="2:46" x14ac:dyDescent="0.55000000000000004"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2:46" x14ac:dyDescent="0.55000000000000004">
      <c r="B91" s="2" t="s">
        <v>57</v>
      </c>
      <c r="K91" s="11">
        <f>K69+K84+K89</f>
        <v>-822.35548656225797</v>
      </c>
    </row>
    <row r="92" spans="2:46" x14ac:dyDescent="0.55000000000000004">
      <c r="B92" s="2" t="s">
        <v>85</v>
      </c>
      <c r="L92" s="11">
        <f>L50+SUM(L84:L85,L88)+L89</f>
        <v>41.415737326400034</v>
      </c>
      <c r="M92" s="11">
        <f t="shared" ref="M92:AT92" si="38">M50+SUM(M84:M85,M88)+M89</f>
        <v>47.945634999999982</v>
      </c>
      <c r="N92" s="11">
        <f t="shared" si="38"/>
        <v>57.187899999999985</v>
      </c>
      <c r="O92" s="11">
        <f t="shared" si="38"/>
        <v>67.006065789250357</v>
      </c>
      <c r="P92" s="11">
        <f t="shared" si="38"/>
        <v>68.544491723562714</v>
      </c>
      <c r="Q92" s="11">
        <f t="shared" si="38"/>
        <v>70.304591701903519</v>
      </c>
      <c r="R92" s="11">
        <f t="shared" si="38"/>
        <v>72.307891895867243</v>
      </c>
      <c r="S92" s="11">
        <f t="shared" si="38"/>
        <v>73.704540504500031</v>
      </c>
      <c r="T92" s="11">
        <f t="shared" si="38"/>
        <v>75.735208334318912</v>
      </c>
      <c r="U92" s="11">
        <f t="shared" si="38"/>
        <v>77.531089371544709</v>
      </c>
      <c r="V92" s="11">
        <f t="shared" si="38"/>
        <v>71.921478281278098</v>
      </c>
      <c r="W92" s="11">
        <f t="shared" si="38"/>
        <v>77.664978948611463</v>
      </c>
      <c r="X92" s="11">
        <f t="shared" si="38"/>
        <v>83.552857105923295</v>
      </c>
      <c r="Y92" s="11">
        <f t="shared" si="38"/>
        <v>89.588815030455692</v>
      </c>
      <c r="Z92" s="11">
        <f t="shared" si="38"/>
        <v>137.41214864924243</v>
      </c>
      <c r="AA92" s="11">
        <f t="shared" si="38"/>
        <v>245.52842661351897</v>
      </c>
      <c r="AB92" s="11">
        <f t="shared" si="38"/>
        <v>251.73331942254308</v>
      </c>
      <c r="AC92" s="11">
        <f t="shared" si="38"/>
        <v>258.08325205891543</v>
      </c>
      <c r="AD92" s="11">
        <f t="shared" si="38"/>
        <v>264.58130105600401</v>
      </c>
      <c r="AE92" s="11">
        <f t="shared" si="38"/>
        <v>271.23059617427941</v>
      </c>
      <c r="AF92" s="11">
        <f t="shared" si="38"/>
        <v>278.0343208094796</v>
      </c>
      <c r="AG92" s="11">
        <f t="shared" si="38"/>
        <v>284.99571237702918</v>
      </c>
      <c r="AH92" s="11">
        <f t="shared" si="38"/>
        <v>292.11806267091356</v>
      </c>
      <c r="AI92" s="11">
        <f t="shared" si="38"/>
        <v>299.40471819512197</v>
      </c>
      <c r="AJ92" s="11">
        <f t="shared" si="38"/>
        <v>306.85908046568608</v>
      </c>
      <c r="AK92" s="11">
        <f t="shared" si="38"/>
        <v>314.48460628124167</v>
      </c>
      <c r="AL92" s="11">
        <f t="shared" si="38"/>
        <v>322.28480795994716</v>
      </c>
      <c r="AM92" s="11">
        <f t="shared" si="38"/>
        <v>330.26325354049038</v>
      </c>
      <c r="AN92" s="11">
        <f t="shared" si="38"/>
        <v>338.42356694480611</v>
      </c>
      <c r="AO92" s="11">
        <f t="shared" si="38"/>
        <v>346.76942810002038</v>
      </c>
      <c r="AP92" s="11">
        <f t="shared" si="38"/>
        <v>355.30457301701978</v>
      </c>
      <c r="AQ92" s="11">
        <f t="shared" si="38"/>
        <v>364.03279382292584</v>
      </c>
      <c r="AR92" s="11">
        <f t="shared" si="38"/>
        <v>372.95793874463163</v>
      </c>
      <c r="AS92" s="11">
        <f t="shared" si="38"/>
        <v>382.08391204042272</v>
      </c>
      <c r="AT92" s="11">
        <f t="shared" si="38"/>
        <v>391.41467387657934</v>
      </c>
    </row>
    <row r="93" spans="2:46" x14ac:dyDescent="0.55000000000000004">
      <c r="B93" s="2" t="s">
        <v>86</v>
      </c>
      <c r="L93" s="11">
        <f t="shared" ref="L93:AT93" si="39">L67-(35%*(L88))</f>
        <v>327.82801193575995</v>
      </c>
      <c r="M93" s="11">
        <f t="shared" si="39"/>
        <v>65.006299750000011</v>
      </c>
      <c r="N93" s="11">
        <f t="shared" si="39"/>
        <v>22.273598200000009</v>
      </c>
      <c r="O93" s="11">
        <f t="shared" si="39"/>
        <v>-5.7855051062376219</v>
      </c>
      <c r="P93" s="11">
        <f t="shared" si="39"/>
        <v>-8.5289541832469453</v>
      </c>
      <c r="Q93" s="11">
        <f t="shared" si="39"/>
        <v>-28.425798135666231</v>
      </c>
      <c r="R93" s="11">
        <f t="shared" si="39"/>
        <v>-48.512762163553525</v>
      </c>
      <c r="S93" s="11">
        <f t="shared" si="39"/>
        <v>-51.836589176575004</v>
      </c>
      <c r="T93" s="11">
        <f t="shared" si="39"/>
        <v>-55.382322917011614</v>
      </c>
      <c r="U93" s="11">
        <f t="shared" si="39"/>
        <v>-59.160881280040641</v>
      </c>
      <c r="V93" s="11">
        <f t="shared" si="39"/>
        <v>-63.276184398186444</v>
      </c>
      <c r="W93" s="11">
        <f t="shared" si="39"/>
        <v>-67.705992486236553</v>
      </c>
      <c r="X93" s="11">
        <f t="shared" si="39"/>
        <v>-72.339976207038816</v>
      </c>
      <c r="Y93" s="11">
        <f t="shared" si="39"/>
        <v>-77.189187720592983</v>
      </c>
      <c r="Z93" s="11">
        <f t="shared" si="39"/>
        <v>-82.265336196583817</v>
      </c>
      <c r="AA93" s="11">
        <f t="shared" si="39"/>
        <v>-85.934949314731639</v>
      </c>
      <c r="AB93" s="11">
        <f t="shared" si="39"/>
        <v>-88.106661797890069</v>
      </c>
      <c r="AC93" s="11">
        <f t="shared" si="39"/>
        <v>-90.329138220620393</v>
      </c>
      <c r="AD93" s="11">
        <f t="shared" si="39"/>
        <v>-92.603455369601392</v>
      </c>
      <c r="AE93" s="11">
        <f t="shared" si="39"/>
        <v>-94.930708660997794</v>
      </c>
      <c r="AF93" s="11">
        <f t="shared" si="39"/>
        <v>-97.312012283317856</v>
      </c>
      <c r="AG93" s="11">
        <f t="shared" si="39"/>
        <v>-99.748499331960204</v>
      </c>
      <c r="AH93" s="11">
        <f t="shared" si="39"/>
        <v>-102.24132193481974</v>
      </c>
      <c r="AI93" s="11">
        <f t="shared" si="39"/>
        <v>-104.79165136829269</v>
      </c>
      <c r="AJ93" s="11">
        <f t="shared" si="39"/>
        <v>-107.40067816299012</v>
      </c>
      <c r="AK93" s="11">
        <f t="shared" si="39"/>
        <v>-110.06961219843458</v>
      </c>
      <c r="AL93" s="11">
        <f t="shared" si="39"/>
        <v>-112.7996827859815</v>
      </c>
      <c r="AM93" s="11">
        <f t="shared" si="39"/>
        <v>-115.59213873917163</v>
      </c>
      <c r="AN93" s="11">
        <f t="shared" si="39"/>
        <v>-118.44824843068213</v>
      </c>
      <c r="AO93" s="11">
        <f t="shared" si="39"/>
        <v>-121.36929983500713</v>
      </c>
      <c r="AP93" s="11">
        <f t="shared" si="39"/>
        <v>-124.35660055595692</v>
      </c>
      <c r="AQ93" s="11">
        <f t="shared" si="39"/>
        <v>-127.41147783802404</v>
      </c>
      <c r="AR93" s="11">
        <f t="shared" si="39"/>
        <v>-130.53527856062107</v>
      </c>
      <c r="AS93" s="11">
        <f t="shared" si="39"/>
        <v>-133.72936921414794</v>
      </c>
      <c r="AT93" s="11">
        <f t="shared" si="39"/>
        <v>-136.99513585680276</v>
      </c>
    </row>
    <row r="94" spans="2:46" x14ac:dyDescent="0.55000000000000004">
      <c r="B94" s="2" t="s">
        <v>58</v>
      </c>
      <c r="L94" s="11">
        <f>L66</f>
        <v>582.33168000000001</v>
      </c>
    </row>
    <row r="95" spans="2:46" ht="12.9" x14ac:dyDescent="0.55000000000000004">
      <c r="B95" s="81" t="s">
        <v>87</v>
      </c>
      <c r="K95" s="86">
        <f>SUM(K91:K94)</f>
        <v>-822.35548656225797</v>
      </c>
      <c r="L95" s="86">
        <f t="shared" ref="L95:AT95" si="40">SUM(L91:L94)</f>
        <v>951.57542926216001</v>
      </c>
      <c r="M95" s="86">
        <f t="shared" si="40"/>
        <v>112.95193474999999</v>
      </c>
      <c r="N95" s="86">
        <f t="shared" si="40"/>
        <v>79.461498199999994</v>
      </c>
      <c r="O95" s="86">
        <f t="shared" si="40"/>
        <v>61.220560683012735</v>
      </c>
      <c r="P95" s="86">
        <f t="shared" si="40"/>
        <v>60.015537540315769</v>
      </c>
      <c r="Q95" s="86">
        <f t="shared" si="40"/>
        <v>41.878793566237292</v>
      </c>
      <c r="R95" s="86">
        <f t="shared" si="40"/>
        <v>23.795129732313718</v>
      </c>
      <c r="S95" s="86">
        <f t="shared" si="40"/>
        <v>21.867951327925027</v>
      </c>
      <c r="T95" s="86">
        <f t="shared" si="40"/>
        <v>20.352885417307299</v>
      </c>
      <c r="U95" s="86">
        <f t="shared" si="40"/>
        <v>18.370208091504068</v>
      </c>
      <c r="V95" s="86">
        <f t="shared" si="40"/>
        <v>8.6452938830916537</v>
      </c>
      <c r="W95" s="86">
        <f t="shared" si="40"/>
        <v>9.9589864623749094</v>
      </c>
      <c r="X95" s="86">
        <f t="shared" si="40"/>
        <v>11.212880898884478</v>
      </c>
      <c r="Y95" s="86">
        <f t="shared" si="40"/>
        <v>12.399627309862709</v>
      </c>
      <c r="Z95" s="86">
        <f t="shared" si="40"/>
        <v>55.146812452658608</v>
      </c>
      <c r="AA95" s="86">
        <f t="shared" si="40"/>
        <v>159.59347729878732</v>
      </c>
      <c r="AB95" s="86">
        <f t="shared" si="40"/>
        <v>163.62665762465301</v>
      </c>
      <c r="AC95" s="86">
        <f t="shared" si="40"/>
        <v>167.75411383829504</v>
      </c>
      <c r="AD95" s="86">
        <f t="shared" si="40"/>
        <v>171.97784568640262</v>
      </c>
      <c r="AE95" s="86">
        <f t="shared" si="40"/>
        <v>176.29988751328162</v>
      </c>
      <c r="AF95" s="86">
        <f t="shared" si="40"/>
        <v>180.72230852616173</v>
      </c>
      <c r="AG95" s="86">
        <f t="shared" si="40"/>
        <v>185.24721304506897</v>
      </c>
      <c r="AH95" s="86">
        <f t="shared" si="40"/>
        <v>189.87674073609384</v>
      </c>
      <c r="AI95" s="86">
        <f t="shared" si="40"/>
        <v>194.61306682682928</v>
      </c>
      <c r="AJ95" s="86">
        <f t="shared" si="40"/>
        <v>199.45840230269596</v>
      </c>
      <c r="AK95" s="86">
        <f t="shared" si="40"/>
        <v>204.41499408280708</v>
      </c>
      <c r="AL95" s="86">
        <f t="shared" si="40"/>
        <v>209.48512517396566</v>
      </c>
      <c r="AM95" s="86">
        <f t="shared" si="40"/>
        <v>214.67111480131877</v>
      </c>
      <c r="AN95" s="86">
        <f t="shared" si="40"/>
        <v>219.97531851412398</v>
      </c>
      <c r="AO95" s="86">
        <f t="shared" si="40"/>
        <v>225.40012826501325</v>
      </c>
      <c r="AP95" s="86">
        <f t="shared" si="40"/>
        <v>230.94797246106288</v>
      </c>
      <c r="AQ95" s="86">
        <f t="shared" si="40"/>
        <v>236.6213159849018</v>
      </c>
      <c r="AR95" s="86">
        <f t="shared" si="40"/>
        <v>242.42266018401057</v>
      </c>
      <c r="AS95" s="86">
        <f t="shared" si="40"/>
        <v>248.35454282627478</v>
      </c>
      <c r="AT95" s="86">
        <f t="shared" si="40"/>
        <v>254.41953801977658</v>
      </c>
    </row>
  </sheetData>
  <mergeCells count="1">
    <mergeCell ref="AK18:AT18"/>
  </mergeCells>
  <dataValidations count="1">
    <dataValidation type="list" allowBlank="1" showInputMessage="1" showErrorMessage="1" sqref="C9" xr:uid="{00000000-0002-0000-0000-000000000000}">
      <formula1>"Option 1,Option 2"</formula1>
    </dataValidation>
  </dataValidations>
  <pageMargins left="0.7" right="0.7" top="0.75" bottom="0.75" header="0.3" footer="0.3"/>
  <pageSetup paperSize="9" scale="56" orientation="portrait" r:id="rId1"/>
  <colBreaks count="2" manualBreakCount="2">
    <brk id="10" max="1048575" man="1"/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NS - Orland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Bujanover</dc:creator>
  <cp:lastModifiedBy>Ran Bujanover</cp:lastModifiedBy>
  <dcterms:created xsi:type="dcterms:W3CDTF">2016-08-06T00:43:16Z</dcterms:created>
  <dcterms:modified xsi:type="dcterms:W3CDTF">2020-05-28T19:27:35Z</dcterms:modified>
</cp:coreProperties>
</file>