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S_Projects/automate-pooled-epi-estimation/"/>
    </mc:Choice>
  </mc:AlternateContent>
  <xr:revisionPtr revIDLastSave="0" documentId="13_ncr:1_{DF9FB5EB-3938-3A40-AB51-D2EA6B3B703D}" xr6:coauthVersionLast="47" xr6:coauthVersionMax="47" xr10:uidLastSave="{00000000-0000-0000-0000-000000000000}"/>
  <bookViews>
    <workbookView xWindow="30240" yWindow="500" windowWidth="37340" windowHeight="21100" activeTab="1" xr2:uid="{D7FAB0B9-2CD3-41D2-B0DC-ADFFCD4F0375}"/>
  </bookViews>
  <sheets>
    <sheet name="Template" sheetId="8" r:id="rId1"/>
    <sheet name="TSD Example" sheetId="9" r:id="rId2"/>
    <sheet name="Working" sheetId="10" r:id="rId3"/>
  </sheets>
  <externalReferences>
    <externalReference r:id="rId4"/>
    <externalReference r:id="rId5"/>
  </externalReferences>
  <definedNames>
    <definedName name="ASMDtype">[1]Engine!$J$15:$J$17</definedName>
    <definedName name="BaseIncidence">[1]A_IncidenceRatio!$Q$6:$S$8</definedName>
    <definedName name="income">[1]Engine!$L$4:$L$7</definedName>
    <definedName name="key_countries">[2]Engine!$G$4:$G$27</definedName>
    <definedName name="P_subgroup">[1]Engine!$J$4:$J$7</definedName>
    <definedName name="regions">[1]Engine!$G$20:$G$28</definedName>
    <definedName name="RR_Matrix">[1]A_IncidenceRatio!$AG$18:$AJ$42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  <c r="D16" i="8"/>
  <c r="D15" i="8"/>
  <c r="D28" i="8"/>
  <c r="D10" i="8"/>
  <c r="D29" i="9"/>
  <c r="E28" i="9"/>
  <c r="D28" i="9"/>
  <c r="D19" i="10"/>
  <c r="F19" i="9"/>
  <c r="E19" i="9"/>
  <c r="D19" i="9"/>
  <c r="D21" i="9"/>
  <c r="D20" i="9"/>
  <c r="D18" i="9"/>
  <c r="D17" i="9"/>
  <c r="D16" i="9"/>
  <c r="D14" i="9"/>
  <c r="D11" i="9"/>
  <c r="D10" i="9"/>
  <c r="D8" i="9"/>
  <c r="D10" i="10"/>
  <c r="D9" i="10"/>
  <c r="D8" i="10"/>
  <c r="I8" i="10"/>
  <c r="I10" i="10" s="1"/>
  <c r="I9" i="10"/>
  <c r="I16" i="10"/>
  <c r="D39" i="10"/>
  <c r="D15" i="10"/>
  <c r="D28" i="10" s="1"/>
  <c r="H14" i="10"/>
  <c r="G14" i="10"/>
  <c r="E14" i="10"/>
  <c r="H13" i="10"/>
  <c r="G13" i="10"/>
  <c r="E13" i="10"/>
  <c r="H9" i="10"/>
  <c r="G9" i="10"/>
  <c r="F9" i="10"/>
  <c r="E9" i="10"/>
  <c r="H8" i="10"/>
  <c r="H15" i="10" s="1"/>
  <c r="H28" i="10" s="1"/>
  <c r="G8" i="10"/>
  <c r="G15" i="10" s="1"/>
  <c r="G28" i="10" s="1"/>
  <c r="F8" i="10"/>
  <c r="F10" i="10" s="1"/>
  <c r="E8" i="10"/>
  <c r="E10" i="10" s="1"/>
  <c r="D13" i="9"/>
  <c r="E17" i="9"/>
  <c r="D15" i="9"/>
  <c r="D9" i="9"/>
  <c r="D22" i="9"/>
  <c r="D39" i="9"/>
  <c r="K16" i="9"/>
  <c r="J16" i="9"/>
  <c r="I16" i="9"/>
  <c r="H16" i="9"/>
  <c r="G16" i="9"/>
  <c r="F16" i="9"/>
  <c r="E16" i="9"/>
  <c r="K14" i="9"/>
  <c r="J14" i="9"/>
  <c r="H14" i="9"/>
  <c r="G14" i="9"/>
  <c r="E14" i="9"/>
  <c r="K13" i="9"/>
  <c r="K19" i="9" s="1"/>
  <c r="J13" i="9"/>
  <c r="J19" i="9" s="1"/>
  <c r="H13" i="9"/>
  <c r="G13" i="9"/>
  <c r="E13" i="9"/>
  <c r="J10" i="9"/>
  <c r="K9" i="9"/>
  <c r="K17" i="9" s="1"/>
  <c r="J9" i="9"/>
  <c r="J17" i="9" s="1"/>
  <c r="I9" i="9"/>
  <c r="H9" i="9"/>
  <c r="G9" i="9"/>
  <c r="F9" i="9"/>
  <c r="E9" i="9"/>
  <c r="K8" i="9"/>
  <c r="K15" i="9" s="1"/>
  <c r="K28" i="9" s="1"/>
  <c r="J8" i="9"/>
  <c r="J15" i="9" s="1"/>
  <c r="J28" i="9" s="1"/>
  <c r="I8" i="9"/>
  <c r="I10" i="9" s="1"/>
  <c r="H8" i="9"/>
  <c r="H15" i="9" s="1"/>
  <c r="H28" i="9" s="1"/>
  <c r="G8" i="9"/>
  <c r="G15" i="9" s="1"/>
  <c r="G28" i="9" s="1"/>
  <c r="F8" i="9"/>
  <c r="F15" i="9" s="1"/>
  <c r="F28" i="9" s="1"/>
  <c r="E8" i="9"/>
  <c r="E15" i="9" s="1"/>
  <c r="L8" i="8"/>
  <c r="L10" i="8" s="1"/>
  <c r="M8" i="8"/>
  <c r="L9" i="8"/>
  <c r="M9" i="8"/>
  <c r="M10" i="8"/>
  <c r="M12" i="8" s="1"/>
  <c r="L13" i="8"/>
  <c r="M13" i="8"/>
  <c r="L14" i="8"/>
  <c r="M14" i="8"/>
  <c r="M15" i="8"/>
  <c r="M28" i="8" s="1"/>
  <c r="L16" i="8"/>
  <c r="L17" i="8" s="1"/>
  <c r="M16" i="8"/>
  <c r="M17" i="8" s="1"/>
  <c r="E13" i="8"/>
  <c r="G13" i="8"/>
  <c r="H13" i="8"/>
  <c r="J13" i="8"/>
  <c r="K13" i="8"/>
  <c r="E14" i="8"/>
  <c r="G14" i="8"/>
  <c r="H14" i="8"/>
  <c r="J14" i="8"/>
  <c r="K14" i="8"/>
  <c r="D14" i="8"/>
  <c r="D13" i="8"/>
  <c r="D12" i="9" l="1"/>
  <c r="I17" i="10"/>
  <c r="I11" i="10"/>
  <c r="I13" i="10" s="1"/>
  <c r="I19" i="10" s="1"/>
  <c r="I15" i="10"/>
  <c r="I12" i="10"/>
  <c r="I14" i="10" s="1"/>
  <c r="I20" i="10" s="1"/>
  <c r="D16" i="10"/>
  <c r="E16" i="10"/>
  <c r="E20" i="10" s="1"/>
  <c r="D37" i="10"/>
  <c r="G16" i="10"/>
  <c r="G19" i="10" s="1"/>
  <c r="F16" i="10"/>
  <c r="F17" i="10" s="1"/>
  <c r="H16" i="10"/>
  <c r="H17" i="10" s="1"/>
  <c r="E11" i="10"/>
  <c r="F12" i="10"/>
  <c r="F14" i="10" s="1"/>
  <c r="G37" i="10"/>
  <c r="G36" i="10"/>
  <c r="H36" i="10"/>
  <c r="H37" i="10"/>
  <c r="E15" i="10"/>
  <c r="E28" i="10" s="1"/>
  <c r="F15" i="10"/>
  <c r="F28" i="10" s="1"/>
  <c r="G10" i="10"/>
  <c r="G12" i="10" s="1"/>
  <c r="F11" i="10"/>
  <c r="F13" i="10" s="1"/>
  <c r="H10" i="10"/>
  <c r="H11" i="10" s="1"/>
  <c r="E12" i="10"/>
  <c r="D36" i="9"/>
  <c r="G19" i="9"/>
  <c r="F17" i="9"/>
  <c r="H17" i="9"/>
  <c r="I17" i="9"/>
  <c r="H19" i="9"/>
  <c r="J20" i="9"/>
  <c r="K20" i="9"/>
  <c r="E20" i="9"/>
  <c r="H10" i="9"/>
  <c r="H11" i="9" s="1"/>
  <c r="G20" i="9"/>
  <c r="J36" i="9"/>
  <c r="J37" i="9"/>
  <c r="K36" i="9"/>
  <c r="K37" i="9"/>
  <c r="E37" i="9"/>
  <c r="E36" i="9"/>
  <c r="F37" i="9"/>
  <c r="F36" i="9"/>
  <c r="G37" i="9"/>
  <c r="G36" i="9"/>
  <c r="H37" i="9"/>
  <c r="H36" i="9"/>
  <c r="K10" i="9"/>
  <c r="K11" i="9" s="1"/>
  <c r="I11" i="9"/>
  <c r="I13" i="9" s="1"/>
  <c r="I19" i="9" s="1"/>
  <c r="G12" i="9"/>
  <c r="I15" i="9"/>
  <c r="I28" i="9" s="1"/>
  <c r="J11" i="9"/>
  <c r="H12" i="9"/>
  <c r="H20" i="9"/>
  <c r="E10" i="9"/>
  <c r="E12" i="9" s="1"/>
  <c r="I12" i="9"/>
  <c r="I14" i="9" s="1"/>
  <c r="I20" i="9" s="1"/>
  <c r="F10" i="9"/>
  <c r="J12" i="9"/>
  <c r="G17" i="9"/>
  <c r="G10" i="9"/>
  <c r="G11" i="9" s="1"/>
  <c r="E11" i="9"/>
  <c r="K12" i="9"/>
  <c r="N16" i="9"/>
  <c r="M19" i="8"/>
  <c r="M20" i="8"/>
  <c r="M37" i="8"/>
  <c r="M36" i="8"/>
  <c r="L11" i="8"/>
  <c r="L12" i="8"/>
  <c r="M11" i="8"/>
  <c r="L20" i="8"/>
  <c r="L15" i="8"/>
  <c r="L28" i="8" s="1"/>
  <c r="L19" i="8"/>
  <c r="F19" i="10" l="1"/>
  <c r="F20" i="10"/>
  <c r="D36" i="10"/>
  <c r="H19" i="10"/>
  <c r="E17" i="10"/>
  <c r="E19" i="10"/>
  <c r="G20" i="10"/>
  <c r="G17" i="10"/>
  <c r="H20" i="10"/>
  <c r="N16" i="10"/>
  <c r="D17" i="10"/>
  <c r="D12" i="10"/>
  <c r="D14" i="10" s="1"/>
  <c r="D20" i="10" s="1"/>
  <c r="N28" i="10"/>
  <c r="H29" i="10" s="1"/>
  <c r="H30" i="10" s="1"/>
  <c r="H12" i="10"/>
  <c r="G11" i="10"/>
  <c r="D11" i="10"/>
  <c r="D13" i="10" s="1"/>
  <c r="F37" i="10"/>
  <c r="F36" i="10"/>
  <c r="E37" i="10"/>
  <c r="E36" i="10"/>
  <c r="D37" i="9"/>
  <c r="I37" i="9"/>
  <c r="I36" i="9"/>
  <c r="N28" i="9"/>
  <c r="N36" i="9"/>
  <c r="F11" i="9"/>
  <c r="F13" i="9" s="1"/>
  <c r="F12" i="9"/>
  <c r="F14" i="9" s="1"/>
  <c r="F20" i="9" s="1"/>
  <c r="L36" i="8"/>
  <c r="L37" i="8"/>
  <c r="I29" i="9" l="1"/>
  <c r="I30" i="9" s="1"/>
  <c r="D32" i="9"/>
  <c r="D30" i="9"/>
  <c r="D18" i="10"/>
  <c r="D21" i="10"/>
  <c r="D22" i="10"/>
  <c r="F29" i="10"/>
  <c r="F30" i="10" s="1"/>
  <c r="D32" i="10"/>
  <c r="D33" i="10" s="1"/>
  <c r="D29" i="10"/>
  <c r="D30" i="10" s="1"/>
  <c r="G29" i="10"/>
  <c r="G30" i="10" s="1"/>
  <c r="E29" i="10"/>
  <c r="E30" i="10" s="1"/>
  <c r="N37" i="10"/>
  <c r="N36" i="10"/>
  <c r="N37" i="9"/>
  <c r="D38" i="9" s="1"/>
  <c r="D40" i="9" s="1"/>
  <c r="D33" i="9"/>
  <c r="H29" i="9"/>
  <c r="H30" i="9" s="1"/>
  <c r="J29" i="9"/>
  <c r="J30" i="9" s="1"/>
  <c r="G29" i="9"/>
  <c r="G30" i="9" s="1"/>
  <c r="K29" i="9"/>
  <c r="K30" i="9" s="1"/>
  <c r="F29" i="9"/>
  <c r="F30" i="9" s="1"/>
  <c r="E29" i="9"/>
  <c r="E30" i="9" s="1"/>
  <c r="D39" i="8"/>
  <c r="D38" i="10" l="1"/>
  <c r="D40" i="10" s="1"/>
  <c r="N29" i="10"/>
  <c r="D31" i="10"/>
  <c r="N30" i="10"/>
  <c r="N29" i="9"/>
  <c r="E16" i="8"/>
  <c r="F16" i="8"/>
  <c r="G16" i="8"/>
  <c r="H16" i="8"/>
  <c r="I16" i="8"/>
  <c r="J16" i="8"/>
  <c r="K16" i="8"/>
  <c r="K8" i="8"/>
  <c r="K10" i="8" s="1"/>
  <c r="J8" i="8"/>
  <c r="J10" i="8" s="1"/>
  <c r="H8" i="8"/>
  <c r="H15" i="8" s="1"/>
  <c r="H28" i="8" s="1"/>
  <c r="G8" i="8"/>
  <c r="G15" i="8" s="1"/>
  <c r="G28" i="8" s="1"/>
  <c r="F8" i="8"/>
  <c r="F15" i="8" s="1"/>
  <c r="F28" i="8" s="1"/>
  <c r="E8" i="8"/>
  <c r="E15" i="8" s="1"/>
  <c r="E28" i="8" s="1"/>
  <c r="D8" i="8"/>
  <c r="K9" i="8"/>
  <c r="J9" i="8"/>
  <c r="H9" i="8"/>
  <c r="G9" i="8"/>
  <c r="F9" i="8"/>
  <c r="E9" i="8"/>
  <c r="D9" i="8"/>
  <c r="D35" i="10" l="1"/>
  <c r="D34" i="10"/>
  <c r="D31" i="9"/>
  <c r="D34" i="9" s="1"/>
  <c r="N30" i="9"/>
  <c r="J12" i="8"/>
  <c r="J11" i="8"/>
  <c r="K12" i="8"/>
  <c r="K11" i="8"/>
  <c r="D37" i="8"/>
  <c r="D11" i="8"/>
  <c r="G36" i="8"/>
  <c r="E36" i="8"/>
  <c r="F37" i="8"/>
  <c r="F36" i="8"/>
  <c r="H37" i="8"/>
  <c r="H36" i="8"/>
  <c r="G37" i="8"/>
  <c r="E37" i="8"/>
  <c r="N16" i="8"/>
  <c r="G10" i="8"/>
  <c r="G19" i="8" s="1"/>
  <c r="I9" i="8"/>
  <c r="H10" i="8"/>
  <c r="H11" i="8" s="1"/>
  <c r="H17" i="8"/>
  <c r="E10" i="8"/>
  <c r="E12" i="8" s="1"/>
  <c r="F10" i="8"/>
  <c r="F11" i="8" s="1"/>
  <c r="F13" i="8" s="1"/>
  <c r="G17" i="8"/>
  <c r="K15" i="8"/>
  <c r="K28" i="8" s="1"/>
  <c r="J17" i="8"/>
  <c r="K17" i="8"/>
  <c r="E17" i="8"/>
  <c r="J15" i="8"/>
  <c r="J28" i="8" s="1"/>
  <c r="I8" i="8"/>
  <c r="D35" i="9" l="1"/>
  <c r="F12" i="8"/>
  <c r="F14" i="8" s="1"/>
  <c r="F20" i="8" s="1"/>
  <c r="G12" i="8"/>
  <c r="D36" i="8"/>
  <c r="G11" i="8"/>
  <c r="D12" i="8"/>
  <c r="H12" i="8"/>
  <c r="E11" i="8"/>
  <c r="J37" i="8"/>
  <c r="J36" i="8"/>
  <c r="K37" i="8"/>
  <c r="K36" i="8"/>
  <c r="G20" i="8"/>
  <c r="H19" i="8"/>
  <c r="H20" i="8"/>
  <c r="I17" i="8"/>
  <c r="E20" i="8"/>
  <c r="D20" i="8"/>
  <c r="D19" i="8"/>
  <c r="F19" i="8"/>
  <c r="F17" i="8"/>
  <c r="I10" i="8"/>
  <c r="I11" i="8" s="1"/>
  <c r="I13" i="8" s="1"/>
  <c r="I15" i="8"/>
  <c r="I28" i="8" s="1"/>
  <c r="K20" i="8"/>
  <c r="K19" i="8"/>
  <c r="J20" i="8"/>
  <c r="J19" i="8"/>
  <c r="E19" i="8"/>
  <c r="I12" i="8" l="1"/>
  <c r="I14" i="8" s="1"/>
  <c r="I20" i="8" s="1"/>
  <c r="D22" i="8" s="1"/>
  <c r="N28" i="8"/>
  <c r="I36" i="8"/>
  <c r="I37" i="8"/>
  <c r="N37" i="8" s="1"/>
  <c r="I19" i="8"/>
  <c r="D21" i="8" s="1"/>
  <c r="D29" i="8" l="1"/>
  <c r="D32" i="8"/>
  <c r="D33" i="8" s="1"/>
  <c r="M29" i="8"/>
  <c r="M30" i="8" s="1"/>
  <c r="L29" i="8"/>
  <c r="L30" i="8" s="1"/>
  <c r="D30" i="8"/>
  <c r="I29" i="8"/>
  <c r="F29" i="8"/>
  <c r="G29" i="8"/>
  <c r="H29" i="8"/>
  <c r="E29" i="8"/>
  <c r="J29" i="8"/>
  <c r="K29" i="8"/>
  <c r="J30" i="8" l="1"/>
  <c r="F30" i="8"/>
  <c r="I30" i="8"/>
  <c r="H30" i="8"/>
  <c r="K30" i="8"/>
  <c r="G30" i="8"/>
  <c r="E30" i="8"/>
  <c r="N29" i="8"/>
  <c r="N36" i="8" l="1"/>
  <c r="D38" i="8" s="1"/>
  <c r="D40" i="8" s="1"/>
  <c r="N30" i="8"/>
  <c r="D31" i="8"/>
  <c r="D35" i="8" l="1"/>
  <c r="D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4AD59B35-867C-41DC-8984-994C3971ED44}">
      <text>
        <r>
          <rPr>
            <sz val="9"/>
            <color rgb="FF000000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9BD50F9D-BFC7-4400-B75B-1CFD3BDC0240}">
      <text>
        <r>
          <rPr>
            <sz val="9"/>
            <color rgb="FF000000"/>
            <rFont val="Tahoma"/>
            <family val="2"/>
          </rPr>
          <t xml:space="preserve">Quantification of heterogeneity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&lt;25%: low
</t>
        </r>
        <r>
          <rPr>
            <sz val="9"/>
            <color rgb="FF000000"/>
            <rFont val="Tahoma"/>
            <family val="2"/>
          </rPr>
          <t xml:space="preserve">25-50%: moderate
</t>
        </r>
        <r>
          <rPr>
            <sz val="9"/>
            <color rgb="FF000000"/>
            <rFont val="Tahoma"/>
            <family val="2"/>
          </rPr>
          <t>&gt;50%: high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tc={8B279FC1-008D-4EE3-BF34-93CFB306448E}</author>
    <author>Connor Buffel</author>
  </authors>
  <commentList>
    <comment ref="D19" authorId="0" shapeId="0" xr:uid="{8B279FC1-008D-4EE3-BF34-93CFB30644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@Connor Buffel I wonder whether the formula in this cell should be written as D$16 * D13. </t>
      </text>
    </comment>
    <comment ref="C38" authorId="1" shapeId="0" xr:uid="{D3045080-409F-4CA8-A2F6-DCE0F9CFF288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1" shapeId="0" xr:uid="{730F1BC4-EAD6-4C91-A50A-29F3A0741E2C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0EA4A79C-A24C-4019-8E9C-7FA45F5F57BD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375451DF-4ADB-4EF5-910C-90DCB67D4606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sharedStrings.xml><?xml version="1.0" encoding="utf-8"?>
<sst xmlns="http://schemas.openxmlformats.org/spreadsheetml/2006/main" count="186" uniqueCount="37">
  <si>
    <t>Weighted average, birth prevalence</t>
  </si>
  <si>
    <t>Country</t>
  </si>
  <si>
    <t>Author, year</t>
  </si>
  <si>
    <t>Cases</t>
  </si>
  <si>
    <t>Population</t>
  </si>
  <si>
    <t>Birth prevalence (proportion)</t>
  </si>
  <si>
    <t>Birth prevalence/100k</t>
  </si>
  <si>
    <t>Standard deviation per 100k</t>
  </si>
  <si>
    <t>Normal Distribution</t>
  </si>
  <si>
    <t>Lower CI per 100k</t>
  </si>
  <si>
    <t>Upper CI per 100k</t>
  </si>
  <si>
    <t>Poisson Distribution</t>
  </si>
  <si>
    <t>Standard error per 100k</t>
  </si>
  <si>
    <t>Weight</t>
  </si>
  <si>
    <t>Weighted result per study</t>
  </si>
  <si>
    <t>Weighted average</t>
  </si>
  <si>
    <t>Weighted lower CI per study</t>
  </si>
  <si>
    <t>Weighted upper CI per study</t>
  </si>
  <si>
    <t>Weighted average lower CI</t>
  </si>
  <si>
    <t>Weighted average upper CI</t>
  </si>
  <si>
    <t>User entry</t>
  </si>
  <si>
    <t>ISMS calculation</t>
  </si>
  <si>
    <t>Fixed effect meta-analysis (Inverse variance approach) birth prevalence</t>
  </si>
  <si>
    <t>Per study</t>
  </si>
  <si>
    <t>Inverse variance weighted average</t>
  </si>
  <si>
    <t>Inverse variance weighted average lower CI</t>
  </si>
  <si>
    <t>Inverse variance weighted average upper CI</t>
  </si>
  <si>
    <t>weight * birth prev^2</t>
  </si>
  <si>
    <t>weight * birth prev</t>
  </si>
  <si>
    <t>Q</t>
  </si>
  <si>
    <t>df (degrees of freedom)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</si>
  <si>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</si>
  <si>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Poisson Distribution (NBDP, 2004)</t>
  </si>
  <si>
    <t xml:space="preserve"> 95% Confidence Limits</t>
  </si>
  <si>
    <t>Number of Cases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</si>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</sst>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i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164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6" xfId="0" applyFill="1" applyBorder="1" applyAlignment="1">
      <alignment horizontal="right" vertical="center" wrapText="1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10" fontId="6" fillId="0" borderId="13" xfId="1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164" fontId="6" fillId="0" borderId="1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6" fillId="8" borderId="13" xfId="0" applyFont="1" applyFill="1" applyBorder="1"/>
    <xf numFmtId="0" fontId="1" fillId="3" borderId="14" xfId="0" applyFont="1" applyFill="1" applyBorder="1" applyAlignment="1">
      <alignment horizontal="left" vertical="center" wrapText="1"/>
    </xf>
    <xf numFmtId="0" fontId="6" fillId="8" borderId="15" xfId="0" applyFont="1" applyFill="1" applyBorder="1"/>
    <xf numFmtId="0" fontId="6" fillId="8" borderId="16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1" fontId="0" fillId="4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6" fontId="6" fillId="0" borderId="13" xfId="1" applyNumberFormat="1" applyFont="1" applyBorder="1" applyAlignment="1">
      <alignment horizontal="center"/>
    </xf>
    <xf numFmtId="164" fontId="7" fillId="6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/>
    <xf numFmtId="164" fontId="7" fillId="6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/>
    <xf numFmtId="0" fontId="6" fillId="8" borderId="17" xfId="0" applyFont="1" applyFill="1" applyBorder="1"/>
    <xf numFmtId="0" fontId="1" fillId="3" borderId="1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0" fillId="3" borderId="3" xfId="0" applyFill="1" applyBorder="1" applyAlignment="1">
      <alignment horizontal="right" vertical="center" wrapText="1"/>
    </xf>
    <xf numFmtId="0" fontId="0" fillId="3" borderId="19" xfId="0" applyFill="1" applyBorder="1" applyAlignment="1">
      <alignment horizontal="right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0" fontId="6" fillId="0" borderId="15" xfId="1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/>
    </xf>
    <xf numFmtId="4" fontId="6" fillId="0" borderId="17" xfId="0" applyNumberFormat="1" applyFont="1" applyBorder="1" applyAlignment="1">
      <alignment horizontal="center"/>
    </xf>
    <xf numFmtId="0" fontId="1" fillId="3" borderId="25" xfId="0" applyFont="1" applyFill="1" applyBorder="1" applyAlignment="1">
      <alignment horizontal="left" vertical="center" wrapText="1"/>
    </xf>
    <xf numFmtId="4" fontId="6" fillId="0" borderId="26" xfId="0" applyNumberFormat="1" applyFont="1" applyBorder="1" applyAlignment="1">
      <alignment horizontal="center"/>
    </xf>
    <xf numFmtId="0" fontId="1" fillId="3" borderId="27" xfId="0" applyFont="1" applyFill="1" applyBorder="1" applyAlignment="1">
      <alignment horizontal="left" vertical="center" wrapText="1"/>
    </xf>
    <xf numFmtId="4" fontId="6" fillId="0" borderId="11" xfId="0" applyNumberFormat="1" applyFont="1" applyBorder="1" applyAlignment="1">
      <alignment horizontal="center"/>
    </xf>
    <xf numFmtId="4" fontId="6" fillId="0" borderId="12" xfId="0" applyNumberFormat="1" applyFont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" fontId="6" fillId="0" borderId="28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48621EA8-2F32-4F47-9AF3-8C032C43C72D}">
    <Anchor>
      <Comment id="{8B279FC1-008D-4EE3-BF34-93CFB306448E}"/>
    </Anchor>
    <History>
      <Event time="2025-01-20T23:19:14.27" id="{1400EBBC-9B78-4F9F-AAEF-90CDDCEECC35}">
        <Attribution userId="S::david.zhao@ismsbelgium.be::0d2a19e5-47a5-45e0-b023-0486cbe63c94" userName="David Zhao" userProvider="AD"/>
        <Anchor>
          <Comment id="{8B279FC1-008D-4EE3-BF34-93CFB306448E}"/>
        </Anchor>
        <Create/>
      </Event>
      <Event time="2025-01-20T23:19:14.27" id="{DB0B8D1C-32E0-4D60-ADF5-74CD99401745}">
        <Attribution userId="S::david.zhao@ismsbelgium.be::0d2a19e5-47a5-45e0-b023-0486cbe63c94" userName="David Zhao" userProvider="AD"/>
        <Anchor>
          <Comment id="{8B279FC1-008D-4EE3-BF34-93CFB306448E}"/>
        </Anchor>
        <Assign userId="S::connor.buffel@mindbytes.be::d3ec46cf-cc92-4e99-a491-6f7cc411257f" userName="Connor Buffel" userProvider="AD"/>
      </Event>
      <Event time="2025-01-20T23:19:14.27" id="{51745CC2-58AD-490B-82B2-0438B43D96CC}">
        <Attribution userId="S::david.zhao@ismsbelgium.be::0d2a19e5-47a5-45e0-b023-0486cbe63c94" userName="David Zhao" userProvider="AD"/>
        <Anchor>
          <Comment id="{8B279FC1-008D-4EE3-BF34-93CFB306448E}"/>
        </Anchor>
        <SetTitle title="@Connor Buffel I wonder whether the formula in this cell should be written as D$16 * D13."/>
      </Event>
    </History>
  </Task>
</Task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724512-0962-787E-0D6D-592C0C46BD31}"/>
            </a:ext>
          </a:extLst>
        </xdr:cNvPr>
        <xdr:cNvSpPr/>
      </xdr:nvSpPr>
      <xdr:spPr>
        <a:xfrm>
          <a:off x="14514195" y="542923"/>
          <a:ext cx="2642235" cy="306705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5F0F56-3AF9-4A4D-8ABD-0B3E93CFBD0D}"/>
            </a:ext>
          </a:extLst>
        </xdr:cNvPr>
        <xdr:cNvSpPr/>
      </xdr:nvSpPr>
      <xdr:spPr>
        <a:xfrm>
          <a:off x="15060930" y="546733"/>
          <a:ext cx="2634615" cy="347472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  <xdr:twoCellAnchor editAs="oneCell">
    <xdr:from>
      <xdr:col>12</xdr:col>
      <xdr:colOff>201706</xdr:colOff>
      <xdr:row>47</xdr:row>
      <xdr:rowOff>59839</xdr:rowOff>
    </xdr:from>
    <xdr:to>
      <xdr:col>21</xdr:col>
      <xdr:colOff>186914</xdr:colOff>
      <xdr:row>70</xdr:row>
      <xdr:rowOff>41350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27699-D0B2-5904-76E5-131370A7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5794" y="9147810"/>
          <a:ext cx="6865620" cy="4105275"/>
        </a:xfrm>
        <a:prstGeom prst="rect">
          <a:avLst/>
        </a:prstGeom>
      </xdr:spPr>
    </xdr:pic>
    <xdr:clientData/>
  </xdr:twoCellAnchor>
  <xdr:twoCellAnchor editAs="oneCell">
    <xdr:from>
      <xdr:col>5</xdr:col>
      <xdr:colOff>400339</xdr:colOff>
      <xdr:row>62</xdr:row>
      <xdr:rowOff>152129</xdr:rowOff>
    </xdr:from>
    <xdr:to>
      <xdr:col>11</xdr:col>
      <xdr:colOff>874059</xdr:colOff>
      <xdr:row>85</xdr:row>
      <xdr:rowOff>47578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1163" y="11929511"/>
          <a:ext cx="7219661" cy="4097655"/>
        </a:xfrm>
        <a:prstGeom prst="rect">
          <a:avLst/>
        </a:prstGeom>
      </xdr:spPr>
    </xdr:pic>
    <xdr:clientData/>
  </xdr:twoCellAnchor>
  <xdr:twoCellAnchor editAs="oneCell">
    <xdr:from>
      <xdr:col>5</xdr:col>
      <xdr:colOff>418893</xdr:colOff>
      <xdr:row>40</xdr:row>
      <xdr:rowOff>73417</xdr:rowOff>
    </xdr:from>
    <xdr:to>
      <xdr:col>11</xdr:col>
      <xdr:colOff>936717</xdr:colOff>
      <xdr:row>62</xdr:row>
      <xdr:rowOff>101320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0770E5-32AB-6C85-52C3-336A44389941}"/>
            </a:ext>
            <a:ext uri="{147F2762-F138-4A5C-976F-8EAC2B608ADB}">
              <a16:predDERef xmlns:a16="http://schemas.microsoft.com/office/drawing/2014/main" pre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593" y="7960117"/>
          <a:ext cx="7080549" cy="4009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24722D-2506-41FC-AA8F-49F3402587BE}"/>
            </a:ext>
          </a:extLst>
        </xdr:cNvPr>
        <xdr:cNvSpPr/>
      </xdr:nvSpPr>
      <xdr:spPr>
        <a:xfrm>
          <a:off x="15051405" y="544828"/>
          <a:ext cx="2640330" cy="350329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isms.sharepoint.com/sites/ISMSdrive/Shared%20Documents/ISMS%20Customer/Julie%20Batista_SAN/Work%20file/2020.11.10_Current%20Files/Detailed%20Analyses/Inventory%20-%20geert%20inputs/Input%20files/Copy%20of%20ASMD%20model_2020.10.20_NL_GE.xlsx?17B8EDCB" TargetMode="External"/><Relationship Id="rId1" Type="http://schemas.openxmlformats.org/officeDocument/2006/relationships/externalLinkPath" Target="file:///17B8EDCB/Copy%20of%20ASMD%20model_2020.10.20_NL_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ms.sharepoint.com/sites/ISMSdrive/Shared%20Documents/ISMS%20Customer/Julie%20Batista_SAN/SAN-210705%20Gaucher%20Epi%20Model/Working/Epi%20Model/NewASMDmodel_digitized%20inputs_GaucherInput_2021.11.09b_J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Engine"/>
      <sheetName val="A_IncidenceRatio"/>
      <sheetName val="B_Survival data"/>
      <sheetName val="C_PrevalenceRatio"/>
      <sheetName val="D_CountryIncome"/>
      <sheetName val="E_Prevalence"/>
      <sheetName val="F_PopData 2020"/>
      <sheetName val="F_PopData 2025"/>
      <sheetName val="F_PopData 2030"/>
      <sheetName val="F_PopData 2035"/>
      <sheetName val="F_PopData 2040"/>
      <sheetName val="G_Patient Pool 2020"/>
      <sheetName val="G_Patient Pool 2025"/>
      <sheetName val="G_Patient Pool 2030"/>
      <sheetName val="G_Patient Pool 2035"/>
      <sheetName val="G_Patient Pool 2040"/>
      <sheetName val="Summary"/>
      <sheetName val="Char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"/>
      <sheetName val="Home"/>
      <sheetName val="A_IncidenceRatio"/>
      <sheetName val="B_PatientDistribution"/>
      <sheetName val="C_Prevalence per country"/>
      <sheetName val="D_PopData 2021"/>
      <sheetName val="D_PopData 2025"/>
      <sheetName val="D_PopData 2030"/>
      <sheetName val="D_PopData 2035"/>
      <sheetName val="D_PopData 2040"/>
      <sheetName val="E_Patient pool 2021"/>
      <sheetName val="E_Patient pool 2025"/>
      <sheetName val="E_Patient pool 2030"/>
      <sheetName val="E_Patient pool 2035"/>
      <sheetName val="E_Patient pool 2040"/>
      <sheetName val="Summary - key data "/>
      <sheetName val="Summary - detailed analytics"/>
      <sheetName val="Summary - forecast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nnor Buffel" id="{348D6292-610E-42BD-8842-59297A64A0E0}" userId="connor.buffel@mindbytes.be" providerId="PeoplePicker"/>
  <person displayName="David Zhao" id="{985FF8A5-13B8-443A-87AC-7F78D4F3621E}" userId="S::david.zhao@ismsbelgium.be::0d2a19e5-47a5-45e0-b023-0486cbe63c9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1-20T23:19:14.44" personId="{985FF8A5-13B8-443A-87AC-7F78D4F3621E}" id="{8B279FC1-008D-4EE3-BF34-93CFB306448E}">
    <text xml:space="preserve">@Connor Buffel I wonder whether the formula in this cell should be written as D$16 * D13. </text>
    <mentions>
      <mention mentionpersonId="{348D6292-610E-42BD-8842-59297A64A0E0}" mentionId="{DBC78A60-8DB6-45CD-9C4A-949A9D4C00C5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72-96B8-4819-A11A-A20097316CFF}">
  <sheetPr>
    <tabColor rgb="FF92D050"/>
  </sheetPr>
  <dimension ref="B2:N78"/>
  <sheetViews>
    <sheetView zoomScaleNormal="85" workbookViewId="0">
      <selection activeCell="D18" sqref="D18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1</v>
      </c>
      <c r="E6" s="14">
        <v>2</v>
      </c>
      <c r="F6" s="14">
        <v>4</v>
      </c>
      <c r="G6" s="14">
        <v>3</v>
      </c>
      <c r="H6" s="14">
        <v>5</v>
      </c>
      <c r="I6" s="14">
        <v>5</v>
      </c>
      <c r="J6" s="14">
        <v>6</v>
      </c>
      <c r="K6" s="14">
        <v>6</v>
      </c>
      <c r="L6" s="14">
        <v>6</v>
      </c>
      <c r="M6" s="43">
        <v>6</v>
      </c>
    </row>
    <row r="7" spans="2:14" ht="16" x14ac:dyDescent="0.2">
      <c r="C7" s="42" t="s">
        <v>4</v>
      </c>
      <c r="D7" s="5">
        <v>100000</v>
      </c>
      <c r="E7" s="5">
        <v>200000</v>
      </c>
      <c r="F7" s="5">
        <v>300000</v>
      </c>
      <c r="G7" s="5">
        <v>400000</v>
      </c>
      <c r="H7" s="5">
        <v>500000</v>
      </c>
      <c r="I7" s="5">
        <v>600000</v>
      </c>
      <c r="J7" s="5">
        <v>700000</v>
      </c>
      <c r="K7" s="5">
        <v>800000</v>
      </c>
      <c r="L7" s="5">
        <v>900000</v>
      </c>
      <c r="M7" s="44">
        <v>1000000</v>
      </c>
    </row>
    <row r="8" spans="2:14" ht="16" x14ac:dyDescent="0.2">
      <c r="C8" s="8" t="s">
        <v>5</v>
      </c>
      <c r="D8" s="15">
        <f t="shared" ref="D8:K8" si="0">D6/D7</f>
        <v>1.0000000000000001E-5</v>
      </c>
      <c r="E8" s="15">
        <f t="shared" si="0"/>
        <v>1.0000000000000001E-5</v>
      </c>
      <c r="F8" s="15">
        <f t="shared" si="0"/>
        <v>1.3333333333333333E-5</v>
      </c>
      <c r="G8" s="15">
        <f t="shared" si="0"/>
        <v>7.5000000000000002E-6</v>
      </c>
      <c r="H8" s="15">
        <f t="shared" si="0"/>
        <v>1.0000000000000001E-5</v>
      </c>
      <c r="I8" s="15">
        <f t="shared" si="0"/>
        <v>8.3333333333333337E-6</v>
      </c>
      <c r="J8" s="15">
        <f t="shared" si="0"/>
        <v>8.5714285714285709E-6</v>
      </c>
      <c r="K8" s="15">
        <f t="shared" si="0"/>
        <v>7.5000000000000002E-6</v>
      </c>
      <c r="L8" s="15">
        <f t="shared" ref="L8:M8" si="1">L6/L7</f>
        <v>6.6666666666666666E-6</v>
      </c>
      <c r="M8" s="45">
        <f t="shared" si="1"/>
        <v>6.0000000000000002E-6</v>
      </c>
    </row>
    <row r="9" spans="2:14" ht="16" x14ac:dyDescent="0.2">
      <c r="C9" s="8" t="s">
        <v>6</v>
      </c>
      <c r="D9" s="16">
        <f>(D6/D7)*100000</f>
        <v>1</v>
      </c>
      <c r="E9" s="16">
        <f t="shared" ref="E9:K9" si="2">E6/E7*100000</f>
        <v>1</v>
      </c>
      <c r="F9" s="16">
        <f t="shared" si="2"/>
        <v>1.3333333333333333</v>
      </c>
      <c r="G9" s="16">
        <f t="shared" si="2"/>
        <v>0.75</v>
      </c>
      <c r="H9" s="16">
        <f t="shared" si="2"/>
        <v>1</v>
      </c>
      <c r="I9" s="16">
        <f t="shared" si="2"/>
        <v>0.83333333333333337</v>
      </c>
      <c r="J9" s="16">
        <f t="shared" si="2"/>
        <v>0.8571428571428571</v>
      </c>
      <c r="K9" s="16">
        <f t="shared" si="2"/>
        <v>0.75</v>
      </c>
      <c r="L9" s="16">
        <f t="shared" ref="L9:M9" si="3">L6/L7*100000</f>
        <v>0.66666666666666663</v>
      </c>
      <c r="M9" s="46">
        <f t="shared" si="3"/>
        <v>0.6</v>
      </c>
    </row>
    <row r="10" spans="2:14" ht="17" thickBot="1" x14ac:dyDescent="0.25">
      <c r="C10" s="35" t="s">
        <v>7</v>
      </c>
      <c r="D10" s="64">
        <f>((1.96*(SQRT((D8*(1-D8))/D7))))*100000</f>
        <v>1.9599901999754998</v>
      </c>
      <c r="E10" s="64">
        <f t="shared" ref="E10:K10" si="4">((1.96*(SQRT((E8*(1-E8))/E7))))*100000</f>
        <v>1.3859223614618534</v>
      </c>
      <c r="F10" s="64">
        <f t="shared" si="4"/>
        <v>1.3066579555265183</v>
      </c>
      <c r="G10" s="64">
        <f t="shared" si="4"/>
        <v>0.84870171305942332</v>
      </c>
      <c r="H10" s="64">
        <f t="shared" si="4"/>
        <v>0.8765342644757248</v>
      </c>
      <c r="I10" s="64">
        <f t="shared" si="4"/>
        <v>0.73044582910662115</v>
      </c>
      <c r="J10" s="64">
        <f t="shared" si="4"/>
        <v>0.68585418858529978</v>
      </c>
      <c r="K10" s="64">
        <f t="shared" si="4"/>
        <v>0.60012273650895787</v>
      </c>
      <c r="L10" s="64">
        <f t="shared" ref="L10:M10" si="5">((1.96*(SQRT((L8*(1-L8))/L7))))*100000</f>
        <v>0.53344265472170782</v>
      </c>
      <c r="M10" s="65">
        <f t="shared" si="5"/>
        <v>0.48009854928337375</v>
      </c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M11" si="6">IF(E9-E10&lt;0,0,E9-E10)</f>
        <v>0</v>
      </c>
      <c r="F11" s="69">
        <f t="shared" si="6"/>
        <v>2.6675377806814948E-2</v>
      </c>
      <c r="G11" s="69">
        <f t="shared" si="6"/>
        <v>0</v>
      </c>
      <c r="H11" s="69">
        <f t="shared" si="6"/>
        <v>0.1234657355242752</v>
      </c>
      <c r="I11" s="69">
        <f t="shared" si="6"/>
        <v>0.10288750422671222</v>
      </c>
      <c r="J11" s="69">
        <f t="shared" si="6"/>
        <v>0.17128866855755731</v>
      </c>
      <c r="K11" s="69">
        <f t="shared" si="6"/>
        <v>0.14987726349104213</v>
      </c>
      <c r="L11" s="69">
        <f t="shared" si="6"/>
        <v>0.13322401194495881</v>
      </c>
      <c r="M11" s="70">
        <f t="shared" si="6"/>
        <v>0.11990145071662622</v>
      </c>
    </row>
    <row r="12" spans="2:14" ht="17" thickBot="1" x14ac:dyDescent="0.25">
      <c r="B12" s="81"/>
      <c r="C12" s="37" t="s">
        <v>10</v>
      </c>
      <c r="D12" s="71">
        <f>D9+D10</f>
        <v>2.9599901999754996</v>
      </c>
      <c r="E12" s="71">
        <f t="shared" ref="E12:M12" si="7">E9+E10</f>
        <v>2.3859223614618532</v>
      </c>
      <c r="F12" s="71">
        <f t="shared" si="7"/>
        <v>2.6399912888598518</v>
      </c>
      <c r="G12" s="71">
        <f t="shared" si="7"/>
        <v>1.5987017130594232</v>
      </c>
      <c r="H12" s="71">
        <f t="shared" si="7"/>
        <v>1.8765342644757248</v>
      </c>
      <c r="I12" s="71">
        <f t="shared" si="7"/>
        <v>1.5637791624399546</v>
      </c>
      <c r="J12" s="71">
        <f t="shared" si="7"/>
        <v>1.542997045728157</v>
      </c>
      <c r="K12" s="71">
        <f t="shared" si="7"/>
        <v>1.3501227365089579</v>
      </c>
      <c r="L12" s="71">
        <f t="shared" si="7"/>
        <v>1.2001093213883745</v>
      </c>
      <c r="M12" s="72">
        <f t="shared" si="7"/>
        <v>1.0800985492833737</v>
      </c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2.53E-2</v>
      </c>
      <c r="E13" s="69">
        <f t="shared" ref="E13:M13" si="8">IFERROR((VLOOKUP(E6,$C$49:$D$78,2,FALSE)/E7)*100000,E11)</f>
        <v>0.1211</v>
      </c>
      <c r="F13" s="69">
        <f t="shared" si="8"/>
        <v>0.36330000000000001</v>
      </c>
      <c r="G13" s="69">
        <f t="shared" si="8"/>
        <v>0.15467500000000001</v>
      </c>
      <c r="H13" s="69">
        <f t="shared" si="8"/>
        <v>0.32469999999999999</v>
      </c>
      <c r="I13" s="69">
        <f t="shared" si="8"/>
        <v>0.27058333333333334</v>
      </c>
      <c r="J13" s="69">
        <f t="shared" si="8"/>
        <v>0.31455714285714287</v>
      </c>
      <c r="K13" s="69">
        <f t="shared" si="8"/>
        <v>0.27523750000000002</v>
      </c>
      <c r="L13" s="69">
        <f t="shared" si="8"/>
        <v>0.24465555555555557</v>
      </c>
      <c r="M13" s="70">
        <f t="shared" si="8"/>
        <v>0.22019</v>
      </c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5.5716000000000001</v>
      </c>
      <c r="E14" s="71">
        <f t="shared" ref="E14:M14" si="9">IFERROR((VLOOKUP(E6,$C$49:$E$78,3,FALSE)/E7)*100000,E12)</f>
        <v>3.6123500000000002</v>
      </c>
      <c r="F14" s="71">
        <f t="shared" si="9"/>
        <v>3.4138666666666664</v>
      </c>
      <c r="G14" s="71">
        <f t="shared" si="9"/>
        <v>2.1918250000000001</v>
      </c>
      <c r="H14" s="71">
        <f t="shared" si="9"/>
        <v>2.3336600000000001</v>
      </c>
      <c r="I14" s="71">
        <f t="shared" si="9"/>
        <v>1.9447166666666666</v>
      </c>
      <c r="J14" s="71">
        <f t="shared" si="9"/>
        <v>1.8656428571428572</v>
      </c>
      <c r="K14" s="71">
        <f t="shared" si="9"/>
        <v>1.6324375</v>
      </c>
      <c r="L14" s="71">
        <f t="shared" si="9"/>
        <v>1.4510555555555555</v>
      </c>
      <c r="M14" s="72">
        <f t="shared" si="9"/>
        <v>1.3059499999999999</v>
      </c>
    </row>
    <row r="15" spans="2:14" ht="16" x14ac:dyDescent="0.2">
      <c r="C15" s="66" t="s">
        <v>12</v>
      </c>
      <c r="D15" s="67">
        <f>100000*SQRT((D8*(1-D8))/D7)</f>
        <v>0.99999499998749986</v>
      </c>
      <c r="E15" s="67">
        <f t="shared" ref="D15:K15" si="10">100000*SQRT((E8*(1-E8))/E7)</f>
        <v>0.70710324564380278</v>
      </c>
      <c r="F15" s="67">
        <f t="shared" si="10"/>
        <v>0.66666222220740734</v>
      </c>
      <c r="G15" s="67">
        <f t="shared" si="10"/>
        <v>0.4330110780915426</v>
      </c>
      <c r="H15" s="67">
        <f t="shared" si="10"/>
        <v>0.44721135942639023</v>
      </c>
      <c r="I15" s="67">
        <f t="shared" si="10"/>
        <v>0.3726764434217455</v>
      </c>
      <c r="J15" s="67">
        <f t="shared" si="10"/>
        <v>0.34992560642107129</v>
      </c>
      <c r="K15" s="67">
        <f t="shared" si="10"/>
        <v>0.30618506964742748</v>
      </c>
      <c r="L15" s="67">
        <f t="shared" ref="L15:M15" si="11">100000*SQRT((L8*(1-L8))/L7)</f>
        <v>0.27216461975597339</v>
      </c>
      <c r="M15" s="73">
        <f t="shared" si="11"/>
        <v>0.24494823943029273</v>
      </c>
    </row>
    <row r="16" spans="2:14" ht="16" x14ac:dyDescent="0.2">
      <c r="C16" s="8" t="s">
        <v>13</v>
      </c>
      <c r="D16" s="17">
        <f>D7/SUM($D$7:$M$7)</f>
        <v>1.8181818181818181E-2</v>
      </c>
      <c r="E16" s="17">
        <f t="shared" ref="E16:L16" si="12">E7/SUM($D$7:$M$7)</f>
        <v>3.6363636363636362E-2</v>
      </c>
      <c r="F16" s="17">
        <f t="shared" si="12"/>
        <v>5.4545454545454543E-2</v>
      </c>
      <c r="G16" s="17">
        <f t="shared" si="12"/>
        <v>7.2727272727272724E-2</v>
      </c>
      <c r="H16" s="17">
        <f t="shared" si="12"/>
        <v>9.0909090909090912E-2</v>
      </c>
      <c r="I16" s="17">
        <f t="shared" si="12"/>
        <v>0.10909090909090909</v>
      </c>
      <c r="J16" s="17">
        <f t="shared" si="12"/>
        <v>0.12727272727272726</v>
      </c>
      <c r="K16" s="17">
        <f t="shared" si="12"/>
        <v>0.14545454545454545</v>
      </c>
      <c r="L16" s="17">
        <f t="shared" si="12"/>
        <v>0.16363636363636364</v>
      </c>
      <c r="M16" s="47">
        <f>M7/SUM($D$7:$M$7)</f>
        <v>0.18181818181818182</v>
      </c>
      <c r="N16" s="23">
        <f>SUM(D16:M16)</f>
        <v>1</v>
      </c>
    </row>
    <row r="17" spans="3:14" ht="16" x14ac:dyDescent="0.2">
      <c r="C17" s="25" t="s">
        <v>14</v>
      </c>
      <c r="D17" s="15">
        <f>D9*D16</f>
        <v>1.8181818181818181E-2</v>
      </c>
      <c r="E17" s="15">
        <f t="shared" ref="D17:K17" si="13">E9*E16</f>
        <v>3.6363636363636362E-2</v>
      </c>
      <c r="F17" s="15">
        <f t="shared" si="13"/>
        <v>7.2727272727272724E-2</v>
      </c>
      <c r="G17" s="15">
        <f t="shared" si="13"/>
        <v>5.4545454545454543E-2</v>
      </c>
      <c r="H17" s="15">
        <f t="shared" si="13"/>
        <v>9.0909090909090912E-2</v>
      </c>
      <c r="I17" s="15">
        <f t="shared" si="13"/>
        <v>9.0909090909090912E-2</v>
      </c>
      <c r="J17" s="15">
        <f t="shared" si="13"/>
        <v>0.10909090909090907</v>
      </c>
      <c r="K17" s="15">
        <f t="shared" si="13"/>
        <v>0.10909090909090909</v>
      </c>
      <c r="L17" s="15">
        <f t="shared" ref="L17" si="14">L9*L16</f>
        <v>0.10909090909090909</v>
      </c>
      <c r="M17" s="45">
        <f>M9*M16</f>
        <v>0.10909090909090909</v>
      </c>
    </row>
    <row r="18" spans="3:14" ht="16" x14ac:dyDescent="0.2">
      <c r="C18" s="8" t="s">
        <v>15</v>
      </c>
      <c r="D18" s="26">
        <f>SUM(D17:M17)</f>
        <v>0.8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3.5636185454099994E-2</v>
      </c>
      <c r="E19" s="21">
        <f t="shared" ref="E19:L19" si="15">E$16*E13</f>
        <v>4.403636363636363E-3</v>
      </c>
      <c r="F19" s="21">
        <f t="shared" si="15"/>
        <v>1.9816363636363635E-2</v>
      </c>
      <c r="G19" s="21">
        <f t="shared" si="15"/>
        <v>1.1249090909090908E-2</v>
      </c>
      <c r="H19" s="21">
        <f t="shared" si="15"/>
        <v>2.9518181818181818E-2</v>
      </c>
      <c r="I19" s="21">
        <f t="shared" si="15"/>
        <v>2.9518181818181818E-2</v>
      </c>
      <c r="J19" s="21">
        <f t="shared" si="15"/>
        <v>4.0034545454545455E-2</v>
      </c>
      <c r="K19" s="21">
        <f t="shared" si="15"/>
        <v>4.0034545454545455E-2</v>
      </c>
      <c r="L19" s="21">
        <f t="shared" si="15"/>
        <v>4.0034545454545455E-2</v>
      </c>
      <c r="M19" s="34">
        <f t="shared" ref="M19" si="16">M$16*M13</f>
        <v>4.0034545454545455E-2</v>
      </c>
    </row>
    <row r="20" spans="3:14" ht="16" x14ac:dyDescent="0.2">
      <c r="C20" s="25" t="s">
        <v>17</v>
      </c>
      <c r="D20" s="21">
        <f t="shared" ref="D20:K20" si="17">D$16*D14</f>
        <v>0.10130181818181817</v>
      </c>
      <c r="E20" s="21">
        <f t="shared" si="17"/>
        <v>0.13135818181818182</v>
      </c>
      <c r="F20" s="21">
        <f t="shared" si="17"/>
        <v>0.18621090909090907</v>
      </c>
      <c r="G20" s="21">
        <f t="shared" si="17"/>
        <v>0.15940545454545454</v>
      </c>
      <c r="H20" s="21">
        <f t="shared" si="17"/>
        <v>0.21215090909090911</v>
      </c>
      <c r="I20" s="21">
        <f t="shared" si="17"/>
        <v>0.21215090909090908</v>
      </c>
      <c r="J20" s="21">
        <f t="shared" si="17"/>
        <v>0.23744545454545452</v>
      </c>
      <c r="K20" s="21">
        <f t="shared" si="17"/>
        <v>0.23744545454545454</v>
      </c>
      <c r="L20" s="21">
        <f t="shared" ref="L20:M20" si="18">L$16*L14</f>
        <v>0.23744545454545454</v>
      </c>
      <c r="M20" s="34">
        <f t="shared" si="18"/>
        <v>0.23744545454545454</v>
      </c>
    </row>
    <row r="21" spans="3:14" ht="16" x14ac:dyDescent="0.2">
      <c r="C21" s="8" t="s">
        <v>18</v>
      </c>
      <c r="D21" s="26">
        <f>SUM(D19:M19)</f>
        <v>0.29027982181773632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1.9523599999999999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1.0000100001000012</v>
      </c>
      <c r="E28" s="30">
        <f t="shared" ref="E28:M28" si="19">1/(E15^2)</f>
        <v>2.0000200002000015</v>
      </c>
      <c r="F28" s="30">
        <f t="shared" si="19"/>
        <v>2.2500300004000051</v>
      </c>
      <c r="G28" s="30">
        <f t="shared" si="19"/>
        <v>5.333373333633336</v>
      </c>
      <c r="H28" s="30">
        <f t="shared" si="19"/>
        <v>5.0000500005000053</v>
      </c>
      <c r="I28" s="30">
        <f t="shared" si="19"/>
        <v>7.2000600005000042</v>
      </c>
      <c r="J28" s="30">
        <f t="shared" si="19"/>
        <v>8.1667366672666741</v>
      </c>
      <c r="K28" s="30">
        <f t="shared" si="19"/>
        <v>10.66674666726667</v>
      </c>
      <c r="L28" s="30">
        <f t="shared" si="19"/>
        <v>13.500090000600002</v>
      </c>
      <c r="M28" s="31">
        <f t="shared" si="19"/>
        <v>16.666766667266668</v>
      </c>
      <c r="N28" s="28">
        <f>SUM(D28:M28)</f>
        <v>71.783883337733371</v>
      </c>
    </row>
    <row r="29" spans="3:14" ht="16" x14ac:dyDescent="0.2">
      <c r="C29" s="8" t="s">
        <v>13</v>
      </c>
      <c r="D29" s="22">
        <f>D28/$N28</f>
        <v>1.3930842880080625E-2</v>
      </c>
      <c r="E29" s="22">
        <f t="shared" ref="E29:K29" si="20">E28/$N28</f>
        <v>2.786168576016124E-2</v>
      </c>
      <c r="F29" s="22">
        <f t="shared" si="20"/>
        <v>3.13445009628961E-2</v>
      </c>
      <c r="G29" s="22">
        <f t="shared" si="20"/>
        <v>7.4297642947798503E-2</v>
      </c>
      <c r="H29" s="22">
        <f t="shared" si="20"/>
        <v>6.9654214400403119E-2</v>
      </c>
      <c r="I29" s="22">
        <f t="shared" si="20"/>
        <v>0.10030190156507283</v>
      </c>
      <c r="J29" s="22">
        <f t="shared" si="20"/>
        <v>0.11376838765943176</v>
      </c>
      <c r="K29" s="22">
        <f t="shared" si="20"/>
        <v>0.14859528589559698</v>
      </c>
      <c r="L29" s="22">
        <f t="shared" ref="L29" si="21">L28/$N28</f>
        <v>0.18806575198897948</v>
      </c>
      <c r="M29" s="32">
        <f>M28/$N28</f>
        <v>0.2321797859395793</v>
      </c>
      <c r="N29" s="23">
        <f>SUM(D29:M29)</f>
        <v>1</v>
      </c>
    </row>
    <row r="30" spans="3:14" ht="16" x14ac:dyDescent="0.2">
      <c r="C30" s="33" t="s">
        <v>14</v>
      </c>
      <c r="D30" s="21">
        <f>D29*D9</f>
        <v>1.3930842880080625E-2</v>
      </c>
      <c r="E30" s="21">
        <f t="shared" ref="E30:M30" si="22">E29*E9</f>
        <v>2.786168576016124E-2</v>
      </c>
      <c r="F30" s="21">
        <f t="shared" si="22"/>
        <v>4.1792667950528134E-2</v>
      </c>
      <c r="G30" s="21">
        <f t="shared" si="22"/>
        <v>5.5723232210848878E-2</v>
      </c>
      <c r="H30" s="21">
        <f t="shared" si="22"/>
        <v>6.9654214400403119E-2</v>
      </c>
      <c r="I30" s="21">
        <f t="shared" si="22"/>
        <v>8.3584917970894027E-2</v>
      </c>
      <c r="J30" s="21">
        <f t="shared" si="22"/>
        <v>9.7515760850941505E-2</v>
      </c>
      <c r="K30" s="21">
        <f t="shared" si="22"/>
        <v>0.11144646442169773</v>
      </c>
      <c r="L30" s="21">
        <f t="shared" si="22"/>
        <v>0.12537716799265297</v>
      </c>
      <c r="M30" s="34">
        <f t="shared" si="22"/>
        <v>0.13930787156374758</v>
      </c>
      <c r="N30" s="28">
        <f>SUM(D30:M30)</f>
        <v>0.76619482600195576</v>
      </c>
    </row>
    <row r="31" spans="3:14" ht="16" x14ac:dyDescent="0.2">
      <c r="C31" s="35" t="s">
        <v>24</v>
      </c>
      <c r="D31" s="27">
        <f>SUM(D30:M30)</f>
        <v>0.76619482600195576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0.118028401546627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0.23133566703138891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0.53485915897056691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0.99753049303334462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1.0000100001000012</v>
      </c>
      <c r="E36" s="21">
        <f t="shared" ref="E36:M36" si="23">E28*(E9^2)</f>
        <v>2.0000200002000015</v>
      </c>
      <c r="F36" s="21">
        <f t="shared" si="23"/>
        <v>4.0000533340444537</v>
      </c>
      <c r="G36" s="21">
        <f t="shared" si="23"/>
        <v>3.0000225001687513</v>
      </c>
      <c r="H36" s="21">
        <f t="shared" si="23"/>
        <v>5.0000500005000053</v>
      </c>
      <c r="I36" s="21">
        <f t="shared" si="23"/>
        <v>5.0000416670138925</v>
      </c>
      <c r="J36" s="21">
        <f t="shared" si="23"/>
        <v>6.0000514290122497</v>
      </c>
      <c r="K36" s="21">
        <f t="shared" si="23"/>
        <v>6.0000450003375017</v>
      </c>
      <c r="L36" s="21">
        <f t="shared" si="23"/>
        <v>6.000040000266667</v>
      </c>
      <c r="M36" s="34">
        <f t="shared" si="23"/>
        <v>6.0000360002160003</v>
      </c>
      <c r="N36" s="28">
        <f>SUM(D36:M36)</f>
        <v>44.000369931859524</v>
      </c>
    </row>
    <row r="37" spans="3:14" ht="16" x14ac:dyDescent="0.2">
      <c r="C37" s="57" t="s">
        <v>28</v>
      </c>
      <c r="D37" s="21">
        <f>D28*D9</f>
        <v>1.0000100001000012</v>
      </c>
      <c r="E37" s="21">
        <f t="shared" ref="E37:M37" si="24">E28*E9</f>
        <v>2.0000200002000015</v>
      </c>
      <c r="F37" s="21">
        <f t="shared" si="24"/>
        <v>3.0000400005333399</v>
      </c>
      <c r="G37" s="21">
        <f t="shared" si="24"/>
        <v>4.000030000225002</v>
      </c>
      <c r="H37" s="21">
        <f t="shared" si="24"/>
        <v>5.0000500005000053</v>
      </c>
      <c r="I37" s="21">
        <f t="shared" si="24"/>
        <v>6.0000500004166701</v>
      </c>
      <c r="J37" s="21">
        <f t="shared" si="24"/>
        <v>7.0000600005142921</v>
      </c>
      <c r="K37" s="21">
        <f t="shared" si="24"/>
        <v>8.0000600004500022</v>
      </c>
      <c r="L37" s="21">
        <f t="shared" si="24"/>
        <v>9.0000600004000013</v>
      </c>
      <c r="M37" s="34">
        <f t="shared" si="24"/>
        <v>10.00006000036</v>
      </c>
      <c r="N37" s="28">
        <f>SUM(D37:M37)</f>
        <v>55.000440003699318</v>
      </c>
    </row>
    <row r="38" spans="3:14" ht="16" x14ac:dyDescent="0.2">
      <c r="C38" s="42" t="s">
        <v>29</v>
      </c>
      <c r="D38" s="62">
        <f>(N36-((N37^2)/N28))</f>
        <v>1.8593173731941164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9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D47:E47"/>
    <mergeCell ref="B13:B14"/>
    <mergeCell ref="B11:B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672-33C7-4E65-ADFE-595B8F022DA1}">
  <sheetPr>
    <tabColor theme="0"/>
  </sheetPr>
  <dimension ref="B2:N78"/>
  <sheetViews>
    <sheetView tabSelected="1" zoomScale="85" zoomScaleNormal="85" workbookViewId="0">
      <selection activeCell="B7" sqref="B7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8</v>
      </c>
      <c r="E6" s="14">
        <v>22</v>
      </c>
      <c r="F6" s="14">
        <v>30</v>
      </c>
      <c r="G6" s="14">
        <v>10</v>
      </c>
      <c r="H6" s="14">
        <v>11</v>
      </c>
      <c r="I6" s="14">
        <v>33</v>
      </c>
      <c r="J6" s="14">
        <v>3</v>
      </c>
      <c r="K6" s="14">
        <v>13</v>
      </c>
      <c r="L6" s="14"/>
      <c r="M6" s="43"/>
    </row>
    <row r="7" spans="2:14" ht="16" x14ac:dyDescent="0.2">
      <c r="C7" s="42" t="s">
        <v>4</v>
      </c>
      <c r="D7" s="5">
        <v>3362889</v>
      </c>
      <c r="E7" s="5">
        <v>7173959</v>
      </c>
      <c r="F7" s="5">
        <v>7358444</v>
      </c>
      <c r="G7" s="5">
        <v>2080791</v>
      </c>
      <c r="H7" s="5">
        <v>11951872.343129</v>
      </c>
      <c r="I7" s="5">
        <v>15192000</v>
      </c>
      <c r="J7" s="5">
        <v>1035816</v>
      </c>
      <c r="K7" s="5">
        <v>3693759</v>
      </c>
      <c r="L7" s="5"/>
      <c r="M7" s="44"/>
    </row>
    <row r="8" spans="2:14" ht="16" x14ac:dyDescent="0.2">
      <c r="C8" s="8" t="s">
        <v>5</v>
      </c>
      <c r="D8" s="74">
        <f>D6/D7</f>
        <v>2.3789069457838188E-6</v>
      </c>
      <c r="E8" s="74">
        <f t="shared" ref="E8:K8" si="0">E6/E7</f>
        <v>3.0666470215399892E-6</v>
      </c>
      <c r="F8" s="74">
        <f t="shared" si="0"/>
        <v>4.0769488766918656E-6</v>
      </c>
      <c r="G8" s="74">
        <f t="shared" si="0"/>
        <v>4.8058646928019202E-6</v>
      </c>
      <c r="H8" s="74">
        <f t="shared" si="0"/>
        <v>9.2035788905692076E-7</v>
      </c>
      <c r="I8" s="74">
        <f t="shared" si="0"/>
        <v>2.1721958925750393E-6</v>
      </c>
      <c r="J8" s="74">
        <f t="shared" si="0"/>
        <v>2.8962672907157257E-6</v>
      </c>
      <c r="K8" s="74">
        <f t="shared" si="0"/>
        <v>3.5194499695296849E-6</v>
      </c>
      <c r="L8" s="15"/>
      <c r="M8" s="45"/>
    </row>
    <row r="9" spans="2:14" ht="16" x14ac:dyDescent="0.2">
      <c r="C9" s="8" t="s">
        <v>6</v>
      </c>
      <c r="D9" s="16">
        <f>(D6/D7)*100000</f>
        <v>0.23789069457838188</v>
      </c>
      <c r="E9" s="16">
        <f t="shared" ref="E9:K9" si="1">E6/E7*100000</f>
        <v>0.30666470215399894</v>
      </c>
      <c r="F9" s="16">
        <f t="shared" si="1"/>
        <v>0.40769488766918655</v>
      </c>
      <c r="G9" s="16">
        <f t="shared" si="1"/>
        <v>0.480586469280192</v>
      </c>
      <c r="H9" s="16">
        <f t="shared" si="1"/>
        <v>9.203578890569207E-2</v>
      </c>
      <c r="I9" s="16">
        <f t="shared" si="1"/>
        <v>0.21721958925750393</v>
      </c>
      <c r="J9" s="16">
        <f t="shared" si="1"/>
        <v>0.28962672907157255</v>
      </c>
      <c r="K9" s="16">
        <f t="shared" si="1"/>
        <v>0.35194499695296849</v>
      </c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0.16484964476986833</v>
      </c>
      <c r="E10" s="64">
        <f t="shared" ref="E10:K10" si="2">((1.96*(SQRT((E8*(1-E8))/E7))))*100000</f>
        <v>0.12814682650222262</v>
      </c>
      <c r="F10" s="64">
        <f t="shared" si="2"/>
        <v>0.14589144448632982</v>
      </c>
      <c r="G10" s="64">
        <f t="shared" si="2"/>
        <v>0.29786986393074294</v>
      </c>
      <c r="H10" s="64">
        <f t="shared" si="2"/>
        <v>5.4389650516982406E-2</v>
      </c>
      <c r="I10" s="64">
        <f t="shared" si="2"/>
        <v>7.411355027948141E-2</v>
      </c>
      <c r="J10" s="64">
        <f t="shared" si="2"/>
        <v>0.32774302257147814</v>
      </c>
      <c r="K10" s="64">
        <f t="shared" si="2"/>
        <v>0.1913191430229286</v>
      </c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7.3041049808513558E-2</v>
      </c>
      <c r="E11" s="69">
        <f t="shared" ref="E11:K11" si="3">IF(E9-E10&lt;0,0,E9-E10)</f>
        <v>0.17851787565177632</v>
      </c>
      <c r="F11" s="69">
        <f t="shared" si="3"/>
        <v>0.26180344318285675</v>
      </c>
      <c r="G11" s="69">
        <f t="shared" si="3"/>
        <v>0.18271660534944906</v>
      </c>
      <c r="H11" s="69">
        <f t="shared" si="3"/>
        <v>3.7646138388709664E-2</v>
      </c>
      <c r="I11" s="69">
        <f t="shared" si="3"/>
        <v>0.14310603897802252</v>
      </c>
      <c r="J11" s="69">
        <f t="shared" si="3"/>
        <v>0</v>
      </c>
      <c r="K11" s="69">
        <f t="shared" si="3"/>
        <v>0.16062585393003989</v>
      </c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0.40274033934825021</v>
      </c>
      <c r="E12" s="71">
        <f t="shared" ref="E12:K12" si="4">E9+E10</f>
        <v>0.43481152865622152</v>
      </c>
      <c r="F12" s="71">
        <f t="shared" si="4"/>
        <v>0.55358633215551634</v>
      </c>
      <c r="G12" s="71">
        <f t="shared" si="4"/>
        <v>0.77845633321093488</v>
      </c>
      <c r="H12" s="71">
        <f t="shared" si="4"/>
        <v>0.14642543942267447</v>
      </c>
      <c r="I12" s="71">
        <f t="shared" si="4"/>
        <v>0.29133313953698536</v>
      </c>
      <c r="J12" s="71">
        <f t="shared" si="4"/>
        <v>0.61736975164305075</v>
      </c>
      <c r="K12" s="71">
        <f t="shared" si="4"/>
        <v>0.54326413997589706</v>
      </c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0.10270336011685192</v>
      </c>
      <c r="E13" s="69">
        <f t="shared" ref="E13:K13" si="5">IFERROR((VLOOKUP(E6,$C$49:$D$78,2,FALSE)/E7)*100000,E11)</f>
        <v>0.19218537490944679</v>
      </c>
      <c r="F13" s="69">
        <f t="shared" si="5"/>
        <v>0.26180344318285675</v>
      </c>
      <c r="G13" s="69">
        <f t="shared" si="5"/>
        <v>0.23046043547862327</v>
      </c>
      <c r="H13" s="69">
        <f t="shared" si="5"/>
        <v>4.5944265821721487E-2</v>
      </c>
      <c r="I13" s="69">
        <f t="shared" si="5"/>
        <v>0.14310603897802252</v>
      </c>
      <c r="J13" s="69">
        <f t="shared" si="5"/>
        <v>5.9730685758860647E-2</v>
      </c>
      <c r="K13" s="69">
        <f t="shared" si="5"/>
        <v>0.18739717453141908</v>
      </c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0.46873982459724356</v>
      </c>
      <c r="E14" s="71">
        <f t="shared" ref="E14:K14" si="6">IFERROR((VLOOKUP(E6,$C$49:$E$78,3,FALSE)/E7)*100000,E12)</f>
        <v>0.46429454085254745</v>
      </c>
      <c r="F14" s="71">
        <f t="shared" si="6"/>
        <v>0.55358633215551634</v>
      </c>
      <c r="G14" s="71">
        <f t="shared" si="6"/>
        <v>0.88381774046504424</v>
      </c>
      <c r="H14" s="71">
        <f t="shared" si="6"/>
        <v>0.16467712702198467</v>
      </c>
      <c r="I14" s="71">
        <f t="shared" si="6"/>
        <v>0.29133313953698536</v>
      </c>
      <c r="J14" s="71">
        <f t="shared" si="6"/>
        <v>0.84641480726306595</v>
      </c>
      <c r="K14" s="71">
        <f t="shared" si="6"/>
        <v>0.60183677386640544</v>
      </c>
      <c r="L14" s="71"/>
      <c r="M14" s="72"/>
    </row>
    <row r="15" spans="2:14" ht="16" x14ac:dyDescent="0.2">
      <c r="C15" s="66" t="s">
        <v>12</v>
      </c>
      <c r="D15" s="67">
        <f>100000*SQRT((D8*(1-D8))/D7)</f>
        <v>8.4106961617279763E-2</v>
      </c>
      <c r="E15" s="67">
        <f t="shared" ref="E15:K15" si="7">100000*SQRT((E8*(1-E8))/E7)</f>
        <v>6.5381033929705429E-2</v>
      </c>
      <c r="F15" s="67">
        <f t="shared" si="7"/>
        <v>7.4434410452209096E-2</v>
      </c>
      <c r="G15" s="67">
        <f t="shared" si="7"/>
        <v>0.15197442037282802</v>
      </c>
      <c r="H15" s="67">
        <f t="shared" si="7"/>
        <v>2.7749821692337966E-2</v>
      </c>
      <c r="I15" s="67">
        <f t="shared" si="7"/>
        <v>3.7813035856878272E-2</v>
      </c>
      <c r="J15" s="67">
        <f t="shared" si="7"/>
        <v>0.1672158278425909</v>
      </c>
      <c r="K15" s="67">
        <f t="shared" si="7"/>
        <v>9.7611807664759506E-2</v>
      </c>
      <c r="L15" s="67"/>
      <c r="M15" s="73"/>
    </row>
    <row r="16" spans="2:14" ht="16" x14ac:dyDescent="0.2">
      <c r="C16" s="8" t="s">
        <v>13</v>
      </c>
      <c r="D16" s="17">
        <f>D7/SUM($D$7:$M$7)</f>
        <v>6.4858620275731069E-2</v>
      </c>
      <c r="E16" s="17">
        <f t="shared" ref="E16:K16" si="8">E7/SUM($D$7:$M$7)</f>
        <v>0.1383611182690429</v>
      </c>
      <c r="F16" s="17">
        <f t="shared" si="8"/>
        <v>0.1419192025714294</v>
      </c>
      <c r="G16" s="17">
        <f t="shared" si="8"/>
        <v>4.0131337472678622E-2</v>
      </c>
      <c r="H16" s="17">
        <f t="shared" si="8"/>
        <v>0.23051071560405828</v>
      </c>
      <c r="I16" s="17">
        <f t="shared" si="8"/>
        <v>0.29300168968672663</v>
      </c>
      <c r="J16" s="17">
        <f t="shared" si="8"/>
        <v>1.9977345853379833E-2</v>
      </c>
      <c r="K16" s="17">
        <f t="shared" si="8"/>
        <v>7.1239970266953237E-2</v>
      </c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1.5429262226789186E-2</v>
      </c>
      <c r="E17" s="15">
        <f>E9*E16</f>
        <v>4.2430471123670266E-2</v>
      </c>
      <c r="F17" s="15">
        <f t="shared" ref="F17:K17" si="9">F9*F16</f>
        <v>5.7859733350459436E-2</v>
      </c>
      <c r="G17" s="15">
        <f t="shared" si="9"/>
        <v>1.9286577783486483E-2</v>
      </c>
      <c r="H17" s="15">
        <f t="shared" si="9"/>
        <v>2.1215235561835126E-2</v>
      </c>
      <c r="I17" s="15">
        <f t="shared" si="9"/>
        <v>6.3645706685505385E-2</v>
      </c>
      <c r="J17" s="15">
        <f t="shared" si="9"/>
        <v>5.7859733350459439E-3</v>
      </c>
      <c r="K17" s="15">
        <f t="shared" si="9"/>
        <v>2.5072551118532422E-2</v>
      </c>
      <c r="L17" s="15"/>
      <c r="M17" s="45"/>
    </row>
    <row r="18" spans="3:14" ht="16" x14ac:dyDescent="0.2">
      <c r="C18" s="8" t="s">
        <v>15</v>
      </c>
      <c r="D18" s="26">
        <f>SUM(D17:M17)</f>
        <v>0.25072551118532421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1.0691920512718046E-2</v>
      </c>
      <c r="E19" s="21">
        <f>E$16*E13</f>
        <v>2.6590983387426319E-2</v>
      </c>
      <c r="F19" s="21">
        <f>F$16*F13</f>
        <v>3.7154935886965557E-2</v>
      </c>
      <c r="G19" s="21">
        <f t="shared" ref="G19:K19" si="10">G$16*G13</f>
        <v>9.2486855102931077E-3</v>
      </c>
      <c r="H19" s="21">
        <f t="shared" si="10"/>
        <v>1.0590645592468096E-2</v>
      </c>
      <c r="I19" s="21">
        <f t="shared" si="10"/>
        <v>4.1930311224935159E-2</v>
      </c>
      <c r="J19" s="21">
        <f t="shared" si="10"/>
        <v>1.1932605674643086E-3</v>
      </c>
      <c r="K19" s="21">
        <f t="shared" si="10"/>
        <v>1.3350169141729342E-2</v>
      </c>
      <c r="L19" s="21"/>
      <c r="M19" s="34"/>
    </row>
    <row r="20" spans="3:14" ht="16" x14ac:dyDescent="0.2">
      <c r="C20" s="25" t="s">
        <v>17</v>
      </c>
      <c r="D20" s="21">
        <f>D$16*D14</f>
        <v>3.0401818291665404E-2</v>
      </c>
      <c r="E20" s="21">
        <f t="shared" ref="E20:K20" si="11">E$16*E14</f>
        <v>6.4240311878570294E-2</v>
      </c>
      <c r="F20" s="21">
        <f t="shared" si="11"/>
        <v>7.8564530813953329E-2</v>
      </c>
      <c r="G20" s="21">
        <f t="shared" si="11"/>
        <v>3.5468788006942975E-2</v>
      </c>
      <c r="H20" s="21">
        <f t="shared" si="11"/>
        <v>3.7959842393458086E-2</v>
      </c>
      <c r="I20" s="21">
        <f t="shared" si="11"/>
        <v>8.5361102146075618E-2</v>
      </c>
      <c r="J20" s="21">
        <f t="shared" si="11"/>
        <v>1.6909121340116101E-2</v>
      </c>
      <c r="K20" s="21">
        <f t="shared" si="11"/>
        <v>4.2874833875801779E-2</v>
      </c>
      <c r="L20" s="21"/>
      <c r="M20" s="34"/>
    </row>
    <row r="21" spans="3:14" ht="16" x14ac:dyDescent="0.2">
      <c r="C21" s="8" t="s">
        <v>18</v>
      </c>
      <c r="D21" s="26">
        <f>SUM(D19:M19)</f>
        <v>0.15075091182399994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0.39178034874658357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141.36311661871247</v>
      </c>
      <c r="E28" s="30">
        <f>1/(E15^2)</f>
        <v>233.93566164210452</v>
      </c>
      <c r="F28" s="30">
        <f t="shared" ref="F28:K28" si="12">1/(F15^2)</f>
        <v>180.48972951785336</v>
      </c>
      <c r="G28" s="30">
        <f t="shared" si="12"/>
        <v>43.297119936910008</v>
      </c>
      <c r="H28" s="30">
        <f t="shared" si="12"/>
        <v>1298.6125816106244</v>
      </c>
      <c r="I28" s="30">
        <f t="shared" si="12"/>
        <v>699.38595556693656</v>
      </c>
      <c r="J28" s="30">
        <f t="shared" si="12"/>
        <v>35.763929777099996</v>
      </c>
      <c r="K28" s="30">
        <f t="shared" si="12"/>
        <v>104.95310437782304</v>
      </c>
      <c r="L28" s="30"/>
      <c r="M28" s="31"/>
      <c r="N28" s="28">
        <f>SUM(D28:M28)</f>
        <v>2737.8011990480645</v>
      </c>
    </row>
    <row r="29" spans="3:14" ht="16" x14ac:dyDescent="0.2">
      <c r="C29" s="8" t="s">
        <v>13</v>
      </c>
      <c r="D29" s="22">
        <f>D28/$N28</f>
        <v>5.1633813539078192E-2</v>
      </c>
      <c r="E29" s="22">
        <f t="shared" ref="E29:K29" si="13">E28/$N28</f>
        <v>8.5446548026731864E-2</v>
      </c>
      <c r="F29" s="22">
        <f t="shared" si="13"/>
        <v>6.5925067744367183E-2</v>
      </c>
      <c r="G29" s="22">
        <f t="shared" si="13"/>
        <v>1.5814559491012146E-2</v>
      </c>
      <c r="H29" s="22">
        <f t="shared" si="13"/>
        <v>0.47432683646356533</v>
      </c>
      <c r="I29" s="22">
        <f t="shared" si="13"/>
        <v>0.25545534709025386</v>
      </c>
      <c r="J29" s="22">
        <f t="shared" si="13"/>
        <v>1.3063011948981226E-2</v>
      </c>
      <c r="K29" s="22">
        <f t="shared" si="13"/>
        <v>3.8334815696010105E-2</v>
      </c>
      <c r="L29" s="22"/>
      <c r="M29" s="32"/>
      <c r="N29" s="23">
        <f>SUM(D29:M29)</f>
        <v>0.99999999999999978</v>
      </c>
    </row>
    <row r="30" spans="3:14" ht="16" x14ac:dyDescent="0.2">
      <c r="C30" s="33" t="s">
        <v>14</v>
      </c>
      <c r="D30" s="21">
        <f>D29*D9</f>
        <v>1.228320376654197E-2</v>
      </c>
      <c r="E30" s="21">
        <f t="shared" ref="E30:K30" si="14">E29*E9</f>
        <v>2.6203440200705093E-2</v>
      </c>
      <c r="F30" s="21">
        <f t="shared" si="14"/>
        <v>2.6877313088623293E-2</v>
      </c>
      <c r="G30" s="21">
        <f t="shared" si="14"/>
        <v>7.6002633090070781E-3</v>
      </c>
      <c r="H30" s="21">
        <f t="shared" si="14"/>
        <v>4.365504459306542E-2</v>
      </c>
      <c r="I30" s="21">
        <f t="shared" si="14"/>
        <v>5.5489905568578045E-2</v>
      </c>
      <c r="J30" s="21">
        <f t="shared" si="14"/>
        <v>3.7833974226063006E-3</v>
      </c>
      <c r="K30" s="21">
        <f t="shared" si="14"/>
        <v>1.3491746593324885E-2</v>
      </c>
      <c r="L30" s="21"/>
      <c r="M30" s="34"/>
      <c r="N30" s="28">
        <f>SUM(D30:M30)</f>
        <v>0.18938431454245208</v>
      </c>
    </row>
    <row r="31" spans="3:14" ht="16" x14ac:dyDescent="0.2">
      <c r="C31" s="35" t="s">
        <v>24</v>
      </c>
      <c r="D31" s="27">
        <f>SUM(D30:M30)</f>
        <v>0.18938431454245208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1.9111687930301748E-2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3.7458908343391425E-2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0.15192540619906064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0.22684322288584352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8.0000190313008392</v>
      </c>
      <c r="E36" s="21">
        <f t="shared" ref="E36:K36" si="15">E28*(E9^2)</f>
        <v>22.000067466441369</v>
      </c>
      <c r="F36" s="21">
        <f t="shared" si="15"/>
        <v>30.000122308964947</v>
      </c>
      <c r="G36" s="21">
        <f t="shared" si="15"/>
        <v>10.000048058877892</v>
      </c>
      <c r="H36" s="21">
        <f t="shared" si="15"/>
        <v>11.000010123946096</v>
      </c>
      <c r="I36" s="21">
        <f t="shared" si="15"/>
        <v>33.000071682620167</v>
      </c>
      <c r="J36" s="21">
        <f t="shared" si="15"/>
        <v>3.0000086888270365</v>
      </c>
      <c r="K36" s="21">
        <f t="shared" si="15"/>
        <v>13.000045753010623</v>
      </c>
      <c r="L36" s="21"/>
      <c r="M36" s="34"/>
      <c r="N36" s="28">
        <f>SUM(D36:M36)</f>
        <v>130.00039311398896</v>
      </c>
    </row>
    <row r="37" spans="3:14" ht="16" x14ac:dyDescent="0.2">
      <c r="C37" s="57" t="s">
        <v>28</v>
      </c>
      <c r="D37" s="21">
        <f>D28*D9</f>
        <v>33.628970000190307</v>
      </c>
      <c r="E37" s="21">
        <f t="shared" ref="E37:K37" si="16">E28*E9</f>
        <v>71.739810000674652</v>
      </c>
      <c r="F37" s="21">
        <f t="shared" si="16"/>
        <v>73.584740001223096</v>
      </c>
      <c r="G37" s="21">
        <f t="shared" si="16"/>
        <v>20.808010000480589</v>
      </c>
      <c r="H37" s="21">
        <f t="shared" si="16"/>
        <v>119.51883343139124</v>
      </c>
      <c r="I37" s="21">
        <f t="shared" si="16"/>
        <v>151.92033000071686</v>
      </c>
      <c r="J37" s="21">
        <f t="shared" si="16"/>
        <v>10.358190000086887</v>
      </c>
      <c r="K37" s="21">
        <f t="shared" si="16"/>
        <v>36.93772000045751</v>
      </c>
      <c r="L37" s="21"/>
      <c r="M37" s="34"/>
      <c r="N37" s="28">
        <f>SUM(D37:M37)</f>
        <v>518.49660343522112</v>
      </c>
    </row>
    <row r="38" spans="3:14" ht="16" x14ac:dyDescent="0.2">
      <c r="C38" s="42" t="s">
        <v>29</v>
      </c>
      <c r="D38" s="62">
        <f>(N36-((N37^2)/N28))</f>
        <v>31.805269279819996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7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0.77991068277351761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F333-293B-4893-B9F0-9BE44AE0CDD1}">
  <sheetPr>
    <tabColor theme="0"/>
  </sheetPr>
  <dimension ref="B2:N78"/>
  <sheetViews>
    <sheetView zoomScale="85" zoomScaleNormal="85" workbookViewId="0">
      <selection activeCell="D19" sqref="D19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76">
        <v>2</v>
      </c>
      <c r="E6" s="76">
        <v>2</v>
      </c>
      <c r="F6" s="76">
        <v>4</v>
      </c>
      <c r="G6" s="76">
        <v>4</v>
      </c>
      <c r="H6" s="76">
        <v>4</v>
      </c>
      <c r="I6" s="77">
        <v>9</v>
      </c>
      <c r="J6" s="14"/>
      <c r="K6" s="14"/>
      <c r="L6" s="14"/>
      <c r="M6" s="43"/>
    </row>
    <row r="7" spans="2:14" ht="16" x14ac:dyDescent="0.2">
      <c r="C7" s="42" t="s">
        <v>4</v>
      </c>
      <c r="D7" s="75">
        <v>16579</v>
      </c>
      <c r="E7" s="75">
        <v>23799601.5</v>
      </c>
      <c r="F7" s="75">
        <v>23840688.5</v>
      </c>
      <c r="G7" s="75">
        <v>23876653.5</v>
      </c>
      <c r="H7" s="75">
        <v>23908336</v>
      </c>
      <c r="I7" s="78">
        <v>465800</v>
      </c>
      <c r="J7" s="5"/>
      <c r="K7" s="5"/>
      <c r="L7" s="5"/>
      <c r="M7" s="44"/>
    </row>
    <row r="8" spans="2:14" ht="16" x14ac:dyDescent="0.2">
      <c r="C8" s="8" t="s">
        <v>5</v>
      </c>
      <c r="D8" s="74">
        <f>D6/D7</f>
        <v>1.2063453766813439E-4</v>
      </c>
      <c r="E8" s="74">
        <f t="shared" ref="E8:H8" si="0">E6/E7</f>
        <v>8.4035020502339087E-8</v>
      </c>
      <c r="F8" s="74">
        <f t="shared" si="0"/>
        <v>1.6778038939605288E-7</v>
      </c>
      <c r="G8" s="74">
        <f t="shared" si="0"/>
        <v>1.6752766462854603E-7</v>
      </c>
      <c r="H8" s="74">
        <f t="shared" si="0"/>
        <v>1.6730566276130635E-7</v>
      </c>
      <c r="I8" s="74">
        <f t="shared" ref="I8" si="1">I6/I7</f>
        <v>1.9321597252039502E-5</v>
      </c>
      <c r="J8" s="74"/>
      <c r="K8" s="74"/>
      <c r="L8" s="15"/>
      <c r="M8" s="45"/>
    </row>
    <row r="9" spans="2:14" ht="16" x14ac:dyDescent="0.2">
      <c r="C9" s="8" t="s">
        <v>6</v>
      </c>
      <c r="D9" s="16">
        <f>(D6/D7)*100000</f>
        <v>12.063453766813439</v>
      </c>
      <c r="E9" s="16">
        <f t="shared" ref="E9:H9" si="2">E6/E7*100000</f>
        <v>8.4035020502339092E-3</v>
      </c>
      <c r="F9" s="16">
        <f t="shared" si="2"/>
        <v>1.6778038939605288E-2</v>
      </c>
      <c r="G9" s="16">
        <f t="shared" si="2"/>
        <v>1.6752766462854604E-2</v>
      </c>
      <c r="H9" s="16">
        <f t="shared" si="2"/>
        <v>1.6730566276130635E-2</v>
      </c>
      <c r="I9" s="16">
        <f t="shared" ref="I9" si="3">I6/I7*100000</f>
        <v>1.9321597252039502</v>
      </c>
      <c r="J9" s="16"/>
      <c r="K9" s="16"/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16.718085447068198</v>
      </c>
      <c r="E10" s="64">
        <f t="shared" ref="E10:H10" si="4">((1.96*(SQRT((E8*(1-E8))/E7))))*100000</f>
        <v>1.1646659150089833E-2</v>
      </c>
      <c r="F10" s="64">
        <f t="shared" si="4"/>
        <v>1.644247678145043E-2</v>
      </c>
      <c r="G10" s="64">
        <f t="shared" si="4"/>
        <v>1.641770975838705E-2</v>
      </c>
      <c r="H10" s="64">
        <f t="shared" si="4"/>
        <v>1.6395953579039908E-2</v>
      </c>
      <c r="I10" s="64">
        <f t="shared" ref="I10" si="5">((1.96*(SQRT((I8*(1-I8))/I7))))*100000</f>
        <v>1.2623321584864069</v>
      </c>
      <c r="J10" s="64"/>
      <c r="K10" s="64"/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H11" si="6">IF(E9-E10&lt;0,0,E9-E10)</f>
        <v>0</v>
      </c>
      <c r="F11" s="69">
        <f t="shared" si="6"/>
        <v>3.3556215815485832E-4</v>
      </c>
      <c r="G11" s="69">
        <f t="shared" si="6"/>
        <v>3.3505670446755398E-4</v>
      </c>
      <c r="H11" s="69">
        <f t="shared" si="6"/>
        <v>3.3461269709072691E-4</v>
      </c>
      <c r="I11" s="69">
        <f t="shared" ref="I11" si="7">IF(I9-I10&lt;0,0,I9-I10)</f>
        <v>0.66982756671754329</v>
      </c>
      <c r="J11" s="69"/>
      <c r="K11" s="69"/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28.781539213881636</v>
      </c>
      <c r="E12" s="71">
        <f t="shared" ref="E12:H12" si="8">E9+E10</f>
        <v>2.0050161200323741E-2</v>
      </c>
      <c r="F12" s="71">
        <f t="shared" si="8"/>
        <v>3.3220515721055721E-2</v>
      </c>
      <c r="G12" s="71">
        <f t="shared" si="8"/>
        <v>3.3170476221241654E-2</v>
      </c>
      <c r="H12" s="71">
        <f t="shared" si="8"/>
        <v>3.3126519855170539E-2</v>
      </c>
      <c r="I12" s="71">
        <f t="shared" ref="I12" si="9">I9+I10</f>
        <v>3.1944918836903571</v>
      </c>
      <c r="J12" s="71"/>
      <c r="K12" s="71"/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1.4608842511611075</v>
      </c>
      <c r="E13" s="69">
        <f t="shared" ref="E13:H13" si="10">IFERROR((VLOOKUP(E6,$C$49:$D$78,2,FALSE)/E7)*100000,E11)</f>
        <v>1.0176640982833263E-3</v>
      </c>
      <c r="F13" s="69">
        <f t="shared" si="10"/>
        <v>4.5715961600689518E-3</v>
      </c>
      <c r="G13" s="69">
        <f t="shared" si="10"/>
        <v>4.5647100419663085E-3</v>
      </c>
      <c r="H13" s="69">
        <f t="shared" si="10"/>
        <v>4.5586610460886948E-3</v>
      </c>
      <c r="I13" s="69">
        <f t="shared" ref="I13" si="11">IFERROR((VLOOKUP(I6,$C$49:$D$78,2,FALSE)/I7)*100000,I11)</f>
        <v>0.88351223701159298</v>
      </c>
      <c r="J13" s="69"/>
      <c r="K13" s="69"/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43.577417214548525</v>
      </c>
      <c r="E14" s="71">
        <f t="shared" ref="E14:H14" si="12">IFERROR((VLOOKUP(E6,$C$49:$E$78,3,FALSE)/E7)*100000,E12)</f>
        <v>3.0356390631162463E-2</v>
      </c>
      <c r="F14" s="71">
        <f t="shared" si="12"/>
        <v>4.2958490900965381E-2</v>
      </c>
      <c r="G14" s="71">
        <f t="shared" si="12"/>
        <v>4.2893783251492928E-2</v>
      </c>
      <c r="H14" s="71">
        <f t="shared" si="12"/>
        <v>4.2836941893404874E-2</v>
      </c>
      <c r="I14" s="71">
        <f t="shared" ref="I14" si="13">IFERROR((VLOOKUP(I6,$C$49:$E$78,3,FALSE)/I7)*100000,I12)</f>
        <v>3.6678402747960499</v>
      </c>
      <c r="J14" s="71"/>
      <c r="K14" s="71"/>
      <c r="L14" s="71"/>
      <c r="M14" s="72"/>
    </row>
    <row r="15" spans="2:14" ht="16" x14ac:dyDescent="0.2">
      <c r="C15" s="66" t="s">
        <v>12</v>
      </c>
      <c r="D15" s="67">
        <f>100000*SQRT((D8*(1-D8))/D7)</f>
        <v>8.5296354321776509</v>
      </c>
      <c r="E15" s="67">
        <f t="shared" ref="E15:H15" si="14">100000*SQRT((E8*(1-E8))/E7)</f>
        <v>5.9421730357601191E-3</v>
      </c>
      <c r="F15" s="67">
        <f t="shared" si="14"/>
        <v>8.3890187660461378E-3</v>
      </c>
      <c r="G15" s="67">
        <f t="shared" si="14"/>
        <v>8.3763825297893113E-3</v>
      </c>
      <c r="H15" s="67">
        <f t="shared" si="14"/>
        <v>8.3652824382856681E-3</v>
      </c>
      <c r="I15" s="67">
        <f t="shared" ref="I15" si="15">100000*SQRT((I8*(1-I8))/I7)</f>
        <v>0.64404701963592181</v>
      </c>
      <c r="J15" s="67"/>
      <c r="K15" s="67"/>
      <c r="L15" s="67"/>
      <c r="M15" s="73"/>
    </row>
    <row r="16" spans="2:14" ht="16" x14ac:dyDescent="0.2">
      <c r="C16" s="8" t="s">
        <v>13</v>
      </c>
      <c r="D16" s="17">
        <f>D7/SUM($D$7:$M$7)</f>
        <v>1.7286419311342066E-4</v>
      </c>
      <c r="E16" s="17">
        <f t="shared" ref="E16:H16" si="16">E7/SUM($D$7:$M$7)</f>
        <v>0.24815120994743084</v>
      </c>
      <c r="F16" s="17">
        <f t="shared" si="16"/>
        <v>0.24857961160630357</v>
      </c>
      <c r="G16" s="17">
        <f t="shared" si="16"/>
        <v>0.24895460772822434</v>
      </c>
      <c r="H16" s="17">
        <f t="shared" si="16"/>
        <v>0.24928495152449165</v>
      </c>
      <c r="I16" s="17">
        <f t="shared" ref="I16" si="17">I7/SUM($D$7:$M$7)</f>
        <v>4.8567550004361745E-3</v>
      </c>
      <c r="J16" s="17"/>
      <c r="K16" s="17"/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2.0853392015612602E-3</v>
      </c>
      <c r="E17" s="15">
        <f>E9*E16</f>
        <v>2.0853392015612602E-3</v>
      </c>
      <c r="F17" s="15">
        <f t="shared" ref="F17:H17" si="18">F9*F16</f>
        <v>4.1706784031225195E-3</v>
      </c>
      <c r="G17" s="15">
        <f t="shared" si="18"/>
        <v>4.1706784031225203E-3</v>
      </c>
      <c r="H17" s="15">
        <f t="shared" si="18"/>
        <v>4.1706784031225203E-3</v>
      </c>
      <c r="I17" s="15">
        <f t="shared" ref="I17" si="19">I9*I16</f>
        <v>9.3840264070256703E-3</v>
      </c>
      <c r="J17" s="15"/>
      <c r="K17" s="15"/>
      <c r="L17" s="15"/>
      <c r="M17" s="45"/>
    </row>
    <row r="18" spans="3:14" ht="16" x14ac:dyDescent="0.2">
      <c r="C18" s="8" t="s">
        <v>15</v>
      </c>
      <c r="D18" s="26">
        <f>SUM(D17:M17)</f>
        <v>2.6066740019515752E-2</v>
      </c>
      <c r="E18" s="18"/>
      <c r="F18" s="18"/>
      <c r="G18" s="18"/>
      <c r="H18" s="19"/>
      <c r="I18" s="19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2.8899583512086643E-3</v>
      </c>
      <c r="E19" s="21">
        <f t="shared" ref="E19:H20" si="20">E$16*E13</f>
        <v>2.5253457730906861E-4</v>
      </c>
      <c r="F19" s="21">
        <f t="shared" si="20"/>
        <v>1.1364055978908087E-3</v>
      </c>
      <c r="G19" s="21">
        <f t="shared" si="20"/>
        <v>1.1364055978908087E-3</v>
      </c>
      <c r="H19" s="21">
        <f t="shared" si="20"/>
        <v>1.1364055978908087E-3</v>
      </c>
      <c r="I19" s="21">
        <f t="shared" ref="I19" si="21">I$16*I13</f>
        <v>4.2910024750526044E-3</v>
      </c>
      <c r="J19" s="21"/>
      <c r="K19" s="21"/>
      <c r="L19" s="21"/>
      <c r="M19" s="34"/>
    </row>
    <row r="20" spans="3:14" ht="16" x14ac:dyDescent="0.2">
      <c r="C20" s="25" t="s">
        <v>17</v>
      </c>
      <c r="D20" s="21">
        <f>D$16*D14</f>
        <v>7.5329750647598181E-3</v>
      </c>
      <c r="E20" s="21">
        <f t="shared" si="20"/>
        <v>7.5329750647598189E-3</v>
      </c>
      <c r="F20" s="21">
        <f t="shared" si="20"/>
        <v>1.0678604983354901E-2</v>
      </c>
      <c r="G20" s="21">
        <f t="shared" si="20"/>
        <v>1.0678604983354901E-2</v>
      </c>
      <c r="H20" s="21">
        <f t="shared" si="20"/>
        <v>1.0678604983354899E-2</v>
      </c>
      <c r="I20" s="21">
        <f t="shared" ref="I20" si="22">I$16*I14</f>
        <v>1.7813801595416907E-2</v>
      </c>
      <c r="J20" s="21"/>
      <c r="K20" s="21"/>
      <c r="L20" s="21"/>
      <c r="M20" s="34"/>
    </row>
    <row r="21" spans="3:14" ht="16" x14ac:dyDescent="0.2">
      <c r="C21" s="8" t="s">
        <v>18</v>
      </c>
      <c r="D21" s="26">
        <f>SUM(D19:M19)</f>
        <v>1.0842712197242765E-2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6.4915566675001243E-2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1.374482015002413E-2</v>
      </c>
      <c r="E28" s="30">
        <f t="shared" ref="E28:H28" si="23">1/(E15^2)</f>
        <v>28321.053957900469</v>
      </c>
      <c r="F28" s="30">
        <f t="shared" si="23"/>
        <v>14209.463087920059</v>
      </c>
      <c r="G28" s="30">
        <f t="shared" si="23"/>
        <v>14252.366946642309</v>
      </c>
      <c r="H28" s="30">
        <f t="shared" si="23"/>
        <v>14290.215648056401</v>
      </c>
      <c r="I28" s="30"/>
      <c r="J28" s="30"/>
      <c r="K28" s="30"/>
      <c r="L28" s="30"/>
      <c r="M28" s="31"/>
      <c r="N28" s="28">
        <f>SUM(D28:M28)</f>
        <v>71073.113385339384</v>
      </c>
    </row>
    <row r="29" spans="3:14" ht="16" x14ac:dyDescent="0.2">
      <c r="C29" s="8" t="s">
        <v>13</v>
      </c>
      <c r="D29" s="22">
        <f>D28/$N28</f>
        <v>1.9338986988656873E-7</v>
      </c>
      <c r="E29" s="22">
        <f t="shared" ref="E29:H29" si="24">E28/$N28</f>
        <v>0.3984777450841544</v>
      </c>
      <c r="F29" s="22">
        <f t="shared" si="24"/>
        <v>0.1999274044867031</v>
      </c>
      <c r="G29" s="22">
        <f t="shared" si="24"/>
        <v>0.2005310625604621</v>
      </c>
      <c r="H29" s="22">
        <f t="shared" si="24"/>
        <v>0.20106359447881056</v>
      </c>
      <c r="I29" s="22"/>
      <c r="J29" s="22"/>
      <c r="K29" s="22"/>
      <c r="L29" s="22"/>
      <c r="M29" s="32"/>
      <c r="N29" s="23">
        <f>SUM(D29:M29)</f>
        <v>1.0000000000000002</v>
      </c>
    </row>
    <row r="30" spans="3:14" ht="16" x14ac:dyDescent="0.2">
      <c r="C30" s="33" t="s">
        <v>14</v>
      </c>
      <c r="D30" s="21">
        <f>D29*D9</f>
        <v>2.3329497543466885E-6</v>
      </c>
      <c r="E30" s="21">
        <f t="shared" ref="E30:H30" si="25">E29*E9</f>
        <v>3.3486085477872764E-3</v>
      </c>
      <c r="F30" s="21">
        <f t="shared" si="25"/>
        <v>3.3543897775721214E-3</v>
      </c>
      <c r="G30" s="21">
        <f t="shared" si="25"/>
        <v>3.3594500596235079E-3</v>
      </c>
      <c r="H30" s="21">
        <f t="shared" si="25"/>
        <v>3.3639077931447935E-3</v>
      </c>
      <c r="I30" s="21"/>
      <c r="J30" s="21"/>
      <c r="K30" s="21"/>
      <c r="L30" s="21"/>
      <c r="M30" s="34"/>
      <c r="N30" s="28">
        <f>SUM(D30:M30)</f>
        <v>1.3428689127882046E-2</v>
      </c>
    </row>
    <row r="31" spans="3:14" ht="16" x14ac:dyDescent="0.2">
      <c r="C31" s="35" t="s">
        <v>24</v>
      </c>
      <c r="D31" s="27">
        <f>SUM(D30:M30)</f>
        <v>1.3428689127882046E-2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3.7510022948548313E-3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7.3519644979154692E-3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6.0767246299665767E-3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2.0780653625797514E-2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2.000241298184231</v>
      </c>
      <c r="E36" s="21">
        <f t="shared" ref="E36:H36" si="26">E28*(E9^2)</f>
        <v>2.0000001680700557</v>
      </c>
      <c r="F36" s="21">
        <f t="shared" si="26"/>
        <v>4.0000006711216702</v>
      </c>
      <c r="G36" s="21">
        <f t="shared" si="26"/>
        <v>4.0000006701107713</v>
      </c>
      <c r="H36" s="21">
        <f t="shared" si="26"/>
        <v>4.0000006692227634</v>
      </c>
      <c r="I36" s="21"/>
      <c r="J36" s="21"/>
      <c r="K36" s="21"/>
      <c r="L36" s="21"/>
      <c r="M36" s="34"/>
      <c r="N36" s="28">
        <f>SUM(D36:M36)</f>
        <v>16.000243476709493</v>
      </c>
    </row>
    <row r="37" spans="3:14" ht="16" x14ac:dyDescent="0.2">
      <c r="C37" s="57" t="s">
        <v>28</v>
      </c>
      <c r="D37" s="21">
        <f>D28*D9</f>
        <v>0.16581000241298183</v>
      </c>
      <c r="E37" s="21">
        <f t="shared" ref="E37:H37" si="27">E28*E9</f>
        <v>237.99603500000177</v>
      </c>
      <c r="F37" s="21">
        <f t="shared" si="27"/>
        <v>238.40692500000677</v>
      </c>
      <c r="G37" s="21">
        <f t="shared" si="27"/>
        <v>238.76657500000675</v>
      </c>
      <c r="H37" s="21">
        <f t="shared" si="27"/>
        <v>239.08340000000669</v>
      </c>
      <c r="I37" s="21"/>
      <c r="J37" s="21"/>
      <c r="K37" s="21"/>
      <c r="L37" s="21"/>
      <c r="M37" s="34"/>
      <c r="N37" s="28">
        <f>SUM(D37:M37)</f>
        <v>954.418745002435</v>
      </c>
    </row>
    <row r="38" spans="3:14" ht="16" x14ac:dyDescent="0.2">
      <c r="C38" s="42" t="s">
        <v>29</v>
      </c>
      <c r="D38" s="62">
        <f>(N36-((N37^2)/N28))</f>
        <v>3.1836508522484657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5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4e3d43-a237-43ab-a7a6-573be7bf6622">
      <Terms xmlns="http://schemas.microsoft.com/office/infopath/2007/PartnerControls"/>
    </lcf76f155ced4ddcb4097134ff3c332f>
    <TaxCatchAll xmlns="7652fdb5-7de5-4fe4-8faa-42c0d4a41c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9972C995E494E853D6F7C6814115F" ma:contentTypeVersion="12" ma:contentTypeDescription="Een nieuw document maken." ma:contentTypeScope="" ma:versionID="538331fc669173c4e7338fbcbb8cddc3">
  <xsd:schema xmlns:xsd="http://www.w3.org/2001/XMLSchema" xmlns:xs="http://www.w3.org/2001/XMLSchema" xmlns:p="http://schemas.microsoft.com/office/2006/metadata/properties" xmlns:ns2="e34e3d43-a237-43ab-a7a6-573be7bf6622" xmlns:ns3="7652fdb5-7de5-4fe4-8faa-42c0d4a41c0a" targetNamespace="http://schemas.microsoft.com/office/2006/metadata/properties" ma:root="true" ma:fieldsID="74988d3b0b135cc94c1631b9891d0865" ns2:_="" ns3:_="">
    <xsd:import namespace="e34e3d43-a237-43ab-a7a6-573be7bf6622"/>
    <xsd:import namespace="7652fdb5-7de5-4fe4-8faa-42c0d4a41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e3d43-a237-43ab-a7a6-573be7bf6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720ba200-fa44-4045-95e7-1e83a1a2c2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2fdb5-7de5-4fe4-8faa-42c0d4a41c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f1ed957-1007-4a04-b4f2-f1bcd1465bea}" ma:internalName="TaxCatchAll" ma:showField="CatchAllData" ma:web="7652fdb5-7de5-4fe4-8faa-42c0d4a41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0DC9C1-369E-4FB3-B297-F73EAFAEF4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E6FF2-737D-4CBB-B1A1-1A1AE765A56D}">
  <ds:schemaRefs>
    <ds:schemaRef ds:uri="http://schemas.microsoft.com/office/2006/documentManagement/types"/>
    <ds:schemaRef ds:uri="http://purl.org/dc/dcmitype/"/>
    <ds:schemaRef ds:uri="e34e3d43-a237-43ab-a7a6-573be7bf6622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7652fdb5-7de5-4fe4-8faa-42c0d4a41c0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88AE369-7167-4AAC-9F0B-AB168D28D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e3d43-a237-43ab-a7a6-573be7bf6622"/>
    <ds:schemaRef ds:uri="7652fdb5-7de5-4fe4-8faa-42c0d4a41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TSD Example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Buffel</dc:creator>
  <cp:keywords/>
  <dc:description/>
  <cp:lastModifiedBy>Xin (David) Zhao</cp:lastModifiedBy>
  <cp:revision/>
  <dcterms:created xsi:type="dcterms:W3CDTF">2023-07-05T21:15:32Z</dcterms:created>
  <dcterms:modified xsi:type="dcterms:W3CDTF">2025-03-05T00:04:31Z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0x0101009F29972C995E494E853D6F7C6814115F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