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ytu\Dropbox\Solo Puertas\Material\"/>
    </mc:Choice>
  </mc:AlternateContent>
  <bookViews>
    <workbookView xWindow="-120" yWindow="-120" windowWidth="29040" windowHeight="15840" tabRatio="796" activeTab="2"/>
  </bookViews>
  <sheets>
    <sheet name="IMP" sheetId="20" r:id="rId1"/>
    <sheet name="ORNA" sheetId="13" r:id="rId2"/>
    <sheet name="PERF" sheetId="14" r:id="rId3"/>
    <sheet name="FERRETERIA" sheetId="16" r:id="rId4"/>
    <sheet name="LISTA" sheetId="15" r:id="rId5"/>
    <sheet name="REAL" sheetId="18" r:id="rId6"/>
    <sheet name="Hoja2" sheetId="19" r:id="rId7"/>
    <sheet name="FINAL" sheetId="23" r:id="rId8"/>
    <sheet name="Hoja4" sheetId="21" r:id="rId9"/>
    <sheet name="Hoja5" sheetId="22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6" l="1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33" i="16"/>
  <c r="D22" i="16"/>
  <c r="D23" i="16"/>
  <c r="D24" i="16"/>
  <c r="D25" i="16"/>
  <c r="D26" i="16"/>
  <c r="D27" i="16"/>
  <c r="D28" i="16"/>
  <c r="D29" i="16"/>
  <c r="D21" i="16"/>
  <c r="D14" i="16"/>
  <c r="D15" i="16"/>
  <c r="D16" i="16"/>
  <c r="D17" i="16"/>
  <c r="D18" i="16"/>
  <c r="D13" i="16"/>
  <c r="D5" i="16"/>
  <c r="D6" i="16"/>
  <c r="D7" i="16"/>
  <c r="D8" i="16"/>
  <c r="D9" i="16"/>
  <c r="D10" i="16"/>
  <c r="D4" i="16"/>
  <c r="E54" i="16"/>
  <c r="F54" i="16"/>
  <c r="E49" i="16"/>
  <c r="F49" i="16"/>
  <c r="E46" i="16" l="1"/>
  <c r="F46" i="16"/>
  <c r="E45" i="16"/>
  <c r="F45" i="16"/>
  <c r="E44" i="16"/>
  <c r="F44" i="16"/>
  <c r="H43" i="16"/>
  <c r="E43" i="16"/>
  <c r="F43" i="16"/>
  <c r="F130" i="14" l="1"/>
  <c r="F129" i="14"/>
  <c r="F126" i="14"/>
  <c r="F127" i="14"/>
  <c r="F128" i="14"/>
  <c r="F125" i="14"/>
  <c r="P7" i="16" l="1"/>
  <c r="E23" i="16" l="1"/>
  <c r="F23" i="16"/>
  <c r="H23" i="16"/>
  <c r="H35" i="16" l="1"/>
  <c r="E35" i="16"/>
  <c r="F35" i="16"/>
  <c r="H27" i="16"/>
  <c r="E27" i="16"/>
  <c r="F27" i="16"/>
  <c r="H25" i="16"/>
  <c r="E25" i="16"/>
  <c r="F25" i="16"/>
  <c r="H28" i="16"/>
  <c r="E28" i="16"/>
  <c r="F28" i="16"/>
  <c r="H15" i="16"/>
  <c r="M69" i="14" l="1"/>
  <c r="F69" i="14"/>
  <c r="M6" i="16" l="1"/>
  <c r="N6" i="16"/>
  <c r="M7" i="16"/>
  <c r="N7" i="16"/>
  <c r="M8" i="16"/>
  <c r="N8" i="16"/>
  <c r="M9" i="16"/>
  <c r="N9" i="16"/>
  <c r="M4" i="16"/>
  <c r="N4" i="16"/>
  <c r="M5" i="16"/>
  <c r="N5" i="16"/>
  <c r="M15" i="16"/>
  <c r="N15" i="16"/>
  <c r="M16" i="16"/>
  <c r="N16" i="16"/>
  <c r="M11" i="16"/>
  <c r="N11" i="16"/>
  <c r="M12" i="16"/>
  <c r="N12" i="16"/>
  <c r="M13" i="16"/>
  <c r="N13" i="16"/>
  <c r="M14" i="16"/>
  <c r="N14" i="16"/>
  <c r="M10" i="16"/>
  <c r="N10" i="16"/>
  <c r="M17" i="16"/>
  <c r="N17" i="16"/>
  <c r="M18" i="16"/>
  <c r="N18" i="16"/>
  <c r="M19" i="16"/>
  <c r="N19" i="16"/>
  <c r="M20" i="16"/>
  <c r="N20" i="16"/>
  <c r="P12" i="16"/>
  <c r="P14" i="16" l="1"/>
  <c r="P13" i="16"/>
  <c r="P16" i="16"/>
  <c r="M51" i="13" l="1"/>
  <c r="C51" i="13"/>
  <c r="D51" i="13"/>
  <c r="E51" i="13"/>
  <c r="F51" i="13"/>
  <c r="G51" i="13"/>
  <c r="H51" i="13"/>
  <c r="I51" i="13"/>
  <c r="J51" i="13"/>
  <c r="K51" i="13"/>
  <c r="M50" i="13"/>
  <c r="C50" i="13"/>
  <c r="D50" i="13"/>
  <c r="E50" i="13"/>
  <c r="F50" i="13"/>
  <c r="G50" i="13"/>
  <c r="H50" i="13"/>
  <c r="I50" i="13"/>
  <c r="J50" i="13"/>
  <c r="K50" i="13"/>
  <c r="F7" i="14"/>
  <c r="P97" i="13"/>
  <c r="C97" i="13"/>
  <c r="D97" i="13"/>
  <c r="E97" i="13"/>
  <c r="F97" i="13"/>
  <c r="G97" i="13"/>
  <c r="H97" i="13"/>
  <c r="I97" i="13"/>
  <c r="J97" i="13"/>
  <c r="K97" i="13"/>
  <c r="P94" i="13"/>
  <c r="P95" i="13"/>
  <c r="P96" i="13"/>
  <c r="P93" i="13"/>
  <c r="P98" i="13" l="1"/>
  <c r="D34" i="14"/>
  <c r="D26" i="14"/>
  <c r="D27" i="14"/>
  <c r="D28" i="14"/>
  <c r="D29" i="14"/>
  <c r="D30" i="14"/>
  <c r="D31" i="14"/>
  <c r="D32" i="14"/>
  <c r="D25" i="14"/>
  <c r="D16" i="14"/>
  <c r="M4" i="14"/>
  <c r="D4" i="14"/>
  <c r="D51" i="14"/>
  <c r="P51" i="14" s="1"/>
  <c r="D59" i="14"/>
  <c r="D45" i="14"/>
  <c r="D46" i="14"/>
  <c r="D21" i="14"/>
  <c r="D18" i="14"/>
  <c r="D15" i="14"/>
  <c r="D14" i="14"/>
  <c r="D9" i="14"/>
  <c r="D6" i="14"/>
  <c r="D5" i="14"/>
  <c r="F4" i="14"/>
  <c r="F51" i="14" l="1"/>
  <c r="D47" i="14"/>
  <c r="D68" i="14"/>
  <c r="F68" i="14" s="1"/>
  <c r="F41" i="14"/>
  <c r="D55" i="14"/>
  <c r="D49" i="14"/>
  <c r="D33" i="14"/>
  <c r="D35" i="14"/>
  <c r="H8" i="16" l="1"/>
  <c r="E8" i="16"/>
  <c r="F8" i="16"/>
  <c r="P4" i="16" l="1"/>
  <c r="P5" i="16"/>
  <c r="F9" i="16"/>
  <c r="H36" i="16"/>
  <c r="E36" i="16"/>
  <c r="F36" i="16"/>
  <c r="P19" i="14" l="1"/>
  <c r="P7" i="14" l="1"/>
  <c r="D42" i="14"/>
  <c r="D43" i="14"/>
  <c r="D44" i="14"/>
  <c r="D48" i="14"/>
  <c r="D50" i="14"/>
  <c r="D52" i="14"/>
  <c r="D53" i="14"/>
  <c r="D54" i="14"/>
  <c r="D56" i="14"/>
  <c r="D57" i="14"/>
  <c r="D58" i="14"/>
  <c r="D61" i="14"/>
  <c r="D62" i="14"/>
  <c r="D63" i="14"/>
  <c r="D64" i="14"/>
  <c r="D65" i="14"/>
  <c r="D66" i="14"/>
  <c r="D67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40" i="14"/>
  <c r="D36" i="14"/>
  <c r="D37" i="14"/>
  <c r="G71" i="14" l="1"/>
  <c r="G75" i="14"/>
  <c r="P79" i="14"/>
  <c r="P83" i="14"/>
  <c r="P87" i="14"/>
  <c r="P91" i="14"/>
  <c r="P95" i="14"/>
  <c r="P99" i="14"/>
  <c r="P103" i="14"/>
  <c r="P107" i="14"/>
  <c r="I66" i="14"/>
  <c r="H67" i="14"/>
  <c r="P21" i="14"/>
  <c r="P22" i="14"/>
  <c r="P20" i="14"/>
  <c r="P17" i="14"/>
  <c r="P15" i="14"/>
  <c r="P14" i="14"/>
  <c r="P11" i="14"/>
  <c r="P12" i="14"/>
  <c r="P10" i="14"/>
  <c r="F10" i="14"/>
  <c r="H7" i="14"/>
  <c r="I7" i="14"/>
  <c r="G6" i="14"/>
  <c r="H4" i="14"/>
  <c r="P41" i="14"/>
  <c r="P42" i="14"/>
  <c r="P43" i="14"/>
  <c r="P44" i="14"/>
  <c r="P45" i="14"/>
  <c r="P46" i="14"/>
  <c r="P47" i="14"/>
  <c r="P48" i="14"/>
  <c r="P49" i="14"/>
  <c r="P50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8" i="14"/>
  <c r="P69" i="14"/>
  <c r="P70" i="14"/>
  <c r="P72" i="14"/>
  <c r="P73" i="14"/>
  <c r="P74" i="14"/>
  <c r="P76" i="14"/>
  <c r="P77" i="14"/>
  <c r="P78" i="14"/>
  <c r="P80" i="14"/>
  <c r="P81" i="14"/>
  <c r="P82" i="14"/>
  <c r="P84" i="14"/>
  <c r="P85" i="14"/>
  <c r="P86" i="14"/>
  <c r="P88" i="14"/>
  <c r="P89" i="14"/>
  <c r="P90" i="14"/>
  <c r="P92" i="14"/>
  <c r="P93" i="14"/>
  <c r="P94" i="14"/>
  <c r="P96" i="14"/>
  <c r="P97" i="14"/>
  <c r="P98" i="14"/>
  <c r="P100" i="14"/>
  <c r="P101" i="14"/>
  <c r="P102" i="14"/>
  <c r="P104" i="14"/>
  <c r="P105" i="14"/>
  <c r="P106" i="14"/>
  <c r="P108" i="14"/>
  <c r="P40" i="14"/>
  <c r="F9" i="14"/>
  <c r="G21" i="14"/>
  <c r="H15" i="14"/>
  <c r="H13" i="14"/>
  <c r="I9" i="14"/>
  <c r="F5" i="14"/>
  <c r="G5" i="14"/>
  <c r="H5" i="14"/>
  <c r="I5" i="14"/>
  <c r="J5" i="14"/>
  <c r="K5" i="14"/>
  <c r="F6" i="14"/>
  <c r="H6" i="14"/>
  <c r="I6" i="14"/>
  <c r="J6" i="14"/>
  <c r="K7" i="14"/>
  <c r="G9" i="14"/>
  <c r="H9" i="14"/>
  <c r="J9" i="14"/>
  <c r="K9" i="14"/>
  <c r="H10" i="14"/>
  <c r="I10" i="14"/>
  <c r="J10" i="14"/>
  <c r="K10" i="14"/>
  <c r="F11" i="14"/>
  <c r="G11" i="14"/>
  <c r="H11" i="14"/>
  <c r="I11" i="14"/>
  <c r="J11" i="14"/>
  <c r="K11" i="14"/>
  <c r="F12" i="14"/>
  <c r="G12" i="14"/>
  <c r="H12" i="14"/>
  <c r="I12" i="14"/>
  <c r="J12" i="14"/>
  <c r="K12" i="14"/>
  <c r="G13" i="14"/>
  <c r="I13" i="14"/>
  <c r="J13" i="14"/>
  <c r="K13" i="14"/>
  <c r="F14" i="14"/>
  <c r="G14" i="14"/>
  <c r="H14" i="14"/>
  <c r="I14" i="14"/>
  <c r="J14" i="14"/>
  <c r="K14" i="14"/>
  <c r="F15" i="14"/>
  <c r="G15" i="14"/>
  <c r="I15" i="14"/>
  <c r="J15" i="14"/>
  <c r="K15" i="14"/>
  <c r="F16" i="14"/>
  <c r="G16" i="14"/>
  <c r="I16" i="14"/>
  <c r="J16" i="14"/>
  <c r="K16" i="14"/>
  <c r="F17" i="14"/>
  <c r="G17" i="14"/>
  <c r="H17" i="14"/>
  <c r="I17" i="14"/>
  <c r="J17" i="14"/>
  <c r="K17" i="14"/>
  <c r="F19" i="14"/>
  <c r="G19" i="14"/>
  <c r="H19" i="14"/>
  <c r="I19" i="14"/>
  <c r="J19" i="14"/>
  <c r="K19" i="14"/>
  <c r="F20" i="14"/>
  <c r="G20" i="14"/>
  <c r="H20" i="14"/>
  <c r="I20" i="14"/>
  <c r="J20" i="14"/>
  <c r="K20" i="14"/>
  <c r="F21" i="14"/>
  <c r="H21" i="14"/>
  <c r="I21" i="14"/>
  <c r="J21" i="14"/>
  <c r="K21" i="14"/>
  <c r="F22" i="14"/>
  <c r="G22" i="14"/>
  <c r="H22" i="14"/>
  <c r="I22" i="14"/>
  <c r="J22" i="14"/>
  <c r="K22" i="14"/>
  <c r="J4" i="14"/>
  <c r="I4" i="14"/>
  <c r="D8" i="14"/>
  <c r="P8" i="14" s="1"/>
  <c r="P18" i="14"/>
  <c r="K64" i="14"/>
  <c r="J64" i="14"/>
  <c r="I64" i="14"/>
  <c r="H64" i="14"/>
  <c r="G64" i="14"/>
  <c r="F64" i="14"/>
  <c r="F65" i="14"/>
  <c r="G65" i="14"/>
  <c r="H65" i="14"/>
  <c r="I65" i="14"/>
  <c r="J65" i="14"/>
  <c r="K65" i="14"/>
  <c r="G66" i="14"/>
  <c r="H66" i="14"/>
  <c r="K66" i="14"/>
  <c r="F67" i="14"/>
  <c r="G67" i="14"/>
  <c r="J67" i="14"/>
  <c r="K67" i="14"/>
  <c r="G68" i="14"/>
  <c r="H68" i="14"/>
  <c r="I68" i="14"/>
  <c r="J68" i="14"/>
  <c r="K68" i="14"/>
  <c r="G69" i="14"/>
  <c r="H69" i="14"/>
  <c r="I69" i="14"/>
  <c r="J69" i="14"/>
  <c r="K69" i="14"/>
  <c r="F70" i="14"/>
  <c r="G70" i="14"/>
  <c r="H70" i="14"/>
  <c r="I70" i="14"/>
  <c r="J70" i="14"/>
  <c r="K70" i="14"/>
  <c r="F71" i="14"/>
  <c r="J71" i="14"/>
  <c r="F72" i="14"/>
  <c r="G72" i="14"/>
  <c r="H72" i="14"/>
  <c r="I72" i="14"/>
  <c r="J72" i="14"/>
  <c r="K72" i="14"/>
  <c r="F73" i="14"/>
  <c r="G73" i="14"/>
  <c r="H73" i="14"/>
  <c r="I73" i="14"/>
  <c r="J73" i="14"/>
  <c r="K73" i="14"/>
  <c r="F74" i="14"/>
  <c r="G74" i="14"/>
  <c r="H74" i="14"/>
  <c r="I74" i="14"/>
  <c r="J74" i="14"/>
  <c r="K74" i="14"/>
  <c r="F75" i="14"/>
  <c r="J75" i="14"/>
  <c r="F76" i="14"/>
  <c r="G76" i="14"/>
  <c r="H76" i="14"/>
  <c r="I76" i="14"/>
  <c r="J76" i="14"/>
  <c r="K76" i="14"/>
  <c r="F77" i="14"/>
  <c r="G77" i="14"/>
  <c r="H77" i="14"/>
  <c r="I77" i="14"/>
  <c r="J77" i="14"/>
  <c r="K77" i="14"/>
  <c r="F78" i="14"/>
  <c r="G78" i="14"/>
  <c r="H78" i="14"/>
  <c r="I78" i="14"/>
  <c r="J78" i="14"/>
  <c r="K78" i="14"/>
  <c r="F79" i="14"/>
  <c r="G79" i="14"/>
  <c r="J79" i="14"/>
  <c r="K79" i="14"/>
  <c r="F80" i="14"/>
  <c r="G80" i="14"/>
  <c r="H80" i="14"/>
  <c r="I80" i="14"/>
  <c r="J80" i="14"/>
  <c r="K80" i="14"/>
  <c r="F81" i="14"/>
  <c r="G81" i="14"/>
  <c r="H81" i="14"/>
  <c r="I81" i="14"/>
  <c r="J81" i="14"/>
  <c r="K81" i="14"/>
  <c r="F82" i="14"/>
  <c r="G82" i="14"/>
  <c r="H82" i="14"/>
  <c r="I82" i="14"/>
  <c r="J82" i="14"/>
  <c r="K82" i="14"/>
  <c r="F83" i="14"/>
  <c r="G83" i="14"/>
  <c r="J83" i="14"/>
  <c r="K83" i="14"/>
  <c r="F84" i="14"/>
  <c r="G84" i="14"/>
  <c r="H84" i="14"/>
  <c r="I84" i="14"/>
  <c r="J84" i="14"/>
  <c r="K84" i="14"/>
  <c r="F85" i="14"/>
  <c r="G85" i="14"/>
  <c r="H85" i="14"/>
  <c r="I85" i="14"/>
  <c r="J85" i="14"/>
  <c r="K85" i="14"/>
  <c r="F86" i="14"/>
  <c r="G86" i="14"/>
  <c r="H86" i="14"/>
  <c r="I86" i="14"/>
  <c r="J86" i="14"/>
  <c r="K86" i="14"/>
  <c r="F87" i="14"/>
  <c r="G87" i="14"/>
  <c r="J87" i="14"/>
  <c r="K87" i="14"/>
  <c r="F88" i="14"/>
  <c r="G88" i="14"/>
  <c r="H88" i="14"/>
  <c r="I88" i="14"/>
  <c r="J88" i="14"/>
  <c r="K88" i="14"/>
  <c r="F89" i="14"/>
  <c r="G89" i="14"/>
  <c r="H89" i="14"/>
  <c r="I89" i="14"/>
  <c r="J89" i="14"/>
  <c r="K89" i="14"/>
  <c r="F90" i="14"/>
  <c r="G90" i="14"/>
  <c r="H90" i="14"/>
  <c r="I90" i="14"/>
  <c r="J90" i="14"/>
  <c r="K90" i="14"/>
  <c r="F91" i="14"/>
  <c r="G91" i="14"/>
  <c r="J91" i="14"/>
  <c r="K91" i="14"/>
  <c r="F92" i="14"/>
  <c r="G92" i="14"/>
  <c r="H92" i="14"/>
  <c r="I92" i="14"/>
  <c r="J92" i="14"/>
  <c r="K92" i="14"/>
  <c r="F93" i="14"/>
  <c r="G93" i="14"/>
  <c r="H93" i="14"/>
  <c r="I93" i="14"/>
  <c r="J93" i="14"/>
  <c r="K93" i="14"/>
  <c r="F94" i="14"/>
  <c r="G94" i="14"/>
  <c r="H94" i="14"/>
  <c r="I94" i="14"/>
  <c r="J94" i="14"/>
  <c r="K94" i="14"/>
  <c r="F95" i="14"/>
  <c r="G95" i="14"/>
  <c r="J95" i="14"/>
  <c r="K95" i="14"/>
  <c r="F96" i="14"/>
  <c r="G96" i="14"/>
  <c r="H96" i="14"/>
  <c r="I96" i="14"/>
  <c r="J96" i="14"/>
  <c r="K96" i="14"/>
  <c r="F97" i="14"/>
  <c r="G97" i="14"/>
  <c r="H97" i="14"/>
  <c r="I97" i="14"/>
  <c r="J97" i="14"/>
  <c r="K97" i="14"/>
  <c r="F98" i="14"/>
  <c r="G98" i="14"/>
  <c r="H98" i="14"/>
  <c r="I98" i="14"/>
  <c r="J98" i="14"/>
  <c r="K98" i="14"/>
  <c r="F99" i="14"/>
  <c r="G99" i="14"/>
  <c r="J99" i="14"/>
  <c r="K99" i="14"/>
  <c r="F100" i="14"/>
  <c r="G100" i="14"/>
  <c r="H100" i="14"/>
  <c r="I100" i="14"/>
  <c r="J100" i="14"/>
  <c r="K100" i="14"/>
  <c r="F101" i="14"/>
  <c r="G101" i="14"/>
  <c r="H101" i="14"/>
  <c r="I101" i="14"/>
  <c r="J101" i="14"/>
  <c r="K101" i="14"/>
  <c r="F102" i="14"/>
  <c r="G102" i="14"/>
  <c r="H102" i="14"/>
  <c r="I102" i="14"/>
  <c r="J102" i="14"/>
  <c r="K102" i="14"/>
  <c r="F103" i="14"/>
  <c r="G103" i="14"/>
  <c r="J103" i="14"/>
  <c r="K103" i="14"/>
  <c r="F104" i="14"/>
  <c r="G104" i="14"/>
  <c r="H104" i="14"/>
  <c r="I104" i="14"/>
  <c r="J104" i="14"/>
  <c r="K104" i="14"/>
  <c r="F105" i="14"/>
  <c r="G105" i="14"/>
  <c r="H105" i="14"/>
  <c r="I105" i="14"/>
  <c r="J105" i="14"/>
  <c r="K105" i="14"/>
  <c r="F106" i="14"/>
  <c r="G106" i="14"/>
  <c r="H106" i="14"/>
  <c r="I106" i="14"/>
  <c r="J106" i="14"/>
  <c r="K106" i="14"/>
  <c r="F107" i="14"/>
  <c r="G107" i="14"/>
  <c r="J107" i="14"/>
  <c r="K107" i="14"/>
  <c r="F108" i="14"/>
  <c r="G108" i="14"/>
  <c r="H108" i="14"/>
  <c r="I108" i="14"/>
  <c r="J108" i="14"/>
  <c r="K108" i="14"/>
  <c r="F63" i="14"/>
  <c r="K63" i="14"/>
  <c r="J63" i="14"/>
  <c r="I63" i="14"/>
  <c r="H63" i="14"/>
  <c r="G63" i="14"/>
  <c r="G41" i="14"/>
  <c r="H41" i="14"/>
  <c r="I41" i="14"/>
  <c r="J41" i="14"/>
  <c r="K41" i="14"/>
  <c r="F42" i="14"/>
  <c r="G42" i="14"/>
  <c r="H42" i="14"/>
  <c r="I42" i="14"/>
  <c r="J42" i="14"/>
  <c r="K42" i="14"/>
  <c r="F43" i="14"/>
  <c r="G43" i="14"/>
  <c r="H43" i="14"/>
  <c r="I43" i="14"/>
  <c r="J43" i="14"/>
  <c r="K43" i="14"/>
  <c r="F44" i="14"/>
  <c r="G44" i="14"/>
  <c r="H44" i="14"/>
  <c r="I44" i="14"/>
  <c r="J44" i="14"/>
  <c r="K44" i="14"/>
  <c r="F45" i="14"/>
  <c r="G45" i="14"/>
  <c r="H45" i="14"/>
  <c r="I45" i="14"/>
  <c r="J45" i="14"/>
  <c r="K45" i="14"/>
  <c r="F46" i="14"/>
  <c r="G46" i="14"/>
  <c r="H46" i="14"/>
  <c r="I46" i="14"/>
  <c r="J46" i="14"/>
  <c r="K46" i="14"/>
  <c r="F47" i="14"/>
  <c r="G47" i="14"/>
  <c r="H47" i="14"/>
  <c r="I47" i="14"/>
  <c r="J47" i="14"/>
  <c r="K47" i="14"/>
  <c r="F48" i="14"/>
  <c r="G48" i="14"/>
  <c r="H48" i="14"/>
  <c r="I48" i="14"/>
  <c r="J48" i="14"/>
  <c r="K48" i="14"/>
  <c r="F49" i="14"/>
  <c r="G49" i="14"/>
  <c r="H49" i="14"/>
  <c r="I49" i="14"/>
  <c r="J49" i="14"/>
  <c r="K49" i="14"/>
  <c r="F50" i="14"/>
  <c r="G50" i="14"/>
  <c r="H50" i="14"/>
  <c r="I50" i="14"/>
  <c r="J50" i="14"/>
  <c r="K50" i="14"/>
  <c r="G51" i="14"/>
  <c r="H51" i="14"/>
  <c r="I51" i="14"/>
  <c r="J51" i="14"/>
  <c r="K51" i="14"/>
  <c r="F52" i="14"/>
  <c r="G52" i="14"/>
  <c r="H52" i="14"/>
  <c r="I52" i="14"/>
  <c r="J52" i="14"/>
  <c r="K52" i="14"/>
  <c r="F53" i="14"/>
  <c r="G53" i="14"/>
  <c r="H53" i="14"/>
  <c r="I53" i="14"/>
  <c r="J53" i="14"/>
  <c r="K53" i="14"/>
  <c r="F54" i="14"/>
  <c r="G54" i="14"/>
  <c r="H54" i="14"/>
  <c r="I54" i="14"/>
  <c r="J54" i="14"/>
  <c r="K54" i="14"/>
  <c r="F55" i="14"/>
  <c r="G55" i="14"/>
  <c r="H55" i="14"/>
  <c r="I55" i="14"/>
  <c r="J55" i="14"/>
  <c r="K55" i="14"/>
  <c r="F56" i="14"/>
  <c r="G56" i="14"/>
  <c r="H56" i="14"/>
  <c r="I56" i="14"/>
  <c r="J56" i="14"/>
  <c r="K56" i="14"/>
  <c r="F57" i="14"/>
  <c r="G57" i="14"/>
  <c r="H57" i="14"/>
  <c r="I57" i="14"/>
  <c r="J57" i="14"/>
  <c r="K57" i="14"/>
  <c r="F58" i="14"/>
  <c r="G58" i="14"/>
  <c r="H58" i="14"/>
  <c r="I58" i="14"/>
  <c r="J58" i="14"/>
  <c r="K58" i="14"/>
  <c r="F59" i="14"/>
  <c r="G59" i="14"/>
  <c r="H59" i="14"/>
  <c r="I59" i="14"/>
  <c r="J59" i="14"/>
  <c r="K59" i="14"/>
  <c r="F60" i="14"/>
  <c r="G60" i="14"/>
  <c r="H60" i="14"/>
  <c r="I60" i="14"/>
  <c r="J60" i="14"/>
  <c r="K60" i="14"/>
  <c r="K40" i="14"/>
  <c r="J40" i="14"/>
  <c r="I40" i="14"/>
  <c r="H40" i="14"/>
  <c r="G40" i="14"/>
  <c r="F40" i="14"/>
  <c r="F25" i="14"/>
  <c r="I18" i="14" l="1"/>
  <c r="I8" i="14"/>
  <c r="F13" i="14"/>
  <c r="P13" i="14"/>
  <c r="H18" i="14"/>
  <c r="H8" i="14"/>
  <c r="K18" i="14"/>
  <c r="G18" i="14"/>
  <c r="K8" i="14"/>
  <c r="G8" i="14"/>
  <c r="J18" i="14"/>
  <c r="F18" i="14"/>
  <c r="J8" i="14"/>
  <c r="F8" i="14"/>
  <c r="H16" i="14"/>
  <c r="P16" i="14"/>
  <c r="I79" i="14"/>
  <c r="I75" i="14"/>
  <c r="I71" i="14"/>
  <c r="I107" i="14"/>
  <c r="I103" i="14"/>
  <c r="I99" i="14"/>
  <c r="I95" i="14"/>
  <c r="I91" i="14"/>
  <c r="I87" i="14"/>
  <c r="I83" i="14"/>
  <c r="H107" i="14"/>
  <c r="H103" i="14"/>
  <c r="H99" i="14"/>
  <c r="H95" i="14"/>
  <c r="H91" i="14"/>
  <c r="H87" i="14"/>
  <c r="H83" i="14"/>
  <c r="H79" i="14"/>
  <c r="H75" i="14"/>
  <c r="H71" i="14"/>
  <c r="P75" i="14"/>
  <c r="P71" i="14"/>
  <c r="K75" i="14"/>
  <c r="K71" i="14"/>
  <c r="I67" i="14"/>
  <c r="P67" i="14"/>
  <c r="J66" i="14"/>
  <c r="F66" i="14"/>
  <c r="P66" i="14"/>
  <c r="G10" i="14"/>
  <c r="G7" i="14"/>
  <c r="J7" i="14"/>
  <c r="K6" i="14"/>
  <c r="G4" i="14"/>
  <c r="K4" i="14"/>
  <c r="F26" i="14" l="1"/>
  <c r="G26" i="14"/>
  <c r="H26" i="14"/>
  <c r="I26" i="14"/>
  <c r="J26" i="14"/>
  <c r="K26" i="14"/>
  <c r="F27" i="14"/>
  <c r="G27" i="14"/>
  <c r="H27" i="14"/>
  <c r="I27" i="14"/>
  <c r="J27" i="14"/>
  <c r="K27" i="14"/>
  <c r="F28" i="14"/>
  <c r="G28" i="14"/>
  <c r="H28" i="14"/>
  <c r="I28" i="14"/>
  <c r="J28" i="14"/>
  <c r="K28" i="14"/>
  <c r="F29" i="14"/>
  <c r="G29" i="14"/>
  <c r="H29" i="14"/>
  <c r="I29" i="14"/>
  <c r="J29" i="14"/>
  <c r="K29" i="14"/>
  <c r="F30" i="14"/>
  <c r="G30" i="14"/>
  <c r="H30" i="14"/>
  <c r="I30" i="14"/>
  <c r="J30" i="14"/>
  <c r="K30" i="14"/>
  <c r="F31" i="14"/>
  <c r="G31" i="14"/>
  <c r="H31" i="14"/>
  <c r="I31" i="14"/>
  <c r="J31" i="14"/>
  <c r="K31" i="14"/>
  <c r="F32" i="14"/>
  <c r="G32" i="14"/>
  <c r="H32" i="14"/>
  <c r="I32" i="14"/>
  <c r="J32" i="14"/>
  <c r="K32" i="14"/>
  <c r="F33" i="14"/>
  <c r="G33" i="14"/>
  <c r="H33" i="14"/>
  <c r="I33" i="14"/>
  <c r="J33" i="14"/>
  <c r="K33" i="14"/>
  <c r="F34" i="14"/>
  <c r="G34" i="14"/>
  <c r="H34" i="14"/>
  <c r="I34" i="14"/>
  <c r="J34" i="14"/>
  <c r="K34" i="14"/>
  <c r="F35" i="14"/>
  <c r="G35" i="14"/>
  <c r="H35" i="14"/>
  <c r="I35" i="14"/>
  <c r="J35" i="14"/>
  <c r="K35" i="14"/>
  <c r="K25" i="14"/>
  <c r="J25" i="14"/>
  <c r="I25" i="14"/>
  <c r="H25" i="14"/>
  <c r="G25" i="14"/>
  <c r="P6" i="16" l="1"/>
  <c r="P8" i="16"/>
  <c r="P15" i="16"/>
  <c r="P11" i="16"/>
  <c r="P10" i="16"/>
  <c r="P17" i="16"/>
  <c r="P19" i="16"/>
  <c r="P20" i="16"/>
  <c r="H182" i="23" l="1"/>
  <c r="H181" i="23"/>
  <c r="H180" i="23"/>
  <c r="H179" i="23"/>
  <c r="H187" i="23" s="1"/>
  <c r="H183" i="23"/>
  <c r="B180" i="23"/>
  <c r="G181" i="23"/>
  <c r="F181" i="23"/>
  <c r="G180" i="23"/>
  <c r="F180" i="23"/>
  <c r="G182" i="23"/>
  <c r="F182" i="23"/>
  <c r="E181" i="23"/>
  <c r="E180" i="23"/>
  <c r="E183" i="23"/>
  <c r="F183" i="23"/>
  <c r="G183" i="23"/>
  <c r="D183" i="23"/>
  <c r="C183" i="23"/>
  <c r="B183" i="23"/>
  <c r="C182" i="23"/>
  <c r="B182" i="23"/>
  <c r="D180" i="23"/>
  <c r="C180" i="23"/>
  <c r="H189" i="23" l="1"/>
  <c r="H188" i="23"/>
  <c r="F114" i="21" l="1"/>
  <c r="G114" i="21"/>
  <c r="F115" i="21"/>
  <c r="G115" i="21"/>
  <c r="C115" i="21"/>
  <c r="C114" i="21"/>
  <c r="B176" i="23"/>
  <c r="B175" i="23"/>
  <c r="M166" i="23"/>
  <c r="N166" i="23"/>
  <c r="O166" i="23"/>
  <c r="P166" i="23"/>
  <c r="Q166" i="23"/>
  <c r="L166" i="23"/>
  <c r="M147" i="23"/>
  <c r="N147" i="23"/>
  <c r="O147" i="23"/>
  <c r="P147" i="23"/>
  <c r="Q147" i="23"/>
  <c r="L147" i="23"/>
  <c r="C163" i="23"/>
  <c r="C145" i="23"/>
  <c r="D4" i="23"/>
  <c r="B92" i="23"/>
  <c r="B87" i="23"/>
  <c r="G69" i="21"/>
  <c r="F69" i="21"/>
  <c r="C69" i="21"/>
  <c r="G68" i="21"/>
  <c r="F68" i="21"/>
  <c r="C68" i="21"/>
  <c r="G67" i="21"/>
  <c r="F67" i="21"/>
  <c r="C67" i="21"/>
  <c r="G66" i="21"/>
  <c r="F66" i="21"/>
  <c r="C66" i="21"/>
  <c r="N59" i="23"/>
  <c r="N56" i="23"/>
  <c r="N55" i="23"/>
  <c r="H52" i="23"/>
  <c r="B52" i="23"/>
  <c r="E52" i="23"/>
  <c r="G35" i="21" l="1"/>
  <c r="F35" i="21"/>
  <c r="C35" i="21"/>
  <c r="G14" i="21"/>
  <c r="F14" i="21"/>
  <c r="C14" i="21"/>
  <c r="G13" i="21"/>
  <c r="F13" i="21"/>
  <c r="C13" i="21"/>
  <c r="C124" i="23" l="1"/>
  <c r="D124" i="23"/>
  <c r="B124" i="23"/>
  <c r="C123" i="23"/>
  <c r="B123" i="23"/>
  <c r="C108" i="23"/>
  <c r="B108" i="23"/>
  <c r="C107" i="23"/>
  <c r="B107" i="23"/>
  <c r="B94" i="23"/>
  <c r="C93" i="23"/>
  <c r="B93" i="23"/>
  <c r="C78" i="23"/>
  <c r="D78" i="23"/>
  <c r="E78" i="23"/>
  <c r="F78" i="23"/>
  <c r="G78" i="23"/>
  <c r="B78" i="23"/>
  <c r="N53" i="23"/>
  <c r="L59" i="23"/>
  <c r="K59" i="23"/>
  <c r="D59" i="23"/>
  <c r="E59" i="23"/>
  <c r="F59" i="23"/>
  <c r="G59" i="23"/>
  <c r="H59" i="23"/>
  <c r="I59" i="23"/>
  <c r="J59" i="23"/>
  <c r="C59" i="23"/>
  <c r="B59" i="23"/>
  <c r="M40" i="23"/>
  <c r="N40" i="23"/>
  <c r="O40" i="23"/>
  <c r="P40" i="23"/>
  <c r="Q40" i="23"/>
  <c r="R40" i="23"/>
  <c r="S40" i="23"/>
  <c r="L40" i="23"/>
  <c r="K40" i="23"/>
  <c r="C40" i="23"/>
  <c r="D40" i="23"/>
  <c r="E40" i="23"/>
  <c r="F40" i="23"/>
  <c r="G40" i="23"/>
  <c r="H40" i="23"/>
  <c r="I40" i="23"/>
  <c r="J40" i="23"/>
  <c r="B40" i="23"/>
  <c r="H23" i="23"/>
  <c r="G23" i="23"/>
  <c r="C23" i="23"/>
  <c r="B23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C164" i="23"/>
  <c r="C173" i="23" s="1"/>
  <c r="C161" i="23"/>
  <c r="W37" i="23"/>
  <c r="V37" i="23"/>
  <c r="Y37" i="23"/>
  <c r="X37" i="23"/>
  <c r="Y40" i="23"/>
  <c r="X40" i="23"/>
  <c r="Y36" i="23"/>
  <c r="X36" i="23"/>
  <c r="Y35" i="23"/>
  <c r="Y43" i="23" s="1"/>
  <c r="X33" i="23"/>
  <c r="X43" i="23" s="1"/>
  <c r="W40" i="23"/>
  <c r="V40" i="23"/>
  <c r="W36" i="23"/>
  <c r="V36" i="23"/>
  <c r="W35" i="23"/>
  <c r="V33" i="23"/>
  <c r="H20" i="23"/>
  <c r="G20" i="23"/>
  <c r="E20" i="23"/>
  <c r="H19" i="23"/>
  <c r="G19" i="23"/>
  <c r="F19" i="23"/>
  <c r="F23" i="23"/>
  <c r="F20" i="23"/>
  <c r="E23" i="23"/>
  <c r="E27" i="23" s="1"/>
  <c r="E29" i="23" s="1"/>
  <c r="E19" i="23"/>
  <c r="H18" i="23"/>
  <c r="G18" i="23"/>
  <c r="F18" i="23"/>
  <c r="E18" i="23"/>
  <c r="B4" i="23"/>
  <c r="B144" i="23"/>
  <c r="D182" i="23"/>
  <c r="W43" i="23" l="1"/>
  <c r="X45" i="23"/>
  <c r="X44" i="23"/>
  <c r="Y45" i="23"/>
  <c r="Y44" i="23"/>
  <c r="V43" i="23"/>
  <c r="V44" i="23" s="1"/>
  <c r="W45" i="23"/>
  <c r="W44" i="23"/>
  <c r="H27" i="23"/>
  <c r="H29" i="23" s="1"/>
  <c r="G27" i="23"/>
  <c r="G29" i="23" s="1"/>
  <c r="F27" i="23"/>
  <c r="F29" i="23" s="1"/>
  <c r="E28" i="23"/>
  <c r="D120" i="23"/>
  <c r="C120" i="23"/>
  <c r="B120" i="23"/>
  <c r="H28" i="23" l="1"/>
  <c r="V45" i="23"/>
  <c r="G28" i="23"/>
  <c r="F28" i="23"/>
  <c r="C104" i="21"/>
  <c r="G105" i="21"/>
  <c r="F105" i="21"/>
  <c r="C105" i="21"/>
  <c r="G104" i="21"/>
  <c r="F104" i="21"/>
  <c r="B157" i="23"/>
  <c r="B156" i="23"/>
  <c r="L257" i="23" l="1"/>
  <c r="G257" i="23"/>
  <c r="L256" i="23"/>
  <c r="G256" i="23"/>
  <c r="F256" i="23"/>
  <c r="I253" i="23"/>
  <c r="C253" i="23"/>
  <c r="H252" i="23"/>
  <c r="B252" i="23"/>
  <c r="I251" i="23"/>
  <c r="J251" i="23"/>
  <c r="K251" i="23"/>
  <c r="L251" i="23"/>
  <c r="H251" i="23"/>
  <c r="G148" i="21"/>
  <c r="F148" i="21"/>
  <c r="C148" i="21"/>
  <c r="C237" i="23"/>
  <c r="B237" i="23"/>
  <c r="C236" i="23"/>
  <c r="B236" i="23"/>
  <c r="E228" i="23"/>
  <c r="C228" i="23"/>
  <c r="D228" i="23"/>
  <c r="B228" i="23"/>
  <c r="E218" i="23"/>
  <c r="D218" i="23"/>
  <c r="C218" i="23"/>
  <c r="B218" i="23"/>
  <c r="E217" i="23"/>
  <c r="D217" i="23"/>
  <c r="C217" i="23"/>
  <c r="B217" i="23"/>
  <c r="E216" i="23"/>
  <c r="D216" i="23"/>
  <c r="C216" i="23"/>
  <c r="B216" i="23"/>
  <c r="I204" i="23"/>
  <c r="H204" i="23"/>
  <c r="K203" i="23"/>
  <c r="J202" i="23"/>
  <c r="I201" i="23"/>
  <c r="H200" i="23"/>
  <c r="G199" i="23"/>
  <c r="B199" i="23"/>
  <c r="F203" i="23"/>
  <c r="E202" i="23"/>
  <c r="D201" i="23"/>
  <c r="C200" i="23"/>
  <c r="E182" i="23" l="1"/>
  <c r="D181" i="23"/>
  <c r="C181" i="23"/>
  <c r="C190" i="23" s="1"/>
  <c r="G179" i="23"/>
  <c r="F179" i="23"/>
  <c r="F187" i="23" s="1"/>
  <c r="E179" i="23"/>
  <c r="D179" i="23"/>
  <c r="D187" i="23" s="1"/>
  <c r="D188" i="23" s="1"/>
  <c r="C179" i="23"/>
  <c r="B181" i="23"/>
  <c r="B179" i="23"/>
  <c r="B164" i="23"/>
  <c r="P165" i="23"/>
  <c r="M165" i="23"/>
  <c r="J165" i="23"/>
  <c r="G165" i="23"/>
  <c r="D165" i="23"/>
  <c r="S164" i="23"/>
  <c r="O164" i="23"/>
  <c r="L164" i="23"/>
  <c r="I164" i="23"/>
  <c r="I170" i="23" s="1"/>
  <c r="F164" i="23"/>
  <c r="E164" i="23"/>
  <c r="B163" i="23"/>
  <c r="S162" i="23"/>
  <c r="S161" i="23"/>
  <c r="P162" i="23"/>
  <c r="Q162" i="23"/>
  <c r="O162" i="23"/>
  <c r="M162" i="23"/>
  <c r="N162" i="23"/>
  <c r="L162" i="23"/>
  <c r="J162" i="23"/>
  <c r="K162" i="23"/>
  <c r="I162" i="23"/>
  <c r="G162" i="23"/>
  <c r="H162" i="23"/>
  <c r="F162" i="23"/>
  <c r="D162" i="23"/>
  <c r="E162" i="23"/>
  <c r="C162" i="23"/>
  <c r="B162" i="23"/>
  <c r="P161" i="23"/>
  <c r="Q161" i="23"/>
  <c r="Q170" i="23" s="1"/>
  <c r="O161" i="23"/>
  <c r="M161" i="23"/>
  <c r="N161" i="23"/>
  <c r="L161" i="23"/>
  <c r="J161" i="23"/>
  <c r="J170" i="23" s="1"/>
  <c r="K161" i="23"/>
  <c r="I161" i="23"/>
  <c r="G161" i="23"/>
  <c r="H161" i="23"/>
  <c r="F161" i="23"/>
  <c r="D161" i="23"/>
  <c r="E161" i="23"/>
  <c r="E170" i="23" s="1"/>
  <c r="E174" i="23" s="1"/>
  <c r="P146" i="23"/>
  <c r="M146" i="23"/>
  <c r="J146" i="23"/>
  <c r="J154" i="23" s="1"/>
  <c r="G146" i="23"/>
  <c r="D146" i="23"/>
  <c r="T145" i="23"/>
  <c r="S145" i="23"/>
  <c r="O145" i="23"/>
  <c r="L145" i="23"/>
  <c r="K145" i="23"/>
  <c r="K154" i="23" s="1"/>
  <c r="I145" i="23"/>
  <c r="I154" i="23" s="1"/>
  <c r="H145" i="23"/>
  <c r="F145" i="23"/>
  <c r="F151" i="23" s="1"/>
  <c r="E145" i="23"/>
  <c r="B145" i="23"/>
  <c r="Q144" i="23"/>
  <c r="P144" i="23"/>
  <c r="P151" i="23" s="1"/>
  <c r="O144" i="23"/>
  <c r="N144" i="23"/>
  <c r="M144" i="23"/>
  <c r="L144" i="23"/>
  <c r="K144" i="23"/>
  <c r="J144" i="23"/>
  <c r="I144" i="23"/>
  <c r="H144" i="23"/>
  <c r="H154" i="23" s="1"/>
  <c r="G144" i="23"/>
  <c r="F144" i="23"/>
  <c r="E144" i="23"/>
  <c r="E154" i="23" s="1"/>
  <c r="C144" i="23"/>
  <c r="C154" i="23" s="1"/>
  <c r="D144" i="23"/>
  <c r="P142" i="23"/>
  <c r="O142" i="23"/>
  <c r="O151" i="23" s="1"/>
  <c r="O153" i="23" s="1"/>
  <c r="M142" i="23"/>
  <c r="M151" i="23" s="1"/>
  <c r="M152" i="23" s="1"/>
  <c r="L142" i="23"/>
  <c r="J142" i="23"/>
  <c r="I142" i="23"/>
  <c r="S142" i="23"/>
  <c r="S151" i="23" s="1"/>
  <c r="S153" i="23" s="1"/>
  <c r="T143" i="23"/>
  <c r="Q143" i="23"/>
  <c r="N143" i="23"/>
  <c r="K143" i="23"/>
  <c r="H143" i="23"/>
  <c r="G142" i="23"/>
  <c r="F142" i="23"/>
  <c r="E143" i="23"/>
  <c r="C142" i="23"/>
  <c r="D142" i="23"/>
  <c r="B142" i="23"/>
  <c r="B151" i="23" s="1"/>
  <c r="L68" i="23"/>
  <c r="K68" i="23"/>
  <c r="B68" i="23"/>
  <c r="G53" i="21"/>
  <c r="F53" i="21"/>
  <c r="C53" i="21"/>
  <c r="G52" i="21"/>
  <c r="F52" i="21"/>
  <c r="C52" i="21"/>
  <c r="G51" i="21"/>
  <c r="F51" i="21"/>
  <c r="C51" i="21"/>
  <c r="G50" i="21"/>
  <c r="F50" i="21"/>
  <c r="C50" i="21"/>
  <c r="C32" i="21"/>
  <c r="F32" i="21"/>
  <c r="G32" i="21"/>
  <c r="G11" i="21"/>
  <c r="F11" i="21"/>
  <c r="C11" i="21"/>
  <c r="G10" i="21"/>
  <c r="F10" i="21"/>
  <c r="C10" i="21"/>
  <c r="K6" i="23"/>
  <c r="J6" i="23"/>
  <c r="K5" i="23"/>
  <c r="J5" i="23"/>
  <c r="J12" i="23" s="1"/>
  <c r="J14" i="23" s="1"/>
  <c r="K4" i="23"/>
  <c r="J4" i="23"/>
  <c r="G155" i="21"/>
  <c r="F155" i="21"/>
  <c r="C155" i="21"/>
  <c r="G154" i="21"/>
  <c r="F154" i="21"/>
  <c r="C154" i="21"/>
  <c r="G153" i="21"/>
  <c r="F153" i="21"/>
  <c r="C153" i="21"/>
  <c r="G152" i="21"/>
  <c r="F152" i="21"/>
  <c r="C152" i="21"/>
  <c r="G151" i="21"/>
  <c r="F151" i="21"/>
  <c r="C151" i="21"/>
  <c r="G145" i="21"/>
  <c r="F145" i="21"/>
  <c r="C145" i="21"/>
  <c r="G144" i="21"/>
  <c r="F144" i="21"/>
  <c r="C144" i="21"/>
  <c r="G141" i="21"/>
  <c r="F141" i="21"/>
  <c r="C141" i="21"/>
  <c r="G140" i="21"/>
  <c r="F140" i="21"/>
  <c r="C140" i="21"/>
  <c r="G130" i="21"/>
  <c r="F130" i="21"/>
  <c r="C130" i="21"/>
  <c r="G129" i="21"/>
  <c r="F129" i="21"/>
  <c r="C129" i="21"/>
  <c r="G128" i="21"/>
  <c r="F128" i="21"/>
  <c r="C128" i="21"/>
  <c r="G127" i="21"/>
  <c r="F127" i="21"/>
  <c r="C127" i="21"/>
  <c r="G126" i="21"/>
  <c r="F126" i="21"/>
  <c r="C126" i="21"/>
  <c r="G121" i="21"/>
  <c r="F121" i="21"/>
  <c r="C121" i="21"/>
  <c r="G118" i="21"/>
  <c r="F118" i="21"/>
  <c r="C118" i="21"/>
  <c r="G117" i="21"/>
  <c r="F117" i="21"/>
  <c r="C117" i="21"/>
  <c r="G113" i="21"/>
  <c r="F113" i="21"/>
  <c r="C113" i="21"/>
  <c r="G112" i="21"/>
  <c r="F112" i="21"/>
  <c r="C112" i="21"/>
  <c r="G111" i="21"/>
  <c r="F111" i="21"/>
  <c r="C111" i="21"/>
  <c r="G108" i="21"/>
  <c r="F108" i="21"/>
  <c r="C108" i="21"/>
  <c r="G107" i="21"/>
  <c r="F107" i="21"/>
  <c r="C107" i="21"/>
  <c r="G103" i="21"/>
  <c r="F103" i="21"/>
  <c r="C103" i="21"/>
  <c r="G102" i="21"/>
  <c r="F102" i="21"/>
  <c r="C102" i="21"/>
  <c r="G101" i="21"/>
  <c r="F101" i="21"/>
  <c r="C101" i="21"/>
  <c r="G100" i="21"/>
  <c r="F100" i="21"/>
  <c r="C100" i="21"/>
  <c r="G93" i="21"/>
  <c r="F93" i="21"/>
  <c r="C93" i="21"/>
  <c r="G92" i="21"/>
  <c r="F92" i="21"/>
  <c r="C92" i="21"/>
  <c r="G89" i="21"/>
  <c r="F89" i="21"/>
  <c r="C89" i="21"/>
  <c r="G86" i="21"/>
  <c r="F86" i="21"/>
  <c r="C86" i="21"/>
  <c r="G83" i="21"/>
  <c r="F83" i="21"/>
  <c r="C83" i="21"/>
  <c r="G76" i="21"/>
  <c r="F76" i="21"/>
  <c r="C76" i="21"/>
  <c r="G75" i="21"/>
  <c r="F75" i="21"/>
  <c r="C75" i="21"/>
  <c r="G64" i="21"/>
  <c r="F64" i="21"/>
  <c r="C64" i="21"/>
  <c r="G63" i="21"/>
  <c r="F63" i="21"/>
  <c r="C63" i="21"/>
  <c r="G62" i="21"/>
  <c r="F62" i="21"/>
  <c r="C62" i="21"/>
  <c r="G61" i="21"/>
  <c r="F61" i="21"/>
  <c r="C61" i="21"/>
  <c r="G59" i="21"/>
  <c r="F59" i="21"/>
  <c r="C59" i="21"/>
  <c r="G58" i="21"/>
  <c r="F58" i="21"/>
  <c r="C58" i="21"/>
  <c r="G57" i="21"/>
  <c r="F57" i="21"/>
  <c r="C57" i="21"/>
  <c r="G56" i="21"/>
  <c r="F56" i="21"/>
  <c r="C56" i="21"/>
  <c r="G47" i="21"/>
  <c r="F47" i="21"/>
  <c r="C47" i="21"/>
  <c r="G46" i="21"/>
  <c r="F46" i="21"/>
  <c r="C46" i="21"/>
  <c r="G45" i="21"/>
  <c r="F45" i="21"/>
  <c r="C45" i="21"/>
  <c r="G44" i="21"/>
  <c r="F44" i="21"/>
  <c r="C44" i="21"/>
  <c r="G33" i="21"/>
  <c r="F33" i="21"/>
  <c r="C33" i="21"/>
  <c r="G31" i="21"/>
  <c r="F31" i="21"/>
  <c r="C31" i="21"/>
  <c r="G29" i="21"/>
  <c r="F29" i="21"/>
  <c r="C29" i="21"/>
  <c r="G28" i="21"/>
  <c r="F28" i="21"/>
  <c r="C28" i="21"/>
  <c r="G26" i="21"/>
  <c r="F26" i="21"/>
  <c r="C26" i="21"/>
  <c r="G25" i="21"/>
  <c r="F25" i="21"/>
  <c r="C25" i="21"/>
  <c r="G23" i="21"/>
  <c r="F23" i="21"/>
  <c r="C23" i="21"/>
  <c r="G22" i="21"/>
  <c r="F22" i="21"/>
  <c r="C22" i="21"/>
  <c r="G8" i="21"/>
  <c r="F8" i="21"/>
  <c r="C8" i="21"/>
  <c r="G7" i="21"/>
  <c r="F7" i="21"/>
  <c r="C7" i="21"/>
  <c r="G5" i="21"/>
  <c r="F5" i="21"/>
  <c r="C5" i="21"/>
  <c r="G4" i="21"/>
  <c r="F4" i="21"/>
  <c r="C4" i="21"/>
  <c r="D135" i="23"/>
  <c r="F135" i="23"/>
  <c r="G135" i="23"/>
  <c r="H135" i="23"/>
  <c r="H134" i="23"/>
  <c r="G134" i="23"/>
  <c r="F134" i="23"/>
  <c r="D134" i="23"/>
  <c r="E135" i="23"/>
  <c r="C135" i="23"/>
  <c r="E134" i="23"/>
  <c r="C134" i="23"/>
  <c r="B135" i="23"/>
  <c r="B134" i="23"/>
  <c r="G133" i="23"/>
  <c r="H133" i="23"/>
  <c r="F133" i="23"/>
  <c r="D133" i="23"/>
  <c r="E133" i="23"/>
  <c r="C133" i="23"/>
  <c r="B133" i="23"/>
  <c r="G132" i="23"/>
  <c r="H132" i="23"/>
  <c r="F132" i="23"/>
  <c r="E132" i="23"/>
  <c r="D132" i="23"/>
  <c r="C132" i="23"/>
  <c r="B132" i="23"/>
  <c r="D126" i="23"/>
  <c r="B126" i="23"/>
  <c r="C126" i="23"/>
  <c r="D123" i="23"/>
  <c r="D121" i="23"/>
  <c r="C121" i="23"/>
  <c r="B121" i="23"/>
  <c r="D119" i="23"/>
  <c r="C119" i="23"/>
  <c r="B119" i="23"/>
  <c r="D118" i="23"/>
  <c r="C118" i="23"/>
  <c r="B118" i="23"/>
  <c r="D117" i="23"/>
  <c r="C117" i="23"/>
  <c r="B117" i="23"/>
  <c r="E107" i="23"/>
  <c r="E108" i="23"/>
  <c r="B105" i="23"/>
  <c r="E103" i="23"/>
  <c r="C103" i="23"/>
  <c r="B103" i="23"/>
  <c r="E102" i="23"/>
  <c r="C102" i="23"/>
  <c r="B102" i="23"/>
  <c r="C91" i="23"/>
  <c r="C97" i="23" s="1"/>
  <c r="B91" i="23"/>
  <c r="G87" i="23"/>
  <c r="F87" i="23"/>
  <c r="E87" i="23"/>
  <c r="D87" i="23"/>
  <c r="D88" i="23" s="1"/>
  <c r="C87" i="23"/>
  <c r="C76" i="23"/>
  <c r="D76" i="23"/>
  <c r="D81" i="23" s="1"/>
  <c r="E76" i="23"/>
  <c r="F76" i="23"/>
  <c r="F81" i="23" s="1"/>
  <c r="G76" i="23"/>
  <c r="B76" i="23"/>
  <c r="G75" i="23"/>
  <c r="D75" i="23"/>
  <c r="F74" i="23"/>
  <c r="C74" i="23"/>
  <c r="E73" i="23"/>
  <c r="B73" i="23"/>
  <c r="J68" i="23"/>
  <c r="I68" i="23"/>
  <c r="H68" i="23"/>
  <c r="G68" i="23"/>
  <c r="F68" i="23"/>
  <c r="E68" i="23"/>
  <c r="D68" i="23"/>
  <c r="D69" i="23" s="1"/>
  <c r="C68" i="23"/>
  <c r="C69" i="23" s="1"/>
  <c r="L56" i="23"/>
  <c r="K56" i="23"/>
  <c r="K62" i="23" s="1"/>
  <c r="K65" i="23" s="1"/>
  <c r="J56" i="23"/>
  <c r="I56" i="23"/>
  <c r="H56" i="23"/>
  <c r="D56" i="23"/>
  <c r="D62" i="23" s="1"/>
  <c r="D65" i="23" s="1"/>
  <c r="E56" i="23"/>
  <c r="F56" i="23"/>
  <c r="G56" i="23"/>
  <c r="C56" i="23"/>
  <c r="B56" i="23"/>
  <c r="L55" i="23"/>
  <c r="K55" i="23"/>
  <c r="J55" i="23"/>
  <c r="I55" i="23"/>
  <c r="H55" i="23"/>
  <c r="D55" i="23"/>
  <c r="E55" i="23"/>
  <c r="F55" i="23"/>
  <c r="G55" i="23"/>
  <c r="C55" i="23"/>
  <c r="B55" i="23"/>
  <c r="B69" i="23" s="1"/>
  <c r="J54" i="23"/>
  <c r="G54" i="23"/>
  <c r="D54" i="23"/>
  <c r="I53" i="23"/>
  <c r="F53" i="23"/>
  <c r="F62" i="23" s="1"/>
  <c r="F65" i="23" s="1"/>
  <c r="C53" i="23"/>
  <c r="J37" i="23"/>
  <c r="I37" i="23"/>
  <c r="H37" i="23"/>
  <c r="G37" i="23"/>
  <c r="F37" i="23"/>
  <c r="E37" i="23"/>
  <c r="D37" i="23"/>
  <c r="C37" i="23"/>
  <c r="B37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C43" i="23" s="1"/>
  <c r="C46" i="23" s="1"/>
  <c r="B36" i="23"/>
  <c r="S35" i="23"/>
  <c r="P35" i="23"/>
  <c r="M35" i="23"/>
  <c r="J35" i="23"/>
  <c r="G35" i="23"/>
  <c r="R34" i="23"/>
  <c r="O34" i="23"/>
  <c r="L34" i="23"/>
  <c r="I34" i="23"/>
  <c r="F34" i="23"/>
  <c r="D35" i="23"/>
  <c r="C34" i="23"/>
  <c r="Q33" i="23"/>
  <c r="N33" i="23"/>
  <c r="K33" i="23"/>
  <c r="K43" i="23" s="1"/>
  <c r="K46" i="23" s="1"/>
  <c r="H33" i="23"/>
  <c r="E33" i="23"/>
  <c r="B33" i="23"/>
  <c r="C20" i="23"/>
  <c r="B20" i="23"/>
  <c r="C19" i="23"/>
  <c r="B19" i="23"/>
  <c r="C18" i="23"/>
  <c r="B18" i="23"/>
  <c r="I6" i="23"/>
  <c r="H6" i="23"/>
  <c r="G6" i="23"/>
  <c r="F6" i="23"/>
  <c r="I5" i="23"/>
  <c r="H5" i="23"/>
  <c r="G5" i="23"/>
  <c r="F5" i="23"/>
  <c r="I4" i="23"/>
  <c r="H4" i="23"/>
  <c r="G4" i="23"/>
  <c r="F4" i="23"/>
  <c r="E6" i="23"/>
  <c r="D6" i="23"/>
  <c r="E5" i="23"/>
  <c r="D5" i="23"/>
  <c r="E4" i="23"/>
  <c r="C6" i="23"/>
  <c r="C5" i="23"/>
  <c r="C4" i="23"/>
  <c r="B6" i="23"/>
  <c r="B5" i="23"/>
  <c r="B12" i="23"/>
  <c r="B14" i="23" s="1"/>
  <c r="I260" i="23"/>
  <c r="I262" i="23" s="1"/>
  <c r="K255" i="23"/>
  <c r="E255" i="23"/>
  <c r="E260" i="23" s="1"/>
  <c r="J254" i="23"/>
  <c r="D254" i="23"/>
  <c r="L249" i="23"/>
  <c r="L260" i="23" s="1"/>
  <c r="K249" i="23"/>
  <c r="K260" i="23" s="1"/>
  <c r="J249" i="23"/>
  <c r="J260" i="23" s="1"/>
  <c r="I249" i="23"/>
  <c r="H249" i="23"/>
  <c r="H260" i="23" s="1"/>
  <c r="G249" i="23"/>
  <c r="F249" i="23"/>
  <c r="F260" i="23" s="1"/>
  <c r="E249" i="23"/>
  <c r="D249" i="23"/>
  <c r="C249" i="23"/>
  <c r="C260" i="23" s="1"/>
  <c r="B249" i="23"/>
  <c r="B260" i="23" s="1"/>
  <c r="B262" i="23" s="1"/>
  <c r="B243" i="23"/>
  <c r="C240" i="23"/>
  <c r="C242" i="23" s="1"/>
  <c r="B240" i="23"/>
  <c r="E227" i="23"/>
  <c r="E231" i="23" s="1"/>
  <c r="C227" i="23"/>
  <c r="C231" i="23" s="1"/>
  <c r="D226" i="23"/>
  <c r="D231" i="23" s="1"/>
  <c r="B226" i="23"/>
  <c r="B231" i="23" s="1"/>
  <c r="B232" i="23" s="1"/>
  <c r="E221" i="23"/>
  <c r="D221" i="23"/>
  <c r="C221" i="23"/>
  <c r="C222" i="23" s="1"/>
  <c r="B221" i="23"/>
  <c r="H208" i="23"/>
  <c r="C208" i="23"/>
  <c r="K205" i="23"/>
  <c r="J205" i="23"/>
  <c r="I205" i="23"/>
  <c r="H205" i="23"/>
  <c r="G205" i="23"/>
  <c r="G208" i="23" s="1"/>
  <c r="K204" i="23"/>
  <c r="K208" i="23" s="1"/>
  <c r="K209" i="23" s="1"/>
  <c r="J204" i="23"/>
  <c r="F208" i="23"/>
  <c r="F209" i="23" s="1"/>
  <c r="E208" i="23"/>
  <c r="E210" i="23" s="1"/>
  <c r="D208" i="23"/>
  <c r="D211" i="23" s="1"/>
  <c r="B208" i="23"/>
  <c r="B166" i="23"/>
  <c r="Q164" i="23"/>
  <c r="N164" i="23"/>
  <c r="K164" i="23"/>
  <c r="H164" i="23"/>
  <c r="H170" i="23" s="1"/>
  <c r="S163" i="23"/>
  <c r="Q163" i="23"/>
  <c r="P163" i="23"/>
  <c r="O163" i="23"/>
  <c r="N163" i="23"/>
  <c r="M163" i="23"/>
  <c r="L163" i="23"/>
  <c r="K163" i="23"/>
  <c r="J163" i="23"/>
  <c r="I163" i="23"/>
  <c r="H163" i="23"/>
  <c r="G163" i="23"/>
  <c r="G173" i="23" s="1"/>
  <c r="F163" i="23"/>
  <c r="F173" i="23" s="1"/>
  <c r="E163" i="23"/>
  <c r="E173" i="23" s="1"/>
  <c r="D163" i="23"/>
  <c r="D170" i="23"/>
  <c r="M170" i="23"/>
  <c r="M172" i="23" s="1"/>
  <c r="B161" i="23"/>
  <c r="Q151" i="23"/>
  <c r="Q152" i="23" s="1"/>
  <c r="B147" i="23"/>
  <c r="Q145" i="23"/>
  <c r="N145" i="23"/>
  <c r="T144" i="23"/>
  <c r="S144" i="23"/>
  <c r="J151" i="23"/>
  <c r="C151" i="23"/>
  <c r="D122" i="23"/>
  <c r="C122" i="23"/>
  <c r="B122" i="23"/>
  <c r="D116" i="23"/>
  <c r="C116" i="23"/>
  <c r="B116" i="23"/>
  <c r="E105" i="23"/>
  <c r="G88" i="23"/>
  <c r="L62" i="23"/>
  <c r="L65" i="23" s="1"/>
  <c r="E62" i="23"/>
  <c r="E65" i="23" s="1"/>
  <c r="T40" i="23"/>
  <c r="T38" i="23"/>
  <c r="T37" i="23"/>
  <c r="T35" i="23"/>
  <c r="T33" i="23"/>
  <c r="S6" i="23"/>
  <c r="R6" i="23"/>
  <c r="Q6" i="23"/>
  <c r="P6" i="23"/>
  <c r="O6" i="23"/>
  <c r="N6" i="23"/>
  <c r="M6" i="23"/>
  <c r="L6" i="23"/>
  <c r="I12" i="23"/>
  <c r="R5" i="23"/>
  <c r="R12" i="23" s="1"/>
  <c r="R14" i="23" s="1"/>
  <c r="Q5" i="23"/>
  <c r="P5" i="23"/>
  <c r="N5" i="23"/>
  <c r="M5" i="23"/>
  <c r="L5" i="23"/>
  <c r="S4" i="23"/>
  <c r="Q4" i="23"/>
  <c r="Q12" i="23" s="1"/>
  <c r="P4" i="23"/>
  <c r="O4" i="23"/>
  <c r="N4" i="23"/>
  <c r="M4" i="23"/>
  <c r="L4" i="23"/>
  <c r="C27" i="23" l="1"/>
  <c r="C28" i="23" s="1"/>
  <c r="T43" i="23"/>
  <c r="T45" i="23" s="1"/>
  <c r="E111" i="23"/>
  <c r="E113" i="23" s="1"/>
  <c r="D173" i="23"/>
  <c r="E175" i="23"/>
  <c r="E176" i="23"/>
  <c r="L170" i="23"/>
  <c r="L172" i="23" s="1"/>
  <c r="D260" i="23"/>
  <c r="D262" i="23" s="1"/>
  <c r="S43" i="23"/>
  <c r="F154" i="23"/>
  <c r="P170" i="23"/>
  <c r="P172" i="23" s="1"/>
  <c r="D174" i="23"/>
  <c r="B127" i="23"/>
  <c r="H173" i="23"/>
  <c r="H174" i="23" s="1"/>
  <c r="L12" i="23"/>
  <c r="L13" i="23" s="1"/>
  <c r="J208" i="23"/>
  <c r="L69" i="23"/>
  <c r="G69" i="23"/>
  <c r="D127" i="23"/>
  <c r="D129" i="23" s="1"/>
  <c r="K69" i="23"/>
  <c r="L151" i="23"/>
  <c r="L152" i="23" s="1"/>
  <c r="D151" i="23"/>
  <c r="D155" i="23" s="1"/>
  <c r="D157" i="23" s="1"/>
  <c r="D154" i="23"/>
  <c r="G154" i="23"/>
  <c r="F170" i="23"/>
  <c r="F174" i="23" s="1"/>
  <c r="S170" i="23"/>
  <c r="S171" i="23" s="1"/>
  <c r="B187" i="23"/>
  <c r="B190" i="23"/>
  <c r="C88" i="23"/>
  <c r="F153" i="23"/>
  <c r="F155" i="23"/>
  <c r="D156" i="23"/>
  <c r="J153" i="23"/>
  <c r="J155" i="23"/>
  <c r="C153" i="23"/>
  <c r="C155" i="23"/>
  <c r="S45" i="23"/>
  <c r="S46" i="23"/>
  <c r="C232" i="23"/>
  <c r="C233" i="23"/>
  <c r="G151" i="23"/>
  <c r="K151" i="23"/>
  <c r="K155" i="23" s="1"/>
  <c r="E209" i="23"/>
  <c r="M12" i="23"/>
  <c r="M13" i="23" s="1"/>
  <c r="D210" i="23"/>
  <c r="F12" i="23"/>
  <c r="F14" i="23" s="1"/>
  <c r="B27" i="23"/>
  <c r="B28" i="23" s="1"/>
  <c r="J62" i="23"/>
  <c r="J65" i="23" s="1"/>
  <c r="B81" i="23"/>
  <c r="B83" i="23" s="1"/>
  <c r="C111" i="23"/>
  <c r="C112" i="23" s="1"/>
  <c r="I151" i="23"/>
  <c r="I155" i="23" s="1"/>
  <c r="E187" i="23"/>
  <c r="E189" i="23" s="1"/>
  <c r="O12" i="23"/>
  <c r="O14" i="23" s="1"/>
  <c r="N62" i="23"/>
  <c r="N64" i="23" s="1"/>
  <c r="C12" i="23"/>
  <c r="C13" i="23" s="1"/>
  <c r="O43" i="23"/>
  <c r="O44" i="23" s="1"/>
  <c r="E81" i="23"/>
  <c r="E84" i="23" s="1"/>
  <c r="K12" i="23"/>
  <c r="H12" i="23"/>
  <c r="H13" i="23" s="1"/>
  <c r="E88" i="23"/>
  <c r="F82" i="23"/>
  <c r="F84" i="23"/>
  <c r="B261" i="23"/>
  <c r="B233" i="23"/>
  <c r="C223" i="23"/>
  <c r="E211" i="23"/>
  <c r="E212" i="23" s="1"/>
  <c r="D189" i="23"/>
  <c r="N170" i="23"/>
  <c r="E151" i="23"/>
  <c r="E155" i="23" s="1"/>
  <c r="I152" i="23"/>
  <c r="O152" i="23"/>
  <c r="J152" i="23"/>
  <c r="F152" i="23"/>
  <c r="C152" i="23"/>
  <c r="B62" i="23"/>
  <c r="B65" i="23" s="1"/>
  <c r="J13" i="23"/>
  <c r="K14" i="23"/>
  <c r="K13" i="23"/>
  <c r="R13" i="23"/>
  <c r="C127" i="23"/>
  <c r="C129" i="23" s="1"/>
  <c r="G81" i="23"/>
  <c r="C81" i="23"/>
  <c r="C82" i="23" s="1"/>
  <c r="H69" i="23"/>
  <c r="H62" i="23"/>
  <c r="H65" i="23" s="1"/>
  <c r="P43" i="23"/>
  <c r="P44" i="23" s="1"/>
  <c r="I43" i="23"/>
  <c r="I46" i="23" s="1"/>
  <c r="M43" i="23"/>
  <c r="M46" i="23" s="1"/>
  <c r="L43" i="23"/>
  <c r="H43" i="23"/>
  <c r="G43" i="23"/>
  <c r="G46" i="23" s="1"/>
  <c r="D43" i="23"/>
  <c r="D46" i="23" s="1"/>
  <c r="Q43" i="23"/>
  <c r="E43" i="23"/>
  <c r="E46" i="23" s="1"/>
  <c r="P12" i="23"/>
  <c r="P14" i="23" s="1"/>
  <c r="E12" i="23"/>
  <c r="E13" i="23" s="1"/>
  <c r="I172" i="23"/>
  <c r="I171" i="23"/>
  <c r="T44" i="23"/>
  <c r="I14" i="23"/>
  <c r="I13" i="23"/>
  <c r="K63" i="23"/>
  <c r="K64" i="23"/>
  <c r="Q13" i="23"/>
  <c r="Q14" i="23"/>
  <c r="E64" i="23"/>
  <c r="E63" i="23"/>
  <c r="L14" i="23"/>
  <c r="K44" i="23"/>
  <c r="K45" i="23"/>
  <c r="P152" i="23"/>
  <c r="P153" i="23"/>
  <c r="I62" i="23"/>
  <c r="I65" i="23" s="1"/>
  <c r="C62" i="23"/>
  <c r="C65" i="23" s="1"/>
  <c r="L64" i="23"/>
  <c r="L63" i="23"/>
  <c r="D172" i="23"/>
  <c r="D171" i="23"/>
  <c r="L171" i="23"/>
  <c r="N171" i="23"/>
  <c r="N172" i="23"/>
  <c r="E213" i="23"/>
  <c r="E69" i="23"/>
  <c r="F64" i="23"/>
  <c r="F63" i="23"/>
  <c r="C211" i="23"/>
  <c r="C209" i="23"/>
  <c r="C210" i="23"/>
  <c r="H262" i="23"/>
  <c r="H261" i="23"/>
  <c r="G62" i="23"/>
  <c r="G65" i="23" s="1"/>
  <c r="E153" i="23"/>
  <c r="E152" i="23"/>
  <c r="E172" i="23"/>
  <c r="E171" i="23"/>
  <c r="Q172" i="23"/>
  <c r="Q171" i="23"/>
  <c r="H171" i="23"/>
  <c r="H172" i="23"/>
  <c r="P171" i="23"/>
  <c r="D213" i="23"/>
  <c r="D212" i="23"/>
  <c r="J209" i="23"/>
  <c r="J210" i="23"/>
  <c r="S44" i="23"/>
  <c r="D84" i="23"/>
  <c r="D83" i="23"/>
  <c r="D82" i="23"/>
  <c r="B128" i="23"/>
  <c r="B129" i="23"/>
  <c r="M171" i="23"/>
  <c r="D209" i="23"/>
  <c r="E222" i="23"/>
  <c r="E223" i="23"/>
  <c r="G12" i="23"/>
  <c r="S12" i="23"/>
  <c r="B13" i="23"/>
  <c r="C29" i="23"/>
  <c r="C44" i="23"/>
  <c r="J43" i="23"/>
  <c r="J46" i="23" s="1"/>
  <c r="C45" i="23"/>
  <c r="D64" i="23"/>
  <c r="D63" i="23"/>
  <c r="I69" i="23"/>
  <c r="B97" i="23"/>
  <c r="C98" i="23"/>
  <c r="C99" i="23"/>
  <c r="E112" i="23"/>
  <c r="L153" i="23"/>
  <c r="B223" i="23"/>
  <c r="B222" i="23"/>
  <c r="E232" i="23"/>
  <c r="E233" i="23"/>
  <c r="C261" i="23"/>
  <c r="C262" i="23"/>
  <c r="B88" i="23"/>
  <c r="J171" i="23"/>
  <c r="J172" i="23"/>
  <c r="B189" i="23"/>
  <c r="B188" i="23"/>
  <c r="F211" i="23"/>
  <c r="F262" i="23"/>
  <c r="F261" i="23"/>
  <c r="D261" i="23"/>
  <c r="B43" i="23"/>
  <c r="B46" i="23" s="1"/>
  <c r="F43" i="23"/>
  <c r="F46" i="23" s="1"/>
  <c r="F83" i="23"/>
  <c r="B111" i="23"/>
  <c r="B153" i="23"/>
  <c r="B152" i="23"/>
  <c r="K153" i="23"/>
  <c r="K152" i="23"/>
  <c r="M153" i="23"/>
  <c r="C187" i="23"/>
  <c r="C191" i="23" s="1"/>
  <c r="G187" i="23"/>
  <c r="G209" i="23"/>
  <c r="G210" i="23"/>
  <c r="I208" i="23"/>
  <c r="H210" i="23"/>
  <c r="H209" i="23"/>
  <c r="B241" i="23"/>
  <c r="B242" i="23"/>
  <c r="G260" i="23"/>
  <c r="K261" i="23"/>
  <c r="K262" i="23"/>
  <c r="E262" i="23"/>
  <c r="E261" i="23"/>
  <c r="D128" i="23"/>
  <c r="B170" i="23"/>
  <c r="F172" i="23"/>
  <c r="F189" i="23"/>
  <c r="F188" i="23"/>
  <c r="B209" i="23"/>
  <c r="B211" i="23"/>
  <c r="B210" i="23"/>
  <c r="F210" i="23"/>
  <c r="J262" i="23"/>
  <c r="J261" i="23"/>
  <c r="N12" i="23"/>
  <c r="N43" i="23"/>
  <c r="N46" i="23" s="1"/>
  <c r="R43" i="23"/>
  <c r="R46" i="23" s="1"/>
  <c r="D12" i="23"/>
  <c r="F13" i="23"/>
  <c r="E82" i="23"/>
  <c r="E83" i="23"/>
  <c r="F88" i="23"/>
  <c r="H151" i="23"/>
  <c r="H155" i="23" s="1"/>
  <c r="T151" i="23"/>
  <c r="G153" i="23"/>
  <c r="Q153" i="23"/>
  <c r="K210" i="23"/>
  <c r="C241" i="23"/>
  <c r="L262" i="23"/>
  <c r="L261" i="23"/>
  <c r="I261" i="23"/>
  <c r="F69" i="23"/>
  <c r="J69" i="23"/>
  <c r="N151" i="23"/>
  <c r="S152" i="23"/>
  <c r="C170" i="23"/>
  <c r="C174" i="23" s="1"/>
  <c r="G170" i="23"/>
  <c r="G174" i="23" s="1"/>
  <c r="K170" i="23"/>
  <c r="O170" i="23"/>
  <c r="D223" i="23"/>
  <c r="D222" i="23"/>
  <c r="D233" i="23"/>
  <c r="D232" i="23"/>
  <c r="H40" i="16"/>
  <c r="E40" i="16"/>
  <c r="F40" i="16"/>
  <c r="H39" i="16"/>
  <c r="E39" i="16"/>
  <c r="F39" i="16"/>
  <c r="G176" i="23" l="1"/>
  <c r="G175" i="23"/>
  <c r="F176" i="23"/>
  <c r="F175" i="23"/>
  <c r="H176" i="23"/>
  <c r="H175" i="23"/>
  <c r="F171" i="23"/>
  <c r="D153" i="23"/>
  <c r="T46" i="23"/>
  <c r="C176" i="23"/>
  <c r="C175" i="23"/>
  <c r="D152" i="23"/>
  <c r="H14" i="23"/>
  <c r="S172" i="23"/>
  <c r="B191" i="23"/>
  <c r="D175" i="23"/>
  <c r="D176" i="23"/>
  <c r="C192" i="23"/>
  <c r="C193" i="23"/>
  <c r="H157" i="23"/>
  <c r="H156" i="23"/>
  <c r="I153" i="23"/>
  <c r="E157" i="23"/>
  <c r="E156" i="23"/>
  <c r="K156" i="23"/>
  <c r="K157" i="23"/>
  <c r="J157" i="23"/>
  <c r="J156" i="23"/>
  <c r="F156" i="23"/>
  <c r="F157" i="23"/>
  <c r="I156" i="23"/>
  <c r="I157" i="23"/>
  <c r="G152" i="23"/>
  <c r="G155" i="23"/>
  <c r="C157" i="23"/>
  <c r="C156" i="23"/>
  <c r="B64" i="23"/>
  <c r="B63" i="23"/>
  <c r="I45" i="23"/>
  <c r="I44" i="23"/>
  <c r="H44" i="23"/>
  <c r="H46" i="23"/>
  <c r="H48" i="23" s="1"/>
  <c r="B29" i="23"/>
  <c r="C113" i="23"/>
  <c r="B84" i="23"/>
  <c r="B86" i="23" s="1"/>
  <c r="B82" i="23"/>
  <c r="N63" i="23"/>
  <c r="O13" i="23"/>
  <c r="L44" i="23"/>
  <c r="L46" i="23"/>
  <c r="L47" i="23" s="1"/>
  <c r="M14" i="23"/>
  <c r="J63" i="23"/>
  <c r="J64" i="23"/>
  <c r="E188" i="23"/>
  <c r="Q44" i="23"/>
  <c r="Q46" i="23"/>
  <c r="Q48" i="23" s="1"/>
  <c r="O45" i="23"/>
  <c r="O46" i="23"/>
  <c r="O48" i="23" s="1"/>
  <c r="E14" i="23"/>
  <c r="C14" i="23"/>
  <c r="P45" i="23"/>
  <c r="P46" i="23"/>
  <c r="G83" i="23"/>
  <c r="G84" i="23"/>
  <c r="H63" i="23"/>
  <c r="H64" i="23"/>
  <c r="P13" i="23"/>
  <c r="C128" i="23"/>
  <c r="G82" i="23"/>
  <c r="C83" i="23"/>
  <c r="C84" i="23"/>
  <c r="E44" i="23"/>
  <c r="M44" i="23"/>
  <c r="M45" i="23"/>
  <c r="L45" i="23"/>
  <c r="G45" i="23"/>
  <c r="G44" i="23"/>
  <c r="D44" i="23"/>
  <c r="D45" i="23"/>
  <c r="H45" i="23"/>
  <c r="E45" i="23"/>
  <c r="Q45" i="23"/>
  <c r="D14" i="23"/>
  <c r="D13" i="23"/>
  <c r="K48" i="23"/>
  <c r="K47" i="23"/>
  <c r="M48" i="23"/>
  <c r="M47" i="23"/>
  <c r="D48" i="23"/>
  <c r="D47" i="23"/>
  <c r="B67" i="23"/>
  <c r="B66" i="23"/>
  <c r="T152" i="23"/>
  <c r="T153" i="23"/>
  <c r="R45" i="23"/>
  <c r="R44" i="23"/>
  <c r="I210" i="23"/>
  <c r="I209" i="23"/>
  <c r="F45" i="23"/>
  <c r="F44" i="23"/>
  <c r="J44" i="23"/>
  <c r="J45" i="23"/>
  <c r="C63" i="23"/>
  <c r="C64" i="23"/>
  <c r="J66" i="23"/>
  <c r="J67" i="23"/>
  <c r="K172" i="23"/>
  <c r="K171" i="23"/>
  <c r="N44" i="23"/>
  <c r="N45" i="23"/>
  <c r="B45" i="23"/>
  <c r="B44" i="23"/>
  <c r="B99" i="23"/>
  <c r="B98" i="23"/>
  <c r="C48" i="23"/>
  <c r="C47" i="23"/>
  <c r="S13" i="23"/>
  <c r="S14" i="23"/>
  <c r="D85" i="23"/>
  <c r="D86" i="23"/>
  <c r="S48" i="23"/>
  <c r="S47" i="23"/>
  <c r="H67" i="23"/>
  <c r="H66" i="23"/>
  <c r="C213" i="23"/>
  <c r="C212" i="23"/>
  <c r="I64" i="23"/>
  <c r="I63" i="23"/>
  <c r="I48" i="23"/>
  <c r="I47" i="23"/>
  <c r="E47" i="23"/>
  <c r="E48" i="23"/>
  <c r="C172" i="23"/>
  <c r="C171" i="23"/>
  <c r="B212" i="23"/>
  <c r="B213" i="23"/>
  <c r="G261" i="23"/>
  <c r="G262" i="23"/>
  <c r="G189" i="23"/>
  <c r="G188" i="23"/>
  <c r="F86" i="23"/>
  <c r="F85" i="23"/>
  <c r="G48" i="23"/>
  <c r="G47" i="23"/>
  <c r="T48" i="23"/>
  <c r="T47" i="23"/>
  <c r="O172" i="23"/>
  <c r="O171" i="23"/>
  <c r="C189" i="23"/>
  <c r="C188" i="23"/>
  <c r="B112" i="23"/>
  <c r="B113" i="23"/>
  <c r="D67" i="23"/>
  <c r="D66" i="23"/>
  <c r="F67" i="23"/>
  <c r="F66" i="23"/>
  <c r="P47" i="23"/>
  <c r="P48" i="23"/>
  <c r="N153" i="23"/>
  <c r="N152" i="23"/>
  <c r="H152" i="23"/>
  <c r="H153" i="23"/>
  <c r="E86" i="23"/>
  <c r="E85" i="23"/>
  <c r="B171" i="23"/>
  <c r="B172" i="23"/>
  <c r="F212" i="23"/>
  <c r="F213" i="23"/>
  <c r="G171" i="23"/>
  <c r="G172" i="23"/>
  <c r="N13" i="23"/>
  <c r="N14" i="23"/>
  <c r="G13" i="23"/>
  <c r="G14" i="23"/>
  <c r="G63" i="23"/>
  <c r="G64" i="23"/>
  <c r="E66" i="23"/>
  <c r="E67" i="23"/>
  <c r="M78" i="13"/>
  <c r="B192" i="23" l="1"/>
  <c r="B193" i="23"/>
  <c r="G156" i="23"/>
  <c r="G157" i="23"/>
  <c r="B85" i="23"/>
  <c r="O47" i="23"/>
  <c r="Q47" i="23"/>
  <c r="G85" i="23"/>
  <c r="G86" i="23"/>
  <c r="C85" i="23"/>
  <c r="C86" i="23"/>
  <c r="L48" i="23"/>
  <c r="H47" i="23"/>
  <c r="C66" i="23"/>
  <c r="C67" i="23"/>
  <c r="B47" i="23"/>
  <c r="B48" i="23"/>
  <c r="N47" i="23"/>
  <c r="N48" i="23"/>
  <c r="F47" i="23"/>
  <c r="F48" i="23"/>
  <c r="G67" i="23"/>
  <c r="G66" i="23"/>
  <c r="R47" i="23"/>
  <c r="R48" i="23"/>
  <c r="I66" i="23"/>
  <c r="I67" i="23"/>
  <c r="J47" i="23"/>
  <c r="J48" i="23"/>
  <c r="B8" i="18" l="1"/>
  <c r="H55" i="16"/>
  <c r="H53" i="16"/>
  <c r="H33" i="16"/>
  <c r="F33" i="16"/>
  <c r="E33" i="16"/>
  <c r="E55" i="16"/>
  <c r="F55" i="16"/>
  <c r="E53" i="16"/>
  <c r="F53" i="16"/>
  <c r="B160" i="18" l="1"/>
  <c r="B157" i="18"/>
  <c r="B158" i="18"/>
  <c r="B156" i="18"/>
  <c r="B155" i="18"/>
  <c r="C144" i="18"/>
  <c r="B144" i="18"/>
  <c r="B143" i="18"/>
  <c r="B146" i="18"/>
  <c r="B141" i="18"/>
  <c r="C158" i="18"/>
  <c r="C160" i="18"/>
  <c r="T143" i="18"/>
  <c r="T142" i="18"/>
  <c r="T150" i="18" s="1"/>
  <c r="T144" i="18"/>
  <c r="D123" i="18"/>
  <c r="D122" i="18"/>
  <c r="D121" i="18"/>
  <c r="D120" i="18"/>
  <c r="D119" i="18"/>
  <c r="D118" i="18"/>
  <c r="D117" i="18"/>
  <c r="D116" i="18"/>
  <c r="D115" i="18"/>
  <c r="E106" i="18"/>
  <c r="T37" i="18"/>
  <c r="T36" i="18"/>
  <c r="E104" i="18"/>
  <c r="E102" i="18"/>
  <c r="E101" i="18"/>
  <c r="E107" i="18"/>
  <c r="T32" i="18"/>
  <c r="T34" i="18"/>
  <c r="T39" i="18"/>
  <c r="T35" i="18"/>
  <c r="C120" i="18"/>
  <c r="C118" i="18"/>
  <c r="C117" i="18"/>
  <c r="C116" i="18"/>
  <c r="C119" i="18"/>
  <c r="C121" i="18"/>
  <c r="C122" i="18"/>
  <c r="C123" i="18"/>
  <c r="C115" i="18"/>
  <c r="H51" i="18"/>
  <c r="B51" i="18"/>
  <c r="L58" i="18"/>
  <c r="L55" i="18"/>
  <c r="L61" i="18" s="1"/>
  <c r="L62" i="18" s="1"/>
  <c r="L54" i="18"/>
  <c r="K58" i="18"/>
  <c r="K55" i="18"/>
  <c r="K54" i="18"/>
  <c r="H134" i="18"/>
  <c r="H133" i="18"/>
  <c r="H132" i="18"/>
  <c r="H131" i="18"/>
  <c r="G134" i="18"/>
  <c r="G133" i="18"/>
  <c r="G132" i="18"/>
  <c r="G131" i="18"/>
  <c r="F134" i="18"/>
  <c r="F133" i="18"/>
  <c r="F132" i="18"/>
  <c r="F131" i="18"/>
  <c r="E134" i="18"/>
  <c r="E133" i="18"/>
  <c r="E132" i="18"/>
  <c r="E131" i="18"/>
  <c r="D134" i="18"/>
  <c r="D133" i="18"/>
  <c r="D132" i="18"/>
  <c r="D131" i="18"/>
  <c r="C134" i="18"/>
  <c r="C133" i="18"/>
  <c r="C132" i="18"/>
  <c r="C131" i="18"/>
  <c r="B134" i="18"/>
  <c r="B133" i="18"/>
  <c r="B132" i="18"/>
  <c r="B131" i="18"/>
  <c r="U37" i="19"/>
  <c r="V37" i="19"/>
  <c r="R37" i="19"/>
  <c r="G245" i="18"/>
  <c r="G248" i="18" s="1"/>
  <c r="G250" i="18" s="1"/>
  <c r="G244" i="18"/>
  <c r="G237" i="18"/>
  <c r="U33" i="19"/>
  <c r="V33" i="19"/>
  <c r="U34" i="19"/>
  <c r="V34" i="19"/>
  <c r="U35" i="19"/>
  <c r="V35" i="19"/>
  <c r="U36" i="19"/>
  <c r="V36" i="19"/>
  <c r="V32" i="19"/>
  <c r="U32" i="19"/>
  <c r="R33" i="19"/>
  <c r="R34" i="19"/>
  <c r="R35" i="19"/>
  <c r="R36" i="19"/>
  <c r="R32" i="19"/>
  <c r="L244" i="18"/>
  <c r="F244" i="18"/>
  <c r="K243" i="18"/>
  <c r="J242" i="18"/>
  <c r="I241" i="18"/>
  <c r="I237" i="18"/>
  <c r="I248" i="18" s="1"/>
  <c r="J237" i="18"/>
  <c r="K237" i="18"/>
  <c r="L237" i="18"/>
  <c r="L248" i="18" s="1"/>
  <c r="L249" i="18" s="1"/>
  <c r="K248" i="18"/>
  <c r="K249" i="18" s="1"/>
  <c r="H240" i="18"/>
  <c r="H237" i="18"/>
  <c r="D237" i="18"/>
  <c r="D248" i="18" s="1"/>
  <c r="D249" i="18" s="1"/>
  <c r="E237" i="18"/>
  <c r="E248" i="18" s="1"/>
  <c r="E249" i="18" s="1"/>
  <c r="F237" i="18"/>
  <c r="F248" i="18" s="1"/>
  <c r="F249" i="18" s="1"/>
  <c r="C237" i="18"/>
  <c r="C248" i="18" s="1"/>
  <c r="E243" i="18"/>
  <c r="D242" i="18"/>
  <c r="C241" i="18"/>
  <c r="B240" i="18"/>
  <c r="B237" i="18"/>
  <c r="B248" i="18" s="1"/>
  <c r="T151" i="18" l="1"/>
  <c r="T152" i="18"/>
  <c r="B250" i="18"/>
  <c r="B249" i="18"/>
  <c r="C250" i="18"/>
  <c r="C249" i="18"/>
  <c r="K61" i="18"/>
  <c r="K62" i="18" s="1"/>
  <c r="E110" i="18"/>
  <c r="E111" i="18" s="1"/>
  <c r="B150" i="18"/>
  <c r="D126" i="18"/>
  <c r="D127" i="18" s="1"/>
  <c r="B164" i="18"/>
  <c r="B165" i="18" s="1"/>
  <c r="B166" i="18"/>
  <c r="B152" i="18"/>
  <c r="B151" i="18"/>
  <c r="D128" i="18"/>
  <c r="T42" i="18"/>
  <c r="T44" i="18" s="1"/>
  <c r="C126" i="18"/>
  <c r="C127" i="18" s="1"/>
  <c r="C128" i="18"/>
  <c r="L63" i="18"/>
  <c r="K63" i="18"/>
  <c r="G249" i="18"/>
  <c r="K250" i="18"/>
  <c r="I250" i="18"/>
  <c r="I249" i="18"/>
  <c r="J248" i="18"/>
  <c r="J249" i="18" s="1"/>
  <c r="L250" i="18"/>
  <c r="F250" i="18"/>
  <c r="E250" i="18"/>
  <c r="D250" i="18"/>
  <c r="H248" i="18"/>
  <c r="H250" i="18" s="1"/>
  <c r="E112" i="18" l="1"/>
  <c r="T43" i="18"/>
  <c r="T45" i="18"/>
  <c r="T47" i="18" s="1"/>
  <c r="J250" i="18"/>
  <c r="H249" i="18"/>
  <c r="E51" i="18"/>
  <c r="R4" i="18"/>
  <c r="R5" i="18"/>
  <c r="R12" i="18" s="1"/>
  <c r="R8" i="18"/>
  <c r="R6" i="18"/>
  <c r="J54" i="18"/>
  <c r="I54" i="18"/>
  <c r="H54" i="18"/>
  <c r="G54" i="18"/>
  <c r="F54" i="18"/>
  <c r="E54" i="18"/>
  <c r="D54" i="18"/>
  <c r="C54" i="18"/>
  <c r="B54" i="18"/>
  <c r="B6" i="18"/>
  <c r="B5" i="18"/>
  <c r="T46" i="18" l="1"/>
  <c r="R13" i="18"/>
  <c r="R14" i="18"/>
  <c r="M10" i="14" l="1"/>
  <c r="M9" i="14"/>
  <c r="M5" i="14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3" i="13"/>
  <c r="P87" i="13" l="1"/>
  <c r="R97" i="13" s="1"/>
  <c r="O8" i="18"/>
  <c r="M51" i="14" l="1"/>
  <c r="M19" i="14" l="1"/>
  <c r="M16" i="14"/>
  <c r="F6" i="18" l="1"/>
  <c r="N22" i="19" l="1"/>
  <c r="M22" i="19"/>
  <c r="J22" i="19"/>
  <c r="S160" i="18"/>
  <c r="S158" i="18"/>
  <c r="S157" i="18"/>
  <c r="S156" i="18"/>
  <c r="S164" i="18" s="1"/>
  <c r="S166" i="18" s="1"/>
  <c r="S155" i="18"/>
  <c r="N4" i="19"/>
  <c r="M4" i="19"/>
  <c r="J4" i="19"/>
  <c r="S144" i="18"/>
  <c r="S143" i="18"/>
  <c r="S141" i="18"/>
  <c r="V29" i="19"/>
  <c r="U29" i="19"/>
  <c r="V28" i="19"/>
  <c r="U28" i="19"/>
  <c r="V27" i="19"/>
  <c r="U27" i="19"/>
  <c r="V26" i="19"/>
  <c r="U26" i="19"/>
  <c r="R29" i="19"/>
  <c r="R28" i="19"/>
  <c r="R27" i="19"/>
  <c r="R26" i="19"/>
  <c r="C205" i="18"/>
  <c r="B205" i="18"/>
  <c r="U19" i="19"/>
  <c r="V19" i="19"/>
  <c r="U21" i="19"/>
  <c r="V21" i="19"/>
  <c r="U22" i="19"/>
  <c r="V22" i="19"/>
  <c r="R19" i="19"/>
  <c r="R21" i="19"/>
  <c r="R22" i="19"/>
  <c r="V18" i="19"/>
  <c r="U18" i="19"/>
  <c r="R18" i="19"/>
  <c r="R12" i="19"/>
  <c r="U12" i="19"/>
  <c r="V12" i="19"/>
  <c r="R13" i="19"/>
  <c r="U13" i="19"/>
  <c r="V13" i="19"/>
  <c r="R14" i="19"/>
  <c r="U14" i="19"/>
  <c r="V14" i="19"/>
  <c r="R15" i="19"/>
  <c r="U15" i="19"/>
  <c r="V15" i="19"/>
  <c r="V10" i="19"/>
  <c r="U10" i="19"/>
  <c r="R10" i="19"/>
  <c r="U5" i="19"/>
  <c r="V5" i="19"/>
  <c r="U6" i="19"/>
  <c r="V6" i="19"/>
  <c r="U7" i="19"/>
  <c r="V7" i="19"/>
  <c r="U8" i="19"/>
  <c r="V8" i="19"/>
  <c r="R5" i="19"/>
  <c r="R6" i="19"/>
  <c r="R7" i="19"/>
  <c r="R8" i="19"/>
  <c r="V4" i="19"/>
  <c r="U4" i="19"/>
  <c r="R4" i="19"/>
  <c r="B231" i="18"/>
  <c r="C225" i="18"/>
  <c r="C224" i="18"/>
  <c r="C228" i="18" s="1"/>
  <c r="B225" i="18"/>
  <c r="B224" i="18"/>
  <c r="E216" i="18"/>
  <c r="D216" i="18"/>
  <c r="E215" i="18"/>
  <c r="D214" i="18"/>
  <c r="S150" i="18" l="1"/>
  <c r="S152" i="18" s="1"/>
  <c r="B228" i="18"/>
  <c r="B229" i="18" s="1"/>
  <c r="D219" i="18"/>
  <c r="D220" i="18" s="1"/>
  <c r="S165" i="18"/>
  <c r="E219" i="18"/>
  <c r="S151" i="18"/>
  <c r="C230" i="18"/>
  <c r="C229" i="18"/>
  <c r="D221" i="18"/>
  <c r="E220" i="18"/>
  <c r="E221" i="18"/>
  <c r="B216" i="18"/>
  <c r="C215" i="18"/>
  <c r="C216" i="18"/>
  <c r="B214" i="18"/>
  <c r="B219" i="18"/>
  <c r="E206" i="18"/>
  <c r="E205" i="18"/>
  <c r="E204" i="18"/>
  <c r="D206" i="18"/>
  <c r="D205" i="18"/>
  <c r="D204" i="18"/>
  <c r="C206" i="18"/>
  <c r="C204" i="18"/>
  <c r="B206" i="18"/>
  <c r="B204" i="18"/>
  <c r="B209" i="18" s="1"/>
  <c r="B211" i="18" s="1"/>
  <c r="K193" i="18"/>
  <c r="K192" i="18"/>
  <c r="J192" i="18"/>
  <c r="H192" i="18"/>
  <c r="I192" i="18"/>
  <c r="K191" i="18"/>
  <c r="J190" i="18"/>
  <c r="I189" i="18"/>
  <c r="H188" i="18"/>
  <c r="I196" i="18"/>
  <c r="H193" i="18"/>
  <c r="I193" i="18"/>
  <c r="J193" i="18"/>
  <c r="J196" i="18" s="1"/>
  <c r="G193" i="18"/>
  <c r="G187" i="18"/>
  <c r="D196" i="18"/>
  <c r="D199" i="18" s="1"/>
  <c r="D201" i="18" s="1"/>
  <c r="F191" i="18"/>
  <c r="F196" i="18" s="1"/>
  <c r="E190" i="18"/>
  <c r="E196" i="18" s="1"/>
  <c r="D189" i="18"/>
  <c r="C188" i="18"/>
  <c r="C196" i="18" s="1"/>
  <c r="B187" i="18"/>
  <c r="B196" i="18" s="1"/>
  <c r="M41" i="19"/>
  <c r="N41" i="19"/>
  <c r="M42" i="19"/>
  <c r="N42" i="19"/>
  <c r="M43" i="19"/>
  <c r="N43" i="19"/>
  <c r="M44" i="19"/>
  <c r="N44" i="19"/>
  <c r="M45" i="19"/>
  <c r="N45" i="19"/>
  <c r="N40" i="19"/>
  <c r="M40" i="19"/>
  <c r="J41" i="19"/>
  <c r="J42" i="19"/>
  <c r="J43" i="19"/>
  <c r="J44" i="19"/>
  <c r="J45" i="19"/>
  <c r="J40" i="19"/>
  <c r="G172" i="18"/>
  <c r="G174" i="18"/>
  <c r="G173" i="18"/>
  <c r="G171" i="18"/>
  <c r="G170" i="18"/>
  <c r="F170" i="18"/>
  <c r="F171" i="18"/>
  <c r="F172" i="18"/>
  <c r="F173" i="18"/>
  <c r="F174" i="18"/>
  <c r="E173" i="18"/>
  <c r="E172" i="18"/>
  <c r="E171" i="18"/>
  <c r="D173" i="18"/>
  <c r="C173" i="18"/>
  <c r="B173" i="18"/>
  <c r="D172" i="18"/>
  <c r="D171" i="18"/>
  <c r="C172" i="18"/>
  <c r="C171" i="18"/>
  <c r="E174" i="18"/>
  <c r="E170" i="18"/>
  <c r="D174" i="18"/>
  <c r="D170" i="18"/>
  <c r="C174" i="18"/>
  <c r="C170" i="18"/>
  <c r="B172" i="18"/>
  <c r="B171" i="18"/>
  <c r="B170" i="18"/>
  <c r="B174" i="18"/>
  <c r="B230" i="18" l="1"/>
  <c r="C219" i="18"/>
  <c r="C221" i="18" s="1"/>
  <c r="K196" i="18"/>
  <c r="K197" i="18" s="1"/>
  <c r="G196" i="18"/>
  <c r="G198" i="18" s="1"/>
  <c r="B198" i="18"/>
  <c r="B199" i="18"/>
  <c r="B201" i="18" s="1"/>
  <c r="B197" i="18"/>
  <c r="F197" i="18"/>
  <c r="F199" i="18"/>
  <c r="C198" i="18"/>
  <c r="C199" i="18"/>
  <c r="E197" i="18"/>
  <c r="E199" i="18"/>
  <c r="E201" i="18" s="1"/>
  <c r="B178" i="18"/>
  <c r="B180" i="18" s="1"/>
  <c r="F178" i="18"/>
  <c r="F179" i="18" s="1"/>
  <c r="G178" i="18"/>
  <c r="D197" i="18"/>
  <c r="C209" i="18"/>
  <c r="C210" i="18" s="1"/>
  <c r="E209" i="18"/>
  <c r="E211" i="18" s="1"/>
  <c r="C178" i="18"/>
  <c r="C220" i="18"/>
  <c r="B220" i="18"/>
  <c r="B221" i="18"/>
  <c r="D209" i="18"/>
  <c r="D211" i="18" s="1"/>
  <c r="B210" i="18"/>
  <c r="B200" i="18"/>
  <c r="D200" i="18"/>
  <c r="H196" i="18"/>
  <c r="H198" i="18" s="1"/>
  <c r="I198" i="18"/>
  <c r="I197" i="18"/>
  <c r="J197" i="18"/>
  <c r="J198" i="18"/>
  <c r="C197" i="18"/>
  <c r="F198" i="18"/>
  <c r="D198" i="18"/>
  <c r="E198" i="18"/>
  <c r="G180" i="18"/>
  <c r="G179" i="18"/>
  <c r="E178" i="18"/>
  <c r="E180" i="18" s="1"/>
  <c r="D178" i="18"/>
  <c r="D180" i="18" s="1"/>
  <c r="C179" i="18"/>
  <c r="C180" i="18"/>
  <c r="P157" i="18"/>
  <c r="Q158" i="18"/>
  <c r="M159" i="18"/>
  <c r="N158" i="18"/>
  <c r="K158" i="18"/>
  <c r="H158" i="18"/>
  <c r="E158" i="18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N25" i="19"/>
  <c r="M25" i="19"/>
  <c r="J25" i="19"/>
  <c r="N24" i="19"/>
  <c r="M24" i="19"/>
  <c r="J24" i="19"/>
  <c r="N23" i="19"/>
  <c r="M23" i="19"/>
  <c r="J23" i="19"/>
  <c r="P143" i="18"/>
  <c r="P141" i="18"/>
  <c r="M6" i="19"/>
  <c r="N6" i="19"/>
  <c r="M7" i="19"/>
  <c r="N7" i="19"/>
  <c r="N5" i="19"/>
  <c r="M5" i="19"/>
  <c r="J6" i="19"/>
  <c r="J7" i="19"/>
  <c r="J5" i="19"/>
  <c r="G197" i="18" l="1"/>
  <c r="K198" i="18"/>
  <c r="B179" i="18"/>
  <c r="F180" i="18"/>
  <c r="E200" i="18"/>
  <c r="E210" i="18"/>
  <c r="H197" i="18"/>
  <c r="C200" i="18"/>
  <c r="C201" i="18"/>
  <c r="C211" i="18"/>
  <c r="E179" i="18"/>
  <c r="D210" i="18"/>
  <c r="F200" i="18"/>
  <c r="F201" i="18"/>
  <c r="D179" i="18"/>
  <c r="P155" i="18"/>
  <c r="Q155" i="18"/>
  <c r="N155" i="18"/>
  <c r="K155" i="18"/>
  <c r="H155" i="18"/>
  <c r="E155" i="18"/>
  <c r="P156" i="18"/>
  <c r="Q156" i="18"/>
  <c r="O156" i="18"/>
  <c r="M156" i="18"/>
  <c r="N156" i="18"/>
  <c r="L156" i="18"/>
  <c r="J156" i="18"/>
  <c r="K156" i="18"/>
  <c r="I156" i="18"/>
  <c r="G156" i="18"/>
  <c r="H156" i="18"/>
  <c r="F156" i="18"/>
  <c r="D156" i="18"/>
  <c r="E156" i="18"/>
  <c r="C156" i="18"/>
  <c r="Q157" i="18"/>
  <c r="N157" i="18"/>
  <c r="K157" i="18"/>
  <c r="H157" i="18"/>
  <c r="E157" i="18"/>
  <c r="K144" i="18"/>
  <c r="H144" i="18"/>
  <c r="E144" i="18"/>
  <c r="Q144" i="18"/>
  <c r="N144" i="18"/>
  <c r="Q160" i="18"/>
  <c r="P160" i="18"/>
  <c r="O160" i="18"/>
  <c r="N160" i="18"/>
  <c r="M160" i="18"/>
  <c r="L160" i="18"/>
  <c r="K160" i="18"/>
  <c r="J160" i="18"/>
  <c r="I160" i="18"/>
  <c r="H160" i="18"/>
  <c r="G160" i="18"/>
  <c r="F160" i="18"/>
  <c r="E160" i="18"/>
  <c r="D160" i="18"/>
  <c r="P159" i="18"/>
  <c r="J159" i="18"/>
  <c r="G159" i="18"/>
  <c r="D159" i="18"/>
  <c r="O158" i="18"/>
  <c r="L158" i="18"/>
  <c r="I158" i="18"/>
  <c r="F158" i="18"/>
  <c r="O157" i="18"/>
  <c r="M157" i="18"/>
  <c r="L157" i="18"/>
  <c r="J157" i="18"/>
  <c r="I157" i="18"/>
  <c r="G157" i="18"/>
  <c r="F157" i="18"/>
  <c r="D157" i="18"/>
  <c r="C157" i="18"/>
  <c r="O155" i="18"/>
  <c r="M155" i="18"/>
  <c r="L155" i="18"/>
  <c r="J155" i="18"/>
  <c r="I155" i="18"/>
  <c r="G155" i="18"/>
  <c r="F155" i="18"/>
  <c r="D155" i="18"/>
  <c r="C155" i="18"/>
  <c r="P145" i="18"/>
  <c r="O144" i="18"/>
  <c r="Q143" i="18"/>
  <c r="O143" i="18"/>
  <c r="Q146" i="18"/>
  <c r="P146" i="18"/>
  <c r="O146" i="18"/>
  <c r="N146" i="18"/>
  <c r="M146" i="18"/>
  <c r="L146" i="18"/>
  <c r="F146" i="18"/>
  <c r="K146" i="18"/>
  <c r="J146" i="18"/>
  <c r="I146" i="18"/>
  <c r="H146" i="18"/>
  <c r="G146" i="18"/>
  <c r="M145" i="18"/>
  <c r="L144" i="18"/>
  <c r="N143" i="18"/>
  <c r="M143" i="18"/>
  <c r="L143" i="18"/>
  <c r="N142" i="18"/>
  <c r="M141" i="18"/>
  <c r="L141" i="18"/>
  <c r="K142" i="18"/>
  <c r="J141" i="18"/>
  <c r="I141" i="18"/>
  <c r="K143" i="18"/>
  <c r="J143" i="18"/>
  <c r="I143" i="18"/>
  <c r="J145" i="18"/>
  <c r="I144" i="18"/>
  <c r="G145" i="18"/>
  <c r="F144" i="18"/>
  <c r="E143" i="18"/>
  <c r="H143" i="18"/>
  <c r="G143" i="18"/>
  <c r="F143" i="18"/>
  <c r="H142" i="18"/>
  <c r="G141" i="18"/>
  <c r="F141" i="18"/>
  <c r="Q142" i="18"/>
  <c r="O141" i="18"/>
  <c r="E146" i="18"/>
  <c r="E142" i="18"/>
  <c r="D145" i="18"/>
  <c r="D146" i="18"/>
  <c r="D143" i="18"/>
  <c r="D141" i="18"/>
  <c r="C146" i="18"/>
  <c r="C143" i="18"/>
  <c r="C141" i="18"/>
  <c r="G105" i="19"/>
  <c r="F105" i="19"/>
  <c r="C105" i="19"/>
  <c r="C106" i="18"/>
  <c r="C107" i="18"/>
  <c r="B107" i="18"/>
  <c r="B106" i="18"/>
  <c r="G102" i="19"/>
  <c r="F102" i="19"/>
  <c r="C102" i="19"/>
  <c r="G99" i="19"/>
  <c r="F99" i="19"/>
  <c r="C99" i="19"/>
  <c r="G96" i="19"/>
  <c r="B92" i="19"/>
  <c r="B91" i="19"/>
  <c r="G91" i="19" s="1"/>
  <c r="B90" i="19"/>
  <c r="G90" i="19" s="1"/>
  <c r="B84" i="19"/>
  <c r="G84" i="19" s="1"/>
  <c r="B83" i="19"/>
  <c r="C83" i="19" s="1"/>
  <c r="B82" i="19"/>
  <c r="G82" i="19" s="1"/>
  <c r="G92" i="19"/>
  <c r="F92" i="19"/>
  <c r="C92" i="19"/>
  <c r="G88" i="19"/>
  <c r="F88" i="19"/>
  <c r="C88" i="19"/>
  <c r="G87" i="19"/>
  <c r="F87" i="19"/>
  <c r="C87" i="19"/>
  <c r="G86" i="19"/>
  <c r="F86" i="19"/>
  <c r="C86" i="19"/>
  <c r="G80" i="19"/>
  <c r="F80" i="19"/>
  <c r="C80" i="19"/>
  <c r="G79" i="19"/>
  <c r="F79" i="19"/>
  <c r="C79" i="19"/>
  <c r="G78" i="19"/>
  <c r="F78" i="19"/>
  <c r="C78" i="19"/>
  <c r="B74" i="19"/>
  <c r="G74" i="19" s="1"/>
  <c r="B73" i="19"/>
  <c r="C73" i="19" s="1"/>
  <c r="B72" i="19"/>
  <c r="G72" i="19" s="1"/>
  <c r="B71" i="19"/>
  <c r="G71" i="19" s="1"/>
  <c r="B70" i="19"/>
  <c r="G70" i="19" s="1"/>
  <c r="B69" i="19"/>
  <c r="F69" i="19" s="1"/>
  <c r="B68" i="19"/>
  <c r="G68" i="19" s="1"/>
  <c r="B67" i="19"/>
  <c r="C67" i="19" s="1"/>
  <c r="B66" i="19"/>
  <c r="G66" i="19" s="1"/>
  <c r="G73" i="19"/>
  <c r="F72" i="19"/>
  <c r="C72" i="19"/>
  <c r="G69" i="19"/>
  <c r="C68" i="19"/>
  <c r="G56" i="19"/>
  <c r="C56" i="19"/>
  <c r="G64" i="19"/>
  <c r="F64" i="19"/>
  <c r="C64" i="19"/>
  <c r="G63" i="19"/>
  <c r="F63" i="19"/>
  <c r="C63" i="19"/>
  <c r="G62" i="19"/>
  <c r="F62" i="19"/>
  <c r="C62" i="19"/>
  <c r="G61" i="19"/>
  <c r="F61" i="19"/>
  <c r="C61" i="19"/>
  <c r="G60" i="19"/>
  <c r="F60" i="19"/>
  <c r="C60" i="19"/>
  <c r="G59" i="19"/>
  <c r="F59" i="19"/>
  <c r="C59" i="19"/>
  <c r="G58" i="19"/>
  <c r="F58" i="19"/>
  <c r="C58" i="19"/>
  <c r="G57" i="19"/>
  <c r="F57" i="19"/>
  <c r="C57" i="19"/>
  <c r="F56" i="19"/>
  <c r="H150" i="18" l="1"/>
  <c r="H152" i="18" s="1"/>
  <c r="F68" i="19"/>
  <c r="C91" i="19"/>
  <c r="F91" i="19"/>
  <c r="C69" i="19"/>
  <c r="F70" i="19"/>
  <c r="G67" i="19"/>
  <c r="C71" i="19"/>
  <c r="F73" i="19"/>
  <c r="C66" i="19"/>
  <c r="C90" i="19"/>
  <c r="F74" i="19"/>
  <c r="F66" i="19"/>
  <c r="C74" i="19"/>
  <c r="F71" i="19"/>
  <c r="F67" i="19"/>
  <c r="C70" i="19"/>
  <c r="F90" i="19"/>
  <c r="E150" i="18"/>
  <c r="E152" i="18" s="1"/>
  <c r="F150" i="18"/>
  <c r="F151" i="18" s="1"/>
  <c r="J150" i="18"/>
  <c r="J151" i="18" s="1"/>
  <c r="E164" i="18"/>
  <c r="E165" i="18" s="1"/>
  <c r="C164" i="18"/>
  <c r="C165" i="18" s="1"/>
  <c r="G150" i="18"/>
  <c r="G151" i="18" s="1"/>
  <c r="G164" i="18"/>
  <c r="G165" i="18" s="1"/>
  <c r="K164" i="18"/>
  <c r="K166" i="18" s="1"/>
  <c r="O150" i="18"/>
  <c r="O151" i="18" s="1"/>
  <c r="Q150" i="18"/>
  <c r="Q152" i="18" s="1"/>
  <c r="H164" i="18"/>
  <c r="H166" i="18" s="1"/>
  <c r="Q164" i="18"/>
  <c r="Q165" i="18" s="1"/>
  <c r="P164" i="18"/>
  <c r="P166" i="18" s="1"/>
  <c r="O164" i="18"/>
  <c r="O165" i="18" s="1"/>
  <c r="I164" i="18"/>
  <c r="I166" i="18" s="1"/>
  <c r="N164" i="18"/>
  <c r="N166" i="18" s="1"/>
  <c r="M164" i="18"/>
  <c r="M166" i="18" s="1"/>
  <c r="K150" i="18"/>
  <c r="K152" i="18" s="1"/>
  <c r="N150" i="18"/>
  <c r="N151" i="18" s="1"/>
  <c r="P150" i="18"/>
  <c r="P151" i="18" s="1"/>
  <c r="L150" i="18"/>
  <c r="L151" i="18" s="1"/>
  <c r="M150" i="18"/>
  <c r="M151" i="18" s="1"/>
  <c r="I150" i="18"/>
  <c r="I152" i="18" s="1"/>
  <c r="D164" i="18"/>
  <c r="D165" i="18" s="1"/>
  <c r="J164" i="18"/>
  <c r="J165" i="18" s="1"/>
  <c r="C150" i="18"/>
  <c r="C152" i="18" s="1"/>
  <c r="D150" i="18"/>
  <c r="D151" i="18" s="1"/>
  <c r="F164" i="18"/>
  <c r="F165" i="18" s="1"/>
  <c r="L164" i="18"/>
  <c r="L165" i="18" s="1"/>
  <c r="P165" i="18"/>
  <c r="H165" i="18"/>
  <c r="H151" i="18"/>
  <c r="J152" i="18"/>
  <c r="F152" i="18"/>
  <c r="E151" i="18"/>
  <c r="F96" i="19"/>
  <c r="C96" i="19"/>
  <c r="C84" i="19"/>
  <c r="F84" i="19"/>
  <c r="F83" i="19"/>
  <c r="G83" i="19"/>
  <c r="C82" i="19"/>
  <c r="F82" i="19"/>
  <c r="F41" i="19"/>
  <c r="G41" i="19"/>
  <c r="F42" i="19"/>
  <c r="G42" i="19"/>
  <c r="F43" i="19"/>
  <c r="G43" i="19"/>
  <c r="F44" i="19"/>
  <c r="G44" i="19"/>
  <c r="F45" i="19"/>
  <c r="G45" i="19"/>
  <c r="F47" i="19"/>
  <c r="G47" i="19"/>
  <c r="F48" i="19"/>
  <c r="G48" i="19"/>
  <c r="F49" i="19"/>
  <c r="G49" i="19"/>
  <c r="F50" i="19"/>
  <c r="G50" i="19"/>
  <c r="F51" i="19"/>
  <c r="G51" i="19"/>
  <c r="F52" i="19"/>
  <c r="G52" i="19"/>
  <c r="C52" i="19"/>
  <c r="C51" i="19"/>
  <c r="C50" i="19"/>
  <c r="C49" i="19"/>
  <c r="C48" i="19"/>
  <c r="C47" i="19"/>
  <c r="C41" i="19"/>
  <c r="C42" i="19"/>
  <c r="C43" i="19"/>
  <c r="C44" i="19"/>
  <c r="C45" i="19"/>
  <c r="C40" i="19"/>
  <c r="G40" i="19"/>
  <c r="F40" i="19"/>
  <c r="F31" i="19"/>
  <c r="G31" i="19"/>
  <c r="F32" i="19"/>
  <c r="G32" i="19"/>
  <c r="F33" i="19"/>
  <c r="G33" i="19"/>
  <c r="F34" i="19"/>
  <c r="G34" i="19"/>
  <c r="F35" i="19"/>
  <c r="G35" i="19"/>
  <c r="F36" i="19"/>
  <c r="G36" i="19"/>
  <c r="C31" i="19"/>
  <c r="C32" i="19"/>
  <c r="C33" i="19"/>
  <c r="C34" i="19"/>
  <c r="C35" i="19"/>
  <c r="C36" i="19"/>
  <c r="G30" i="19"/>
  <c r="F30" i="19"/>
  <c r="G29" i="19"/>
  <c r="F29" i="19"/>
  <c r="G28" i="19"/>
  <c r="F28" i="19"/>
  <c r="C30" i="19"/>
  <c r="C29" i="19"/>
  <c r="C28" i="19"/>
  <c r="G24" i="19"/>
  <c r="G23" i="19"/>
  <c r="F24" i="19"/>
  <c r="F23" i="19"/>
  <c r="C24" i="19"/>
  <c r="C23" i="19"/>
  <c r="G19" i="19"/>
  <c r="F19" i="19"/>
  <c r="C19" i="19"/>
  <c r="G18" i="19"/>
  <c r="F18" i="19"/>
  <c r="C18" i="19"/>
  <c r="G17" i="19"/>
  <c r="F17" i="19"/>
  <c r="C17" i="19"/>
  <c r="G16" i="19"/>
  <c r="F16" i="19"/>
  <c r="C16" i="19"/>
  <c r="G15" i="19"/>
  <c r="F15" i="19"/>
  <c r="C15" i="19"/>
  <c r="F14" i="19"/>
  <c r="G14" i="19"/>
  <c r="C14" i="19"/>
  <c r="F7" i="19"/>
  <c r="G7" i="19"/>
  <c r="C7" i="19"/>
  <c r="F5" i="19"/>
  <c r="G5" i="19"/>
  <c r="F6" i="19"/>
  <c r="G6" i="19"/>
  <c r="F8" i="19"/>
  <c r="G8" i="19"/>
  <c r="F9" i="19"/>
  <c r="G9" i="19"/>
  <c r="F10" i="19"/>
  <c r="G10" i="19"/>
  <c r="F4" i="19"/>
  <c r="C10" i="19"/>
  <c r="C6" i="19"/>
  <c r="C8" i="19"/>
  <c r="C9" i="19"/>
  <c r="L8" i="18"/>
  <c r="K8" i="18"/>
  <c r="J8" i="18"/>
  <c r="N8" i="18"/>
  <c r="L6" i="18"/>
  <c r="M6" i="18"/>
  <c r="M4" i="18"/>
  <c r="K4" i="18"/>
  <c r="L4" i="18"/>
  <c r="K5" i="18"/>
  <c r="L5" i="18"/>
  <c r="K6" i="18"/>
  <c r="J6" i="18"/>
  <c r="J5" i="18"/>
  <c r="J4" i="18"/>
  <c r="G152" i="18" l="1"/>
  <c r="E166" i="18"/>
  <c r="C151" i="18"/>
  <c r="M152" i="18"/>
  <c r="Q151" i="18"/>
  <c r="C166" i="18"/>
  <c r="K165" i="18"/>
  <c r="D152" i="18"/>
  <c r="O152" i="18"/>
  <c r="M12" i="18"/>
  <c r="M13" i="18" s="1"/>
  <c r="I151" i="18"/>
  <c r="N165" i="18"/>
  <c r="G166" i="18"/>
  <c r="Q166" i="18"/>
  <c r="P152" i="18"/>
  <c r="I165" i="18"/>
  <c r="M165" i="18"/>
  <c r="K151" i="18"/>
  <c r="O166" i="18"/>
  <c r="L166" i="18"/>
  <c r="J166" i="18"/>
  <c r="N152" i="18"/>
  <c r="L152" i="18"/>
  <c r="F166" i="18"/>
  <c r="D166" i="18"/>
  <c r="J12" i="18"/>
  <c r="J14" i="18" s="1"/>
  <c r="K12" i="18"/>
  <c r="K13" i="18" s="1"/>
  <c r="L12" i="18"/>
  <c r="L13" i="18" s="1"/>
  <c r="B120" i="18"/>
  <c r="B123" i="18"/>
  <c r="B122" i="18"/>
  <c r="B121" i="18"/>
  <c r="B119" i="18"/>
  <c r="B118" i="18"/>
  <c r="B117" i="18"/>
  <c r="B116" i="18"/>
  <c r="B115" i="18"/>
  <c r="C101" i="18"/>
  <c r="C102" i="18"/>
  <c r="B102" i="18"/>
  <c r="B104" i="18"/>
  <c r="B101" i="18"/>
  <c r="C92" i="18"/>
  <c r="B93" i="18"/>
  <c r="B92" i="18"/>
  <c r="C90" i="18"/>
  <c r="B22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B39" i="18"/>
  <c r="C58" i="18"/>
  <c r="D58" i="18"/>
  <c r="E58" i="18"/>
  <c r="F58" i="18"/>
  <c r="G58" i="18"/>
  <c r="H58" i="18"/>
  <c r="I58" i="18"/>
  <c r="J58" i="18"/>
  <c r="B58" i="18"/>
  <c r="C77" i="18"/>
  <c r="D77" i="18"/>
  <c r="E77" i="18"/>
  <c r="F77" i="18"/>
  <c r="G77" i="18"/>
  <c r="B77" i="18"/>
  <c r="B91" i="18"/>
  <c r="B90" i="18"/>
  <c r="G86" i="18"/>
  <c r="F86" i="18"/>
  <c r="E86" i="18"/>
  <c r="G75" i="18"/>
  <c r="F75" i="18"/>
  <c r="E75" i="18"/>
  <c r="G74" i="18"/>
  <c r="F73" i="18"/>
  <c r="E72" i="18"/>
  <c r="C75" i="18"/>
  <c r="D75" i="18"/>
  <c r="C86" i="18"/>
  <c r="D86" i="18"/>
  <c r="B75" i="18"/>
  <c r="B86" i="18"/>
  <c r="D74" i="18"/>
  <c r="C73" i="18"/>
  <c r="B72" i="18"/>
  <c r="I67" i="18"/>
  <c r="J67" i="18"/>
  <c r="H67" i="18"/>
  <c r="F67" i="18"/>
  <c r="G67" i="18"/>
  <c r="E67" i="18"/>
  <c r="J55" i="18"/>
  <c r="I55" i="18"/>
  <c r="H55" i="18"/>
  <c r="G55" i="18"/>
  <c r="F55" i="18"/>
  <c r="E55" i="18"/>
  <c r="J53" i="18"/>
  <c r="G53" i="18"/>
  <c r="I52" i="18"/>
  <c r="F52" i="18"/>
  <c r="C67" i="18"/>
  <c r="C68" i="18" s="1"/>
  <c r="D67" i="18"/>
  <c r="B67" i="18"/>
  <c r="B68" i="18" s="1"/>
  <c r="D55" i="18"/>
  <c r="C55" i="18"/>
  <c r="B55" i="18"/>
  <c r="D53" i="18"/>
  <c r="C52" i="18"/>
  <c r="C18" i="18"/>
  <c r="C19" i="18"/>
  <c r="B19" i="18"/>
  <c r="B87" i="18" l="1"/>
  <c r="M14" i="18"/>
  <c r="C110" i="18"/>
  <c r="C112" i="18" s="1"/>
  <c r="G68" i="18"/>
  <c r="J68" i="18"/>
  <c r="F68" i="18"/>
  <c r="F87" i="18"/>
  <c r="K14" i="18"/>
  <c r="C80" i="18"/>
  <c r="D87" i="18"/>
  <c r="B126" i="18"/>
  <c r="C87" i="18"/>
  <c r="J13" i="18"/>
  <c r="B80" i="18"/>
  <c r="G80" i="18"/>
  <c r="B96" i="18"/>
  <c r="B98" i="18" s="1"/>
  <c r="D80" i="18"/>
  <c r="L14" i="18"/>
  <c r="B127" i="18"/>
  <c r="B128" i="18"/>
  <c r="E87" i="18"/>
  <c r="H68" i="18"/>
  <c r="C96" i="18"/>
  <c r="C98" i="18" s="1"/>
  <c r="C61" i="18"/>
  <c r="C62" i="18" s="1"/>
  <c r="H61" i="18"/>
  <c r="H64" i="18" s="1"/>
  <c r="D68" i="18"/>
  <c r="E68" i="18"/>
  <c r="G87" i="18"/>
  <c r="B110" i="18"/>
  <c r="B112" i="18" s="1"/>
  <c r="E61" i="18"/>
  <c r="E64" i="18" s="1"/>
  <c r="J61" i="18"/>
  <c r="J64" i="18" s="1"/>
  <c r="I61" i="18"/>
  <c r="I64" i="18" s="1"/>
  <c r="I66" i="18" s="1"/>
  <c r="B61" i="18"/>
  <c r="B64" i="18" s="1"/>
  <c r="B65" i="18" s="1"/>
  <c r="F80" i="18"/>
  <c r="E80" i="18"/>
  <c r="E83" i="18" s="1"/>
  <c r="G82" i="18"/>
  <c r="I68" i="18"/>
  <c r="F61" i="18"/>
  <c r="F63" i="18" s="1"/>
  <c r="G61" i="18"/>
  <c r="G63" i="18" s="1"/>
  <c r="D61" i="18"/>
  <c r="D63" i="18" s="1"/>
  <c r="C22" i="18"/>
  <c r="B18" i="18"/>
  <c r="C17" i="18"/>
  <c r="B17" i="18"/>
  <c r="C81" i="18" l="1"/>
  <c r="C83" i="18"/>
  <c r="C84" i="18" s="1"/>
  <c r="G83" i="18"/>
  <c r="G85" i="18" s="1"/>
  <c r="D81" i="18"/>
  <c r="D83" i="18"/>
  <c r="F82" i="18"/>
  <c r="F83" i="18"/>
  <c r="F84" i="18" s="1"/>
  <c r="B83" i="18"/>
  <c r="B85" i="18" s="1"/>
  <c r="C64" i="18"/>
  <c r="B97" i="18"/>
  <c r="G84" i="18"/>
  <c r="C111" i="18"/>
  <c r="E62" i="18"/>
  <c r="G81" i="18"/>
  <c r="E81" i="18"/>
  <c r="B81" i="18"/>
  <c r="C82" i="18"/>
  <c r="J63" i="18"/>
  <c r="E63" i="18"/>
  <c r="B82" i="18"/>
  <c r="D84" i="18"/>
  <c r="I65" i="18"/>
  <c r="B26" i="18"/>
  <c r="B27" i="18" s="1"/>
  <c r="C63" i="18"/>
  <c r="C97" i="18"/>
  <c r="F62" i="18"/>
  <c r="F64" i="18"/>
  <c r="F66" i="18" s="1"/>
  <c r="H63" i="18"/>
  <c r="E82" i="18"/>
  <c r="D82" i="18"/>
  <c r="B63" i="18"/>
  <c r="H62" i="18"/>
  <c r="G64" i="18"/>
  <c r="G65" i="18" s="1"/>
  <c r="B62" i="18"/>
  <c r="J62" i="18"/>
  <c r="F81" i="18"/>
  <c r="I62" i="18"/>
  <c r="I63" i="18"/>
  <c r="B111" i="18"/>
  <c r="D62" i="18"/>
  <c r="C85" i="18"/>
  <c r="E85" i="18"/>
  <c r="E84" i="18"/>
  <c r="C26" i="18"/>
  <c r="C27" i="18" s="1"/>
  <c r="D64" i="18"/>
  <c r="D66" i="18" s="1"/>
  <c r="G62" i="18"/>
  <c r="J66" i="18"/>
  <c r="J65" i="18"/>
  <c r="E66" i="18"/>
  <c r="E65" i="18"/>
  <c r="H65" i="18"/>
  <c r="H66" i="18"/>
  <c r="B66" i="18"/>
  <c r="C65" i="18"/>
  <c r="C66" i="18"/>
  <c r="B84" i="18" l="1"/>
  <c r="F65" i="18"/>
  <c r="B28" i="18"/>
  <c r="D85" i="18"/>
  <c r="D65" i="18"/>
  <c r="F85" i="18"/>
  <c r="C28" i="18"/>
  <c r="G66" i="18"/>
  <c r="M73" i="13"/>
  <c r="C73" i="13"/>
  <c r="D73" i="13"/>
  <c r="E73" i="13"/>
  <c r="F73" i="13"/>
  <c r="G73" i="13"/>
  <c r="H73" i="13"/>
  <c r="I73" i="13"/>
  <c r="J73" i="13"/>
  <c r="K73" i="13"/>
  <c r="Q6" i="18" l="1"/>
  <c r="P6" i="18"/>
  <c r="O4" i="18"/>
  <c r="O5" i="18"/>
  <c r="O6" i="18"/>
  <c r="N6" i="18"/>
  <c r="N5" i="18"/>
  <c r="P8" i="18"/>
  <c r="P5" i="18"/>
  <c r="Q4" i="18"/>
  <c r="N4" i="18"/>
  <c r="Q12" i="18" l="1"/>
  <c r="Q14" i="18" s="1"/>
  <c r="P12" i="18"/>
  <c r="P14" i="18" s="1"/>
  <c r="O12" i="18"/>
  <c r="O13" i="18" s="1"/>
  <c r="N12" i="18"/>
  <c r="N14" i="18" s="1"/>
  <c r="Q13" i="18" l="1"/>
  <c r="P13" i="18"/>
  <c r="O14" i="18"/>
  <c r="N13" i="18"/>
  <c r="S35" i="18" l="1"/>
  <c r="R35" i="18"/>
  <c r="Q35" i="18"/>
  <c r="P35" i="18"/>
  <c r="O35" i="18"/>
  <c r="N35" i="18"/>
  <c r="M35" i="18"/>
  <c r="L35" i="18"/>
  <c r="K35" i="18"/>
  <c r="S34" i="18"/>
  <c r="P34" i="18"/>
  <c r="M34" i="18"/>
  <c r="R33" i="18"/>
  <c r="O33" i="18"/>
  <c r="L33" i="18"/>
  <c r="Q32" i="18"/>
  <c r="N32" i="18"/>
  <c r="K32" i="18"/>
  <c r="J36" i="18"/>
  <c r="H36" i="18"/>
  <c r="I36" i="18"/>
  <c r="G36" i="18"/>
  <c r="I35" i="18"/>
  <c r="J35" i="18"/>
  <c r="H35" i="18"/>
  <c r="J34" i="18"/>
  <c r="I33" i="18"/>
  <c r="H32" i="18"/>
  <c r="F36" i="18"/>
  <c r="E36" i="18"/>
  <c r="G35" i="18"/>
  <c r="F35" i="18"/>
  <c r="E35" i="18"/>
  <c r="G34" i="18"/>
  <c r="F33" i="18"/>
  <c r="E32" i="18"/>
  <c r="C36" i="18"/>
  <c r="D36" i="18"/>
  <c r="B36" i="18"/>
  <c r="C35" i="18"/>
  <c r="D35" i="18"/>
  <c r="B35" i="18"/>
  <c r="D34" i="18"/>
  <c r="C33" i="18"/>
  <c r="B32" i="18"/>
  <c r="G6" i="18"/>
  <c r="D4" i="18"/>
  <c r="H42" i="18" l="1"/>
  <c r="H43" i="18" s="1"/>
  <c r="Q42" i="18"/>
  <c r="Q45" i="18" s="1"/>
  <c r="M42" i="18"/>
  <c r="M45" i="18" s="1"/>
  <c r="N42" i="18"/>
  <c r="N45" i="18" s="1"/>
  <c r="R42" i="18"/>
  <c r="R45" i="18" s="1"/>
  <c r="E42" i="18"/>
  <c r="E45" i="18" s="1"/>
  <c r="I42" i="18"/>
  <c r="I43" i="18" s="1"/>
  <c r="L42" i="18"/>
  <c r="L45" i="18" s="1"/>
  <c r="P42" i="18"/>
  <c r="P45" i="18" s="1"/>
  <c r="B42" i="18"/>
  <c r="B45" i="18" s="1"/>
  <c r="D42" i="18"/>
  <c r="D45" i="18" s="1"/>
  <c r="D47" i="18" s="1"/>
  <c r="K42" i="18"/>
  <c r="K45" i="18" s="1"/>
  <c r="O42" i="18"/>
  <c r="O45" i="18" s="1"/>
  <c r="S42" i="18"/>
  <c r="S45" i="18" s="1"/>
  <c r="S44" i="18"/>
  <c r="R43" i="18"/>
  <c r="C42" i="18"/>
  <c r="C45" i="18" s="1"/>
  <c r="F42" i="18"/>
  <c r="F45" i="18" s="1"/>
  <c r="G42" i="18"/>
  <c r="G45" i="18" s="1"/>
  <c r="J42" i="18"/>
  <c r="J45" i="18" s="1"/>
  <c r="H45" i="18"/>
  <c r="C5" i="19"/>
  <c r="H44" i="18" l="1"/>
  <c r="P44" i="18"/>
  <c r="O43" i="18"/>
  <c r="P43" i="18"/>
  <c r="J43" i="18"/>
  <c r="G43" i="18"/>
  <c r="E44" i="18"/>
  <c r="Q43" i="18"/>
  <c r="D44" i="18"/>
  <c r="I45" i="18"/>
  <c r="I46" i="18" s="1"/>
  <c r="G44" i="18"/>
  <c r="I44" i="18"/>
  <c r="B44" i="18"/>
  <c r="S43" i="18"/>
  <c r="R44" i="18"/>
  <c r="O44" i="18"/>
  <c r="F44" i="18"/>
  <c r="K44" i="18"/>
  <c r="D43" i="18"/>
  <c r="M43" i="18"/>
  <c r="B43" i="18"/>
  <c r="E43" i="18"/>
  <c r="M44" i="18"/>
  <c r="K43" i="18"/>
  <c r="D46" i="18"/>
  <c r="L43" i="18"/>
  <c r="N43" i="18"/>
  <c r="B46" i="18"/>
  <c r="B47" i="18"/>
  <c r="C44" i="18"/>
  <c r="L44" i="18"/>
  <c r="N44" i="18"/>
  <c r="Q44" i="18"/>
  <c r="S47" i="18"/>
  <c r="S46" i="18"/>
  <c r="P46" i="18"/>
  <c r="P47" i="18"/>
  <c r="L46" i="18"/>
  <c r="L47" i="18"/>
  <c r="N47" i="18"/>
  <c r="N46" i="18"/>
  <c r="Q47" i="18"/>
  <c r="Q46" i="18"/>
  <c r="K47" i="18"/>
  <c r="K46" i="18"/>
  <c r="R47" i="18"/>
  <c r="R46" i="18"/>
  <c r="M47" i="18"/>
  <c r="M46" i="18"/>
  <c r="O47" i="18"/>
  <c r="O46" i="18"/>
  <c r="C47" i="18"/>
  <c r="C46" i="18"/>
  <c r="C43" i="18"/>
  <c r="F43" i="18"/>
  <c r="J44" i="18"/>
  <c r="J47" i="18"/>
  <c r="J46" i="18"/>
  <c r="H46" i="18"/>
  <c r="H47" i="18"/>
  <c r="E47" i="18"/>
  <c r="E46" i="18"/>
  <c r="G46" i="18"/>
  <c r="G47" i="18"/>
  <c r="F47" i="18"/>
  <c r="F46" i="18"/>
  <c r="E4" i="19"/>
  <c r="G4" i="19" s="1"/>
  <c r="C4" i="19"/>
  <c r="I47" i="18" l="1"/>
  <c r="M35" i="13" l="1"/>
  <c r="C35" i="13"/>
  <c r="D35" i="13"/>
  <c r="E35" i="13"/>
  <c r="F35" i="13"/>
  <c r="G35" i="13"/>
  <c r="H35" i="13"/>
  <c r="I35" i="13"/>
  <c r="J35" i="13"/>
  <c r="K35" i="13"/>
  <c r="H14" i="16"/>
  <c r="E15" i="16"/>
  <c r="F15" i="16"/>
  <c r="E14" i="16"/>
  <c r="F14" i="16"/>
  <c r="M34" i="13"/>
  <c r="C34" i="13"/>
  <c r="D34" i="13"/>
  <c r="E34" i="13"/>
  <c r="F34" i="13"/>
  <c r="G34" i="13"/>
  <c r="H34" i="13"/>
  <c r="I34" i="13"/>
  <c r="J34" i="13"/>
  <c r="K34" i="13"/>
  <c r="M41" i="14" l="1"/>
  <c r="C6" i="18" l="1"/>
  <c r="H8" i="18"/>
  <c r="G8" i="18"/>
  <c r="I6" i="18"/>
  <c r="H6" i="18"/>
  <c r="H5" i="18"/>
  <c r="G5" i="18"/>
  <c r="I4" i="18"/>
  <c r="G4" i="18"/>
  <c r="F8" i="18"/>
  <c r="F5" i="18"/>
  <c r="F4" i="18"/>
  <c r="E6" i="18"/>
  <c r="E4" i="18"/>
  <c r="D6" i="18"/>
  <c r="D8" i="18"/>
  <c r="D5" i="18"/>
  <c r="C8" i="18"/>
  <c r="C5" i="18"/>
  <c r="C4" i="18"/>
  <c r="B4" i="18"/>
  <c r="G12" i="18" l="1"/>
  <c r="E12" i="18"/>
  <c r="E13" i="18" s="1"/>
  <c r="D12" i="18"/>
  <c r="D13" i="18" s="1"/>
  <c r="H12" i="18"/>
  <c r="H13" i="18" s="1"/>
  <c r="B12" i="18"/>
  <c r="B14" i="18" s="1"/>
  <c r="F12" i="18"/>
  <c r="F14" i="18" s="1"/>
  <c r="C12" i="18"/>
  <c r="C14" i="18" s="1"/>
  <c r="I12" i="18"/>
  <c r="I14" i="18" s="1"/>
  <c r="G13" i="18"/>
  <c r="G14" i="18"/>
  <c r="E14" i="18" l="1"/>
  <c r="B13" i="18"/>
  <c r="D14" i="18"/>
  <c r="C13" i="18"/>
  <c r="F13" i="18"/>
  <c r="I13" i="18"/>
  <c r="H14" i="18"/>
  <c r="M96" i="13"/>
  <c r="C96" i="13"/>
  <c r="D96" i="13"/>
  <c r="E96" i="13"/>
  <c r="F96" i="13"/>
  <c r="G96" i="13"/>
  <c r="H96" i="13"/>
  <c r="I96" i="13"/>
  <c r="J96" i="13"/>
  <c r="K96" i="13"/>
  <c r="H52" i="16" l="1"/>
  <c r="H4" i="16"/>
  <c r="H5" i="16"/>
  <c r="H7" i="16"/>
  <c r="H9" i="16"/>
  <c r="H10" i="16"/>
  <c r="H6" i="16"/>
  <c r="H13" i="16"/>
  <c r="H16" i="16"/>
  <c r="H26" i="16"/>
  <c r="H29" i="16"/>
  <c r="H24" i="16"/>
  <c r="H21" i="16"/>
  <c r="H47" i="16"/>
  <c r="H48" i="16"/>
  <c r="H34" i="16"/>
  <c r="H41" i="16"/>
  <c r="H50" i="16"/>
  <c r="H51" i="16"/>
  <c r="H42" i="16"/>
  <c r="H56" i="16"/>
  <c r="H37" i="16"/>
  <c r="H38" i="16"/>
  <c r="H17" i="16"/>
  <c r="H18" i="16"/>
  <c r="H22" i="16"/>
  <c r="E22" i="16"/>
  <c r="F22" i="16"/>
  <c r="E5" i="16"/>
  <c r="F5" i="16"/>
  <c r="E7" i="16"/>
  <c r="F7" i="16"/>
  <c r="E9" i="16"/>
  <c r="E10" i="16"/>
  <c r="F10" i="16"/>
  <c r="E6" i="16"/>
  <c r="F6" i="16"/>
  <c r="E13" i="16"/>
  <c r="F13" i="16"/>
  <c r="E16" i="16"/>
  <c r="F16" i="16"/>
  <c r="E26" i="16"/>
  <c r="F26" i="16"/>
  <c r="E29" i="16"/>
  <c r="F29" i="16"/>
  <c r="E24" i="16"/>
  <c r="F24" i="16"/>
  <c r="E21" i="16"/>
  <c r="F21" i="16"/>
  <c r="E47" i="16"/>
  <c r="F47" i="16"/>
  <c r="E48" i="16"/>
  <c r="F48" i="16"/>
  <c r="E34" i="16"/>
  <c r="F34" i="16"/>
  <c r="E41" i="16"/>
  <c r="F41" i="16"/>
  <c r="E50" i="16"/>
  <c r="F50" i="16"/>
  <c r="E51" i="16"/>
  <c r="F51" i="16"/>
  <c r="E42" i="16"/>
  <c r="F42" i="16"/>
  <c r="E56" i="16"/>
  <c r="F56" i="16"/>
  <c r="E37" i="16"/>
  <c r="F37" i="16"/>
  <c r="E38" i="16"/>
  <c r="F38" i="16"/>
  <c r="E17" i="16"/>
  <c r="F17" i="16"/>
  <c r="E18" i="16"/>
  <c r="F18" i="16"/>
  <c r="E52" i="16"/>
  <c r="F52" i="16"/>
  <c r="F4" i="16"/>
  <c r="E4" i="16"/>
  <c r="Y27" i="14" l="1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26" i="14"/>
  <c r="X36" i="14"/>
  <c r="X37" i="14"/>
  <c r="X38" i="14"/>
  <c r="X39" i="14"/>
  <c r="X40" i="14"/>
  <c r="X52" i="14"/>
  <c r="X63" i="14"/>
  <c r="X69" i="14"/>
  <c r="X76" i="14"/>
  <c r="W27" i="14"/>
  <c r="X27" i="14" s="1"/>
  <c r="W28" i="14"/>
  <c r="X28" i="14" s="1"/>
  <c r="W29" i="14"/>
  <c r="X29" i="14" s="1"/>
  <c r="W30" i="14"/>
  <c r="X30" i="14" s="1"/>
  <c r="W31" i="14"/>
  <c r="X31" i="14" s="1"/>
  <c r="W32" i="14"/>
  <c r="X32" i="14" s="1"/>
  <c r="W33" i="14"/>
  <c r="X33" i="14" s="1"/>
  <c r="W34" i="14"/>
  <c r="X34" i="14" s="1"/>
  <c r="W35" i="14"/>
  <c r="X35" i="14" s="1"/>
  <c r="W26" i="14"/>
  <c r="X26" i="14" s="1"/>
  <c r="W42" i="14"/>
  <c r="X42" i="14" s="1"/>
  <c r="W43" i="14"/>
  <c r="X43" i="14" s="1"/>
  <c r="W44" i="14"/>
  <c r="X44" i="14" s="1"/>
  <c r="W45" i="14"/>
  <c r="X45" i="14" s="1"/>
  <c r="W46" i="14"/>
  <c r="X46" i="14" s="1"/>
  <c r="W47" i="14"/>
  <c r="X47" i="14" s="1"/>
  <c r="W48" i="14"/>
  <c r="X48" i="14" s="1"/>
  <c r="W49" i="14"/>
  <c r="X49" i="14" s="1"/>
  <c r="W50" i="14"/>
  <c r="X50" i="14" s="1"/>
  <c r="W51" i="14"/>
  <c r="X51" i="14" s="1"/>
  <c r="W53" i="14"/>
  <c r="X53" i="14" s="1"/>
  <c r="W54" i="14"/>
  <c r="X54" i="14" s="1"/>
  <c r="W55" i="14"/>
  <c r="X55" i="14" s="1"/>
  <c r="W56" i="14"/>
  <c r="X56" i="14" s="1"/>
  <c r="X57" i="14"/>
  <c r="W58" i="14"/>
  <c r="X58" i="14" s="1"/>
  <c r="W59" i="14"/>
  <c r="X59" i="14" s="1"/>
  <c r="W60" i="14"/>
  <c r="X60" i="14" s="1"/>
  <c r="W61" i="14"/>
  <c r="X61" i="14" s="1"/>
  <c r="W62" i="14"/>
  <c r="X62" i="14" s="1"/>
  <c r="W64" i="14"/>
  <c r="X64" i="14" s="1"/>
  <c r="W65" i="14"/>
  <c r="X65" i="14" s="1"/>
  <c r="W66" i="14"/>
  <c r="X66" i="14" s="1"/>
  <c r="W67" i="14"/>
  <c r="X67" i="14" s="1"/>
  <c r="W68" i="14"/>
  <c r="X68" i="14" s="1"/>
  <c r="W70" i="14"/>
  <c r="X70" i="14" s="1"/>
  <c r="W71" i="14"/>
  <c r="X71" i="14" s="1"/>
  <c r="W72" i="14"/>
  <c r="X72" i="14" s="1"/>
  <c r="W73" i="14"/>
  <c r="X73" i="14" s="1"/>
  <c r="W74" i="14"/>
  <c r="X74" i="14" s="1"/>
  <c r="W75" i="14"/>
  <c r="X75" i="14" s="1"/>
  <c r="W78" i="14"/>
  <c r="X78" i="14" s="1"/>
  <c r="W79" i="14"/>
  <c r="X79" i="14" s="1"/>
  <c r="W80" i="14"/>
  <c r="X80" i="14" s="1"/>
  <c r="W81" i="14"/>
  <c r="X81" i="14" s="1"/>
  <c r="W82" i="14"/>
  <c r="X82" i="14" s="1"/>
  <c r="W83" i="14"/>
  <c r="X83" i="14" s="1"/>
  <c r="W84" i="14"/>
  <c r="X84" i="14" s="1"/>
  <c r="W85" i="14"/>
  <c r="X85" i="14" s="1"/>
  <c r="W86" i="14"/>
  <c r="X86" i="14" s="1"/>
  <c r="W87" i="14"/>
  <c r="X87" i="14" s="1"/>
  <c r="W88" i="14"/>
  <c r="X88" i="14" s="1"/>
  <c r="W89" i="14"/>
  <c r="X89" i="14" s="1"/>
  <c r="W90" i="14"/>
  <c r="X90" i="14" s="1"/>
  <c r="W91" i="14"/>
  <c r="X91" i="14" s="1"/>
  <c r="W92" i="14"/>
  <c r="X92" i="14" s="1"/>
  <c r="W93" i="14"/>
  <c r="X93" i="14" s="1"/>
  <c r="W94" i="14"/>
  <c r="X94" i="14" s="1"/>
  <c r="W41" i="14"/>
  <c r="X41" i="14" s="1"/>
  <c r="M53" i="14" l="1"/>
  <c r="M70" i="14"/>
  <c r="P35" i="14" l="1"/>
  <c r="P33" i="14"/>
  <c r="P31" i="14"/>
  <c r="P26" i="14"/>
  <c r="P27" i="14"/>
  <c r="P5" i="14"/>
  <c r="P6" i="14"/>
  <c r="P9" i="14"/>
  <c r="P24" i="14"/>
  <c r="P25" i="14"/>
  <c r="P28" i="14"/>
  <c r="P29" i="14"/>
  <c r="P30" i="14"/>
  <c r="P32" i="14"/>
  <c r="P34" i="14"/>
  <c r="P36" i="14"/>
  <c r="P37" i="14"/>
  <c r="P38" i="14"/>
  <c r="P39" i="14"/>
  <c r="P4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6" i="14"/>
  <c r="M75" i="14"/>
  <c r="M74" i="14"/>
  <c r="M73" i="14"/>
  <c r="M72" i="14"/>
  <c r="M71" i="14"/>
  <c r="M68" i="14"/>
  <c r="M67" i="14"/>
  <c r="M66" i="14"/>
  <c r="M65" i="14"/>
  <c r="M64" i="14"/>
  <c r="M63" i="14"/>
  <c r="M60" i="14"/>
  <c r="M59" i="14"/>
  <c r="M58" i="14"/>
  <c r="M57" i="14"/>
  <c r="M56" i="14"/>
  <c r="M55" i="14"/>
  <c r="M54" i="14"/>
  <c r="M52" i="14"/>
  <c r="M50" i="14"/>
  <c r="M49" i="14"/>
  <c r="M48" i="14"/>
  <c r="M47" i="14"/>
  <c r="M46" i="14"/>
  <c r="M45" i="14"/>
  <c r="M44" i="14"/>
  <c r="M43" i="14"/>
  <c r="M42" i="14"/>
  <c r="M40" i="14"/>
  <c r="M37" i="14"/>
  <c r="K37" i="14"/>
  <c r="J37" i="14"/>
  <c r="I37" i="14"/>
  <c r="H37" i="14"/>
  <c r="G37" i="14"/>
  <c r="F37" i="14"/>
  <c r="M36" i="14"/>
  <c r="K36" i="14"/>
  <c r="J36" i="14"/>
  <c r="I36" i="14"/>
  <c r="H36" i="14"/>
  <c r="G36" i="14"/>
  <c r="F36" i="14"/>
  <c r="M35" i="14"/>
  <c r="M34" i="14"/>
  <c r="M33" i="14"/>
  <c r="M32" i="14"/>
  <c r="M31" i="14"/>
  <c r="M30" i="14"/>
  <c r="M29" i="14"/>
  <c r="M28" i="14"/>
  <c r="M27" i="14"/>
  <c r="M26" i="14"/>
  <c r="M25" i="14"/>
  <c r="M22" i="14"/>
  <c r="M21" i="14"/>
  <c r="M20" i="14"/>
  <c r="M18" i="14"/>
  <c r="M17" i="14"/>
  <c r="M15" i="14"/>
  <c r="M14" i="14"/>
  <c r="M13" i="14"/>
  <c r="M12" i="14"/>
  <c r="M11" i="14"/>
  <c r="M8" i="14"/>
  <c r="M7" i="14"/>
  <c r="M6" i="14"/>
  <c r="M94" i="13"/>
  <c r="K94" i="13"/>
  <c r="J94" i="13"/>
  <c r="I94" i="13"/>
  <c r="H94" i="13"/>
  <c r="G94" i="13"/>
  <c r="F94" i="13"/>
  <c r="E94" i="13"/>
  <c r="D94" i="13"/>
  <c r="C94" i="13"/>
  <c r="M95" i="13"/>
  <c r="K95" i="13"/>
  <c r="J95" i="13"/>
  <c r="I95" i="13"/>
  <c r="H95" i="13"/>
  <c r="G95" i="13"/>
  <c r="F95" i="13"/>
  <c r="E95" i="13"/>
  <c r="D95" i="13"/>
  <c r="C95" i="13"/>
  <c r="M93" i="13"/>
  <c r="K93" i="13"/>
  <c r="J93" i="13"/>
  <c r="I93" i="13"/>
  <c r="H93" i="13"/>
  <c r="G93" i="13"/>
  <c r="F93" i="13"/>
  <c r="E93" i="13"/>
  <c r="D93" i="13"/>
  <c r="C93" i="13"/>
  <c r="M86" i="13"/>
  <c r="K86" i="13"/>
  <c r="J86" i="13"/>
  <c r="I86" i="13"/>
  <c r="H86" i="13"/>
  <c r="G86" i="13"/>
  <c r="F86" i="13"/>
  <c r="E86" i="13"/>
  <c r="D86" i="13"/>
  <c r="C86" i="13"/>
  <c r="M85" i="13"/>
  <c r="K85" i="13"/>
  <c r="J85" i="13"/>
  <c r="I85" i="13"/>
  <c r="H85" i="13"/>
  <c r="G85" i="13"/>
  <c r="F85" i="13"/>
  <c r="E85" i="13"/>
  <c r="D85" i="13"/>
  <c r="C85" i="13"/>
  <c r="M84" i="13"/>
  <c r="K84" i="13"/>
  <c r="J84" i="13"/>
  <c r="I84" i="13"/>
  <c r="H84" i="13"/>
  <c r="G84" i="13"/>
  <c r="F84" i="13"/>
  <c r="E84" i="13"/>
  <c r="D84" i="13"/>
  <c r="C84" i="13"/>
  <c r="E83" i="13"/>
  <c r="M82" i="13"/>
  <c r="K82" i="13"/>
  <c r="J82" i="13"/>
  <c r="I82" i="13"/>
  <c r="H82" i="13"/>
  <c r="G82" i="13"/>
  <c r="F82" i="13"/>
  <c r="E82" i="13"/>
  <c r="D82" i="13"/>
  <c r="C82" i="13"/>
  <c r="M81" i="13"/>
  <c r="K81" i="13"/>
  <c r="J81" i="13"/>
  <c r="I81" i="13"/>
  <c r="H81" i="13"/>
  <c r="G81" i="13"/>
  <c r="F81" i="13"/>
  <c r="E81" i="13"/>
  <c r="D81" i="13"/>
  <c r="C81" i="13"/>
  <c r="M80" i="13"/>
  <c r="K80" i="13"/>
  <c r="J80" i="13"/>
  <c r="I80" i="13"/>
  <c r="H80" i="13"/>
  <c r="G80" i="13"/>
  <c r="F80" i="13"/>
  <c r="E80" i="13"/>
  <c r="D80" i="13"/>
  <c r="C80" i="13"/>
  <c r="M79" i="13"/>
  <c r="K79" i="13"/>
  <c r="J79" i="13"/>
  <c r="I79" i="13"/>
  <c r="H79" i="13"/>
  <c r="G79" i="13"/>
  <c r="F79" i="13"/>
  <c r="E79" i="13"/>
  <c r="D79" i="13"/>
  <c r="C79" i="13"/>
  <c r="K78" i="13"/>
  <c r="J78" i="13"/>
  <c r="I78" i="13"/>
  <c r="H78" i="13"/>
  <c r="G78" i="13"/>
  <c r="F78" i="13"/>
  <c r="E78" i="13"/>
  <c r="D78" i="13"/>
  <c r="C78" i="13"/>
  <c r="M77" i="13"/>
  <c r="K77" i="13"/>
  <c r="J77" i="13"/>
  <c r="I77" i="13"/>
  <c r="H77" i="13"/>
  <c r="G77" i="13"/>
  <c r="F77" i="13"/>
  <c r="E77" i="13"/>
  <c r="D77" i="13"/>
  <c r="C77" i="13"/>
  <c r="M76" i="13"/>
  <c r="K76" i="13"/>
  <c r="J76" i="13"/>
  <c r="I76" i="13"/>
  <c r="H76" i="13"/>
  <c r="G76" i="13"/>
  <c r="F76" i="13"/>
  <c r="E76" i="13"/>
  <c r="D76" i="13"/>
  <c r="C76" i="13"/>
  <c r="M75" i="13"/>
  <c r="K75" i="13"/>
  <c r="J75" i="13"/>
  <c r="I75" i="13"/>
  <c r="H75" i="13"/>
  <c r="G75" i="13"/>
  <c r="F75" i="13"/>
  <c r="E75" i="13"/>
  <c r="D75" i="13"/>
  <c r="C75" i="13"/>
  <c r="M74" i="13"/>
  <c r="K74" i="13"/>
  <c r="J74" i="13"/>
  <c r="I74" i="13"/>
  <c r="H74" i="13"/>
  <c r="G74" i="13"/>
  <c r="F74" i="13"/>
  <c r="E74" i="13"/>
  <c r="D74" i="13"/>
  <c r="C74" i="13"/>
  <c r="M72" i="13"/>
  <c r="K72" i="13"/>
  <c r="J72" i="13"/>
  <c r="I72" i="13"/>
  <c r="H72" i="13"/>
  <c r="G72" i="13"/>
  <c r="F72" i="13"/>
  <c r="E72" i="13"/>
  <c r="D72" i="13"/>
  <c r="C72" i="13"/>
  <c r="M71" i="13"/>
  <c r="K71" i="13"/>
  <c r="J71" i="13"/>
  <c r="I71" i="13"/>
  <c r="H71" i="13"/>
  <c r="G71" i="13"/>
  <c r="F71" i="13"/>
  <c r="E71" i="13"/>
  <c r="D71" i="13"/>
  <c r="C71" i="13"/>
  <c r="M70" i="13"/>
  <c r="K70" i="13"/>
  <c r="J70" i="13"/>
  <c r="I70" i="13"/>
  <c r="H70" i="13"/>
  <c r="G70" i="13"/>
  <c r="F70" i="13"/>
  <c r="E70" i="13"/>
  <c r="D70" i="13"/>
  <c r="C70" i="13"/>
  <c r="M69" i="13"/>
  <c r="K69" i="13"/>
  <c r="J69" i="13"/>
  <c r="I69" i="13"/>
  <c r="H69" i="13"/>
  <c r="G69" i="13"/>
  <c r="F69" i="13"/>
  <c r="E69" i="13"/>
  <c r="D69" i="13"/>
  <c r="C69" i="13"/>
  <c r="M68" i="13"/>
  <c r="K68" i="13"/>
  <c r="J68" i="13"/>
  <c r="I68" i="13"/>
  <c r="H68" i="13"/>
  <c r="G68" i="13"/>
  <c r="F68" i="13"/>
  <c r="E68" i="13"/>
  <c r="D68" i="13"/>
  <c r="C68" i="13"/>
  <c r="M67" i="13"/>
  <c r="K67" i="13"/>
  <c r="J67" i="13"/>
  <c r="I67" i="13"/>
  <c r="H67" i="13"/>
  <c r="G67" i="13"/>
  <c r="F67" i="13"/>
  <c r="E67" i="13"/>
  <c r="D67" i="13"/>
  <c r="C67" i="13"/>
  <c r="M66" i="13"/>
  <c r="K66" i="13"/>
  <c r="J66" i="13"/>
  <c r="I66" i="13"/>
  <c r="H66" i="13"/>
  <c r="G66" i="13"/>
  <c r="F66" i="13"/>
  <c r="E66" i="13"/>
  <c r="D66" i="13"/>
  <c r="C66" i="13"/>
  <c r="M65" i="13"/>
  <c r="K65" i="13"/>
  <c r="J65" i="13"/>
  <c r="I65" i="13"/>
  <c r="H65" i="13"/>
  <c r="G65" i="13"/>
  <c r="F65" i="13"/>
  <c r="E65" i="13"/>
  <c r="D65" i="13"/>
  <c r="C65" i="13"/>
  <c r="M64" i="13"/>
  <c r="K64" i="13"/>
  <c r="J64" i="13"/>
  <c r="I64" i="13"/>
  <c r="H64" i="13"/>
  <c r="G64" i="13"/>
  <c r="F64" i="13"/>
  <c r="E64" i="13"/>
  <c r="D64" i="13"/>
  <c r="C64" i="13"/>
  <c r="M63" i="13"/>
  <c r="K63" i="13"/>
  <c r="J63" i="13"/>
  <c r="I63" i="13"/>
  <c r="H63" i="13"/>
  <c r="G63" i="13"/>
  <c r="F63" i="13"/>
  <c r="E63" i="13"/>
  <c r="D63" i="13"/>
  <c r="C63" i="13"/>
  <c r="M62" i="13"/>
  <c r="K62" i="13"/>
  <c r="J62" i="13"/>
  <c r="I62" i="13"/>
  <c r="H62" i="13"/>
  <c r="G62" i="13"/>
  <c r="F62" i="13"/>
  <c r="E62" i="13"/>
  <c r="D62" i="13"/>
  <c r="C62" i="13"/>
  <c r="M61" i="13"/>
  <c r="K61" i="13"/>
  <c r="J61" i="13"/>
  <c r="I61" i="13"/>
  <c r="H61" i="13"/>
  <c r="G61" i="13"/>
  <c r="F61" i="13"/>
  <c r="E61" i="13"/>
  <c r="D61" i="13"/>
  <c r="C61" i="13"/>
  <c r="M60" i="13"/>
  <c r="K60" i="13"/>
  <c r="J60" i="13"/>
  <c r="I60" i="13"/>
  <c r="H60" i="13"/>
  <c r="G60" i="13"/>
  <c r="F60" i="13"/>
  <c r="E60" i="13"/>
  <c r="D60" i="13"/>
  <c r="C60" i="13"/>
  <c r="M59" i="13"/>
  <c r="K59" i="13"/>
  <c r="J59" i="13"/>
  <c r="I59" i="13"/>
  <c r="H59" i="13"/>
  <c r="G59" i="13"/>
  <c r="F59" i="13"/>
  <c r="E59" i="13"/>
  <c r="D59" i="13"/>
  <c r="C59" i="13"/>
  <c r="M58" i="13"/>
  <c r="K58" i="13"/>
  <c r="J58" i="13"/>
  <c r="I58" i="13"/>
  <c r="H58" i="13"/>
  <c r="G58" i="13"/>
  <c r="F58" i="13"/>
  <c r="E58" i="13"/>
  <c r="D58" i="13"/>
  <c r="C58" i="13"/>
  <c r="M57" i="13"/>
  <c r="K57" i="13"/>
  <c r="J57" i="13"/>
  <c r="I57" i="13"/>
  <c r="H57" i="13"/>
  <c r="G57" i="13"/>
  <c r="F57" i="13"/>
  <c r="E57" i="13"/>
  <c r="D57" i="13"/>
  <c r="C57" i="13"/>
  <c r="M56" i="13"/>
  <c r="K56" i="13"/>
  <c r="J56" i="13"/>
  <c r="I56" i="13"/>
  <c r="H56" i="13"/>
  <c r="G56" i="13"/>
  <c r="F56" i="13"/>
  <c r="E56" i="13"/>
  <c r="D56" i="13"/>
  <c r="C56" i="13"/>
  <c r="M55" i="13"/>
  <c r="K55" i="13"/>
  <c r="J55" i="13"/>
  <c r="I55" i="13"/>
  <c r="H55" i="13"/>
  <c r="G55" i="13"/>
  <c r="F55" i="13"/>
  <c r="E55" i="13"/>
  <c r="D55" i="13"/>
  <c r="C55" i="13"/>
  <c r="M54" i="13"/>
  <c r="K54" i="13"/>
  <c r="J54" i="13"/>
  <c r="I54" i="13"/>
  <c r="H54" i="13"/>
  <c r="G54" i="13"/>
  <c r="F54" i="13"/>
  <c r="E54" i="13"/>
  <c r="D54" i="13"/>
  <c r="C54" i="13"/>
  <c r="M53" i="13"/>
  <c r="K53" i="13"/>
  <c r="J53" i="13"/>
  <c r="I53" i="13"/>
  <c r="H53" i="13"/>
  <c r="G53" i="13"/>
  <c r="F53" i="13"/>
  <c r="E53" i="13"/>
  <c r="D53" i="13"/>
  <c r="C53" i="13"/>
  <c r="M52" i="13"/>
  <c r="K52" i="13"/>
  <c r="J52" i="13"/>
  <c r="I52" i="13"/>
  <c r="H52" i="13"/>
  <c r="G52" i="13"/>
  <c r="F52" i="13"/>
  <c r="E52" i="13"/>
  <c r="D52" i="13"/>
  <c r="C52" i="13"/>
  <c r="M49" i="13"/>
  <c r="K49" i="13"/>
  <c r="J49" i="13"/>
  <c r="I49" i="13"/>
  <c r="H49" i="13"/>
  <c r="G49" i="13"/>
  <c r="F49" i="13"/>
  <c r="E49" i="13"/>
  <c r="D49" i="13"/>
  <c r="C49" i="13"/>
  <c r="M48" i="13"/>
  <c r="K48" i="13"/>
  <c r="J48" i="13"/>
  <c r="I48" i="13"/>
  <c r="H48" i="13"/>
  <c r="G48" i="13"/>
  <c r="F48" i="13"/>
  <c r="E48" i="13"/>
  <c r="D48" i="13"/>
  <c r="C48" i="13"/>
  <c r="M47" i="13"/>
  <c r="K47" i="13"/>
  <c r="J47" i="13"/>
  <c r="I47" i="13"/>
  <c r="H47" i="13"/>
  <c r="G47" i="13"/>
  <c r="F47" i="13"/>
  <c r="E47" i="13"/>
  <c r="D47" i="13"/>
  <c r="C47" i="13"/>
  <c r="M46" i="13"/>
  <c r="K46" i="13"/>
  <c r="J46" i="13"/>
  <c r="I46" i="13"/>
  <c r="H46" i="13"/>
  <c r="G46" i="13"/>
  <c r="F46" i="13"/>
  <c r="E46" i="13"/>
  <c r="D46" i="13"/>
  <c r="C46" i="13"/>
  <c r="M45" i="13"/>
  <c r="K45" i="13"/>
  <c r="J45" i="13"/>
  <c r="I45" i="13"/>
  <c r="H45" i="13"/>
  <c r="G45" i="13"/>
  <c r="F45" i="13"/>
  <c r="E45" i="13"/>
  <c r="D45" i="13"/>
  <c r="C45" i="13"/>
  <c r="M44" i="13"/>
  <c r="K44" i="13"/>
  <c r="J44" i="13"/>
  <c r="I44" i="13"/>
  <c r="H44" i="13"/>
  <c r="G44" i="13"/>
  <c r="F44" i="13"/>
  <c r="E44" i="13"/>
  <c r="D44" i="13"/>
  <c r="C44" i="13"/>
  <c r="M43" i="13"/>
  <c r="K43" i="13"/>
  <c r="J43" i="13"/>
  <c r="I43" i="13"/>
  <c r="H43" i="13"/>
  <c r="G43" i="13"/>
  <c r="F43" i="13"/>
  <c r="E43" i="13"/>
  <c r="D43" i="13"/>
  <c r="C43" i="13"/>
  <c r="M42" i="13"/>
  <c r="K42" i="13"/>
  <c r="J42" i="13"/>
  <c r="I42" i="13"/>
  <c r="H42" i="13"/>
  <c r="G42" i="13"/>
  <c r="F42" i="13"/>
  <c r="E42" i="13"/>
  <c r="D42" i="13"/>
  <c r="C42" i="13"/>
  <c r="M41" i="13"/>
  <c r="K41" i="13"/>
  <c r="J41" i="13"/>
  <c r="I41" i="13"/>
  <c r="H41" i="13"/>
  <c r="G41" i="13"/>
  <c r="F41" i="13"/>
  <c r="E41" i="13"/>
  <c r="D41" i="13"/>
  <c r="C41" i="13"/>
  <c r="M40" i="13"/>
  <c r="K40" i="13"/>
  <c r="J40" i="13"/>
  <c r="I40" i="13"/>
  <c r="H40" i="13"/>
  <c r="G40" i="13"/>
  <c r="F40" i="13"/>
  <c r="E40" i="13"/>
  <c r="D40" i="13"/>
  <c r="C40" i="13"/>
  <c r="M39" i="13"/>
  <c r="K39" i="13"/>
  <c r="J39" i="13"/>
  <c r="I39" i="13"/>
  <c r="H39" i="13"/>
  <c r="G39" i="13"/>
  <c r="F39" i="13"/>
  <c r="E39" i="13"/>
  <c r="D39" i="13"/>
  <c r="C39" i="13"/>
  <c r="M38" i="13"/>
  <c r="K38" i="13"/>
  <c r="J38" i="13"/>
  <c r="I38" i="13"/>
  <c r="H38" i="13"/>
  <c r="G38" i="13"/>
  <c r="F38" i="13"/>
  <c r="E38" i="13"/>
  <c r="D38" i="13"/>
  <c r="C38" i="13"/>
  <c r="M37" i="13"/>
  <c r="K37" i="13"/>
  <c r="J37" i="13"/>
  <c r="I37" i="13"/>
  <c r="H37" i="13"/>
  <c r="G37" i="13"/>
  <c r="F37" i="13"/>
  <c r="E37" i="13"/>
  <c r="D37" i="13"/>
  <c r="C37" i="13"/>
  <c r="M36" i="13"/>
  <c r="K36" i="13"/>
  <c r="J36" i="13"/>
  <c r="I36" i="13"/>
  <c r="H36" i="13"/>
  <c r="G36" i="13"/>
  <c r="F36" i="13"/>
  <c r="E36" i="13"/>
  <c r="D36" i="13"/>
  <c r="C36" i="13"/>
  <c r="M33" i="13"/>
  <c r="K33" i="13"/>
  <c r="J33" i="13"/>
  <c r="I33" i="13"/>
  <c r="H33" i="13"/>
  <c r="G33" i="13"/>
  <c r="F33" i="13"/>
  <c r="E33" i="13"/>
  <c r="D33" i="13"/>
  <c r="C33" i="13"/>
  <c r="M32" i="13"/>
  <c r="K32" i="13"/>
  <c r="J32" i="13"/>
  <c r="I32" i="13"/>
  <c r="H32" i="13"/>
  <c r="G32" i="13"/>
  <c r="F32" i="13"/>
  <c r="E32" i="13"/>
  <c r="D32" i="13"/>
  <c r="C32" i="13"/>
  <c r="M31" i="13"/>
  <c r="K31" i="13"/>
  <c r="J31" i="13"/>
  <c r="I31" i="13"/>
  <c r="H31" i="13"/>
  <c r="G31" i="13"/>
  <c r="F31" i="13"/>
  <c r="E31" i="13"/>
  <c r="D31" i="13"/>
  <c r="C31" i="13"/>
  <c r="M30" i="13"/>
  <c r="K30" i="13"/>
  <c r="J30" i="13"/>
  <c r="I30" i="13"/>
  <c r="H30" i="13"/>
  <c r="G30" i="13"/>
  <c r="F30" i="13"/>
  <c r="E30" i="13"/>
  <c r="D30" i="13"/>
  <c r="C30" i="13"/>
  <c r="M29" i="13"/>
  <c r="K29" i="13"/>
  <c r="J29" i="13"/>
  <c r="I29" i="13"/>
  <c r="H29" i="13"/>
  <c r="G29" i="13"/>
  <c r="F29" i="13"/>
  <c r="E29" i="13"/>
  <c r="D29" i="13"/>
  <c r="C29" i="13"/>
  <c r="M28" i="13"/>
  <c r="K28" i="13"/>
  <c r="J28" i="13"/>
  <c r="I28" i="13"/>
  <c r="H28" i="13"/>
  <c r="G28" i="13"/>
  <c r="F28" i="13"/>
  <c r="E28" i="13"/>
  <c r="D28" i="13"/>
  <c r="C28" i="13"/>
  <c r="M27" i="13"/>
  <c r="K27" i="13"/>
  <c r="J27" i="13"/>
  <c r="I27" i="13"/>
  <c r="H27" i="13"/>
  <c r="G27" i="13"/>
  <c r="F27" i="13"/>
  <c r="E27" i="13"/>
  <c r="D27" i="13"/>
  <c r="C27" i="13"/>
  <c r="M26" i="13"/>
  <c r="K26" i="13"/>
  <c r="J26" i="13"/>
  <c r="I26" i="13"/>
  <c r="H26" i="13"/>
  <c r="G26" i="13"/>
  <c r="F26" i="13"/>
  <c r="E26" i="13"/>
  <c r="D26" i="13"/>
  <c r="C26" i="13"/>
  <c r="M25" i="13"/>
  <c r="K25" i="13"/>
  <c r="J25" i="13"/>
  <c r="I25" i="13"/>
  <c r="H25" i="13"/>
  <c r="G25" i="13"/>
  <c r="F25" i="13"/>
  <c r="E25" i="13"/>
  <c r="D25" i="13"/>
  <c r="C25" i="13"/>
  <c r="M24" i="13"/>
  <c r="K24" i="13"/>
  <c r="J24" i="13"/>
  <c r="I24" i="13"/>
  <c r="H24" i="13"/>
  <c r="G24" i="13"/>
  <c r="F24" i="13"/>
  <c r="E24" i="13"/>
  <c r="D24" i="13"/>
  <c r="C24" i="13"/>
  <c r="M23" i="13"/>
  <c r="K23" i="13"/>
  <c r="J23" i="13"/>
  <c r="I23" i="13"/>
  <c r="H23" i="13"/>
  <c r="G23" i="13"/>
  <c r="F23" i="13"/>
  <c r="E23" i="13"/>
  <c r="D23" i="13"/>
  <c r="C23" i="13"/>
  <c r="M22" i="13"/>
  <c r="K22" i="13"/>
  <c r="J22" i="13"/>
  <c r="I22" i="13"/>
  <c r="H22" i="13"/>
  <c r="G22" i="13"/>
  <c r="F22" i="13"/>
  <c r="E22" i="13"/>
  <c r="D22" i="13"/>
  <c r="C22" i="13"/>
  <c r="M21" i="13"/>
  <c r="K21" i="13"/>
  <c r="J21" i="13"/>
  <c r="I21" i="13"/>
  <c r="H21" i="13"/>
  <c r="G21" i="13"/>
  <c r="F21" i="13"/>
  <c r="E21" i="13"/>
  <c r="D21" i="13"/>
  <c r="C21" i="13"/>
  <c r="M20" i="13"/>
  <c r="K20" i="13"/>
  <c r="J20" i="13"/>
  <c r="I20" i="13"/>
  <c r="H20" i="13"/>
  <c r="G20" i="13"/>
  <c r="F20" i="13"/>
  <c r="E20" i="13"/>
  <c r="D20" i="13"/>
  <c r="C20" i="13"/>
  <c r="M19" i="13"/>
  <c r="K19" i="13"/>
  <c r="J19" i="13"/>
  <c r="I19" i="13"/>
  <c r="H19" i="13"/>
  <c r="G19" i="13"/>
  <c r="F19" i="13"/>
  <c r="E19" i="13"/>
  <c r="D19" i="13"/>
  <c r="C19" i="13"/>
  <c r="M18" i="13"/>
  <c r="K18" i="13"/>
  <c r="J18" i="13"/>
  <c r="I18" i="13"/>
  <c r="H18" i="13"/>
  <c r="G18" i="13"/>
  <c r="F18" i="13"/>
  <c r="E18" i="13"/>
  <c r="D18" i="13"/>
  <c r="C18" i="13"/>
  <c r="M17" i="13"/>
  <c r="K17" i="13"/>
  <c r="J17" i="13"/>
  <c r="I17" i="13"/>
  <c r="H17" i="13"/>
  <c r="G17" i="13"/>
  <c r="F17" i="13"/>
  <c r="E17" i="13"/>
  <c r="D17" i="13"/>
  <c r="C17" i="13"/>
  <c r="M16" i="13"/>
  <c r="K16" i="13"/>
  <c r="J16" i="13"/>
  <c r="I16" i="13"/>
  <c r="H16" i="13"/>
  <c r="G16" i="13"/>
  <c r="F16" i="13"/>
  <c r="E16" i="13"/>
  <c r="D16" i="13"/>
  <c r="C16" i="13"/>
  <c r="M15" i="13"/>
  <c r="K15" i="13"/>
  <c r="J15" i="13"/>
  <c r="I15" i="13"/>
  <c r="H15" i="13"/>
  <c r="G15" i="13"/>
  <c r="F15" i="13"/>
  <c r="E15" i="13"/>
  <c r="D15" i="13"/>
  <c r="C15" i="13"/>
  <c r="M14" i="13"/>
  <c r="K14" i="13"/>
  <c r="J14" i="13"/>
  <c r="I14" i="13"/>
  <c r="H14" i="13"/>
  <c r="G14" i="13"/>
  <c r="F14" i="13"/>
  <c r="E14" i="13"/>
  <c r="D14" i="13"/>
  <c r="C14" i="13"/>
  <c r="M13" i="13"/>
  <c r="K13" i="13"/>
  <c r="J13" i="13"/>
  <c r="I13" i="13"/>
  <c r="H13" i="13"/>
  <c r="G13" i="13"/>
  <c r="F13" i="13"/>
  <c r="E13" i="13"/>
  <c r="D13" i="13"/>
  <c r="C13" i="13"/>
  <c r="M12" i="13"/>
  <c r="K12" i="13"/>
  <c r="J12" i="13"/>
  <c r="I12" i="13"/>
  <c r="H12" i="13"/>
  <c r="G12" i="13"/>
  <c r="F12" i="13"/>
  <c r="E12" i="13"/>
  <c r="D12" i="13"/>
  <c r="C12" i="13"/>
  <c r="M11" i="13"/>
  <c r="K11" i="13"/>
  <c r="J11" i="13"/>
  <c r="I11" i="13"/>
  <c r="H11" i="13"/>
  <c r="G11" i="13"/>
  <c r="F11" i="13"/>
  <c r="E11" i="13"/>
  <c r="D11" i="13"/>
  <c r="C11" i="13"/>
  <c r="M10" i="13"/>
  <c r="K10" i="13"/>
  <c r="J10" i="13"/>
  <c r="I10" i="13"/>
  <c r="H10" i="13"/>
  <c r="G10" i="13"/>
  <c r="F10" i="13"/>
  <c r="E10" i="13"/>
  <c r="D10" i="13"/>
  <c r="C10" i="13"/>
  <c r="M9" i="13"/>
  <c r="K9" i="13"/>
  <c r="J9" i="13"/>
  <c r="I9" i="13"/>
  <c r="H9" i="13"/>
  <c r="G9" i="13"/>
  <c r="F9" i="13"/>
  <c r="E9" i="13"/>
  <c r="D9" i="13"/>
  <c r="C9" i="13"/>
  <c r="M8" i="13"/>
  <c r="K8" i="13"/>
  <c r="J8" i="13"/>
  <c r="I8" i="13"/>
  <c r="H8" i="13"/>
  <c r="G8" i="13"/>
  <c r="F8" i="13"/>
  <c r="E8" i="13"/>
  <c r="D8" i="13"/>
  <c r="C8" i="13"/>
  <c r="M7" i="13"/>
  <c r="K7" i="13"/>
  <c r="J7" i="13"/>
  <c r="I7" i="13"/>
  <c r="H7" i="13"/>
  <c r="G7" i="13"/>
  <c r="F7" i="13"/>
  <c r="E7" i="13"/>
  <c r="D7" i="13"/>
  <c r="C7" i="13"/>
  <c r="M6" i="13"/>
  <c r="K6" i="13"/>
  <c r="J6" i="13"/>
  <c r="I6" i="13"/>
  <c r="H6" i="13"/>
  <c r="G6" i="13"/>
  <c r="F6" i="13"/>
  <c r="E6" i="13"/>
  <c r="D6" i="13"/>
  <c r="C6" i="13"/>
  <c r="M5" i="13"/>
  <c r="K5" i="13"/>
  <c r="J5" i="13"/>
  <c r="I5" i="13"/>
  <c r="H5" i="13"/>
  <c r="G5" i="13"/>
  <c r="F5" i="13"/>
  <c r="E5" i="13"/>
  <c r="D5" i="13"/>
  <c r="C5" i="13"/>
  <c r="M4" i="13"/>
  <c r="K4" i="13"/>
  <c r="J4" i="13"/>
  <c r="I4" i="13"/>
  <c r="H4" i="13"/>
  <c r="G4" i="13"/>
  <c r="F4" i="13"/>
  <c r="E4" i="13"/>
  <c r="D4" i="13"/>
  <c r="C4" i="13"/>
  <c r="M3" i="13"/>
  <c r="K3" i="13"/>
  <c r="J3" i="13"/>
  <c r="I3" i="13"/>
  <c r="H3" i="13"/>
  <c r="G3" i="13"/>
  <c r="F3" i="13"/>
  <c r="E3" i="13"/>
  <c r="D3" i="13"/>
  <c r="C3" i="13"/>
  <c r="P109" i="14" l="1"/>
  <c r="T23" i="14"/>
  <c r="F83" i="13"/>
  <c r="C83" i="13"/>
  <c r="G83" i="13"/>
  <c r="K83" i="13"/>
  <c r="I83" i="13"/>
  <c r="J83" i="13"/>
  <c r="D83" i="13"/>
  <c r="H83" i="13"/>
  <c r="M83" i="13"/>
</calcChain>
</file>

<file path=xl/sharedStrings.xml><?xml version="1.0" encoding="utf-8"?>
<sst xmlns="http://schemas.openxmlformats.org/spreadsheetml/2006/main" count="2042" uniqueCount="663">
  <si>
    <t>DESCRIPCIÓN</t>
  </si>
  <si>
    <t>PRECIO COMPRA</t>
  </si>
  <si>
    <t>PRECIO FINAL</t>
  </si>
  <si>
    <t>Cinta de enmascarar 3/4</t>
  </si>
  <si>
    <t xml:space="preserve">disco flap economico </t>
  </si>
  <si>
    <t>guante ing reforzado</t>
  </si>
  <si>
    <t>vidrio careta 10/11/12</t>
  </si>
  <si>
    <t>chazo expansivo 5/16 * 1 1/2</t>
  </si>
  <si>
    <t>broca 1/4</t>
  </si>
  <si>
    <t>tornillo de cisterna c/u</t>
  </si>
  <si>
    <t>disco de corte 14" dw</t>
  </si>
  <si>
    <t>tornillo autoperforante 8*3/4</t>
  </si>
  <si>
    <t>broca 1/4*4 diager</t>
  </si>
  <si>
    <t>broca 3/8*4 diager</t>
  </si>
  <si>
    <t>tornillo autoperforante 8*1</t>
  </si>
  <si>
    <t>llave lavamanos color</t>
  </si>
  <si>
    <t>jabonera rio plast</t>
  </si>
  <si>
    <t>inventario</t>
  </si>
  <si>
    <t xml:space="preserve">precio </t>
  </si>
  <si>
    <t>precio final</t>
  </si>
  <si>
    <t>ganancia</t>
  </si>
  <si>
    <t>alas de angel collroled (par)</t>
  </si>
  <si>
    <t>alas de angel dorada (par)</t>
  </si>
  <si>
    <t>bisagra 3/8 (par)</t>
  </si>
  <si>
    <t>bisagra 1/2 (par)</t>
  </si>
  <si>
    <t>bisagra 1/2 con aleta (par)</t>
  </si>
  <si>
    <t>bisagra 1/2 luna (par)</t>
  </si>
  <si>
    <t>bisagra 5/8 (par)</t>
  </si>
  <si>
    <t>Bisagra 5/8 con aleta (par)</t>
  </si>
  <si>
    <t>bisagra 5/8 extra larga (par)</t>
  </si>
  <si>
    <t>bisagra 3/4 (par)</t>
  </si>
  <si>
    <t>bisagra 3/4 larga (par)</t>
  </si>
  <si>
    <t>bisagra (3/4) con aleta(par)</t>
  </si>
  <si>
    <t>bisagra plana ventana (par) (670)</t>
  </si>
  <si>
    <t>bisagra plana ventana grande (par)</t>
  </si>
  <si>
    <t>bisagra omega c/u</t>
  </si>
  <si>
    <t>bisagra plana 3*3 c/u</t>
  </si>
  <si>
    <t>bocallave</t>
  </si>
  <si>
    <t>bocallave bonita</t>
  </si>
  <si>
    <t>bocallave colonial</t>
  </si>
  <si>
    <t>bolas coldroll</t>
  </si>
  <si>
    <t>bolas doradas</t>
  </si>
  <si>
    <t xml:space="preserve">botones de acero </t>
  </si>
  <si>
    <t>chapa de gancho sfs</t>
  </si>
  <si>
    <t>chapa gancho yale</t>
  </si>
  <si>
    <t>chapa inafer doble</t>
  </si>
  <si>
    <t>chapa inafer sencilla</t>
  </si>
  <si>
    <t>chapa kron sencilla</t>
  </si>
  <si>
    <t>chapa security KL doble</t>
  </si>
  <si>
    <t>chapa yale doble</t>
  </si>
  <si>
    <t>curvas</t>
  </si>
  <si>
    <t>curvas grandes</t>
  </si>
  <si>
    <t>Disco tronzadora 14" bocsh</t>
  </si>
  <si>
    <t>Disco tronzadora 14" dw</t>
  </si>
  <si>
    <t xml:space="preserve">disco tronzadora eco </t>
  </si>
  <si>
    <t>Falleva 38 cm</t>
  </si>
  <si>
    <t>Falleva 50 cm</t>
  </si>
  <si>
    <t>flor 5 puntas collroled</t>
  </si>
  <si>
    <t>flor 5 puntas dorada</t>
  </si>
  <si>
    <t>flor pequeña 5 puntas collrole</t>
  </si>
  <si>
    <t>flor pequeña 5 puntas dorada</t>
  </si>
  <si>
    <t>flor de liz con tornillo</t>
  </si>
  <si>
    <t>flor de liz sin tornillo</t>
  </si>
  <si>
    <t>girasol cold roled</t>
  </si>
  <si>
    <t>girasol dorado</t>
  </si>
  <si>
    <t>hojas de café collroled</t>
  </si>
  <si>
    <t>hojas retorcidas doradas (par)</t>
  </si>
  <si>
    <t>horas retorcidas collroled (par)</t>
  </si>
  <si>
    <t>manija ventana cte (par)</t>
  </si>
  <si>
    <t>manija ventana roja (par)</t>
  </si>
  <si>
    <t>masilla blanca</t>
  </si>
  <si>
    <t xml:space="preserve">ojo mágico grande </t>
  </si>
  <si>
    <t>pasadores grande</t>
  </si>
  <si>
    <t>pasadores grande izq</t>
  </si>
  <si>
    <t>pasador doble 1/2</t>
  </si>
  <si>
    <t>pasador doble 5/8</t>
  </si>
  <si>
    <t>piña grande colleroled</t>
  </si>
  <si>
    <t>piña grande dorada</t>
  </si>
  <si>
    <t>piña mediana collroled</t>
  </si>
  <si>
    <t>piña mediana dorada</t>
  </si>
  <si>
    <t>piña pequeña collroled</t>
  </si>
  <si>
    <t>piña pequeña dorada</t>
  </si>
  <si>
    <t>piña plana cr</t>
  </si>
  <si>
    <t>piña plana dorada</t>
  </si>
  <si>
    <t>poleas 1 1/2</t>
  </si>
  <si>
    <t>portachapa doble</t>
  </si>
  <si>
    <t>portachapa</t>
  </si>
  <si>
    <t>resorte de 3" par</t>
  </si>
  <si>
    <t>rodachina puerta doble  P8-14</t>
  </si>
  <si>
    <t>rodachina porton doble ROG-800</t>
  </si>
  <si>
    <t>rodachina porton sencilla ROG-400</t>
  </si>
  <si>
    <t>rodachina puerta sencilla *4 RT-40</t>
  </si>
  <si>
    <t>rodachina vent, gran  RP-30</t>
  </si>
  <si>
    <t>rodachina vent, peq RPL-10</t>
  </si>
  <si>
    <t>soldadura soltrode 3/32</t>
  </si>
  <si>
    <t>soldadura soltrode 1/8</t>
  </si>
  <si>
    <t>soldadura west arco 1/8</t>
  </si>
  <si>
    <t>soldadura west arco 3/32</t>
  </si>
  <si>
    <t>dibujos</t>
  </si>
  <si>
    <t>baston sencillo</t>
  </si>
  <si>
    <t>baston piña</t>
  </si>
  <si>
    <t>HIERRO</t>
  </si>
  <si>
    <t xml:space="preserve">angulo  3/4 diaco </t>
  </si>
  <si>
    <t>angulo 1" arequipa</t>
  </si>
  <si>
    <t xml:space="preserve">angulo 1" diaco </t>
  </si>
  <si>
    <t>ángulo 1" * 3/16</t>
  </si>
  <si>
    <t>angulo 1 1/4 diaco</t>
  </si>
  <si>
    <t>angulo 1 1/2 diaco</t>
  </si>
  <si>
    <t>platina 1/2 *1/8</t>
  </si>
  <si>
    <t>platina 1/2 *3/16</t>
  </si>
  <si>
    <t>platina 3/4 *1/8</t>
  </si>
  <si>
    <t>platina 1" *1/8</t>
  </si>
  <si>
    <t>platina 1 1/4 *1/8</t>
  </si>
  <si>
    <t>platina 1 1/2 *1/8</t>
  </si>
  <si>
    <t>Tee hierro</t>
  </si>
  <si>
    <t>R</t>
  </si>
  <si>
    <t xml:space="preserve">varilla cuadrada 9 mm </t>
  </si>
  <si>
    <t xml:space="preserve">varilla cuadrada 10 mm </t>
  </si>
  <si>
    <t>varilla redonda 1/2</t>
  </si>
  <si>
    <t>varilla redonda 5/8</t>
  </si>
  <si>
    <t>varilla entorchada</t>
  </si>
  <si>
    <t>CORRIENTE</t>
  </si>
  <si>
    <t>marco ventana cte</t>
  </si>
  <si>
    <t>c20</t>
  </si>
  <si>
    <t>c19</t>
  </si>
  <si>
    <t>c18</t>
  </si>
  <si>
    <t>tee ventana cte</t>
  </si>
  <si>
    <t>c21</t>
  </si>
  <si>
    <t>marco puerta cte 7</t>
  </si>
  <si>
    <t>marco puerta cte 8</t>
  </si>
  <si>
    <t xml:space="preserve">peinazo corriente </t>
  </si>
  <si>
    <t>tee plana</t>
  </si>
  <si>
    <t>TIPO ALUMINO</t>
  </si>
  <si>
    <t>marco ventana ta ico</t>
  </si>
  <si>
    <t>marco ventana ta QMA</t>
  </si>
  <si>
    <t>c 19</t>
  </si>
  <si>
    <t>tee peinazo ta</t>
  </si>
  <si>
    <t>tee ventana ta</t>
  </si>
  <si>
    <t>basculante z</t>
  </si>
  <si>
    <t>pasamanos ta</t>
  </si>
  <si>
    <t>pasamanos ta R</t>
  </si>
  <si>
    <t>pasamanos ta serv.p</t>
  </si>
  <si>
    <t>marco puerta ta</t>
  </si>
  <si>
    <t>marco puerta ta QMA</t>
  </si>
  <si>
    <t>peinazo ta</t>
  </si>
  <si>
    <t>c 18</t>
  </si>
  <si>
    <t>tubo 5*4 batiente</t>
  </si>
  <si>
    <t>TUBERIA</t>
  </si>
  <si>
    <t xml:space="preserve">tubo cuadrado 3/4 </t>
  </si>
  <si>
    <t>c22</t>
  </si>
  <si>
    <t xml:space="preserve">tubo cuadrado 1" </t>
  </si>
  <si>
    <t>tubo cuadrado 1" R</t>
  </si>
  <si>
    <t>tubo cuadrado 1" serv.p</t>
  </si>
  <si>
    <t xml:space="preserve">tubo cuadrado 1 1/2 </t>
  </si>
  <si>
    <t>c16</t>
  </si>
  <si>
    <t>tubo rectangular 20*40</t>
  </si>
  <si>
    <t>tubo rectangular 2*1</t>
  </si>
  <si>
    <t>tubo rectangular 8*4</t>
  </si>
  <si>
    <t>tubo rectangular 8*4 seg</t>
  </si>
  <si>
    <t xml:space="preserve">tubo rectangular 10*4 </t>
  </si>
  <si>
    <t>tubo redondo a.n 1 1/4</t>
  </si>
  <si>
    <t>c 16</t>
  </si>
  <si>
    <t>c14</t>
  </si>
  <si>
    <t>tubo redondo a.n 1 1/2</t>
  </si>
  <si>
    <t>tubo redondo a.n 2</t>
  </si>
  <si>
    <t>tubo estructural 90*90</t>
  </si>
  <si>
    <t>tubo estructural 100*100</t>
  </si>
  <si>
    <t>tubo estructural 120*60</t>
  </si>
  <si>
    <t>tubo estructural 160*60</t>
  </si>
  <si>
    <t>tubo torneado 1"</t>
  </si>
  <si>
    <t>tubo torneado 3/4</t>
  </si>
  <si>
    <t>PRECIO DE VENTA</t>
  </si>
  <si>
    <t xml:space="preserve">PRECIO DE COMPRA </t>
  </si>
  <si>
    <t xml:space="preserve">PEDIDOS </t>
  </si>
  <si>
    <t>CANT</t>
  </si>
  <si>
    <t>PEDIDO</t>
  </si>
  <si>
    <t>P.V</t>
  </si>
  <si>
    <t>espátula peq</t>
  </si>
  <si>
    <t>llave lavamanos cromada</t>
  </si>
  <si>
    <t>asiento sanitario</t>
  </si>
  <si>
    <t>papelera completo rio</t>
  </si>
  <si>
    <t>papelera palito rio</t>
  </si>
  <si>
    <t>kit baño</t>
  </si>
  <si>
    <t xml:space="preserve">disco de pulir de 4" </t>
  </si>
  <si>
    <t xml:space="preserve">Disco de pulir de 7" </t>
  </si>
  <si>
    <t>Sifón lavamanos</t>
  </si>
  <si>
    <t>bastòn ondulado</t>
  </si>
  <si>
    <t>baston alas de angel</t>
  </si>
  <si>
    <t>precio último</t>
  </si>
  <si>
    <t>PUERTAS</t>
  </si>
  <si>
    <t>50*190</t>
  </si>
  <si>
    <t>TROQUELADA</t>
  </si>
  <si>
    <t xml:space="preserve">disco corte 4 </t>
  </si>
  <si>
    <t xml:space="preserve">DESCRIPCIÓN </t>
  </si>
  <si>
    <t xml:space="preserve">PUERTA CORRIENTE </t>
  </si>
  <si>
    <t xml:space="preserve">Marco ventana ta </t>
  </si>
  <si>
    <t xml:space="preserve">tubo 1 </t>
  </si>
  <si>
    <t xml:space="preserve">pasamanos </t>
  </si>
  <si>
    <t xml:space="preserve">tablero </t>
  </si>
  <si>
    <t xml:space="preserve">chapa, bisagras, bocallave, pasador </t>
  </si>
  <si>
    <t xml:space="preserve">mano de obra </t>
  </si>
  <si>
    <t xml:space="preserve">pintura </t>
  </si>
  <si>
    <t xml:space="preserve">otros gastos </t>
  </si>
  <si>
    <t>1*2</t>
  </si>
  <si>
    <t>80*2</t>
  </si>
  <si>
    <t>70*2</t>
  </si>
  <si>
    <t>BAÑO</t>
  </si>
  <si>
    <t>70*1,90</t>
  </si>
  <si>
    <t xml:space="preserve">PRECIOS DE VENTA </t>
  </si>
  <si>
    <t xml:space="preserve">minipeinazo </t>
  </si>
  <si>
    <t>LISTA DE PRECIOS 2019-2</t>
  </si>
  <si>
    <t>minipeinazo 5*4</t>
  </si>
  <si>
    <t xml:space="preserve">minipeinazo 5*4 </t>
  </si>
  <si>
    <t>portachapa panel</t>
  </si>
  <si>
    <t>curva en ese</t>
  </si>
  <si>
    <t>TOTAL</t>
  </si>
  <si>
    <t xml:space="preserve">ENTABLERADA CTE </t>
  </si>
  <si>
    <t>ENTABLERADA TROQUELADA</t>
  </si>
  <si>
    <t xml:space="preserve">sale </t>
  </si>
  <si>
    <t>PUERTA Minipeinazo</t>
  </si>
  <si>
    <t>Marco puerta ta  ico</t>
  </si>
  <si>
    <t>marco puerta cte 7 c18</t>
  </si>
  <si>
    <t>Marco puerta cte 8 c18</t>
  </si>
  <si>
    <t>dibujo</t>
  </si>
  <si>
    <t>tablero c20</t>
  </si>
  <si>
    <t xml:space="preserve">pintura y otros gastos </t>
  </si>
  <si>
    <t>TOTAL tablero c18</t>
  </si>
  <si>
    <t>90-85*2</t>
  </si>
  <si>
    <t>MINIPEINAZO TABLERO COMPLETO</t>
  </si>
  <si>
    <t xml:space="preserve">dibujo </t>
  </si>
  <si>
    <t>PUERTA CON DIBUJO</t>
  </si>
  <si>
    <t xml:space="preserve">PUERTA tubo 1 1/2 TROQELADA </t>
  </si>
  <si>
    <t>tubo 1 1/2 c20</t>
  </si>
  <si>
    <t>tubo 1 1/2 c18</t>
  </si>
  <si>
    <t>diferencia</t>
  </si>
  <si>
    <t>PUERTA ENTABLERADA EN TUBO 8*4</t>
  </si>
  <si>
    <t>tubo 8*4 c20</t>
  </si>
  <si>
    <t>tablero C20</t>
  </si>
  <si>
    <t>CON TABLERO C18</t>
  </si>
  <si>
    <t>CON TUBO C18</t>
  </si>
  <si>
    <t xml:space="preserve">PUERTA PANEL </t>
  </si>
  <si>
    <t>marco puerta 8 c18</t>
  </si>
  <si>
    <t xml:space="preserve">tableros </t>
  </si>
  <si>
    <t xml:space="preserve">pintura electro y otros gastos </t>
  </si>
  <si>
    <t>GUACHARACA</t>
  </si>
  <si>
    <t xml:space="preserve">chapa, bisa, bocallave, pasador </t>
  </si>
  <si>
    <t>PUERTA PRICIPAL</t>
  </si>
  <si>
    <t>Peinazo c18</t>
  </si>
  <si>
    <t>tablero</t>
  </si>
  <si>
    <t>entablerada</t>
  </si>
  <si>
    <t xml:space="preserve">PORTÓN GARAGE </t>
  </si>
  <si>
    <t>tableros (3)</t>
  </si>
  <si>
    <t>pasamanos</t>
  </si>
  <si>
    <t>peinazo c18</t>
  </si>
  <si>
    <t>platina 1"</t>
  </si>
  <si>
    <t>dibujos ovalo (3)</t>
  </si>
  <si>
    <t>2,30*2,50</t>
  </si>
  <si>
    <t>tubo 1 1/2 redondo  c16</t>
  </si>
  <si>
    <t>cabezal tubo 8*4</t>
  </si>
  <si>
    <t>chapa, bisa, bocallave, pasadores</t>
  </si>
  <si>
    <t xml:space="preserve">VENTANAS </t>
  </si>
  <si>
    <t>tablero alto o completo 86-100</t>
  </si>
  <si>
    <t>tablero alto o completo 72-85</t>
  </si>
  <si>
    <t>tablero alto o completo BÑO</t>
  </si>
  <si>
    <t>GANAN 1</t>
  </si>
  <si>
    <t>GANAN 2</t>
  </si>
  <si>
    <t>troquelada con dibujo 86-100</t>
  </si>
  <si>
    <t>troquelada con dibujo 72-85</t>
  </si>
  <si>
    <t>tablero alto o completo hasta 100</t>
  </si>
  <si>
    <t>dibujo ovalo</t>
  </si>
  <si>
    <t xml:space="preserve">PORTÓN GARAJE 3 HOJAS </t>
  </si>
  <si>
    <t>2.30*2,50</t>
  </si>
  <si>
    <t>COMBATE CORRIENTE C20</t>
  </si>
  <si>
    <t>con chapa 86-100</t>
  </si>
  <si>
    <t>con chapa 72-85</t>
  </si>
  <si>
    <t>baño  70</t>
  </si>
  <si>
    <t>baño  50-60</t>
  </si>
  <si>
    <t>PRECIO MIN</t>
  </si>
  <si>
    <t>COMBATE TROQUELADA C20</t>
  </si>
  <si>
    <t>Con chapa 86-100</t>
  </si>
  <si>
    <t>Con chapa 72-85</t>
  </si>
  <si>
    <t>Baño  70</t>
  </si>
  <si>
    <t>Baño  50-60</t>
  </si>
  <si>
    <t>COMBATE TROQUELADA CON DIBUJO  C20</t>
  </si>
  <si>
    <t xml:space="preserve">PUERTA MINIPEINAZO C18 </t>
  </si>
  <si>
    <t xml:space="preserve">PUERTA MINIPEINAZO ENTABLERADA  C20 </t>
  </si>
  <si>
    <t>PUERTA MINIPEINAZO ENTABLERADA  C18</t>
  </si>
  <si>
    <t>MPTA 100</t>
  </si>
  <si>
    <t>MPCTE  7 100</t>
  </si>
  <si>
    <t>MPCTE  8 100</t>
  </si>
  <si>
    <t>MPTA 80</t>
  </si>
  <si>
    <t>MPCTE  7 80</t>
  </si>
  <si>
    <t>MPCTE  8 80</t>
  </si>
  <si>
    <t>MPTA 85-90</t>
  </si>
  <si>
    <t>MPCTE  7 85-90</t>
  </si>
  <si>
    <t>MPCTE  8 85-90</t>
  </si>
  <si>
    <t xml:space="preserve">TUBO 8*4 C20 TABLERO CORRIENTE </t>
  </si>
  <si>
    <t xml:space="preserve">TUBO 8*4 C18 TABLERO CORRIENTE </t>
  </si>
  <si>
    <t xml:space="preserve">TUBO 8*4 C20 TABLERO TROQUEALADO </t>
  </si>
  <si>
    <t xml:space="preserve">TUBO 8*4 C18 TABLERO TROQUEALADO </t>
  </si>
  <si>
    <t>PUERTA PANEL 2 CHAPAS ELECTROSTÁTICA</t>
  </si>
  <si>
    <t xml:space="preserve">GUACHARACA C18 1 CHAPA </t>
  </si>
  <si>
    <t xml:space="preserve">PUERTA PRINCIPAL </t>
  </si>
  <si>
    <t>VENTANA CORRIENTE</t>
  </si>
  <si>
    <t xml:space="preserve">MVTA ICO C19 </t>
  </si>
  <si>
    <t>CORRIENTE COMBATE 1*1</t>
  </si>
  <si>
    <t>bisagras y manija</t>
  </si>
  <si>
    <t>1*1</t>
  </si>
  <si>
    <t>MVCTE C18</t>
  </si>
  <si>
    <t>Tee peinazo o cte</t>
  </si>
  <si>
    <t xml:space="preserve">1,2*2 </t>
  </si>
  <si>
    <t>1*1,2</t>
  </si>
  <si>
    <t>1*1,5</t>
  </si>
  <si>
    <t>TIPO A TUPIDA COMBATE 1*1</t>
  </si>
  <si>
    <t>Tee peinazo o tee alta</t>
  </si>
  <si>
    <t>Ángulo 3/4 o 1</t>
  </si>
  <si>
    <t xml:space="preserve">1*1 ta </t>
  </si>
  <si>
    <t xml:space="preserve">1*1 cte </t>
  </si>
  <si>
    <t>1*1 ta bas z</t>
  </si>
  <si>
    <t xml:space="preserve">1*1,20 ta </t>
  </si>
  <si>
    <t>1*1,2 ta bas z</t>
  </si>
  <si>
    <t xml:space="preserve">1*1,2 cte </t>
  </si>
  <si>
    <t xml:space="preserve">1*1,5 ta </t>
  </si>
  <si>
    <t>1*1,5 ta bas z</t>
  </si>
  <si>
    <t xml:space="preserve">1*1,5 cte </t>
  </si>
  <si>
    <t xml:space="preserve">1*2 ta </t>
  </si>
  <si>
    <t>1*2 ta bas z</t>
  </si>
  <si>
    <t xml:space="preserve">1*2 cte </t>
  </si>
  <si>
    <t xml:space="preserve">1,2*2 ta </t>
  </si>
  <si>
    <t>1,2*2 ta bas z</t>
  </si>
  <si>
    <t xml:space="preserve">1,2*2 cte </t>
  </si>
  <si>
    <t xml:space="preserve">VENTANA TUPIDA </t>
  </si>
  <si>
    <t>Ángulo 3/4 O 1</t>
  </si>
  <si>
    <t xml:space="preserve">1*1 </t>
  </si>
  <si>
    <t>1*1 te alta ang 1</t>
  </si>
  <si>
    <t>1*1,2 te alta ang 1</t>
  </si>
  <si>
    <t xml:space="preserve">1*1,5 te alta ang 1 </t>
  </si>
  <si>
    <t xml:space="preserve">1*2 te alta ang 1 </t>
  </si>
  <si>
    <t>1,2*2 te alta ang 1</t>
  </si>
  <si>
    <t xml:space="preserve">TIPO A  </t>
  </si>
  <si>
    <t>1 basc y división</t>
  </si>
  <si>
    <t xml:space="preserve">2 bas </t>
  </si>
  <si>
    <t xml:space="preserve">VENTANA TA </t>
  </si>
  <si>
    <t>1,2*2 con tee alta</t>
  </si>
  <si>
    <t>REJAS</t>
  </si>
  <si>
    <t>TIPO BANCO</t>
  </si>
  <si>
    <t xml:space="preserve">REJA TIPO BANCO </t>
  </si>
  <si>
    <t>tubo 3/4 c18</t>
  </si>
  <si>
    <t>tubo 1" c20</t>
  </si>
  <si>
    <t>tubo 1" c18</t>
  </si>
  <si>
    <t>tubo 3/4 c20 (12)</t>
  </si>
  <si>
    <t>Varilla (10)</t>
  </si>
  <si>
    <t xml:space="preserve">pintura y og </t>
  </si>
  <si>
    <t>2*1 con marco</t>
  </si>
  <si>
    <t>ángulo 3/4 o 1</t>
  </si>
  <si>
    <t>bisagras y pasador</t>
  </si>
  <si>
    <t>con marco</t>
  </si>
  <si>
    <t>REJA TIPO HERRADURA</t>
  </si>
  <si>
    <t xml:space="preserve">Varilla lisa 10 mm </t>
  </si>
  <si>
    <t>varilla entrochada</t>
  </si>
  <si>
    <t>herradura</t>
  </si>
  <si>
    <t xml:space="preserve">pintura y otros </t>
  </si>
  <si>
    <t>1*1 sencilla</t>
  </si>
  <si>
    <t>1,5 sencilla</t>
  </si>
  <si>
    <t>REJA TUBO TORNEADO</t>
  </si>
  <si>
    <t>Tubo torn 3/4</t>
  </si>
  <si>
    <t>tubo torn 1"</t>
  </si>
  <si>
    <t>tubo 3/4 o 1</t>
  </si>
  <si>
    <t>REJA VARILLA ENTORCHADA</t>
  </si>
  <si>
    <t>Varilla lisa 10 mm</t>
  </si>
  <si>
    <t xml:space="preserve">varilla entorchada10 mm </t>
  </si>
  <si>
    <t xml:space="preserve">1 dibujo </t>
  </si>
  <si>
    <t>BARANDAS</t>
  </si>
  <si>
    <t xml:space="preserve">1*1 Varilla </t>
  </si>
  <si>
    <t xml:space="preserve">1*1 tubo 3/4 c20 </t>
  </si>
  <si>
    <t>1*1 tubo 3/4 c18</t>
  </si>
  <si>
    <t>1*1 tubo 1" c20</t>
  </si>
  <si>
    <t>1*1 tubo 1" c18</t>
  </si>
  <si>
    <t>CON VENTANITA O MARCO $10.000 ADICIONAL</t>
  </si>
  <si>
    <t xml:space="preserve">2*1 Varilla con marco </t>
  </si>
  <si>
    <t xml:space="preserve">2*1 tubo 3/4 c18 con marco </t>
  </si>
  <si>
    <t xml:space="preserve">2*1 tubo 1" c20 con marco </t>
  </si>
  <si>
    <t xml:space="preserve">2*1 tubo 1" c18 con marco </t>
  </si>
  <si>
    <t>2*1 tubo 3/4 c20 con marco</t>
  </si>
  <si>
    <t>TIPO HERRADURA</t>
  </si>
  <si>
    <t>TUBO TORNEADO VERTICAL</t>
  </si>
  <si>
    <t>1*1 Tubo torn 3/4</t>
  </si>
  <si>
    <t>1*1 tubo torn 1"</t>
  </si>
  <si>
    <t>1*1,5 Tubo torn 3/4</t>
  </si>
  <si>
    <t>1*1,5 tubo torn 1"</t>
  </si>
  <si>
    <t>50*50</t>
  </si>
  <si>
    <t>corredera</t>
  </si>
  <si>
    <t>angulo 1 1/4 aa</t>
  </si>
  <si>
    <t>rg</t>
  </si>
  <si>
    <t xml:space="preserve">pasamanos 2,40 </t>
  </si>
  <si>
    <t>angulo  3/4 Arequipa</t>
  </si>
  <si>
    <t xml:space="preserve">LISTA DE PRECIOS </t>
  </si>
  <si>
    <t>angulo  3/4 arequipa</t>
  </si>
  <si>
    <t>angulo 1" Arequipa</t>
  </si>
  <si>
    <t>MONTANTE</t>
  </si>
  <si>
    <t xml:space="preserve">15 cm sin reja </t>
  </si>
  <si>
    <t>mvta</t>
  </si>
  <si>
    <t>mpta</t>
  </si>
  <si>
    <t>mpcte 7</t>
  </si>
  <si>
    <t xml:space="preserve">mpcte 8 </t>
  </si>
  <si>
    <t xml:space="preserve">20 cm sin reja </t>
  </si>
  <si>
    <t>20 cm con reja</t>
  </si>
  <si>
    <t>30 cm sin reja</t>
  </si>
  <si>
    <t xml:space="preserve">30 cm con reja </t>
  </si>
  <si>
    <t>40 cm con reja</t>
  </si>
  <si>
    <t>cte tubo 1 1/2 c20</t>
  </si>
  <si>
    <t>Marco puerta ta  ico c18</t>
  </si>
  <si>
    <t>tubo redondo 1 1/4</t>
  </si>
  <si>
    <t>tubo 20*40</t>
  </si>
  <si>
    <t>tubo 1</t>
  </si>
  <si>
    <t xml:space="preserve">tubo torneado 1 </t>
  </si>
  <si>
    <t xml:space="preserve">varilla entorchada </t>
  </si>
  <si>
    <t>tubo 3/4 c20</t>
  </si>
  <si>
    <t>mano de obra</t>
  </si>
  <si>
    <t>pintura y otros gastos</t>
  </si>
  <si>
    <t>2 mt</t>
  </si>
  <si>
    <t xml:space="preserve">BARANDAS </t>
  </si>
  <si>
    <t>Tubo cuadrado 3/4 c20</t>
  </si>
  <si>
    <t>Tubo cuadrado 1 c20</t>
  </si>
  <si>
    <t xml:space="preserve">tubo torneado 3/4 c20 </t>
  </si>
  <si>
    <t>tubo torneado 1 c21</t>
  </si>
  <si>
    <t xml:space="preserve">con herradura </t>
  </si>
  <si>
    <t xml:space="preserve">dibujo adicional </t>
  </si>
  <si>
    <t>50 cm con reja</t>
  </si>
  <si>
    <t>100*2</t>
  </si>
  <si>
    <t xml:space="preserve">solo hoja cte </t>
  </si>
  <si>
    <t xml:space="preserve"> TUBO 1 1/2 C20 TROQ CON DIBUJO</t>
  </si>
  <si>
    <t>TUBO 1 1/2 C18 TROQ CON DIBUJO</t>
  </si>
  <si>
    <t>baño corriente 70</t>
  </si>
  <si>
    <t>baño corriente 50-60</t>
  </si>
  <si>
    <t xml:space="preserve">aumentar </t>
  </si>
  <si>
    <t>troquelado 70</t>
  </si>
  <si>
    <t>troquelado  50-60</t>
  </si>
  <si>
    <t>tablero alto o completo corriente</t>
  </si>
  <si>
    <t>tablero alto o completo troquelado</t>
  </si>
  <si>
    <t>BAÑO C20</t>
  </si>
  <si>
    <t xml:space="preserve">Corredera </t>
  </si>
  <si>
    <t xml:space="preserve">ALCOBA C20 </t>
  </si>
  <si>
    <t>Troquelada  86-100</t>
  </si>
  <si>
    <t>Troquelada 72-85</t>
  </si>
  <si>
    <t>Corriente 86-100</t>
  </si>
  <si>
    <t>Corriente 72-85</t>
  </si>
  <si>
    <t>Troquelada con dibujo 86-100</t>
  </si>
  <si>
    <t>Troquelada con dibujo 72-85</t>
  </si>
  <si>
    <t xml:space="preserve">al precio final </t>
  </si>
  <si>
    <t xml:space="preserve">Corredera con pasador </t>
  </si>
  <si>
    <t xml:space="preserve">corredera con chapa </t>
  </si>
  <si>
    <t>Restar</t>
  </si>
  <si>
    <t>Entablerada troquelada c20</t>
  </si>
  <si>
    <t xml:space="preserve">MINIPEINAZO C18 </t>
  </si>
  <si>
    <t>MPCTE  100</t>
  </si>
  <si>
    <t xml:space="preserve">disminuye </t>
  </si>
  <si>
    <t>entablerada en c20</t>
  </si>
  <si>
    <t xml:space="preserve">sobre el precio final </t>
  </si>
  <si>
    <t xml:space="preserve">aumenta </t>
  </si>
  <si>
    <t>Entablerada troq MPTA 100</t>
  </si>
  <si>
    <t>Entablerada troq MPCTE  8 100</t>
  </si>
  <si>
    <t>Entablerada troq MPTA 80</t>
  </si>
  <si>
    <t>Entablerada troq MPCTE  8 80</t>
  </si>
  <si>
    <t xml:space="preserve">tablero c20 </t>
  </si>
  <si>
    <t>disminuye</t>
  </si>
  <si>
    <t>TUBO 8*4 C18 ENTABLERADA</t>
  </si>
  <si>
    <t>Troquelada MPCTE  8 100</t>
  </si>
  <si>
    <t>Troquelada MPTA 100</t>
  </si>
  <si>
    <t xml:space="preserve">tablero corriente </t>
  </si>
  <si>
    <t xml:space="preserve">HOJA TUBO 1 1/2 C20 </t>
  </si>
  <si>
    <t>Corriente con chapa 100</t>
  </si>
  <si>
    <t>Corriente con chapa 80</t>
  </si>
  <si>
    <t>Troquelada+dibujo+chapa 100</t>
  </si>
  <si>
    <t>Troquelada+dibujo+chapa 80</t>
  </si>
  <si>
    <t>corredera con chapa</t>
  </si>
  <si>
    <t>aumenta</t>
  </si>
  <si>
    <t>3*3</t>
  </si>
  <si>
    <t>2*2</t>
  </si>
  <si>
    <t xml:space="preserve">50*50 ta </t>
  </si>
  <si>
    <t>50*50 cte</t>
  </si>
  <si>
    <t xml:space="preserve">sin basculante </t>
  </si>
  <si>
    <t>Reja puerta con pasador</t>
  </si>
  <si>
    <t>Reja sola</t>
  </si>
  <si>
    <t>por cada uno</t>
  </si>
  <si>
    <t>Tubo cuadrado 3/4 y 1 c20</t>
  </si>
  <si>
    <t xml:space="preserve">montante peq sin reja </t>
  </si>
  <si>
    <t>montante 40-50 con reja</t>
  </si>
  <si>
    <t>adicionar</t>
  </si>
  <si>
    <t xml:space="preserve">Puerta combate </t>
  </si>
  <si>
    <t xml:space="preserve">puerta baño </t>
  </si>
  <si>
    <t xml:space="preserve">puerta en tubo 1 /2 </t>
  </si>
  <si>
    <t xml:space="preserve">puerta en minipeinazo </t>
  </si>
  <si>
    <t xml:space="preserve">puerta en peinazo </t>
  </si>
  <si>
    <t xml:space="preserve">puerta con dibujo </t>
  </si>
  <si>
    <t xml:space="preserve">puerta 2 hojas minipeinazo </t>
  </si>
  <si>
    <t>puerta entablerada tubo 8*4</t>
  </si>
  <si>
    <t xml:space="preserve">puerta panel </t>
  </si>
  <si>
    <t xml:space="preserve">puerta guacharaca </t>
  </si>
  <si>
    <t xml:space="preserve">marco puerta </t>
  </si>
  <si>
    <t xml:space="preserve">montante sencillo </t>
  </si>
  <si>
    <t xml:space="preserve">montante con reja </t>
  </si>
  <si>
    <t xml:space="preserve">portachapa </t>
  </si>
  <si>
    <t xml:space="preserve">ventana pequeña </t>
  </si>
  <si>
    <t xml:space="preserve">ventana corriente </t>
  </si>
  <si>
    <t xml:space="preserve">ventana ta </t>
  </si>
  <si>
    <t xml:space="preserve">ventana ta tupida </t>
  </si>
  <si>
    <t xml:space="preserve">ventana ta tupida con dibujo </t>
  </si>
  <si>
    <t xml:space="preserve">ventan ta tupida con ovalo </t>
  </si>
  <si>
    <t xml:space="preserve">ventana con persiana </t>
  </si>
  <si>
    <t xml:space="preserve">ventana corredera </t>
  </si>
  <si>
    <t xml:space="preserve">PRECIOS PAGOS </t>
  </si>
  <si>
    <t xml:space="preserve">hoja en tubo 1 1/2 </t>
  </si>
  <si>
    <t xml:space="preserve">reja en herradura </t>
  </si>
  <si>
    <t xml:space="preserve">reja tipo banco y entorchad </t>
  </si>
  <si>
    <t xml:space="preserve">baranda </t>
  </si>
  <si>
    <t>sifon flexible crom lavaplatos</t>
  </si>
  <si>
    <t xml:space="preserve">sifon flexible lavamanos </t>
  </si>
  <si>
    <t xml:space="preserve">acople sanitario </t>
  </si>
  <si>
    <t>chapa de gancho Coronel</t>
  </si>
  <si>
    <t>grapa lavamanos</t>
  </si>
  <si>
    <t>herraje para tapa asiento</t>
  </si>
  <si>
    <t>tableros c18</t>
  </si>
  <si>
    <t>PANEL</t>
  </si>
  <si>
    <t>BAÑO TABLERO A 122</t>
  </si>
  <si>
    <t>troquelado 70 (122)</t>
  </si>
  <si>
    <t>troquelado 50-60 (122)</t>
  </si>
  <si>
    <t>Entablerada corriente c20 86-100</t>
  </si>
  <si>
    <t>Entablerada corriente c20 72-85</t>
  </si>
  <si>
    <t>HOJA TUBO 1 1/2  y tabl C18</t>
  </si>
  <si>
    <t>VARILLA ENTORC VETICAL</t>
  </si>
  <si>
    <t>Portón garage</t>
  </si>
  <si>
    <t>puerta con dibujo ovalo</t>
  </si>
  <si>
    <t>ovalo 5000</t>
  </si>
  <si>
    <t>dibujo 2000</t>
  </si>
  <si>
    <t xml:space="preserve">con otro basculante </t>
  </si>
  <si>
    <t xml:space="preserve">1*1 ta 2 basculantes </t>
  </si>
  <si>
    <t xml:space="preserve">TIPO A TUPIDA </t>
  </si>
  <si>
    <t>85*2</t>
  </si>
  <si>
    <t>PUERTA</t>
  </si>
  <si>
    <t>PUERTA TIPO A TUPIDA TUBO 1</t>
  </si>
  <si>
    <t>TIPO A TUPIDA 70</t>
  </si>
  <si>
    <t>TIPO A TUPIDA 50</t>
  </si>
  <si>
    <t xml:space="preserve"> TIPO A TUPIDA 86-100</t>
  </si>
  <si>
    <t xml:space="preserve">TIPO A TUPIDA 100 MPTA </t>
  </si>
  <si>
    <t xml:space="preserve">TIPO A TUPIDA 100 MPCTE </t>
  </si>
  <si>
    <t xml:space="preserve">TIPO A TUPIDA 80 MPTA </t>
  </si>
  <si>
    <t xml:space="preserve">TIPO A TUPIDA 80 MPCTE </t>
  </si>
  <si>
    <t xml:space="preserve">Solo hoja cte </t>
  </si>
  <si>
    <t xml:space="preserve">descontar </t>
  </si>
  <si>
    <t>1*1 cte 2 basculantes o z</t>
  </si>
  <si>
    <t>1*1 cte o en z</t>
  </si>
  <si>
    <t>1*1 2 basc z</t>
  </si>
  <si>
    <t xml:space="preserve">1*1 ta bas z o t alta </t>
  </si>
  <si>
    <t>1,5*2,5</t>
  </si>
  <si>
    <t xml:space="preserve">tubo cuadrado 2*2 </t>
  </si>
  <si>
    <t>ahj</t>
  </si>
  <si>
    <t>39 ahj</t>
  </si>
  <si>
    <t>TRUPER</t>
  </si>
  <si>
    <t xml:space="preserve">Pulidora </t>
  </si>
  <si>
    <t>cerrojo llave-llave</t>
  </si>
  <si>
    <t>cerrojo llave-mariposa</t>
  </si>
  <si>
    <t>gafa seguridad</t>
  </si>
  <si>
    <t>pomo entrada</t>
  </si>
  <si>
    <t>pomo baño</t>
  </si>
  <si>
    <t>cepillera</t>
  </si>
  <si>
    <t>griferia sanitaria rio</t>
  </si>
  <si>
    <t>griferia sanitaria de boton rio</t>
  </si>
  <si>
    <t>broca acero 5/32</t>
  </si>
  <si>
    <t>broca acero 3/16</t>
  </si>
  <si>
    <t>chazo expansivo 3/8 * 1 7/8</t>
  </si>
  <si>
    <t>JULIO</t>
  </si>
  <si>
    <t>AGOSTO</t>
  </si>
  <si>
    <t>FIRMA</t>
  </si>
  <si>
    <t>PERSONA</t>
  </si>
  <si>
    <t>Jhon Carrillo</t>
  </si>
  <si>
    <t xml:space="preserve">Victor Menco </t>
  </si>
  <si>
    <t>SEPTIEMBRE</t>
  </si>
  <si>
    <t>OCTUBRE</t>
  </si>
  <si>
    <t>NOVIEMBRE</t>
  </si>
  <si>
    <t>DICIEMBRE</t>
  </si>
  <si>
    <t>Emilson Lara</t>
  </si>
  <si>
    <t>FECHA</t>
  </si>
  <si>
    <t>PROGRAMACIÓN LIMPIEZA DE BAÑO 2020</t>
  </si>
  <si>
    <t>Sábado 04</t>
  </si>
  <si>
    <t>Sábado 11</t>
  </si>
  <si>
    <t>Sábado 18</t>
  </si>
  <si>
    <t>Sábado 25</t>
  </si>
  <si>
    <t>Sábado 01</t>
  </si>
  <si>
    <t>Sábado 08</t>
  </si>
  <si>
    <t>Sábado 15</t>
  </si>
  <si>
    <t>Sábado 22</t>
  </si>
  <si>
    <t>Sábado 29</t>
  </si>
  <si>
    <t>Sábado 05</t>
  </si>
  <si>
    <t>Sábado 12</t>
  </si>
  <si>
    <t>Sábado 19</t>
  </si>
  <si>
    <t>Sábado 26</t>
  </si>
  <si>
    <t>Sábado 03</t>
  </si>
  <si>
    <t>Sábado 10</t>
  </si>
  <si>
    <t>Sábado 17</t>
  </si>
  <si>
    <t>Sábado 24</t>
  </si>
  <si>
    <t>Sábado 31</t>
  </si>
  <si>
    <t>Sábado 07</t>
  </si>
  <si>
    <t>Sábado 14</t>
  </si>
  <si>
    <t>Sábado 21</t>
  </si>
  <si>
    <t>Sábado 28</t>
  </si>
  <si>
    <t>OBSERVACIONES</t>
  </si>
  <si>
    <t>ovalo</t>
  </si>
  <si>
    <t>plateada</t>
  </si>
  <si>
    <t>bocallave bonita plateada</t>
  </si>
  <si>
    <t xml:space="preserve">chapa de gancho </t>
  </si>
  <si>
    <t>Bisagra 5/8 con aleta (par) #2</t>
  </si>
  <si>
    <t>bisagra 3/4 corta (par)</t>
  </si>
  <si>
    <t>hojas café peq CR</t>
  </si>
  <si>
    <t>hojas café peq dor</t>
  </si>
  <si>
    <t xml:space="preserve">masilla poliester </t>
  </si>
  <si>
    <t>piña grande colleroled #3</t>
  </si>
  <si>
    <t>flexometro truper 5 mt</t>
  </si>
  <si>
    <t>flexometro pretul 3 mt</t>
  </si>
  <si>
    <t>flexometro pretul 5 mt</t>
  </si>
  <si>
    <t xml:space="preserve">disco flap azul </t>
  </si>
  <si>
    <t>pistola pintar con</t>
  </si>
  <si>
    <t>pistola pintar sin</t>
  </si>
  <si>
    <t>portaelectrodo jackson</t>
  </si>
  <si>
    <t>flexometro pretul 8 mt</t>
  </si>
  <si>
    <t>disco corte 7 dw</t>
  </si>
  <si>
    <t xml:space="preserve">segueta sanflex </t>
  </si>
  <si>
    <t xml:space="preserve">Manija tubular </t>
  </si>
  <si>
    <t>punta stanly</t>
  </si>
  <si>
    <t xml:space="preserve">TORNILLOS Y BROCAS </t>
  </si>
  <si>
    <t>DISCOS</t>
  </si>
  <si>
    <t>FERRETERIA</t>
  </si>
  <si>
    <t>SANITARIO</t>
  </si>
  <si>
    <t>guante ing sencillo</t>
  </si>
  <si>
    <t xml:space="preserve">lavamanos plástico </t>
  </si>
  <si>
    <t xml:space="preserve">lavaplatos 50*35 fermetales </t>
  </si>
  <si>
    <t xml:space="preserve">lavaplatos 50*100 mez nort </t>
  </si>
  <si>
    <t xml:space="preserve">lavaplatos 62*48 fermetales </t>
  </si>
  <si>
    <t>asiento sanitario rio plast</t>
  </si>
  <si>
    <t xml:space="preserve">mezclador flexible unifer </t>
  </si>
  <si>
    <t xml:space="preserve">MATERIAL </t>
  </si>
  <si>
    <t xml:space="preserve">CALIBRE </t>
  </si>
  <si>
    <t>CANTIDAD</t>
  </si>
  <si>
    <t xml:space="preserve">marco ventana corriente </t>
  </si>
  <si>
    <t xml:space="preserve">tee ventana corriente </t>
  </si>
  <si>
    <t>marco puerta corriente 7 cm</t>
  </si>
  <si>
    <t>marco puerta corriente 8 cm</t>
  </si>
  <si>
    <t xml:space="preserve">marco ventana tipo alum ico </t>
  </si>
  <si>
    <t xml:space="preserve">tee peinazo tipo alum </t>
  </si>
  <si>
    <t xml:space="preserve">tee ventana tipo aluminio </t>
  </si>
  <si>
    <t xml:space="preserve">basculante z </t>
  </si>
  <si>
    <t>pasamanos tipo alum</t>
  </si>
  <si>
    <t>marco puerta tipo alum ico</t>
  </si>
  <si>
    <t>tubo cuadrado 3/4</t>
  </si>
  <si>
    <t>tubo cuadrado 1"</t>
  </si>
  <si>
    <t>tubo cuadrado 1 1/2</t>
  </si>
  <si>
    <t>tubo aguas negras 1 1/4</t>
  </si>
  <si>
    <t>C 19</t>
  </si>
  <si>
    <t>C 21</t>
  </si>
  <si>
    <t>C 18</t>
  </si>
  <si>
    <t xml:space="preserve">C 21 </t>
  </si>
  <si>
    <t>C 20</t>
  </si>
  <si>
    <t>C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</si>
</sst>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&quot;$&quot;* #,##0_-;\-&quot;$&quot;* #,##0_-;_-&quot;$&quot;* &quot;-&quot;_-;_-@_-"/>
    <numFmt numFmtId="165" formatCode="&quot;$&quot;\ #,##0.00"/>
    <numFmt numFmtId="166" formatCode="_-[$$-240A]\ * #,##0_-;\-[$$-240A]\ * #,##0_-;_-[$$-240A]\ * &quot;-&quot;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 JULIAN"/>
    </font>
    <font>
      <b/>
      <sz val="16"/>
      <color theme="1"/>
      <name val="AR JULIAN"/>
    </font>
    <font>
      <b/>
      <sz val="14"/>
      <color theme="1"/>
      <name val="AR JULIAN"/>
    </font>
    <font>
      <b/>
      <sz val="11"/>
      <color theme="1"/>
      <name val="AR ESSENCE"/>
    </font>
    <font>
      <b/>
      <sz val="16"/>
      <color theme="1"/>
      <name val="AR ESSENCE"/>
    </font>
    <font>
      <b/>
      <sz val="14"/>
      <color theme="1"/>
      <name val="AR ESSENCE"/>
    </font>
    <font>
      <b/>
      <sz val="12"/>
      <color theme="1"/>
      <name val="Calibri"/>
      <family val="2"/>
      <scheme val="minor"/>
    </font>
    <font>
      <b/>
      <sz val="22"/>
      <color rgb="FF7030A0"/>
      <name val="Comic Sans MS"/>
      <family val="4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  <font>
      <b/>
      <sz val="14"/>
      <color theme="1"/>
      <name val="Comic Sans MS"/>
      <family val="4"/>
    </font>
    <font>
      <b/>
      <sz val="24"/>
      <color rgb="FF170585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E12A7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164" fontId="0" fillId="0" borderId="1" xfId="1" applyFont="1" applyFill="1" applyBorder="1"/>
    <xf numFmtId="164" fontId="0" fillId="0" borderId="0" xfId="1" applyFont="1" applyFill="1" applyBorder="1"/>
    <xf numFmtId="0" fontId="1" fillId="0" borderId="0" xfId="0" applyFont="1" applyFill="1" applyBorder="1"/>
    <xf numFmtId="164" fontId="0" fillId="0" borderId="0" xfId="1" applyFont="1"/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1" xfId="0" applyNumberFormat="1" applyBorder="1"/>
    <xf numFmtId="1" fontId="0" fillId="0" borderId="1" xfId="0" applyNumberFormat="1" applyFill="1" applyBorder="1"/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0" fontId="1" fillId="0" borderId="0" xfId="0" applyFont="1" applyBorder="1"/>
    <xf numFmtId="0" fontId="0" fillId="3" borderId="1" xfId="0" applyFill="1" applyBorder="1"/>
    <xf numFmtId="164" fontId="0" fillId="3" borderId="1" xfId="1" applyFont="1" applyFill="1" applyBorder="1"/>
    <xf numFmtId="164" fontId="0" fillId="3" borderId="2" xfId="1" applyFont="1" applyFill="1" applyBorder="1"/>
    <xf numFmtId="164" fontId="0" fillId="0" borderId="3" xfId="1" applyFont="1" applyFill="1" applyBorder="1"/>
    <xf numFmtId="164" fontId="0" fillId="3" borderId="3" xfId="1" applyFont="1" applyFill="1" applyBorder="1"/>
    <xf numFmtId="0" fontId="3" fillId="2" borderId="0" xfId="0" applyFont="1" applyFill="1" applyBorder="1" applyAlignment="1">
      <alignment horizontal="center" vertical="center"/>
    </xf>
    <xf numFmtId="1" fontId="0" fillId="0" borderId="0" xfId="0" applyNumberFormat="1" applyFill="1" applyBorder="1"/>
    <xf numFmtId="0" fontId="0" fillId="11" borderId="0" xfId="0" applyFill="1" applyBorder="1"/>
    <xf numFmtId="0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3" borderId="0" xfId="1" applyFont="1" applyFill="1"/>
    <xf numFmtId="164" fontId="0" fillId="0" borderId="0" xfId="0" applyNumberFormat="1" applyFill="1" applyBorder="1"/>
    <xf numFmtId="0" fontId="0" fillId="5" borderId="0" xfId="0" applyFill="1"/>
    <xf numFmtId="0" fontId="0" fillId="6" borderId="0" xfId="0" applyFill="1"/>
    <xf numFmtId="164" fontId="0" fillId="4" borderId="0" xfId="1" applyFont="1" applyFill="1" applyBorder="1"/>
    <xf numFmtId="0" fontId="9" fillId="0" borderId="1" xfId="0" applyFont="1" applyFill="1" applyBorder="1" applyAlignment="1">
      <alignment horizontal="center" vertical="center" wrapText="1"/>
    </xf>
    <xf numFmtId="164" fontId="0" fillId="12" borderId="1" xfId="1" applyFont="1" applyFill="1" applyBorder="1"/>
    <xf numFmtId="0" fontId="0" fillId="3" borderId="2" xfId="0" applyFill="1" applyBorder="1"/>
    <xf numFmtId="0" fontId="0" fillId="3" borderId="0" xfId="0" applyFill="1" applyBorder="1"/>
    <xf numFmtId="9" fontId="0" fillId="0" borderId="0" xfId="0" applyNumberFormat="1"/>
    <xf numFmtId="0" fontId="8" fillId="0" borderId="0" xfId="0" applyFont="1" applyFill="1" applyBorder="1" applyAlignment="1">
      <alignment horizontal="center" vertical="center" wrapText="1"/>
    </xf>
    <xf numFmtId="164" fontId="0" fillId="13" borderId="0" xfId="1" applyFont="1" applyFill="1"/>
    <xf numFmtId="164" fontId="0" fillId="0" borderId="0" xfId="1" applyFont="1" applyFill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2" fillId="0" borderId="0" xfId="0" applyFont="1"/>
    <xf numFmtId="164" fontId="0" fillId="5" borderId="0" xfId="1" applyFont="1" applyFill="1"/>
    <xf numFmtId="164" fontId="0" fillId="5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7" xfId="1" applyFont="1" applyBorder="1"/>
    <xf numFmtId="164" fontId="0" fillId="0" borderId="0" xfId="1" applyFont="1" applyBorder="1"/>
    <xf numFmtId="164" fontId="0" fillId="0" borderId="8" xfId="1" applyFont="1" applyBorder="1"/>
    <xf numFmtId="164" fontId="0" fillId="13" borderId="7" xfId="1" applyFont="1" applyFill="1" applyBorder="1"/>
    <xf numFmtId="164" fontId="0" fillId="13" borderId="0" xfId="1" applyFont="1" applyFill="1" applyBorder="1"/>
    <xf numFmtId="164" fontId="0" fillId="13" borderId="8" xfId="1" applyFont="1" applyFill="1" applyBorder="1"/>
    <xf numFmtId="164" fontId="0" fillId="5" borderId="7" xfId="1" applyFont="1" applyFill="1" applyBorder="1"/>
    <xf numFmtId="164" fontId="0" fillId="5" borderId="0" xfId="1" applyFont="1" applyFill="1" applyBorder="1"/>
    <xf numFmtId="164" fontId="0" fillId="5" borderId="8" xfId="1" applyFont="1" applyFill="1" applyBorder="1"/>
    <xf numFmtId="164" fontId="0" fillId="0" borderId="9" xfId="1" applyFont="1" applyBorder="1"/>
    <xf numFmtId="164" fontId="0" fillId="0" borderId="10" xfId="1" applyFont="1" applyBorder="1"/>
    <xf numFmtId="164" fontId="0" fillId="0" borderId="11" xfId="1" applyFon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7" xfId="1" applyFont="1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8" xfId="1" applyFont="1" applyFill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14" borderId="0" xfId="0" applyFill="1"/>
    <xf numFmtId="164" fontId="0" fillId="5" borderId="4" xfId="1" applyFont="1" applyFill="1" applyBorder="1"/>
    <xf numFmtId="164" fontId="0" fillId="5" borderId="6" xfId="1" applyFont="1" applyFill="1" applyBorder="1"/>
    <xf numFmtId="164" fontId="0" fillId="5" borderId="9" xfId="1" applyFont="1" applyFill="1" applyBorder="1"/>
    <xf numFmtId="164" fontId="0" fillId="5" borderId="11" xfId="1" applyFont="1" applyFill="1" applyBorder="1"/>
    <xf numFmtId="164" fontId="0" fillId="5" borderId="12" xfId="1" applyFont="1" applyFill="1" applyBorder="1"/>
    <xf numFmtId="164" fontId="0" fillId="5" borderId="13" xfId="1" applyFon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 vertical="center"/>
    </xf>
    <xf numFmtId="9" fontId="1" fillId="15" borderId="0" xfId="0" applyNumberFormat="1" applyFont="1" applyFill="1" applyAlignment="1">
      <alignment horizontal="center" vertical="center"/>
    </xf>
    <xf numFmtId="9" fontId="1" fillId="15" borderId="0" xfId="0" applyNumberFormat="1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0" fillId="17" borderId="0" xfId="0" applyFill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9" fontId="12" fillId="0" borderId="0" xfId="0" applyNumberFormat="1" applyFont="1"/>
    <xf numFmtId="164" fontId="0" fillId="0" borderId="0" xfId="1" applyFont="1" applyAlignment="1">
      <alignment horizontal="center"/>
    </xf>
    <xf numFmtId="0" fontId="0" fillId="5" borderId="0" xfId="0" applyFill="1" applyBorder="1"/>
    <xf numFmtId="0" fontId="16" fillId="15" borderId="0" xfId="0" applyFont="1" applyFill="1" applyAlignment="1">
      <alignment horizontal="center" vertical="center"/>
    </xf>
    <xf numFmtId="164" fontId="11" fillId="0" borderId="0" xfId="1" applyFont="1" applyFill="1" applyBorder="1"/>
    <xf numFmtId="3" fontId="0" fillId="0" borderId="0" xfId="0" applyNumberFormat="1"/>
    <xf numFmtId="0" fontId="15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9" fontId="1" fillId="15" borderId="0" xfId="2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2" xfId="0" applyFill="1" applyBorder="1"/>
    <xf numFmtId="0" fontId="0" fillId="5" borderId="13" xfId="0" applyFill="1" applyBorder="1"/>
    <xf numFmtId="0" fontId="9" fillId="0" borderId="0" xfId="0" applyFont="1" applyFill="1"/>
    <xf numFmtId="0" fontId="19" fillId="0" borderId="0" xfId="0" applyFont="1"/>
    <xf numFmtId="0" fontId="0" fillId="0" borderId="0" xfId="0" applyAlignment="1">
      <alignment horizontal="center"/>
    </xf>
    <xf numFmtId="164" fontId="0" fillId="5" borderId="7" xfId="0" applyNumberFormat="1" applyFill="1" applyBorder="1"/>
    <xf numFmtId="164" fontId="0" fillId="5" borderId="0" xfId="0" applyNumberFormat="1" applyFill="1" applyBorder="1"/>
    <xf numFmtId="164" fontId="0" fillId="5" borderId="8" xfId="0" applyNumberForma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2" fillId="0" borderId="0" xfId="0" applyFont="1" applyAlignment="1">
      <alignment horizontal="center" vertical="center"/>
    </xf>
    <xf numFmtId="0" fontId="9" fillId="15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/>
    </xf>
    <xf numFmtId="164" fontId="0" fillId="18" borderId="0" xfId="1" applyFont="1" applyFill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164" fontId="0" fillId="0" borderId="15" xfId="1" applyFont="1" applyFill="1" applyBorder="1"/>
    <xf numFmtId="164" fontId="0" fillId="0" borderId="15" xfId="1" applyFont="1" applyBorder="1"/>
    <xf numFmtId="164" fontId="0" fillId="13" borderId="15" xfId="1" applyFont="1" applyFill="1" applyBorder="1"/>
    <xf numFmtId="164" fontId="0" fillId="5" borderId="15" xfId="1" applyFont="1" applyFill="1" applyBorder="1"/>
    <xf numFmtId="164" fontId="0" fillId="0" borderId="16" xfId="1" applyFont="1" applyBorder="1"/>
    <xf numFmtId="164" fontId="0" fillId="5" borderId="9" xfId="0" applyNumberFormat="1" applyFill="1" applyBorder="1"/>
    <xf numFmtId="164" fontId="0" fillId="5" borderId="11" xfId="0" applyNumberFormat="1" applyFill="1" applyBorder="1"/>
    <xf numFmtId="0" fontId="0" fillId="0" borderId="15" xfId="0" applyBorder="1"/>
    <xf numFmtId="0" fontId="12" fillId="0" borderId="0" xfId="0" applyFont="1" applyAlignment="1">
      <alignment horizontal="center"/>
    </xf>
    <xf numFmtId="0" fontId="0" fillId="19" borderId="0" xfId="0" applyFill="1"/>
    <xf numFmtId="164" fontId="0" fillId="5" borderId="10" xfId="0" applyNumberFormat="1" applyFill="1" applyBorder="1"/>
    <xf numFmtId="164" fontId="0" fillId="0" borderId="4" xfId="1" applyFont="1" applyBorder="1"/>
    <xf numFmtId="164" fontId="0" fillId="0" borderId="6" xfId="1" applyFont="1" applyBorder="1"/>
    <xf numFmtId="164" fontId="0" fillId="0" borderId="14" xfId="1" applyFont="1" applyBorder="1"/>
    <xf numFmtId="164" fontId="0" fillId="5" borderId="15" xfId="0" applyNumberFormat="1" applyFill="1" applyBorder="1"/>
    <xf numFmtId="0" fontId="9" fillId="0" borderId="2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0" fillId="3" borderId="1" xfId="0" applyNumberFormat="1" applyFill="1" applyBorder="1"/>
    <xf numFmtId="164" fontId="0" fillId="20" borderId="1" xfId="1" applyFont="1" applyFill="1" applyBorder="1"/>
    <xf numFmtId="164" fontId="0" fillId="20" borderId="1" xfId="0" applyNumberFormat="1" applyFill="1" applyBorder="1"/>
    <xf numFmtId="164" fontId="0" fillId="18" borderId="1" xfId="0" applyNumberFormat="1" applyFill="1" applyBorder="1"/>
    <xf numFmtId="0" fontId="22" fillId="0" borderId="0" xfId="0" applyFont="1"/>
    <xf numFmtId="0" fontId="23" fillId="0" borderId="0" xfId="0" applyFont="1"/>
    <xf numFmtId="0" fontId="22" fillId="0" borderId="1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2" fillId="21" borderId="1" xfId="0" applyFont="1" applyFill="1" applyBorder="1"/>
    <xf numFmtId="0" fontId="22" fillId="22" borderId="1" xfId="0" applyFont="1" applyFill="1" applyBorder="1"/>
    <xf numFmtId="0" fontId="22" fillId="15" borderId="1" xfId="0" applyFont="1" applyFill="1" applyBorder="1"/>
    <xf numFmtId="0" fontId="0" fillId="10" borderId="0" xfId="0" applyFill="1" applyBorder="1"/>
    <xf numFmtId="0" fontId="0" fillId="18" borderId="1" xfId="0" applyFill="1" applyBorder="1"/>
    <xf numFmtId="1" fontId="0" fillId="18" borderId="1" xfId="0" applyNumberFormat="1" applyFill="1" applyBorder="1"/>
    <xf numFmtId="0" fontId="26" fillId="0" borderId="1" xfId="0" applyFont="1" applyFill="1" applyBorder="1"/>
    <xf numFmtId="0" fontId="26" fillId="0" borderId="0" xfId="0" applyFont="1"/>
    <xf numFmtId="165" fontId="26" fillId="0" borderId="0" xfId="0" applyNumberFormat="1" applyFont="1" applyFill="1" applyBorder="1"/>
    <xf numFmtId="0" fontId="26" fillId="0" borderId="0" xfId="0" applyFont="1" applyFill="1" applyBorder="1"/>
    <xf numFmtId="0" fontId="26" fillId="0" borderId="2" xfId="0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0" applyFont="1" applyBorder="1"/>
    <xf numFmtId="0" fontId="27" fillId="0" borderId="0" xfId="0" applyFont="1" applyBorder="1"/>
    <xf numFmtId="166" fontId="26" fillId="0" borderId="1" xfId="3" applyNumberFormat="1" applyFont="1" applyFill="1" applyBorder="1"/>
    <xf numFmtId="166" fontId="26" fillId="0" borderId="0" xfId="3" applyNumberFormat="1" applyFont="1"/>
    <xf numFmtId="166" fontId="26" fillId="0" borderId="2" xfId="3" applyNumberFormat="1" applyFont="1" applyFill="1" applyBorder="1"/>
    <xf numFmtId="166" fontId="27" fillId="0" borderId="1" xfId="3" applyNumberFormat="1" applyFont="1" applyFill="1" applyBorder="1"/>
    <xf numFmtId="166" fontId="26" fillId="0" borderId="0" xfId="3" applyNumberFormat="1" applyFont="1" applyFill="1" applyBorder="1"/>
    <xf numFmtId="0" fontId="26" fillId="0" borderId="1" xfId="0" applyFont="1" applyBorder="1"/>
    <xf numFmtId="166" fontId="26" fillId="0" borderId="1" xfId="3" applyNumberFormat="1" applyFont="1" applyBorder="1"/>
    <xf numFmtId="1" fontId="26" fillId="0" borderId="1" xfId="3" applyNumberFormat="1" applyFont="1" applyFill="1" applyBorder="1"/>
    <xf numFmtId="1" fontId="26" fillId="0" borderId="0" xfId="3" applyNumberFormat="1" applyFont="1"/>
    <xf numFmtId="1" fontId="26" fillId="0" borderId="2" xfId="3" applyNumberFormat="1" applyFont="1" applyFill="1" applyBorder="1"/>
    <xf numFmtId="1" fontId="27" fillId="0" borderId="1" xfId="3" applyNumberFormat="1" applyFont="1" applyFill="1" applyBorder="1"/>
    <xf numFmtId="0" fontId="28" fillId="0" borderId="1" xfId="0" applyFont="1" applyFill="1" applyBorder="1"/>
    <xf numFmtId="0" fontId="29" fillId="0" borderId="1" xfId="0" applyFont="1" applyFill="1" applyBorder="1"/>
    <xf numFmtId="0" fontId="28" fillId="0" borderId="0" xfId="0" applyFont="1"/>
    <xf numFmtId="166" fontId="26" fillId="0" borderId="0" xfId="3" applyNumberFormat="1" applyFont="1" applyBorder="1"/>
    <xf numFmtId="1" fontId="26" fillId="0" borderId="0" xfId="3" applyNumberFormat="1" applyFont="1" applyFill="1" applyBorder="1"/>
    <xf numFmtId="0" fontId="26" fillId="18" borderId="1" xfId="0" applyFont="1" applyFill="1" applyBorder="1"/>
    <xf numFmtId="166" fontId="26" fillId="18" borderId="1" xfId="3" applyNumberFormat="1" applyFont="1" applyFill="1" applyBorder="1"/>
    <xf numFmtId="0" fontId="25" fillId="23" borderId="4" xfId="0" applyFont="1" applyFill="1" applyBorder="1" applyAlignment="1">
      <alignment horizontal="center" vertical="center"/>
    </xf>
    <xf numFmtId="0" fontId="25" fillId="23" borderId="5" xfId="0" applyFont="1" applyFill="1" applyBorder="1" applyAlignment="1">
      <alignment horizontal="center" vertical="center"/>
    </xf>
    <xf numFmtId="0" fontId="25" fillId="23" borderId="6" xfId="0" applyFont="1" applyFill="1" applyBorder="1" applyAlignment="1">
      <alignment horizontal="center" vertical="center"/>
    </xf>
    <xf numFmtId="0" fontId="25" fillId="23" borderId="7" xfId="0" applyFont="1" applyFill="1" applyBorder="1" applyAlignment="1">
      <alignment horizontal="center" vertical="center"/>
    </xf>
    <xf numFmtId="0" fontId="25" fillId="23" borderId="0" xfId="0" applyFont="1" applyFill="1" applyBorder="1" applyAlignment="1">
      <alignment horizontal="center" vertical="center"/>
    </xf>
    <xf numFmtId="0" fontId="25" fillId="23" borderId="8" xfId="0" applyFont="1" applyFill="1" applyBorder="1" applyAlignment="1">
      <alignment horizontal="center" vertical="center"/>
    </xf>
    <xf numFmtId="0" fontId="25" fillId="23" borderId="9" xfId="0" applyFont="1" applyFill="1" applyBorder="1" applyAlignment="1">
      <alignment horizontal="center" vertical="center"/>
    </xf>
    <xf numFmtId="0" fontId="25" fillId="23" borderId="10" xfId="0" applyFont="1" applyFill="1" applyBorder="1" applyAlignment="1">
      <alignment horizontal="center" vertical="center"/>
    </xf>
    <xf numFmtId="0" fontId="25" fillId="23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0" fillId="16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7" fillId="23" borderId="1" xfId="0" applyFont="1" applyFill="1" applyBorder="1"/>
    <xf numFmtId="166" fontId="27" fillId="18" borderId="1" xfId="3" applyNumberFormat="1" applyFont="1" applyFill="1" applyBorder="1"/>
    <xf numFmtId="0" fontId="26" fillId="23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</cellXfs>
  <cellStyles count="4">
    <cellStyle name="Moneda" xfId="3" builtinId="4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E12A7"/>
      <color rgb="FF170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K56"/>
  <sheetViews>
    <sheetView topLeftCell="C2" zoomScale="120" zoomScaleNormal="120" workbookViewId="0">
      <selection activeCell="N19" sqref="N19"/>
    </sheetView>
  </sheetViews>
  <sheetFormatPr baseColWidth="10" defaultRowHeight="15"/>
  <cols>
    <col min="1" max="1" width="22.85546875" bestFit="1" customWidth="1"/>
    <col min="2" max="2" width="3.85546875" customWidth="1"/>
    <col min="4" max="4" width="4.28515625" customWidth="1"/>
    <col min="5" max="5" width="22.7109375" bestFit="1" customWidth="1"/>
    <col min="9" max="9" width="9.85546875" customWidth="1"/>
    <col min="10" max="10" width="26.7109375" bestFit="1" customWidth="1"/>
  </cols>
  <sheetData>
    <row r="1" spans="1:11" ht="18.75" customHeight="1">
      <c r="A1" s="201" t="s">
        <v>396</v>
      </c>
      <c r="B1" s="202"/>
      <c r="C1" s="203"/>
      <c r="E1" s="9" t="s">
        <v>121</v>
      </c>
      <c r="F1" s="5"/>
    </row>
    <row r="2" spans="1:11" ht="15.75" thickBot="1">
      <c r="A2" s="204"/>
      <c r="B2" s="205"/>
      <c r="C2" s="206"/>
      <c r="E2" s="2" t="s">
        <v>122</v>
      </c>
      <c r="F2" s="2" t="s">
        <v>123</v>
      </c>
      <c r="G2" s="1"/>
    </row>
    <row r="3" spans="1:11" ht="15.75" thickBot="1">
      <c r="A3" s="207"/>
      <c r="B3" s="208"/>
      <c r="C3" s="209"/>
      <c r="E3" s="2" t="s">
        <v>122</v>
      </c>
      <c r="F3" s="2" t="s">
        <v>124</v>
      </c>
      <c r="G3" s="1"/>
      <c r="I3" s="232" t="s">
        <v>642</v>
      </c>
      <c r="J3" s="233" t="s">
        <v>640</v>
      </c>
      <c r="K3" s="234" t="s">
        <v>641</v>
      </c>
    </row>
    <row r="4" spans="1:11">
      <c r="A4" s="5"/>
      <c r="B4" s="5"/>
      <c r="C4" s="5"/>
      <c r="D4" s="5"/>
      <c r="E4" s="2" t="s">
        <v>122</v>
      </c>
      <c r="F4" s="2" t="s">
        <v>125</v>
      </c>
      <c r="G4" s="1"/>
      <c r="I4" s="229">
        <v>10</v>
      </c>
      <c r="J4" s="230" t="s">
        <v>643</v>
      </c>
      <c r="K4" s="231" t="s">
        <v>657</v>
      </c>
    </row>
    <row r="5" spans="1:11">
      <c r="A5" s="9" t="s">
        <v>101</v>
      </c>
      <c r="B5" s="6"/>
      <c r="C5" s="5"/>
      <c r="D5" s="5"/>
      <c r="E5" s="2" t="s">
        <v>126</v>
      </c>
      <c r="F5" s="2" t="s">
        <v>127</v>
      </c>
      <c r="G5" s="1"/>
      <c r="I5" s="224">
        <v>10</v>
      </c>
      <c r="J5" s="1" t="s">
        <v>644</v>
      </c>
      <c r="K5" s="225" t="s">
        <v>658</v>
      </c>
    </row>
    <row r="6" spans="1:11">
      <c r="A6" s="2" t="s">
        <v>397</v>
      </c>
      <c r="B6" s="2"/>
      <c r="C6" s="2"/>
      <c r="D6" s="5"/>
      <c r="E6" s="2" t="s">
        <v>126</v>
      </c>
      <c r="F6" s="2" t="s">
        <v>123</v>
      </c>
      <c r="G6" s="1"/>
      <c r="I6" s="224">
        <v>15</v>
      </c>
      <c r="J6" s="1" t="s">
        <v>645</v>
      </c>
      <c r="K6" s="225" t="s">
        <v>659</v>
      </c>
    </row>
    <row r="7" spans="1:11">
      <c r="A7" s="2" t="s">
        <v>102</v>
      </c>
      <c r="B7" s="2"/>
      <c r="C7" s="2"/>
      <c r="D7" s="5"/>
      <c r="E7" s="2" t="s">
        <v>128</v>
      </c>
      <c r="F7" s="2" t="s">
        <v>124</v>
      </c>
      <c r="G7" s="1"/>
      <c r="I7" s="224">
        <v>10</v>
      </c>
      <c r="J7" s="1" t="s">
        <v>646</v>
      </c>
      <c r="K7" s="225" t="s">
        <v>659</v>
      </c>
    </row>
    <row r="8" spans="1:11" ht="15.75" thickBot="1">
      <c r="A8" s="2" t="s">
        <v>103</v>
      </c>
      <c r="B8" s="2"/>
      <c r="C8" s="2"/>
      <c r="D8" s="5"/>
      <c r="E8" s="2" t="s">
        <v>128</v>
      </c>
      <c r="F8" s="2" t="s">
        <v>125</v>
      </c>
      <c r="G8" s="1"/>
      <c r="I8" s="226">
        <v>6</v>
      </c>
      <c r="J8" s="227" t="s">
        <v>130</v>
      </c>
      <c r="K8" s="228" t="s">
        <v>659</v>
      </c>
    </row>
    <row r="9" spans="1:11" ht="9" customHeight="1" thickBot="1">
      <c r="A9" s="2" t="s">
        <v>104</v>
      </c>
      <c r="B9" s="2"/>
      <c r="C9" s="2"/>
      <c r="D9" s="5"/>
      <c r="E9" s="2" t="s">
        <v>129</v>
      </c>
      <c r="F9" s="2" t="s">
        <v>124</v>
      </c>
      <c r="G9" s="1"/>
    </row>
    <row r="10" spans="1:11">
      <c r="A10" s="2" t="s">
        <v>105</v>
      </c>
      <c r="B10" s="2"/>
      <c r="C10" s="2"/>
      <c r="D10" s="5"/>
      <c r="E10" s="2" t="s">
        <v>129</v>
      </c>
      <c r="F10" s="2" t="s">
        <v>125</v>
      </c>
      <c r="G10" s="1"/>
      <c r="I10" s="235">
        <v>50</v>
      </c>
      <c r="J10" s="236" t="s">
        <v>647</v>
      </c>
      <c r="K10" s="237" t="s">
        <v>657</v>
      </c>
    </row>
    <row r="11" spans="1:11">
      <c r="A11" s="2" t="s">
        <v>106</v>
      </c>
      <c r="B11" s="2"/>
      <c r="C11" s="2"/>
      <c r="D11" s="5"/>
      <c r="E11" s="2" t="s">
        <v>130</v>
      </c>
      <c r="F11" s="2" t="s">
        <v>124</v>
      </c>
      <c r="G11" s="1"/>
      <c r="I11" s="224">
        <v>40</v>
      </c>
      <c r="J11" s="1" t="s">
        <v>648</v>
      </c>
      <c r="K11" s="225" t="s">
        <v>658</v>
      </c>
    </row>
    <row r="12" spans="1:11">
      <c r="A12" s="2" t="s">
        <v>107</v>
      </c>
      <c r="B12" s="2"/>
      <c r="C12" s="2"/>
      <c r="D12" s="5"/>
      <c r="E12" s="2" t="s">
        <v>130</v>
      </c>
      <c r="F12" s="2" t="s">
        <v>125</v>
      </c>
      <c r="G12" s="1"/>
      <c r="I12" s="224">
        <v>20</v>
      </c>
      <c r="J12" s="1" t="s">
        <v>649</v>
      </c>
      <c r="K12" s="225" t="s">
        <v>660</v>
      </c>
    </row>
    <row r="13" spans="1:11">
      <c r="A13" s="2" t="s">
        <v>108</v>
      </c>
      <c r="B13" s="2"/>
      <c r="C13" s="2"/>
      <c r="D13" s="5"/>
      <c r="E13" s="2" t="s">
        <v>211</v>
      </c>
      <c r="F13" s="2" t="s">
        <v>125</v>
      </c>
      <c r="G13" s="1"/>
      <c r="I13" s="224">
        <v>40</v>
      </c>
      <c r="J13" s="1" t="s">
        <v>650</v>
      </c>
      <c r="K13" s="225" t="s">
        <v>660</v>
      </c>
    </row>
    <row r="14" spans="1:11">
      <c r="A14" s="2" t="s">
        <v>109</v>
      </c>
      <c r="B14" s="2"/>
      <c r="C14" s="2"/>
      <c r="D14" s="5"/>
      <c r="E14" s="5"/>
      <c r="F14" s="5"/>
      <c r="I14" s="224">
        <v>49</v>
      </c>
      <c r="J14" s="1" t="s">
        <v>651</v>
      </c>
      <c r="K14" s="225" t="s">
        <v>660</v>
      </c>
    </row>
    <row r="15" spans="1:11">
      <c r="A15" s="2" t="s">
        <v>110</v>
      </c>
      <c r="B15" s="2"/>
      <c r="C15" s="2"/>
      <c r="D15" s="5"/>
      <c r="E15" s="9" t="s">
        <v>147</v>
      </c>
      <c r="F15" s="5"/>
      <c r="I15" s="224">
        <v>15</v>
      </c>
      <c r="J15" s="1" t="s">
        <v>652</v>
      </c>
      <c r="K15" s="225" t="s">
        <v>659</v>
      </c>
    </row>
    <row r="16" spans="1:11" ht="15.75" thickBot="1">
      <c r="A16" s="2" t="s">
        <v>111</v>
      </c>
      <c r="B16" s="2"/>
      <c r="C16" s="2"/>
      <c r="D16" s="5"/>
      <c r="E16" s="2" t="s">
        <v>148</v>
      </c>
      <c r="F16" s="2" t="s">
        <v>127</v>
      </c>
      <c r="G16" s="1"/>
      <c r="I16" s="226">
        <v>10</v>
      </c>
      <c r="J16" s="227" t="s">
        <v>212</v>
      </c>
      <c r="K16" s="228" t="s">
        <v>659</v>
      </c>
    </row>
    <row r="17" spans="1:11" ht="8.25" customHeight="1" thickBot="1">
      <c r="A17" s="2" t="s">
        <v>112</v>
      </c>
      <c r="B17" s="2"/>
      <c r="C17" s="2"/>
      <c r="D17" s="5"/>
      <c r="E17" s="2" t="s">
        <v>148</v>
      </c>
      <c r="F17" s="2" t="s">
        <v>123</v>
      </c>
      <c r="G17" s="1"/>
    </row>
    <row r="18" spans="1:11">
      <c r="A18" s="2" t="s">
        <v>113</v>
      </c>
      <c r="B18" s="2"/>
      <c r="C18" s="2"/>
      <c r="D18" s="5"/>
      <c r="E18" s="2" t="s">
        <v>148</v>
      </c>
      <c r="F18" s="2" t="s">
        <v>124</v>
      </c>
      <c r="G18" s="1"/>
      <c r="I18" s="235">
        <v>30</v>
      </c>
      <c r="J18" s="236" t="s">
        <v>653</v>
      </c>
      <c r="K18" s="237" t="s">
        <v>658</v>
      </c>
    </row>
    <row r="19" spans="1:11">
      <c r="A19" s="2" t="s">
        <v>114</v>
      </c>
      <c r="B19" s="2"/>
      <c r="C19" s="2"/>
      <c r="D19" s="5"/>
      <c r="E19" s="2" t="s">
        <v>148</v>
      </c>
      <c r="F19" s="2" t="s">
        <v>125</v>
      </c>
      <c r="G19" s="1"/>
      <c r="I19" s="224">
        <v>20</v>
      </c>
      <c r="J19" s="1" t="s">
        <v>653</v>
      </c>
      <c r="K19" s="225" t="s">
        <v>659</v>
      </c>
    </row>
    <row r="20" spans="1:11">
      <c r="A20" s="2" t="s">
        <v>116</v>
      </c>
      <c r="B20" s="2"/>
      <c r="C20" s="2"/>
      <c r="D20" s="5"/>
      <c r="E20" s="2" t="s">
        <v>150</v>
      </c>
      <c r="F20" s="2" t="s">
        <v>127</v>
      </c>
      <c r="G20" s="1"/>
      <c r="I20" s="224">
        <v>100</v>
      </c>
      <c r="J20" s="1" t="s">
        <v>654</v>
      </c>
      <c r="K20" s="225" t="s">
        <v>658</v>
      </c>
    </row>
    <row r="21" spans="1:11">
      <c r="A21" s="2" t="s">
        <v>117</v>
      </c>
      <c r="B21" s="2"/>
      <c r="C21" s="2"/>
      <c r="D21" s="5"/>
      <c r="E21" s="2" t="s">
        <v>150</v>
      </c>
      <c r="F21" s="2" t="s">
        <v>123</v>
      </c>
      <c r="G21" s="1"/>
      <c r="I21" s="224">
        <v>15</v>
      </c>
      <c r="J21" s="1" t="s">
        <v>655</v>
      </c>
      <c r="K21" s="225" t="s">
        <v>661</v>
      </c>
    </row>
    <row r="22" spans="1:11">
      <c r="A22" s="2" t="s">
        <v>118</v>
      </c>
      <c r="B22" s="2"/>
      <c r="C22" s="2"/>
      <c r="D22" s="5"/>
      <c r="E22" s="2" t="s">
        <v>150</v>
      </c>
      <c r="F22" s="2" t="s">
        <v>124</v>
      </c>
      <c r="G22" s="1"/>
      <c r="I22" s="224">
        <v>5</v>
      </c>
      <c r="J22" s="1" t="s">
        <v>156</v>
      </c>
      <c r="K22" s="225" t="s">
        <v>657</v>
      </c>
    </row>
    <row r="23" spans="1:11">
      <c r="A23" s="2" t="s">
        <v>119</v>
      </c>
      <c r="B23" s="2"/>
      <c r="C23" s="2"/>
      <c r="D23" s="5"/>
      <c r="E23" s="2" t="s">
        <v>150</v>
      </c>
      <c r="F23" s="2" t="s">
        <v>125</v>
      </c>
      <c r="G23" s="1"/>
      <c r="I23" s="224">
        <v>5</v>
      </c>
      <c r="J23" s="1" t="s">
        <v>157</v>
      </c>
      <c r="K23" s="225" t="s">
        <v>659</v>
      </c>
    </row>
    <row r="24" spans="1:11" ht="15.75" thickBot="1">
      <c r="A24" s="2" t="s">
        <v>120</v>
      </c>
      <c r="B24" s="2"/>
      <c r="C24" s="2"/>
      <c r="D24" s="5"/>
      <c r="E24" s="2" t="s">
        <v>153</v>
      </c>
      <c r="F24" s="2" t="s">
        <v>123</v>
      </c>
      <c r="G24" s="1"/>
      <c r="I24" s="226">
        <v>6</v>
      </c>
      <c r="J24" s="227" t="s">
        <v>656</v>
      </c>
      <c r="K24" s="228" t="s">
        <v>662</v>
      </c>
    </row>
    <row r="25" spans="1:11">
      <c r="A25" s="6"/>
      <c r="B25" s="6"/>
      <c r="C25" s="5"/>
      <c r="D25" s="5"/>
      <c r="E25" s="2" t="s">
        <v>153</v>
      </c>
      <c r="F25" s="2" t="s">
        <v>124</v>
      </c>
      <c r="G25" s="1"/>
    </row>
    <row r="26" spans="1:11">
      <c r="A26" s="9" t="s">
        <v>132</v>
      </c>
      <c r="B26" s="5"/>
      <c r="C26" s="5"/>
      <c r="D26" s="5"/>
      <c r="E26" s="2" t="s">
        <v>153</v>
      </c>
      <c r="F26" s="2" t="s">
        <v>125</v>
      </c>
      <c r="G26" s="1"/>
    </row>
    <row r="27" spans="1:11">
      <c r="A27" s="2" t="s">
        <v>133</v>
      </c>
      <c r="B27" s="2" t="s">
        <v>123</v>
      </c>
      <c r="C27" s="2"/>
      <c r="D27" s="5"/>
      <c r="E27" s="2" t="s">
        <v>153</v>
      </c>
      <c r="F27" s="2" t="s">
        <v>154</v>
      </c>
      <c r="G27" s="1"/>
    </row>
    <row r="28" spans="1:11">
      <c r="A28" s="2" t="s">
        <v>133</v>
      </c>
      <c r="B28" s="2" t="s">
        <v>124</v>
      </c>
      <c r="C28" s="2"/>
      <c r="D28" s="5"/>
      <c r="E28" s="2" t="s">
        <v>155</v>
      </c>
      <c r="F28" s="2" t="s">
        <v>127</v>
      </c>
      <c r="G28" s="1"/>
    </row>
    <row r="29" spans="1:11">
      <c r="A29" s="2" t="s">
        <v>133</v>
      </c>
      <c r="B29" s="2" t="s">
        <v>125</v>
      </c>
      <c r="C29" s="2"/>
      <c r="D29" s="5"/>
      <c r="E29" s="2" t="s">
        <v>155</v>
      </c>
      <c r="F29" s="2" t="s">
        <v>123</v>
      </c>
      <c r="G29" s="1"/>
    </row>
    <row r="30" spans="1:11">
      <c r="A30" s="2" t="s">
        <v>134</v>
      </c>
      <c r="B30" s="2" t="s">
        <v>135</v>
      </c>
      <c r="C30" s="2"/>
      <c r="D30" s="5"/>
      <c r="E30" s="2" t="s">
        <v>155</v>
      </c>
      <c r="F30" s="2" t="s">
        <v>124</v>
      </c>
      <c r="G30" s="1"/>
    </row>
    <row r="31" spans="1:11">
      <c r="A31" s="2" t="s">
        <v>134</v>
      </c>
      <c r="B31" s="2" t="s">
        <v>125</v>
      </c>
      <c r="C31" s="2"/>
      <c r="D31" s="5"/>
      <c r="E31" s="2" t="s">
        <v>155</v>
      </c>
      <c r="F31" s="2" t="s">
        <v>125</v>
      </c>
      <c r="G31" s="1"/>
    </row>
    <row r="32" spans="1:11">
      <c r="A32" s="2" t="s">
        <v>136</v>
      </c>
      <c r="B32" s="2" t="s">
        <v>127</v>
      </c>
      <c r="C32" s="2"/>
      <c r="D32" s="5"/>
      <c r="E32" s="2" t="s">
        <v>156</v>
      </c>
      <c r="F32" s="2" t="s">
        <v>127</v>
      </c>
      <c r="G32" s="1"/>
    </row>
    <row r="33" spans="1:7">
      <c r="A33" s="2" t="s">
        <v>136</v>
      </c>
      <c r="B33" s="2" t="s">
        <v>123</v>
      </c>
      <c r="C33" s="2"/>
      <c r="D33" s="5"/>
      <c r="E33" s="2" t="s">
        <v>156</v>
      </c>
      <c r="F33" s="2" t="s">
        <v>123</v>
      </c>
      <c r="G33" s="1"/>
    </row>
    <row r="34" spans="1:7">
      <c r="A34" s="2" t="s">
        <v>137</v>
      </c>
      <c r="B34" s="2" t="s">
        <v>127</v>
      </c>
      <c r="C34" s="2"/>
      <c r="D34" s="5"/>
      <c r="E34" s="2" t="s">
        <v>156</v>
      </c>
      <c r="F34" s="2" t="s">
        <v>124</v>
      </c>
      <c r="G34" s="1"/>
    </row>
    <row r="35" spans="1:7">
      <c r="A35" s="2" t="s">
        <v>137</v>
      </c>
      <c r="B35" s="2" t="s">
        <v>123</v>
      </c>
      <c r="C35" s="2"/>
      <c r="D35" s="5"/>
      <c r="E35" s="2" t="s">
        <v>156</v>
      </c>
      <c r="F35" s="2" t="s">
        <v>125</v>
      </c>
      <c r="G35" s="1"/>
    </row>
    <row r="36" spans="1:7">
      <c r="A36" s="2" t="s">
        <v>138</v>
      </c>
      <c r="B36" s="2" t="s">
        <v>127</v>
      </c>
      <c r="C36" s="2"/>
      <c r="D36" s="5"/>
      <c r="E36" s="2" t="s">
        <v>157</v>
      </c>
      <c r="F36" s="2" t="s">
        <v>127</v>
      </c>
      <c r="G36" s="1"/>
    </row>
    <row r="37" spans="1:7">
      <c r="A37" s="2" t="s">
        <v>138</v>
      </c>
      <c r="B37" s="2" t="s">
        <v>123</v>
      </c>
      <c r="C37" s="2"/>
      <c r="D37" s="5"/>
      <c r="E37" s="2" t="s">
        <v>157</v>
      </c>
      <c r="F37" s="2" t="s">
        <v>123</v>
      </c>
      <c r="G37" s="1"/>
    </row>
    <row r="38" spans="1:7">
      <c r="A38" s="2" t="s">
        <v>140</v>
      </c>
      <c r="B38" s="2" t="s">
        <v>123</v>
      </c>
      <c r="C38" s="2"/>
      <c r="D38" s="5"/>
      <c r="E38" s="2" t="s">
        <v>157</v>
      </c>
      <c r="F38" s="2" t="s">
        <v>124</v>
      </c>
      <c r="G38" s="1"/>
    </row>
    <row r="39" spans="1:7">
      <c r="A39" s="2" t="s">
        <v>141</v>
      </c>
      <c r="B39" s="2" t="s">
        <v>123</v>
      </c>
      <c r="C39" s="2"/>
      <c r="D39" s="5"/>
      <c r="E39" s="2" t="s">
        <v>157</v>
      </c>
      <c r="F39" s="2" t="s">
        <v>125</v>
      </c>
      <c r="G39" s="1"/>
    </row>
    <row r="40" spans="1:7">
      <c r="A40" s="2" t="s">
        <v>142</v>
      </c>
      <c r="B40" s="2" t="s">
        <v>124</v>
      </c>
      <c r="C40" s="2"/>
      <c r="D40" s="5"/>
      <c r="E40" s="2" t="s">
        <v>158</v>
      </c>
      <c r="F40" s="2"/>
      <c r="G40" s="1"/>
    </row>
    <row r="41" spans="1:7">
      <c r="A41" s="2" t="s">
        <v>142</v>
      </c>
      <c r="B41" s="2" t="s">
        <v>125</v>
      </c>
      <c r="C41" s="2"/>
      <c r="D41" s="5"/>
      <c r="E41" s="2" t="s">
        <v>157</v>
      </c>
      <c r="F41" s="2" t="s">
        <v>154</v>
      </c>
      <c r="G41" s="1"/>
    </row>
    <row r="42" spans="1:7">
      <c r="A42" s="2" t="s">
        <v>143</v>
      </c>
      <c r="B42" s="2" t="s">
        <v>124</v>
      </c>
      <c r="C42" s="2"/>
      <c r="D42" s="5"/>
      <c r="E42" s="2" t="s">
        <v>159</v>
      </c>
      <c r="F42" s="2" t="s">
        <v>124</v>
      </c>
      <c r="G42" s="1"/>
    </row>
    <row r="43" spans="1:7">
      <c r="A43" s="2" t="s">
        <v>143</v>
      </c>
      <c r="B43" s="2" t="s">
        <v>125</v>
      </c>
      <c r="C43" s="2"/>
      <c r="D43" s="5"/>
      <c r="E43" s="2" t="s">
        <v>159</v>
      </c>
      <c r="F43" s="2" t="s">
        <v>125</v>
      </c>
      <c r="G43" s="1"/>
    </row>
    <row r="44" spans="1:7">
      <c r="A44" s="2" t="s">
        <v>144</v>
      </c>
      <c r="B44" s="2" t="s">
        <v>124</v>
      </c>
      <c r="C44" s="2"/>
      <c r="D44" s="5"/>
      <c r="E44" s="2" t="s">
        <v>159</v>
      </c>
      <c r="F44" s="2" t="s">
        <v>154</v>
      </c>
      <c r="G44" s="1"/>
    </row>
    <row r="45" spans="1:7">
      <c r="A45" s="2" t="s">
        <v>144</v>
      </c>
      <c r="B45" s="2" t="s">
        <v>145</v>
      </c>
      <c r="C45" s="2"/>
      <c r="D45" s="5"/>
      <c r="E45" s="2" t="s">
        <v>169</v>
      </c>
      <c r="F45" s="2" t="s">
        <v>123</v>
      </c>
      <c r="G45" s="1"/>
    </row>
    <row r="46" spans="1:7">
      <c r="A46" s="2" t="s">
        <v>212</v>
      </c>
      <c r="B46" s="2" t="s">
        <v>125</v>
      </c>
      <c r="C46" s="2"/>
      <c r="D46" s="5"/>
      <c r="E46" s="2" t="s">
        <v>170</v>
      </c>
      <c r="F46" s="2" t="s">
        <v>123</v>
      </c>
      <c r="G46" s="1"/>
    </row>
    <row r="56" spans="1:2">
      <c r="A56" s="5"/>
      <c r="B56" s="5"/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N78"/>
  <sheetViews>
    <sheetView topLeftCell="D51" workbookViewId="0">
      <selection activeCell="P60" sqref="P60"/>
    </sheetView>
  </sheetViews>
  <sheetFormatPr baseColWidth="10" defaultRowHeight="15"/>
  <cols>
    <col min="1" max="1" width="33" customWidth="1"/>
    <col min="7" max="7" width="18" customWidth="1"/>
    <col min="8" max="8" width="19.140625" customWidth="1"/>
    <col min="9" max="9" width="25.85546875" customWidth="1"/>
    <col min="10" max="10" width="26.7109375" customWidth="1"/>
    <col min="11" max="11" width="18" customWidth="1"/>
    <col min="12" max="12" width="19.140625" customWidth="1"/>
    <col min="13" max="13" width="25.85546875" customWidth="1"/>
    <col min="14" max="14" width="26.7109375" customWidth="1"/>
  </cols>
  <sheetData>
    <row r="1" spans="1:4" ht="31.5">
      <c r="A1" s="123" t="s">
        <v>511</v>
      </c>
    </row>
    <row r="3" spans="1:4">
      <c r="A3" t="s">
        <v>490</v>
      </c>
      <c r="B3" s="10">
        <v>20000</v>
      </c>
    </row>
    <row r="4" spans="1:4">
      <c r="A4" t="s">
        <v>489</v>
      </c>
      <c r="B4" s="10">
        <v>20000</v>
      </c>
    </row>
    <row r="5" spans="1:4">
      <c r="A5" t="s">
        <v>494</v>
      </c>
      <c r="B5" s="10">
        <v>22000</v>
      </c>
    </row>
    <row r="6" spans="1:4">
      <c r="A6" t="s">
        <v>532</v>
      </c>
      <c r="B6" s="134">
        <v>25000</v>
      </c>
    </row>
    <row r="7" spans="1:4">
      <c r="A7" t="s">
        <v>512</v>
      </c>
      <c r="B7" s="10">
        <v>25000</v>
      </c>
      <c r="D7" t="s">
        <v>533</v>
      </c>
    </row>
    <row r="8" spans="1:4">
      <c r="A8" t="s">
        <v>491</v>
      </c>
      <c r="B8" s="10">
        <v>30000</v>
      </c>
      <c r="D8" t="s">
        <v>534</v>
      </c>
    </row>
    <row r="9" spans="1:4">
      <c r="A9" t="s">
        <v>492</v>
      </c>
      <c r="B9" s="10">
        <v>30000</v>
      </c>
    </row>
    <row r="10" spans="1:4">
      <c r="A10" t="s">
        <v>498</v>
      </c>
      <c r="B10" s="10">
        <v>40000</v>
      </c>
    </row>
    <row r="11" spans="1:4">
      <c r="A11" t="s">
        <v>496</v>
      </c>
      <c r="B11" s="134">
        <v>50000</v>
      </c>
    </row>
    <row r="12" spans="1:4">
      <c r="A12" t="s">
        <v>493</v>
      </c>
      <c r="B12" s="10">
        <v>50000</v>
      </c>
    </row>
    <row r="13" spans="1:4">
      <c r="A13" t="s">
        <v>495</v>
      </c>
      <c r="B13" s="10">
        <v>60000</v>
      </c>
    </row>
    <row r="14" spans="1:4">
      <c r="A14" t="s">
        <v>497</v>
      </c>
      <c r="B14" s="10">
        <v>60000</v>
      </c>
    </row>
    <row r="15" spans="1:4">
      <c r="A15" t="s">
        <v>531</v>
      </c>
      <c r="B15" s="10">
        <v>180000</v>
      </c>
    </row>
    <row r="16" spans="1:4">
      <c r="B16" s="10"/>
    </row>
    <row r="17" spans="1:2">
      <c r="A17" t="s">
        <v>499</v>
      </c>
      <c r="B17" s="10">
        <v>10000</v>
      </c>
    </row>
    <row r="18" spans="1:2">
      <c r="A18" t="s">
        <v>500</v>
      </c>
      <c r="B18" s="10">
        <v>5000</v>
      </c>
    </row>
    <row r="19" spans="1:2">
      <c r="A19" t="s">
        <v>501</v>
      </c>
      <c r="B19" s="10">
        <v>7000</v>
      </c>
    </row>
    <row r="20" spans="1:2">
      <c r="A20" t="s">
        <v>502</v>
      </c>
      <c r="B20" s="10">
        <v>10000</v>
      </c>
    </row>
    <row r="21" spans="1:2">
      <c r="B21" s="10"/>
    </row>
    <row r="22" spans="1:2">
      <c r="A22" t="s">
        <v>503</v>
      </c>
      <c r="B22" s="10">
        <v>10000</v>
      </c>
    </row>
    <row r="23" spans="1:2">
      <c r="A23" t="s">
        <v>504</v>
      </c>
      <c r="B23" s="10">
        <v>10000</v>
      </c>
    </row>
    <row r="24" spans="1:2">
      <c r="A24" t="s">
        <v>510</v>
      </c>
      <c r="B24" s="10">
        <v>12000</v>
      </c>
    </row>
    <row r="25" spans="1:2">
      <c r="A25" t="s">
        <v>505</v>
      </c>
      <c r="B25" s="10">
        <v>15000</v>
      </c>
    </row>
    <row r="26" spans="1:2">
      <c r="A26" t="s">
        <v>506</v>
      </c>
      <c r="B26" s="10">
        <v>18000</v>
      </c>
    </row>
    <row r="27" spans="1:2">
      <c r="A27" t="s">
        <v>507</v>
      </c>
      <c r="B27" s="10">
        <v>20000</v>
      </c>
    </row>
    <row r="28" spans="1:2">
      <c r="A28" t="s">
        <v>508</v>
      </c>
      <c r="B28" s="134">
        <v>22000</v>
      </c>
    </row>
    <row r="29" spans="1:2">
      <c r="A29" t="s">
        <v>509</v>
      </c>
      <c r="B29" s="10">
        <v>15000</v>
      </c>
    </row>
    <row r="30" spans="1:2">
      <c r="B30" s="10"/>
    </row>
    <row r="31" spans="1:2">
      <c r="A31" t="s">
        <v>514</v>
      </c>
      <c r="B31" s="10">
        <v>12000</v>
      </c>
    </row>
    <row r="32" spans="1:2">
      <c r="A32" t="s">
        <v>513</v>
      </c>
      <c r="B32" s="10">
        <v>22000</v>
      </c>
    </row>
    <row r="33" spans="1:14">
      <c r="B33" s="10"/>
    </row>
    <row r="34" spans="1:14">
      <c r="A34" t="s">
        <v>515</v>
      </c>
      <c r="B34" s="10">
        <v>15000</v>
      </c>
    </row>
    <row r="44" spans="1:14" ht="22.5">
      <c r="G44" s="220" t="s">
        <v>583</v>
      </c>
      <c r="H44" s="220"/>
      <c r="I44" s="220"/>
      <c r="J44" s="220"/>
      <c r="K44" s="220" t="s">
        <v>583</v>
      </c>
      <c r="L44" s="220"/>
      <c r="M44" s="220"/>
      <c r="N44" s="220"/>
    </row>
    <row r="45" spans="1:14" ht="19.5">
      <c r="G45" s="163"/>
      <c r="H45" s="163"/>
      <c r="I45" s="163"/>
      <c r="K45" s="163"/>
      <c r="L45" s="163"/>
      <c r="M45" s="163"/>
    </row>
    <row r="46" spans="1:14" ht="19.5">
      <c r="G46" s="166" t="s">
        <v>582</v>
      </c>
      <c r="H46" s="166" t="s">
        <v>574</v>
      </c>
      <c r="I46" s="166" t="s">
        <v>606</v>
      </c>
      <c r="J46" s="166" t="s">
        <v>573</v>
      </c>
      <c r="K46" s="166" t="s">
        <v>582</v>
      </c>
      <c r="L46" s="166" t="s">
        <v>574</v>
      </c>
      <c r="M46" s="166" t="s">
        <v>606</v>
      </c>
      <c r="N46" s="166" t="s">
        <v>573</v>
      </c>
    </row>
    <row r="47" spans="1:14" ht="19.5">
      <c r="G47" s="167" t="s">
        <v>571</v>
      </c>
      <c r="H47" s="163"/>
      <c r="I47" s="163"/>
      <c r="K47" s="167" t="s">
        <v>571</v>
      </c>
      <c r="L47" s="163"/>
      <c r="M47" s="163"/>
    </row>
    <row r="48" spans="1:14" ht="19.5">
      <c r="G48" s="165" t="s">
        <v>584</v>
      </c>
      <c r="H48" s="168" t="s">
        <v>575</v>
      </c>
      <c r="I48" s="165"/>
      <c r="J48" s="1"/>
      <c r="K48" s="165" t="s">
        <v>584</v>
      </c>
      <c r="L48" s="169" t="s">
        <v>581</v>
      </c>
      <c r="M48" s="165"/>
      <c r="N48" s="1"/>
    </row>
    <row r="49" spans="7:14" ht="19.5">
      <c r="G49" s="165" t="s">
        <v>585</v>
      </c>
      <c r="H49" s="170" t="s">
        <v>576</v>
      </c>
      <c r="I49" s="165"/>
      <c r="J49" s="1"/>
      <c r="K49" s="165" t="s">
        <v>585</v>
      </c>
      <c r="L49" s="168" t="s">
        <v>575</v>
      </c>
      <c r="M49" s="165"/>
      <c r="N49" s="1"/>
    </row>
    <row r="50" spans="7:14" ht="19.5">
      <c r="G50" s="165" t="s">
        <v>586</v>
      </c>
      <c r="H50" s="169" t="s">
        <v>581</v>
      </c>
      <c r="I50" s="165"/>
      <c r="J50" s="1"/>
      <c r="K50" s="165" t="s">
        <v>586</v>
      </c>
      <c r="L50" s="170" t="s">
        <v>576</v>
      </c>
      <c r="M50" s="165"/>
      <c r="N50" s="1"/>
    </row>
    <row r="51" spans="7:14" ht="19.5">
      <c r="G51" s="165" t="s">
        <v>587</v>
      </c>
      <c r="H51" s="168" t="s">
        <v>575</v>
      </c>
      <c r="I51" s="165"/>
      <c r="J51" s="1"/>
      <c r="K51" s="165" t="s">
        <v>587</v>
      </c>
      <c r="L51" s="169" t="s">
        <v>581</v>
      </c>
      <c r="M51" s="165"/>
      <c r="N51" s="1"/>
    </row>
    <row r="52" spans="7:14" ht="19.5">
      <c r="G52" s="164" t="s">
        <v>572</v>
      </c>
      <c r="H52" s="163"/>
      <c r="I52" s="163"/>
      <c r="K52" s="164" t="s">
        <v>572</v>
      </c>
      <c r="L52" s="163"/>
      <c r="M52" s="163"/>
    </row>
    <row r="53" spans="7:14" ht="19.5">
      <c r="G53" s="165" t="s">
        <v>588</v>
      </c>
      <c r="H53" s="170" t="s">
        <v>576</v>
      </c>
      <c r="I53" s="165"/>
      <c r="J53" s="1"/>
      <c r="K53" s="165" t="s">
        <v>588</v>
      </c>
      <c r="L53" s="168" t="s">
        <v>575</v>
      </c>
      <c r="M53" s="165"/>
      <c r="N53" s="1"/>
    </row>
    <row r="54" spans="7:14" ht="19.5">
      <c r="G54" s="165" t="s">
        <v>589</v>
      </c>
      <c r="H54" s="169" t="s">
        <v>581</v>
      </c>
      <c r="I54" s="165"/>
      <c r="J54" s="1"/>
      <c r="K54" s="165" t="s">
        <v>589</v>
      </c>
      <c r="L54" s="170" t="s">
        <v>576</v>
      </c>
      <c r="M54" s="165"/>
      <c r="N54" s="1"/>
    </row>
    <row r="55" spans="7:14" ht="19.5">
      <c r="G55" s="165" t="s">
        <v>590</v>
      </c>
      <c r="H55" s="168" t="s">
        <v>575</v>
      </c>
      <c r="I55" s="165"/>
      <c r="J55" s="1"/>
      <c r="K55" s="165" t="s">
        <v>590</v>
      </c>
      <c r="L55" s="169" t="s">
        <v>581</v>
      </c>
      <c r="M55" s="165"/>
      <c r="N55" s="1"/>
    </row>
    <row r="56" spans="7:14" ht="19.5">
      <c r="G56" s="165" t="s">
        <v>591</v>
      </c>
      <c r="H56" s="170" t="s">
        <v>576</v>
      </c>
      <c r="I56" s="165"/>
      <c r="J56" s="1"/>
      <c r="K56" s="165" t="s">
        <v>591</v>
      </c>
      <c r="L56" s="168" t="s">
        <v>575</v>
      </c>
      <c r="M56" s="165"/>
      <c r="N56" s="1"/>
    </row>
    <row r="57" spans="7:14" ht="19.5">
      <c r="G57" s="165" t="s">
        <v>592</v>
      </c>
      <c r="H57" s="169" t="s">
        <v>581</v>
      </c>
      <c r="I57" s="165"/>
      <c r="J57" s="1"/>
      <c r="K57" s="165" t="s">
        <v>592</v>
      </c>
      <c r="L57" s="170" t="s">
        <v>576</v>
      </c>
      <c r="M57" s="165"/>
      <c r="N57" s="1"/>
    </row>
    <row r="58" spans="7:14" ht="19.5">
      <c r="G58" s="164" t="s">
        <v>577</v>
      </c>
      <c r="H58" s="163"/>
      <c r="I58" s="163"/>
      <c r="K58" s="164" t="s">
        <v>577</v>
      </c>
      <c r="L58" s="163"/>
      <c r="M58" s="163"/>
    </row>
    <row r="59" spans="7:14" ht="19.5">
      <c r="G59" s="165" t="s">
        <v>593</v>
      </c>
      <c r="H59" s="168" t="s">
        <v>575</v>
      </c>
      <c r="I59" s="165"/>
      <c r="J59" s="1"/>
      <c r="K59" s="165" t="s">
        <v>593</v>
      </c>
      <c r="L59" s="169" t="s">
        <v>581</v>
      </c>
      <c r="M59" s="165"/>
      <c r="N59" s="1"/>
    </row>
    <row r="60" spans="7:14" ht="19.5">
      <c r="G60" s="165" t="s">
        <v>594</v>
      </c>
      <c r="H60" s="170" t="s">
        <v>576</v>
      </c>
      <c r="I60" s="165"/>
      <c r="J60" s="1"/>
      <c r="K60" s="165" t="s">
        <v>594</v>
      </c>
      <c r="L60" s="168" t="s">
        <v>575</v>
      </c>
      <c r="M60" s="165"/>
      <c r="N60" s="1"/>
    </row>
    <row r="61" spans="7:14" ht="19.5">
      <c r="G61" s="165" t="s">
        <v>595</v>
      </c>
      <c r="H61" s="169" t="s">
        <v>581</v>
      </c>
      <c r="I61" s="165"/>
      <c r="J61" s="1"/>
      <c r="K61" s="165" t="s">
        <v>595</v>
      </c>
      <c r="L61" s="170" t="s">
        <v>576</v>
      </c>
      <c r="M61" s="165"/>
      <c r="N61" s="1"/>
    </row>
    <row r="62" spans="7:14" ht="19.5">
      <c r="G62" s="165" t="s">
        <v>596</v>
      </c>
      <c r="H62" s="168" t="s">
        <v>575</v>
      </c>
      <c r="I62" s="165"/>
      <c r="J62" s="1"/>
      <c r="K62" s="165" t="s">
        <v>596</v>
      </c>
      <c r="L62" s="169" t="s">
        <v>581</v>
      </c>
      <c r="M62" s="165"/>
      <c r="N62" s="1"/>
    </row>
    <row r="63" spans="7:14" ht="19.5">
      <c r="G63" s="164" t="s">
        <v>578</v>
      </c>
      <c r="H63" s="163"/>
      <c r="I63" s="163"/>
      <c r="K63" s="164" t="s">
        <v>578</v>
      </c>
      <c r="L63" s="163"/>
      <c r="M63" s="163"/>
    </row>
    <row r="64" spans="7:14" ht="19.5">
      <c r="G64" s="165" t="s">
        <v>597</v>
      </c>
      <c r="H64" s="170" t="s">
        <v>576</v>
      </c>
      <c r="I64" s="165"/>
      <c r="J64" s="1"/>
      <c r="K64" s="165" t="s">
        <v>597</v>
      </c>
      <c r="L64" s="168" t="s">
        <v>575</v>
      </c>
      <c r="M64" s="165"/>
      <c r="N64" s="1"/>
    </row>
    <row r="65" spans="7:14" ht="19.5">
      <c r="G65" s="165" t="s">
        <v>598</v>
      </c>
      <c r="H65" s="169" t="s">
        <v>581</v>
      </c>
      <c r="I65" s="165"/>
      <c r="J65" s="1"/>
      <c r="K65" s="165" t="s">
        <v>598</v>
      </c>
      <c r="L65" s="170" t="s">
        <v>576</v>
      </c>
      <c r="M65" s="165"/>
      <c r="N65" s="1"/>
    </row>
    <row r="66" spans="7:14" ht="19.5">
      <c r="G66" s="165" t="s">
        <v>599</v>
      </c>
      <c r="H66" s="168" t="s">
        <v>575</v>
      </c>
      <c r="I66" s="165"/>
      <c r="J66" s="1"/>
      <c r="K66" s="165" t="s">
        <v>599</v>
      </c>
      <c r="L66" s="169" t="s">
        <v>581</v>
      </c>
      <c r="M66" s="165"/>
      <c r="N66" s="1"/>
    </row>
    <row r="67" spans="7:14" ht="19.5">
      <c r="G67" s="165" t="s">
        <v>600</v>
      </c>
      <c r="H67" s="170" t="s">
        <v>576</v>
      </c>
      <c r="I67" s="165"/>
      <c r="J67" s="1"/>
      <c r="K67" s="165" t="s">
        <v>600</v>
      </c>
      <c r="L67" s="168" t="s">
        <v>575</v>
      </c>
      <c r="M67" s="165"/>
      <c r="N67" s="1"/>
    </row>
    <row r="68" spans="7:14" ht="19.5">
      <c r="G68" s="165" t="s">
        <v>601</v>
      </c>
      <c r="H68" s="169" t="s">
        <v>581</v>
      </c>
      <c r="I68" s="165"/>
      <c r="J68" s="1"/>
      <c r="K68" s="165" t="s">
        <v>601</v>
      </c>
      <c r="L68" s="170" t="s">
        <v>576</v>
      </c>
      <c r="M68" s="165"/>
      <c r="N68" s="1"/>
    </row>
    <row r="69" spans="7:14" ht="19.5">
      <c r="G69" s="164" t="s">
        <v>579</v>
      </c>
      <c r="H69" s="163"/>
      <c r="I69" s="163"/>
      <c r="K69" s="164" t="s">
        <v>579</v>
      </c>
      <c r="L69" s="163"/>
      <c r="M69" s="163"/>
    </row>
    <row r="70" spans="7:14" ht="19.5">
      <c r="G70" s="165" t="s">
        <v>602</v>
      </c>
      <c r="H70" s="168" t="s">
        <v>575</v>
      </c>
      <c r="I70" s="165"/>
      <c r="J70" s="1"/>
      <c r="K70" s="165" t="s">
        <v>602</v>
      </c>
      <c r="L70" s="169" t="s">
        <v>581</v>
      </c>
      <c r="M70" s="165"/>
      <c r="N70" s="1"/>
    </row>
    <row r="71" spans="7:14" ht="19.5">
      <c r="G71" s="165" t="s">
        <v>603</v>
      </c>
      <c r="H71" s="170" t="s">
        <v>576</v>
      </c>
      <c r="I71" s="165"/>
      <c r="J71" s="1"/>
      <c r="K71" s="165" t="s">
        <v>603</v>
      </c>
      <c r="L71" s="168" t="s">
        <v>575</v>
      </c>
      <c r="M71" s="165"/>
      <c r="N71" s="1"/>
    </row>
    <row r="72" spans="7:14" ht="19.5">
      <c r="G72" s="165" t="s">
        <v>604</v>
      </c>
      <c r="H72" s="169" t="s">
        <v>581</v>
      </c>
      <c r="I72" s="165"/>
      <c r="J72" s="1"/>
      <c r="K72" s="165" t="s">
        <v>604</v>
      </c>
      <c r="L72" s="170" t="s">
        <v>576</v>
      </c>
      <c r="M72" s="165"/>
      <c r="N72" s="1"/>
    </row>
    <row r="73" spans="7:14" ht="19.5">
      <c r="G73" s="165" t="s">
        <v>605</v>
      </c>
      <c r="H73" s="168" t="s">
        <v>575</v>
      </c>
      <c r="I73" s="165"/>
      <c r="J73" s="1"/>
      <c r="K73" s="165" t="s">
        <v>605</v>
      </c>
      <c r="L73" s="169" t="s">
        <v>581</v>
      </c>
      <c r="M73" s="165"/>
      <c r="N73" s="1"/>
    </row>
    <row r="74" spans="7:14" ht="19.5">
      <c r="G74" s="164" t="s">
        <v>580</v>
      </c>
      <c r="H74" s="163"/>
      <c r="I74" s="163"/>
      <c r="K74" s="164" t="s">
        <v>580</v>
      </c>
      <c r="L74" s="163"/>
      <c r="M74" s="163"/>
    </row>
    <row r="75" spans="7:14" ht="19.5">
      <c r="G75" s="165" t="s">
        <v>593</v>
      </c>
      <c r="H75" s="170" t="s">
        <v>576</v>
      </c>
      <c r="I75" s="165"/>
      <c r="J75" s="1"/>
      <c r="K75" s="165" t="s">
        <v>593</v>
      </c>
      <c r="L75" s="168" t="s">
        <v>575</v>
      </c>
      <c r="M75" s="165"/>
      <c r="N75" s="1"/>
    </row>
    <row r="76" spans="7:14" ht="19.5">
      <c r="G76" s="165" t="s">
        <v>594</v>
      </c>
      <c r="H76" s="169" t="s">
        <v>581</v>
      </c>
      <c r="I76" s="165"/>
      <c r="J76" s="1"/>
      <c r="K76" s="165" t="s">
        <v>594</v>
      </c>
      <c r="L76" s="170" t="s">
        <v>576</v>
      </c>
      <c r="M76" s="165"/>
      <c r="N76" s="1"/>
    </row>
    <row r="77" spans="7:14" ht="19.5">
      <c r="G77" s="165" t="s">
        <v>595</v>
      </c>
      <c r="H77" s="168" t="s">
        <v>575</v>
      </c>
      <c r="I77" s="165"/>
      <c r="J77" s="1"/>
      <c r="K77" s="165" t="s">
        <v>595</v>
      </c>
      <c r="L77" s="169" t="s">
        <v>581</v>
      </c>
      <c r="M77" s="165"/>
      <c r="N77" s="1"/>
    </row>
    <row r="78" spans="7:14" ht="19.5">
      <c r="G78" s="165" t="s">
        <v>596</v>
      </c>
      <c r="H78" s="170" t="s">
        <v>576</v>
      </c>
      <c r="I78" s="165"/>
      <c r="J78" s="1"/>
      <c r="K78" s="165" t="s">
        <v>596</v>
      </c>
      <c r="L78" s="168" t="s">
        <v>575</v>
      </c>
      <c r="M78" s="165"/>
      <c r="N78" s="1"/>
    </row>
  </sheetData>
  <mergeCells count="2">
    <mergeCell ref="G44:J44"/>
    <mergeCell ref="K44:N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98"/>
  <sheetViews>
    <sheetView workbookViewId="0">
      <pane ySplit="1" topLeftCell="A56" activePane="bottomLeft" state="frozen"/>
      <selection pane="bottomLeft" activeCell="C37" sqref="C37"/>
    </sheetView>
  </sheetViews>
  <sheetFormatPr baseColWidth="10" defaultRowHeight="15"/>
  <cols>
    <col min="1" max="1" width="32" bestFit="1" customWidth="1"/>
    <col min="3" max="7" width="7.140625" bestFit="1" customWidth="1"/>
    <col min="8" max="8" width="8" bestFit="1" customWidth="1"/>
    <col min="9" max="9" width="7.140625" bestFit="1" customWidth="1"/>
    <col min="10" max="10" width="8" bestFit="1" customWidth="1"/>
    <col min="11" max="11" width="7.140625" bestFit="1" customWidth="1"/>
    <col min="19" max="19" width="32" bestFit="1" customWidth="1"/>
  </cols>
  <sheetData>
    <row r="1" spans="1:20" ht="36">
      <c r="A1" s="20"/>
      <c r="B1" s="11" t="s">
        <v>18</v>
      </c>
      <c r="C1" s="12">
        <v>0.1</v>
      </c>
      <c r="D1" s="12">
        <v>0.15</v>
      </c>
      <c r="E1" s="12">
        <v>0.2</v>
      </c>
      <c r="F1" s="12">
        <v>0.25</v>
      </c>
      <c r="G1" s="12">
        <v>0.3</v>
      </c>
      <c r="H1" s="12">
        <v>0.35</v>
      </c>
      <c r="I1" s="12">
        <v>0.4</v>
      </c>
      <c r="J1" s="12">
        <v>0.45</v>
      </c>
      <c r="K1" s="12">
        <v>0.5</v>
      </c>
      <c r="L1" s="13" t="s">
        <v>19</v>
      </c>
      <c r="M1" s="21" t="s">
        <v>20</v>
      </c>
      <c r="N1" s="35"/>
      <c r="O1" t="s">
        <v>174</v>
      </c>
      <c r="P1" t="s">
        <v>173</v>
      </c>
    </row>
    <row r="2" spans="1:20">
      <c r="A2" s="1"/>
      <c r="B2" s="1"/>
      <c r="C2" s="22"/>
      <c r="D2" s="22"/>
      <c r="E2" s="22"/>
      <c r="F2" s="22"/>
      <c r="G2" s="22"/>
      <c r="H2" s="22"/>
      <c r="I2" s="22"/>
      <c r="J2" s="22"/>
      <c r="K2" s="22"/>
      <c r="L2" s="2"/>
      <c r="M2" s="2"/>
      <c r="N2" s="6"/>
    </row>
    <row r="3" spans="1:20">
      <c r="A3" s="1" t="s">
        <v>21</v>
      </c>
      <c r="B3" s="1">
        <v>950</v>
      </c>
      <c r="C3" s="1">
        <f t="shared" ref="C3:C35" si="0">B3*1.1</f>
        <v>1045</v>
      </c>
      <c r="D3" s="1">
        <f t="shared" ref="D3:D35" si="1">B3*1.15</f>
        <v>1092.5</v>
      </c>
      <c r="E3" s="1">
        <f t="shared" ref="E3:E35" si="2">B3*1.2</f>
        <v>1140</v>
      </c>
      <c r="F3" s="1">
        <f>B3*1.25</f>
        <v>1187.5</v>
      </c>
      <c r="G3" s="1">
        <f t="shared" ref="G3:G35" si="3">B3*1.3</f>
        <v>1235</v>
      </c>
      <c r="H3" s="1">
        <f t="shared" ref="H3:H35" si="4">B3*1.35</f>
        <v>1282.5</v>
      </c>
      <c r="I3" s="1">
        <f t="shared" ref="I3:I35" si="5">B3*1.4</f>
        <v>1330</v>
      </c>
      <c r="J3" s="1">
        <f>B3*1.45</f>
        <v>1377.5</v>
      </c>
      <c r="K3" s="14">
        <f>B3*1.5</f>
        <v>1425</v>
      </c>
      <c r="L3" s="15">
        <v>1400</v>
      </c>
      <c r="M3" s="2">
        <f>L3-B3</f>
        <v>450</v>
      </c>
      <c r="N3" s="6"/>
      <c r="P3">
        <f>+O3*B3</f>
        <v>0</v>
      </c>
    </row>
    <row r="4" spans="1:20">
      <c r="A4" s="1" t="s">
        <v>22</v>
      </c>
      <c r="B4" s="1">
        <v>2000</v>
      </c>
      <c r="C4" s="1">
        <f t="shared" si="0"/>
        <v>2200</v>
      </c>
      <c r="D4" s="1">
        <f t="shared" si="1"/>
        <v>2300</v>
      </c>
      <c r="E4" s="1">
        <f t="shared" si="2"/>
        <v>2400</v>
      </c>
      <c r="F4" s="1">
        <f t="shared" ref="F4:F69" si="6">B4*1.25</f>
        <v>2500</v>
      </c>
      <c r="G4" s="1">
        <f t="shared" si="3"/>
        <v>2600</v>
      </c>
      <c r="H4" s="1">
        <f t="shared" si="4"/>
        <v>2700</v>
      </c>
      <c r="I4" s="1">
        <f t="shared" si="5"/>
        <v>2800</v>
      </c>
      <c r="J4" s="1">
        <f t="shared" ref="J4:J69" si="7">B4*1.45</f>
        <v>2900</v>
      </c>
      <c r="K4" s="14">
        <f t="shared" ref="K4:K69" si="8">B4*1.5</f>
        <v>3000</v>
      </c>
      <c r="L4" s="15">
        <v>3000</v>
      </c>
      <c r="M4" s="2">
        <f>L4-B4</f>
        <v>1000</v>
      </c>
      <c r="N4" s="6"/>
      <c r="P4">
        <f t="shared" ref="P4:P68" si="9">+O4*B4</f>
        <v>0</v>
      </c>
    </row>
    <row r="5" spans="1:20">
      <c r="A5" s="1" t="s">
        <v>23</v>
      </c>
      <c r="B5" s="1">
        <v>530</v>
      </c>
      <c r="C5" s="1">
        <f>B5*1.1</f>
        <v>583</v>
      </c>
      <c r="D5" s="2">
        <f>B5*1.15</f>
        <v>609.5</v>
      </c>
      <c r="E5" s="2">
        <f>B5*1.2</f>
        <v>636</v>
      </c>
      <c r="F5" s="2">
        <f>B5*1.25</f>
        <v>662.5</v>
      </c>
      <c r="G5" s="2">
        <f>B5*1.3</f>
        <v>689</v>
      </c>
      <c r="H5" s="2">
        <f>B5*1.35</f>
        <v>715.5</v>
      </c>
      <c r="I5" s="2">
        <f>B5*1.4</f>
        <v>742</v>
      </c>
      <c r="J5" s="16">
        <f>B5*1.45</f>
        <v>768.5</v>
      </c>
      <c r="K5" s="16">
        <f>B5*1.5</f>
        <v>795</v>
      </c>
      <c r="L5" s="15">
        <v>1000</v>
      </c>
      <c r="M5" s="2">
        <f>L5-B5</f>
        <v>470</v>
      </c>
      <c r="N5" s="6"/>
      <c r="P5">
        <f t="shared" si="9"/>
        <v>0</v>
      </c>
    </row>
    <row r="6" spans="1:20">
      <c r="A6" s="1" t="s">
        <v>24</v>
      </c>
      <c r="B6" s="172">
        <v>900</v>
      </c>
      <c r="C6" s="1">
        <f t="shared" si="0"/>
        <v>990.00000000000011</v>
      </c>
      <c r="D6" s="2">
        <f t="shared" si="1"/>
        <v>1035</v>
      </c>
      <c r="E6" s="2">
        <f t="shared" si="2"/>
        <v>1080</v>
      </c>
      <c r="F6" s="2">
        <f t="shared" si="6"/>
        <v>1125</v>
      </c>
      <c r="G6" s="2">
        <f t="shared" si="3"/>
        <v>1170</v>
      </c>
      <c r="H6" s="2">
        <f t="shared" si="4"/>
        <v>1215</v>
      </c>
      <c r="I6" s="16">
        <f t="shared" si="5"/>
        <v>1260</v>
      </c>
      <c r="J6" s="16">
        <f t="shared" si="7"/>
        <v>1305</v>
      </c>
      <c r="K6" s="2">
        <f t="shared" si="8"/>
        <v>1350</v>
      </c>
      <c r="L6" s="15">
        <v>1300</v>
      </c>
      <c r="M6" s="2">
        <f t="shared" ref="M6:M71" si="10">L6-B6</f>
        <v>400</v>
      </c>
      <c r="N6" s="6"/>
      <c r="O6">
        <v>100</v>
      </c>
      <c r="P6">
        <f t="shared" si="9"/>
        <v>90000</v>
      </c>
    </row>
    <row r="7" spans="1:20">
      <c r="A7" s="1" t="s">
        <v>25</v>
      </c>
      <c r="B7" s="1">
        <v>916</v>
      </c>
      <c r="C7" s="1">
        <f t="shared" si="0"/>
        <v>1007.6000000000001</v>
      </c>
      <c r="D7" s="2">
        <f t="shared" si="1"/>
        <v>1053.3999999999999</v>
      </c>
      <c r="E7" s="2">
        <f t="shared" si="2"/>
        <v>1099.2</v>
      </c>
      <c r="F7" s="2">
        <f t="shared" si="6"/>
        <v>1145</v>
      </c>
      <c r="G7" s="2">
        <f t="shared" si="3"/>
        <v>1190.8</v>
      </c>
      <c r="H7" s="2">
        <f t="shared" si="4"/>
        <v>1236.6000000000001</v>
      </c>
      <c r="I7" s="2">
        <f t="shared" si="5"/>
        <v>1282.3999999999999</v>
      </c>
      <c r="J7" s="2">
        <f t="shared" si="7"/>
        <v>1328.2</v>
      </c>
      <c r="K7" s="2">
        <f t="shared" si="8"/>
        <v>1374</v>
      </c>
      <c r="L7" s="15">
        <v>1600</v>
      </c>
      <c r="M7" s="2">
        <f t="shared" si="10"/>
        <v>684</v>
      </c>
      <c r="N7" s="6"/>
      <c r="P7">
        <f t="shared" si="9"/>
        <v>0</v>
      </c>
    </row>
    <row r="8" spans="1:20">
      <c r="A8" s="1" t="s">
        <v>26</v>
      </c>
      <c r="B8" s="1">
        <v>3500</v>
      </c>
      <c r="C8" s="1">
        <f t="shared" si="0"/>
        <v>3850.0000000000005</v>
      </c>
      <c r="D8" s="2">
        <f t="shared" si="1"/>
        <v>4024.9999999999995</v>
      </c>
      <c r="E8" s="2">
        <f t="shared" si="2"/>
        <v>4200</v>
      </c>
      <c r="F8" s="2">
        <f t="shared" si="6"/>
        <v>4375</v>
      </c>
      <c r="G8" s="2">
        <f t="shared" si="3"/>
        <v>4550</v>
      </c>
      <c r="H8" s="2">
        <f t="shared" si="4"/>
        <v>4725</v>
      </c>
      <c r="I8" s="2">
        <f t="shared" si="5"/>
        <v>4900</v>
      </c>
      <c r="J8" s="16">
        <f t="shared" si="7"/>
        <v>5075</v>
      </c>
      <c r="K8" s="16">
        <f t="shared" si="8"/>
        <v>5250</v>
      </c>
      <c r="L8" s="15">
        <v>4200</v>
      </c>
      <c r="M8" s="2">
        <f t="shared" si="10"/>
        <v>700</v>
      </c>
      <c r="N8" s="6"/>
      <c r="P8">
        <f t="shared" si="9"/>
        <v>0</v>
      </c>
      <c r="R8" s="1"/>
      <c r="S8" s="1" t="s">
        <v>24</v>
      </c>
      <c r="T8" s="1">
        <v>100</v>
      </c>
    </row>
    <row r="9" spans="1:20">
      <c r="A9" s="1" t="s">
        <v>27</v>
      </c>
      <c r="B9" s="172">
        <v>1360</v>
      </c>
      <c r="C9" s="1">
        <f t="shared" si="0"/>
        <v>1496.0000000000002</v>
      </c>
      <c r="D9" s="2">
        <f t="shared" si="1"/>
        <v>1563.9999999999998</v>
      </c>
      <c r="E9" s="2">
        <f t="shared" si="2"/>
        <v>1632</v>
      </c>
      <c r="F9" s="2">
        <f t="shared" si="6"/>
        <v>1700</v>
      </c>
      <c r="G9" s="2">
        <f t="shared" si="3"/>
        <v>1768</v>
      </c>
      <c r="H9" s="2">
        <f t="shared" si="4"/>
        <v>1836.0000000000002</v>
      </c>
      <c r="I9" s="2">
        <f t="shared" si="5"/>
        <v>1903.9999999999998</v>
      </c>
      <c r="J9" s="16">
        <f t="shared" si="7"/>
        <v>1972</v>
      </c>
      <c r="K9" s="16">
        <f t="shared" si="8"/>
        <v>2040</v>
      </c>
      <c r="L9" s="15">
        <v>1800</v>
      </c>
      <c r="M9" s="2">
        <f>L9-B9</f>
        <v>440</v>
      </c>
      <c r="N9" s="6"/>
      <c r="P9">
        <f t="shared" si="9"/>
        <v>0</v>
      </c>
      <c r="S9" s="1" t="s">
        <v>28</v>
      </c>
      <c r="T9" s="1">
        <v>24</v>
      </c>
    </row>
    <row r="10" spans="1:20">
      <c r="A10" s="1" t="s">
        <v>611</v>
      </c>
      <c r="B10" s="172">
        <v>2042</v>
      </c>
      <c r="C10" s="1">
        <f t="shared" si="0"/>
        <v>2246.2000000000003</v>
      </c>
      <c r="D10" s="2">
        <f t="shared" si="1"/>
        <v>2348.2999999999997</v>
      </c>
      <c r="E10" s="2">
        <f t="shared" si="2"/>
        <v>2450.4</v>
      </c>
      <c r="F10" s="2">
        <f t="shared" si="6"/>
        <v>2552.5</v>
      </c>
      <c r="G10" s="2">
        <f t="shared" si="3"/>
        <v>2654.6</v>
      </c>
      <c r="H10" s="2">
        <f t="shared" si="4"/>
        <v>2756.7000000000003</v>
      </c>
      <c r="I10" s="2">
        <f t="shared" si="5"/>
        <v>2858.7999999999997</v>
      </c>
      <c r="J10" s="2">
        <f t="shared" si="7"/>
        <v>2960.9</v>
      </c>
      <c r="K10" s="2">
        <f t="shared" si="8"/>
        <v>3063</v>
      </c>
      <c r="L10" s="15">
        <v>2600</v>
      </c>
      <c r="M10" s="2">
        <f>L10-B10</f>
        <v>558</v>
      </c>
      <c r="N10" s="6"/>
      <c r="O10">
        <v>24</v>
      </c>
      <c r="P10">
        <f t="shared" si="9"/>
        <v>49008</v>
      </c>
      <c r="S10" s="1" t="s">
        <v>30</v>
      </c>
      <c r="T10" s="1">
        <v>30</v>
      </c>
    </row>
    <row r="11" spans="1:20">
      <c r="A11" s="1" t="s">
        <v>29</v>
      </c>
      <c r="B11" s="1">
        <v>1800</v>
      </c>
      <c r="C11" s="1">
        <f t="shared" si="0"/>
        <v>1980.0000000000002</v>
      </c>
      <c r="D11" s="2">
        <f t="shared" si="1"/>
        <v>2070</v>
      </c>
      <c r="E11" s="2">
        <f t="shared" si="2"/>
        <v>2160</v>
      </c>
      <c r="F11" s="2">
        <f t="shared" si="6"/>
        <v>2250</v>
      </c>
      <c r="G11" s="2">
        <f t="shared" si="3"/>
        <v>2340</v>
      </c>
      <c r="H11" s="2">
        <f t="shared" si="4"/>
        <v>2430</v>
      </c>
      <c r="I11" s="16">
        <f t="shared" si="5"/>
        <v>2520</v>
      </c>
      <c r="J11" s="16">
        <f t="shared" si="7"/>
        <v>2610</v>
      </c>
      <c r="K11" s="2">
        <f t="shared" si="8"/>
        <v>2700</v>
      </c>
      <c r="L11" s="15">
        <v>2400</v>
      </c>
      <c r="M11" s="2">
        <f>L11-B11</f>
        <v>600</v>
      </c>
      <c r="N11" s="6"/>
      <c r="P11">
        <f t="shared" si="9"/>
        <v>0</v>
      </c>
      <c r="S11" s="1" t="s">
        <v>31</v>
      </c>
      <c r="T11" s="1">
        <v>30</v>
      </c>
    </row>
    <row r="12" spans="1:20">
      <c r="A12" s="1" t="s">
        <v>612</v>
      </c>
      <c r="B12" s="172">
        <v>2500</v>
      </c>
      <c r="C12" s="1">
        <f t="shared" si="0"/>
        <v>2750</v>
      </c>
      <c r="D12" s="2">
        <f t="shared" si="1"/>
        <v>2875</v>
      </c>
      <c r="E12" s="2">
        <f t="shared" si="2"/>
        <v>3000</v>
      </c>
      <c r="F12" s="2">
        <f t="shared" si="6"/>
        <v>3125</v>
      </c>
      <c r="G12" s="2">
        <f t="shared" si="3"/>
        <v>3250</v>
      </c>
      <c r="H12" s="2">
        <f t="shared" si="4"/>
        <v>3375</v>
      </c>
      <c r="I12" s="2">
        <f t="shared" si="5"/>
        <v>3500</v>
      </c>
      <c r="J12" s="2">
        <f t="shared" si="7"/>
        <v>3625</v>
      </c>
      <c r="K12" s="2">
        <f t="shared" si="8"/>
        <v>3750</v>
      </c>
      <c r="L12" s="15">
        <v>3500</v>
      </c>
      <c r="M12" s="2">
        <f>L12-B12</f>
        <v>1000</v>
      </c>
      <c r="N12" s="6"/>
      <c r="O12">
        <v>30</v>
      </c>
      <c r="P12">
        <f t="shared" si="9"/>
        <v>75000</v>
      </c>
      <c r="S12" s="1" t="s">
        <v>609</v>
      </c>
      <c r="T12" s="1">
        <v>20</v>
      </c>
    </row>
    <row r="13" spans="1:20">
      <c r="A13" s="1" t="s">
        <v>31</v>
      </c>
      <c r="B13" s="172">
        <v>3300</v>
      </c>
      <c r="C13" s="1">
        <f t="shared" si="0"/>
        <v>3630.0000000000005</v>
      </c>
      <c r="D13" s="2">
        <f t="shared" si="1"/>
        <v>3794.9999999999995</v>
      </c>
      <c r="E13" s="2">
        <f t="shared" si="2"/>
        <v>3960</v>
      </c>
      <c r="F13" s="2">
        <f t="shared" si="6"/>
        <v>4125</v>
      </c>
      <c r="G13" s="2">
        <f t="shared" si="3"/>
        <v>4290</v>
      </c>
      <c r="H13" s="16">
        <f t="shared" si="4"/>
        <v>4455</v>
      </c>
      <c r="I13" s="16">
        <f t="shared" si="5"/>
        <v>4620</v>
      </c>
      <c r="J13" s="2">
        <f t="shared" si="7"/>
        <v>4785</v>
      </c>
      <c r="K13" s="2">
        <f t="shared" si="8"/>
        <v>4950</v>
      </c>
      <c r="L13" s="15">
        <v>4500</v>
      </c>
      <c r="M13" s="2">
        <f>L13-B13</f>
        <v>1200</v>
      </c>
      <c r="N13" s="6"/>
      <c r="O13">
        <v>30</v>
      </c>
      <c r="P13">
        <f t="shared" si="9"/>
        <v>99000</v>
      </c>
      <c r="S13" s="1" t="s">
        <v>41</v>
      </c>
      <c r="T13" s="1">
        <v>15</v>
      </c>
    </row>
    <row r="14" spans="1:20">
      <c r="A14" s="1" t="s">
        <v>32</v>
      </c>
      <c r="B14" s="2">
        <v>3700</v>
      </c>
      <c r="C14" s="2">
        <f t="shared" si="0"/>
        <v>4070.0000000000005</v>
      </c>
      <c r="D14" s="2">
        <f t="shared" si="1"/>
        <v>4255</v>
      </c>
      <c r="E14" s="2">
        <f t="shared" si="2"/>
        <v>4440</v>
      </c>
      <c r="F14" s="2">
        <f t="shared" si="6"/>
        <v>4625</v>
      </c>
      <c r="G14" s="2">
        <f t="shared" si="3"/>
        <v>4810</v>
      </c>
      <c r="H14" s="2">
        <f t="shared" si="4"/>
        <v>4995</v>
      </c>
      <c r="I14" s="2">
        <f t="shared" si="5"/>
        <v>5180</v>
      </c>
      <c r="J14" s="16">
        <f t="shared" si="7"/>
        <v>5365</v>
      </c>
      <c r="K14" s="2">
        <f t="shared" si="8"/>
        <v>5550</v>
      </c>
      <c r="L14" s="15">
        <v>4900</v>
      </c>
      <c r="M14" s="2">
        <f t="shared" ref="M14:M35" si="11">L14-B14</f>
        <v>1200</v>
      </c>
      <c r="N14" s="6"/>
      <c r="P14">
        <f t="shared" si="9"/>
        <v>0</v>
      </c>
      <c r="S14" s="1" t="s">
        <v>42</v>
      </c>
      <c r="T14" s="1">
        <v>50</v>
      </c>
    </row>
    <row r="15" spans="1:20">
      <c r="A15" s="1" t="s">
        <v>33</v>
      </c>
      <c r="B15" s="172">
        <v>900</v>
      </c>
      <c r="C15" s="1">
        <f t="shared" si="0"/>
        <v>990.00000000000011</v>
      </c>
      <c r="D15" s="2">
        <f t="shared" si="1"/>
        <v>1035</v>
      </c>
      <c r="E15" s="2">
        <f t="shared" si="2"/>
        <v>1080</v>
      </c>
      <c r="F15" s="2">
        <f t="shared" si="6"/>
        <v>1125</v>
      </c>
      <c r="G15" s="2">
        <f t="shared" si="3"/>
        <v>1170</v>
      </c>
      <c r="H15" s="2">
        <f t="shared" si="4"/>
        <v>1215</v>
      </c>
      <c r="I15" s="2">
        <f t="shared" si="5"/>
        <v>1260</v>
      </c>
      <c r="J15" s="2">
        <f t="shared" si="7"/>
        <v>1305</v>
      </c>
      <c r="K15" s="16">
        <f t="shared" si="8"/>
        <v>1350</v>
      </c>
      <c r="L15" s="15">
        <v>1200</v>
      </c>
      <c r="M15" s="2">
        <f t="shared" si="11"/>
        <v>300</v>
      </c>
      <c r="N15" s="6"/>
      <c r="P15">
        <f t="shared" si="9"/>
        <v>0</v>
      </c>
      <c r="S15" s="1" t="s">
        <v>610</v>
      </c>
      <c r="T15" s="2">
        <v>8</v>
      </c>
    </row>
    <row r="16" spans="1:20">
      <c r="A16" s="1" t="s">
        <v>34</v>
      </c>
      <c r="B16" s="1">
        <v>1100</v>
      </c>
      <c r="C16" s="1">
        <f t="shared" si="0"/>
        <v>1210</v>
      </c>
      <c r="D16" s="2">
        <f t="shared" si="1"/>
        <v>1265</v>
      </c>
      <c r="E16" s="2">
        <f t="shared" si="2"/>
        <v>1320</v>
      </c>
      <c r="F16" s="2">
        <f t="shared" si="6"/>
        <v>1375</v>
      </c>
      <c r="G16" s="2">
        <f t="shared" si="3"/>
        <v>1430</v>
      </c>
      <c r="H16" s="2">
        <f t="shared" si="4"/>
        <v>1485</v>
      </c>
      <c r="I16" s="2">
        <f t="shared" si="5"/>
        <v>1540</v>
      </c>
      <c r="J16" s="2">
        <f t="shared" si="7"/>
        <v>1595</v>
      </c>
      <c r="K16" s="2">
        <f t="shared" si="8"/>
        <v>1650</v>
      </c>
      <c r="L16" s="15">
        <v>1500</v>
      </c>
      <c r="M16" s="2">
        <f t="shared" si="11"/>
        <v>400</v>
      </c>
      <c r="N16" s="6"/>
      <c r="P16">
        <f t="shared" si="9"/>
        <v>0</v>
      </c>
      <c r="S16" s="1" t="s">
        <v>50</v>
      </c>
      <c r="T16" s="2">
        <v>100</v>
      </c>
    </row>
    <row r="17" spans="1:20">
      <c r="A17" s="1" t="s">
        <v>35</v>
      </c>
      <c r="B17" s="1">
        <v>750</v>
      </c>
      <c r="C17" s="1">
        <f t="shared" si="0"/>
        <v>825.00000000000011</v>
      </c>
      <c r="D17" s="2">
        <f t="shared" si="1"/>
        <v>862.49999999999989</v>
      </c>
      <c r="E17" s="2">
        <f t="shared" si="2"/>
        <v>900</v>
      </c>
      <c r="F17" s="2">
        <f t="shared" si="6"/>
        <v>937.5</v>
      </c>
      <c r="G17" s="2">
        <f t="shared" si="3"/>
        <v>975</v>
      </c>
      <c r="H17" s="2">
        <f t="shared" si="4"/>
        <v>1012.5000000000001</v>
      </c>
      <c r="I17" s="2">
        <f t="shared" si="5"/>
        <v>1050</v>
      </c>
      <c r="J17" s="2">
        <f t="shared" si="7"/>
        <v>1087.5</v>
      </c>
      <c r="K17" s="2">
        <f t="shared" si="8"/>
        <v>1125</v>
      </c>
      <c r="L17" s="15">
        <v>1000</v>
      </c>
      <c r="M17" s="2">
        <f t="shared" si="11"/>
        <v>250</v>
      </c>
      <c r="N17" s="6"/>
      <c r="P17">
        <f t="shared" si="9"/>
        <v>0</v>
      </c>
      <c r="S17" s="1" t="s">
        <v>51</v>
      </c>
      <c r="T17" s="2">
        <v>15</v>
      </c>
    </row>
    <row r="18" spans="1:20">
      <c r="A18" s="1" t="s">
        <v>36</v>
      </c>
      <c r="B18" s="1">
        <v>834</v>
      </c>
      <c r="C18" s="1">
        <f t="shared" si="0"/>
        <v>917.40000000000009</v>
      </c>
      <c r="D18" s="2">
        <f t="shared" si="1"/>
        <v>959.09999999999991</v>
      </c>
      <c r="E18" s="2">
        <f t="shared" si="2"/>
        <v>1000.8</v>
      </c>
      <c r="F18" s="2">
        <f t="shared" si="6"/>
        <v>1042.5</v>
      </c>
      <c r="G18" s="2">
        <f t="shared" si="3"/>
        <v>1084.2</v>
      </c>
      <c r="H18" s="2">
        <f t="shared" si="4"/>
        <v>1125.9000000000001</v>
      </c>
      <c r="I18" s="2">
        <f t="shared" si="5"/>
        <v>1167.5999999999999</v>
      </c>
      <c r="J18" s="2">
        <f t="shared" si="7"/>
        <v>1209.3</v>
      </c>
      <c r="K18" s="16">
        <f t="shared" si="8"/>
        <v>1251</v>
      </c>
      <c r="L18" s="15">
        <v>1200</v>
      </c>
      <c r="M18" s="2">
        <f t="shared" si="11"/>
        <v>366</v>
      </c>
      <c r="N18" s="6"/>
      <c r="P18">
        <f t="shared" si="9"/>
        <v>0</v>
      </c>
      <c r="S18" s="1" t="s">
        <v>214</v>
      </c>
      <c r="T18" s="2">
        <v>7</v>
      </c>
    </row>
    <row r="19" spans="1:20">
      <c r="A19" s="1" t="s">
        <v>37</v>
      </c>
      <c r="B19" s="1">
        <v>1200</v>
      </c>
      <c r="C19" s="1">
        <f t="shared" si="0"/>
        <v>1320</v>
      </c>
      <c r="D19" s="2">
        <f t="shared" si="1"/>
        <v>1380</v>
      </c>
      <c r="E19" s="2">
        <f t="shared" si="2"/>
        <v>1440</v>
      </c>
      <c r="F19" s="2">
        <f t="shared" si="6"/>
        <v>1500</v>
      </c>
      <c r="G19" s="16">
        <f t="shared" si="3"/>
        <v>1560</v>
      </c>
      <c r="H19" s="2">
        <f t="shared" si="4"/>
        <v>1620</v>
      </c>
      <c r="I19" s="2">
        <f t="shared" si="5"/>
        <v>1680</v>
      </c>
      <c r="J19" s="2">
        <f t="shared" si="7"/>
        <v>1740</v>
      </c>
      <c r="K19" s="2">
        <f t="shared" si="8"/>
        <v>1800</v>
      </c>
      <c r="L19" s="15">
        <v>1600</v>
      </c>
      <c r="M19" s="2">
        <f t="shared" si="11"/>
        <v>400</v>
      </c>
      <c r="N19" s="6"/>
      <c r="P19">
        <f t="shared" si="9"/>
        <v>0</v>
      </c>
      <c r="S19" s="1" t="s">
        <v>61</v>
      </c>
      <c r="T19" s="2">
        <v>20</v>
      </c>
    </row>
    <row r="20" spans="1:20">
      <c r="A20" s="1" t="s">
        <v>38</v>
      </c>
      <c r="B20" s="172">
        <v>2300</v>
      </c>
      <c r="C20" s="1">
        <f t="shared" si="0"/>
        <v>2530</v>
      </c>
      <c r="D20" s="2">
        <f t="shared" si="1"/>
        <v>2645</v>
      </c>
      <c r="E20" s="2">
        <f t="shared" si="2"/>
        <v>2760</v>
      </c>
      <c r="F20" s="2">
        <f t="shared" si="6"/>
        <v>2875</v>
      </c>
      <c r="G20" s="2">
        <f t="shared" si="3"/>
        <v>2990</v>
      </c>
      <c r="H20" s="16">
        <f t="shared" si="4"/>
        <v>3105</v>
      </c>
      <c r="I20" s="16">
        <f t="shared" si="5"/>
        <v>3220</v>
      </c>
      <c r="J20" s="2">
        <f t="shared" si="7"/>
        <v>3335</v>
      </c>
      <c r="K20" s="2">
        <f t="shared" si="8"/>
        <v>3450</v>
      </c>
      <c r="L20" s="15">
        <v>3500</v>
      </c>
      <c r="M20" s="2">
        <f t="shared" si="11"/>
        <v>1200</v>
      </c>
      <c r="N20" s="6"/>
      <c r="O20">
        <v>20</v>
      </c>
      <c r="P20">
        <f t="shared" si="9"/>
        <v>46000</v>
      </c>
      <c r="Q20" t="s">
        <v>608</v>
      </c>
      <c r="S20" s="1" t="s">
        <v>64</v>
      </c>
      <c r="T20" s="2">
        <v>20</v>
      </c>
    </row>
    <row r="21" spans="1:20">
      <c r="A21" s="1" t="s">
        <v>39</v>
      </c>
      <c r="B21" s="1">
        <v>4600</v>
      </c>
      <c r="C21" s="1">
        <f t="shared" si="0"/>
        <v>5060</v>
      </c>
      <c r="D21" s="2">
        <f t="shared" si="1"/>
        <v>5290</v>
      </c>
      <c r="E21" s="2">
        <f t="shared" si="2"/>
        <v>5520</v>
      </c>
      <c r="F21" s="2">
        <f t="shared" si="6"/>
        <v>5750</v>
      </c>
      <c r="G21" s="2">
        <f t="shared" si="3"/>
        <v>5980</v>
      </c>
      <c r="H21" s="16">
        <f t="shared" si="4"/>
        <v>6210</v>
      </c>
      <c r="I21" s="16">
        <f t="shared" si="5"/>
        <v>6440</v>
      </c>
      <c r="J21" s="2">
        <f t="shared" si="7"/>
        <v>6670</v>
      </c>
      <c r="K21" s="2">
        <f t="shared" si="8"/>
        <v>6900</v>
      </c>
      <c r="L21" s="15">
        <v>6000</v>
      </c>
      <c r="M21" s="2">
        <f t="shared" si="11"/>
        <v>1400</v>
      </c>
      <c r="N21" s="6"/>
      <c r="P21">
        <f t="shared" si="9"/>
        <v>0</v>
      </c>
      <c r="S21" s="1" t="s">
        <v>65</v>
      </c>
      <c r="T21" s="2">
        <v>20</v>
      </c>
    </row>
    <row r="22" spans="1:20">
      <c r="A22" s="1" t="s">
        <v>40</v>
      </c>
      <c r="B22" s="1">
        <v>4200</v>
      </c>
      <c r="C22" s="1">
        <f t="shared" si="0"/>
        <v>4620</v>
      </c>
      <c r="D22" s="2">
        <f t="shared" si="1"/>
        <v>4830</v>
      </c>
      <c r="E22" s="2">
        <f t="shared" si="2"/>
        <v>5040</v>
      </c>
      <c r="F22" s="2">
        <f t="shared" si="6"/>
        <v>5250</v>
      </c>
      <c r="G22" s="2">
        <f t="shared" si="3"/>
        <v>5460</v>
      </c>
      <c r="H22" s="2">
        <f t="shared" si="4"/>
        <v>5670</v>
      </c>
      <c r="I22" s="16">
        <f t="shared" si="5"/>
        <v>5880</v>
      </c>
      <c r="J22" s="16">
        <f t="shared" si="7"/>
        <v>6090</v>
      </c>
      <c r="K22" s="2">
        <f t="shared" si="8"/>
        <v>6300</v>
      </c>
      <c r="L22" s="15">
        <v>6000</v>
      </c>
      <c r="M22" s="2">
        <f t="shared" si="11"/>
        <v>1800</v>
      </c>
      <c r="N22" s="6"/>
      <c r="P22">
        <f t="shared" si="9"/>
        <v>0</v>
      </c>
      <c r="S22" s="1" t="s">
        <v>67</v>
      </c>
      <c r="T22" s="2">
        <v>30</v>
      </c>
    </row>
    <row r="23" spans="1:20">
      <c r="A23" s="1" t="s">
        <v>41</v>
      </c>
      <c r="B23" s="172">
        <v>6800</v>
      </c>
      <c r="C23" s="1">
        <f t="shared" si="0"/>
        <v>7480.0000000000009</v>
      </c>
      <c r="D23" s="2">
        <f t="shared" si="1"/>
        <v>7819.9999999999991</v>
      </c>
      <c r="E23" s="2">
        <f t="shared" si="2"/>
        <v>8160</v>
      </c>
      <c r="F23" s="2">
        <f t="shared" si="6"/>
        <v>8500</v>
      </c>
      <c r="G23" s="16">
        <f t="shared" si="3"/>
        <v>8840</v>
      </c>
      <c r="H23" s="16">
        <f t="shared" si="4"/>
        <v>9180</v>
      </c>
      <c r="I23" s="2">
        <f t="shared" si="5"/>
        <v>9520</v>
      </c>
      <c r="J23" s="2">
        <f t="shared" si="7"/>
        <v>9860</v>
      </c>
      <c r="K23" s="2">
        <f t="shared" si="8"/>
        <v>10200</v>
      </c>
      <c r="L23" s="15">
        <v>9000</v>
      </c>
      <c r="M23" s="2">
        <f t="shared" si="11"/>
        <v>2200</v>
      </c>
      <c r="N23" s="6"/>
      <c r="O23">
        <v>15</v>
      </c>
      <c r="P23">
        <f t="shared" si="9"/>
        <v>102000</v>
      </c>
      <c r="S23" s="1" t="s">
        <v>76</v>
      </c>
      <c r="T23" s="2">
        <v>20</v>
      </c>
    </row>
    <row r="24" spans="1:20">
      <c r="A24" s="1" t="s">
        <v>42</v>
      </c>
      <c r="B24" s="1">
        <v>250</v>
      </c>
      <c r="C24" s="2">
        <f t="shared" si="0"/>
        <v>275</v>
      </c>
      <c r="D24" s="2">
        <f t="shared" si="1"/>
        <v>287.5</v>
      </c>
      <c r="E24" s="2">
        <f t="shared" si="2"/>
        <v>300</v>
      </c>
      <c r="F24" s="2">
        <f t="shared" si="6"/>
        <v>312.5</v>
      </c>
      <c r="G24" s="2">
        <f t="shared" si="3"/>
        <v>325</v>
      </c>
      <c r="H24" s="2">
        <f t="shared" si="4"/>
        <v>337.5</v>
      </c>
      <c r="I24" s="2">
        <f t="shared" si="5"/>
        <v>350</v>
      </c>
      <c r="J24" s="2">
        <f t="shared" si="7"/>
        <v>362.5</v>
      </c>
      <c r="K24" s="2">
        <f t="shared" si="8"/>
        <v>375</v>
      </c>
      <c r="L24" s="15">
        <v>500</v>
      </c>
      <c r="M24" s="2">
        <f t="shared" si="11"/>
        <v>250</v>
      </c>
      <c r="N24" s="6"/>
      <c r="O24">
        <v>50</v>
      </c>
      <c r="P24">
        <f t="shared" si="9"/>
        <v>12500</v>
      </c>
      <c r="S24" s="1" t="s">
        <v>77</v>
      </c>
      <c r="T24" s="2">
        <v>20</v>
      </c>
    </row>
    <row r="25" spans="1:20">
      <c r="A25" s="1" t="s">
        <v>43</v>
      </c>
      <c r="B25" s="1">
        <v>43800</v>
      </c>
      <c r="C25" s="2">
        <f t="shared" si="0"/>
        <v>48180.000000000007</v>
      </c>
      <c r="D25" s="2">
        <f t="shared" si="1"/>
        <v>50369.999999999993</v>
      </c>
      <c r="E25" s="2">
        <f t="shared" si="2"/>
        <v>52560</v>
      </c>
      <c r="F25" s="2">
        <f t="shared" si="6"/>
        <v>54750</v>
      </c>
      <c r="G25" s="2">
        <f t="shared" si="3"/>
        <v>56940</v>
      </c>
      <c r="H25" s="16">
        <f t="shared" si="4"/>
        <v>59130.000000000007</v>
      </c>
      <c r="I25" s="16">
        <f t="shared" si="5"/>
        <v>61319.999999999993</v>
      </c>
      <c r="J25" s="2">
        <f t="shared" si="7"/>
        <v>63510</v>
      </c>
      <c r="K25" s="2">
        <f t="shared" si="8"/>
        <v>65700</v>
      </c>
      <c r="L25" s="15">
        <v>46000</v>
      </c>
      <c r="M25" s="2">
        <f t="shared" si="11"/>
        <v>2200</v>
      </c>
      <c r="N25" s="6"/>
      <c r="O25">
        <v>8</v>
      </c>
      <c r="P25">
        <f t="shared" si="9"/>
        <v>350400</v>
      </c>
      <c r="S25" s="1" t="s">
        <v>80</v>
      </c>
      <c r="T25" s="2">
        <v>30</v>
      </c>
    </row>
    <row r="26" spans="1:20">
      <c r="A26" s="1" t="s">
        <v>519</v>
      </c>
      <c r="B26" s="172">
        <v>42000</v>
      </c>
      <c r="C26" s="2">
        <f t="shared" si="0"/>
        <v>46200.000000000007</v>
      </c>
      <c r="D26" s="2">
        <f t="shared" si="1"/>
        <v>48299.999999999993</v>
      </c>
      <c r="E26" s="2">
        <f t="shared" si="2"/>
        <v>50400</v>
      </c>
      <c r="F26" s="2">
        <f t="shared" si="6"/>
        <v>52500</v>
      </c>
      <c r="G26" s="2">
        <f t="shared" si="3"/>
        <v>54600</v>
      </c>
      <c r="H26" s="16">
        <f t="shared" si="4"/>
        <v>56700.000000000007</v>
      </c>
      <c r="I26" s="16">
        <f t="shared" si="5"/>
        <v>58799.999999999993</v>
      </c>
      <c r="J26" s="2">
        <f t="shared" si="7"/>
        <v>60900</v>
      </c>
      <c r="K26" s="2">
        <f t="shared" si="8"/>
        <v>63000</v>
      </c>
      <c r="L26" s="15">
        <v>47000</v>
      </c>
      <c r="M26" s="2">
        <f t="shared" si="11"/>
        <v>5000</v>
      </c>
      <c r="N26" s="6"/>
      <c r="P26">
        <f t="shared" si="9"/>
        <v>0</v>
      </c>
      <c r="S26" s="1" t="s">
        <v>81</v>
      </c>
      <c r="T26" s="2">
        <v>30</v>
      </c>
    </row>
    <row r="27" spans="1:20">
      <c r="A27" s="1" t="s">
        <v>44</v>
      </c>
      <c r="B27" s="2">
        <v>78500</v>
      </c>
      <c r="C27" s="2">
        <f t="shared" si="0"/>
        <v>86350</v>
      </c>
      <c r="D27" s="2">
        <f t="shared" si="1"/>
        <v>90275</v>
      </c>
      <c r="E27" s="2">
        <f t="shared" si="2"/>
        <v>94200</v>
      </c>
      <c r="F27" s="2">
        <f t="shared" si="6"/>
        <v>98125</v>
      </c>
      <c r="G27" s="2">
        <f t="shared" si="3"/>
        <v>102050</v>
      </c>
      <c r="H27" s="2">
        <f t="shared" si="4"/>
        <v>105975</v>
      </c>
      <c r="I27" s="2">
        <f t="shared" si="5"/>
        <v>109900</v>
      </c>
      <c r="J27" s="2">
        <f t="shared" si="7"/>
        <v>113825</v>
      </c>
      <c r="K27" s="2">
        <f t="shared" si="8"/>
        <v>117750</v>
      </c>
      <c r="L27" s="15">
        <v>86000</v>
      </c>
      <c r="M27" s="2">
        <f t="shared" si="11"/>
        <v>7500</v>
      </c>
      <c r="N27" s="6"/>
      <c r="P27">
        <f t="shared" si="9"/>
        <v>0</v>
      </c>
      <c r="S27" s="1" t="s">
        <v>86</v>
      </c>
      <c r="T27" s="2">
        <v>20</v>
      </c>
    </row>
    <row r="28" spans="1:20">
      <c r="A28" s="1" t="s">
        <v>45</v>
      </c>
      <c r="B28" s="172">
        <v>56000</v>
      </c>
      <c r="C28" s="2">
        <f t="shared" si="0"/>
        <v>61600.000000000007</v>
      </c>
      <c r="D28" s="2">
        <f t="shared" si="1"/>
        <v>64399.999999999993</v>
      </c>
      <c r="E28" s="2">
        <f t="shared" si="2"/>
        <v>67200</v>
      </c>
      <c r="F28" s="2">
        <f t="shared" si="6"/>
        <v>70000</v>
      </c>
      <c r="G28" s="2">
        <f t="shared" si="3"/>
        <v>72800</v>
      </c>
      <c r="H28" s="2">
        <f t="shared" si="4"/>
        <v>75600</v>
      </c>
      <c r="I28" s="2">
        <f t="shared" si="5"/>
        <v>78400</v>
      </c>
      <c r="J28" s="2">
        <f t="shared" si="7"/>
        <v>81200</v>
      </c>
      <c r="K28" s="2">
        <f t="shared" si="8"/>
        <v>84000</v>
      </c>
      <c r="L28" s="15">
        <v>63000</v>
      </c>
      <c r="M28" s="2">
        <f t="shared" si="11"/>
        <v>7000</v>
      </c>
      <c r="N28" s="6"/>
      <c r="P28">
        <f t="shared" si="9"/>
        <v>0</v>
      </c>
      <c r="S28" s="1" t="s">
        <v>93</v>
      </c>
      <c r="T28" s="2">
        <v>200</v>
      </c>
    </row>
    <row r="29" spans="1:20">
      <c r="A29" s="1" t="s">
        <v>46</v>
      </c>
      <c r="B29" s="172">
        <v>23500</v>
      </c>
      <c r="C29" s="2">
        <f t="shared" si="0"/>
        <v>25850.000000000004</v>
      </c>
      <c r="D29" s="2">
        <f t="shared" si="1"/>
        <v>27024.999999999996</v>
      </c>
      <c r="E29" s="2">
        <f t="shared" si="2"/>
        <v>28200</v>
      </c>
      <c r="F29" s="2">
        <f t="shared" si="6"/>
        <v>29375</v>
      </c>
      <c r="G29" s="2">
        <f t="shared" si="3"/>
        <v>30550</v>
      </c>
      <c r="H29" s="2">
        <f t="shared" si="4"/>
        <v>31725.000000000004</v>
      </c>
      <c r="I29" s="2">
        <f t="shared" si="5"/>
        <v>32900</v>
      </c>
      <c r="J29" s="2">
        <f t="shared" si="7"/>
        <v>34075</v>
      </c>
      <c r="K29" s="2">
        <f t="shared" si="8"/>
        <v>35250</v>
      </c>
      <c r="L29" s="15">
        <v>26000</v>
      </c>
      <c r="M29" s="2">
        <f t="shared" si="11"/>
        <v>2500</v>
      </c>
      <c r="N29" s="6"/>
      <c r="P29">
        <f t="shared" si="9"/>
        <v>0</v>
      </c>
      <c r="S29" s="1" t="s">
        <v>186</v>
      </c>
      <c r="T29" s="2">
        <v>10</v>
      </c>
    </row>
    <row r="30" spans="1:20">
      <c r="A30" s="1" t="s">
        <v>47</v>
      </c>
      <c r="B30" s="2">
        <v>18000</v>
      </c>
      <c r="C30" s="2">
        <f t="shared" si="0"/>
        <v>19800</v>
      </c>
      <c r="D30" s="2">
        <f t="shared" si="1"/>
        <v>20700</v>
      </c>
      <c r="E30" s="2">
        <f t="shared" si="2"/>
        <v>21600</v>
      </c>
      <c r="F30" s="2">
        <f t="shared" si="6"/>
        <v>22500</v>
      </c>
      <c r="G30" s="2">
        <f t="shared" si="3"/>
        <v>23400</v>
      </c>
      <c r="H30" s="2">
        <f t="shared" si="4"/>
        <v>24300</v>
      </c>
      <c r="I30" s="2">
        <f t="shared" si="5"/>
        <v>25200</v>
      </c>
      <c r="J30" s="2">
        <f t="shared" si="7"/>
        <v>26100</v>
      </c>
      <c r="K30" s="2">
        <f t="shared" si="8"/>
        <v>27000</v>
      </c>
      <c r="L30" s="15">
        <v>20000</v>
      </c>
      <c r="M30" s="2">
        <f t="shared" si="11"/>
        <v>2000</v>
      </c>
      <c r="N30" s="6"/>
      <c r="P30">
        <f t="shared" si="9"/>
        <v>0</v>
      </c>
      <c r="S30" s="1" t="s">
        <v>100</v>
      </c>
      <c r="T30" s="2">
        <v>6</v>
      </c>
    </row>
    <row r="31" spans="1:20">
      <c r="A31" s="1" t="s">
        <v>48</v>
      </c>
      <c r="B31" s="2">
        <v>52000</v>
      </c>
      <c r="C31" s="2">
        <f t="shared" si="0"/>
        <v>57200.000000000007</v>
      </c>
      <c r="D31" s="2">
        <f t="shared" si="1"/>
        <v>59799.999999999993</v>
      </c>
      <c r="E31" s="2">
        <f t="shared" si="2"/>
        <v>62400</v>
      </c>
      <c r="F31" s="2">
        <f t="shared" si="6"/>
        <v>65000</v>
      </c>
      <c r="G31" s="2">
        <f t="shared" si="3"/>
        <v>67600</v>
      </c>
      <c r="H31" s="2">
        <f t="shared" si="4"/>
        <v>70200</v>
      </c>
      <c r="I31" s="2">
        <f t="shared" si="5"/>
        <v>72800</v>
      </c>
      <c r="J31" s="2">
        <f t="shared" si="7"/>
        <v>75400</v>
      </c>
      <c r="K31" s="2">
        <f t="shared" si="8"/>
        <v>78000</v>
      </c>
      <c r="L31" s="15">
        <v>54000</v>
      </c>
      <c r="M31" s="2">
        <f t="shared" si="11"/>
        <v>2000</v>
      </c>
      <c r="N31" s="6"/>
      <c r="P31">
        <f t="shared" si="9"/>
        <v>0</v>
      </c>
      <c r="S31" s="1" t="s">
        <v>187</v>
      </c>
      <c r="T31" s="2">
        <v>6</v>
      </c>
    </row>
    <row r="32" spans="1:20">
      <c r="A32" s="1" t="s">
        <v>49</v>
      </c>
      <c r="B32" s="2">
        <v>76900</v>
      </c>
      <c r="C32" s="2">
        <f t="shared" si="0"/>
        <v>84590</v>
      </c>
      <c r="D32" s="2">
        <f t="shared" si="1"/>
        <v>88435</v>
      </c>
      <c r="E32" s="2">
        <f t="shared" si="2"/>
        <v>92280</v>
      </c>
      <c r="F32" s="2">
        <f t="shared" si="6"/>
        <v>96125</v>
      </c>
      <c r="G32" s="2">
        <f t="shared" si="3"/>
        <v>99970</v>
      </c>
      <c r="H32" s="2">
        <f t="shared" si="4"/>
        <v>103815</v>
      </c>
      <c r="I32" s="2">
        <f t="shared" si="5"/>
        <v>107660</v>
      </c>
      <c r="J32" s="2">
        <f t="shared" si="7"/>
        <v>111505</v>
      </c>
      <c r="K32" s="2">
        <f t="shared" si="8"/>
        <v>115350</v>
      </c>
      <c r="L32" s="15">
        <v>83000</v>
      </c>
      <c r="M32" s="2">
        <f t="shared" si="11"/>
        <v>6100</v>
      </c>
      <c r="N32" s="6"/>
      <c r="P32">
        <f t="shared" si="9"/>
        <v>0</v>
      </c>
      <c r="S32" s="2" t="s">
        <v>607</v>
      </c>
      <c r="T32" s="2">
        <v>4</v>
      </c>
    </row>
    <row r="33" spans="1:16">
      <c r="A33" s="1" t="s">
        <v>50</v>
      </c>
      <c r="B33" s="2">
        <v>2600</v>
      </c>
      <c r="C33" s="2">
        <f t="shared" si="0"/>
        <v>2860.0000000000005</v>
      </c>
      <c r="D33" s="2">
        <f t="shared" si="1"/>
        <v>2989.9999999999995</v>
      </c>
      <c r="E33" s="2">
        <f t="shared" si="2"/>
        <v>3120</v>
      </c>
      <c r="F33" s="2">
        <f t="shared" si="6"/>
        <v>3250</v>
      </c>
      <c r="G33" s="2">
        <f t="shared" si="3"/>
        <v>3380</v>
      </c>
      <c r="H33" s="16">
        <f t="shared" si="4"/>
        <v>3510.0000000000005</v>
      </c>
      <c r="I33" s="16">
        <f t="shared" si="5"/>
        <v>3639.9999999999995</v>
      </c>
      <c r="J33" s="2">
        <f t="shared" si="7"/>
        <v>3770</v>
      </c>
      <c r="K33" s="2">
        <f t="shared" si="8"/>
        <v>3900</v>
      </c>
      <c r="L33" s="15">
        <v>3500</v>
      </c>
      <c r="M33" s="2">
        <f t="shared" si="11"/>
        <v>900</v>
      </c>
      <c r="N33" s="6"/>
      <c r="O33">
        <v>100</v>
      </c>
      <c r="P33">
        <f t="shared" si="9"/>
        <v>260000</v>
      </c>
    </row>
    <row r="34" spans="1:16">
      <c r="A34" s="1" t="s">
        <v>51</v>
      </c>
      <c r="B34" s="172">
        <v>6800</v>
      </c>
      <c r="C34" s="2">
        <f t="shared" si="0"/>
        <v>7480.0000000000009</v>
      </c>
      <c r="D34" s="2">
        <f t="shared" si="1"/>
        <v>7819.9999999999991</v>
      </c>
      <c r="E34" s="2">
        <f t="shared" si="2"/>
        <v>8160</v>
      </c>
      <c r="F34" s="2">
        <f t="shared" si="6"/>
        <v>8500</v>
      </c>
      <c r="G34" s="2">
        <f t="shared" si="3"/>
        <v>8840</v>
      </c>
      <c r="H34" s="16">
        <f t="shared" si="4"/>
        <v>9180</v>
      </c>
      <c r="I34" s="16">
        <f t="shared" si="5"/>
        <v>9520</v>
      </c>
      <c r="J34" s="2">
        <f t="shared" si="7"/>
        <v>9860</v>
      </c>
      <c r="K34" s="2">
        <f t="shared" si="8"/>
        <v>10200</v>
      </c>
      <c r="L34" s="15">
        <v>9000</v>
      </c>
      <c r="M34" s="2">
        <f t="shared" si="11"/>
        <v>2200</v>
      </c>
      <c r="N34" s="6"/>
      <c r="O34">
        <v>15</v>
      </c>
      <c r="P34">
        <f t="shared" si="9"/>
        <v>102000</v>
      </c>
    </row>
    <row r="35" spans="1:16">
      <c r="A35" s="1" t="s">
        <v>214</v>
      </c>
      <c r="B35" s="172">
        <v>9800</v>
      </c>
      <c r="C35" s="2">
        <f t="shared" si="0"/>
        <v>10780</v>
      </c>
      <c r="D35" s="2">
        <f t="shared" si="1"/>
        <v>11270</v>
      </c>
      <c r="E35" s="2">
        <f t="shared" si="2"/>
        <v>11760</v>
      </c>
      <c r="F35" s="2">
        <f t="shared" si="6"/>
        <v>12250</v>
      </c>
      <c r="G35" s="2">
        <f t="shared" si="3"/>
        <v>12740</v>
      </c>
      <c r="H35" s="16">
        <f t="shared" si="4"/>
        <v>13230</v>
      </c>
      <c r="I35" s="16">
        <f t="shared" si="5"/>
        <v>13720</v>
      </c>
      <c r="J35" s="2">
        <f t="shared" si="7"/>
        <v>14210</v>
      </c>
      <c r="K35" s="2">
        <f t="shared" si="8"/>
        <v>14700</v>
      </c>
      <c r="L35" s="15">
        <v>14000</v>
      </c>
      <c r="M35" s="2">
        <f t="shared" si="11"/>
        <v>4200</v>
      </c>
      <c r="N35" s="6"/>
      <c r="O35">
        <v>7</v>
      </c>
      <c r="P35">
        <f t="shared" si="9"/>
        <v>68600</v>
      </c>
    </row>
    <row r="36" spans="1:16">
      <c r="A36" s="1" t="s">
        <v>52</v>
      </c>
      <c r="B36" s="1">
        <v>10000</v>
      </c>
      <c r="C36" s="1">
        <f t="shared" ref="C36:C86" si="12">B36*1.1</f>
        <v>11000</v>
      </c>
      <c r="D36" s="2">
        <f t="shared" ref="D36:D86" si="13">B36*1.15</f>
        <v>11500</v>
      </c>
      <c r="E36" s="16">
        <f t="shared" ref="E36:E86" si="14">B36*1.2</f>
        <v>12000</v>
      </c>
      <c r="F36" s="16">
        <f t="shared" ref="F36:F45" si="15">B36*1.25</f>
        <v>12500</v>
      </c>
      <c r="G36" s="2">
        <f t="shared" ref="G36:G86" si="16">B36*1.3</f>
        <v>13000</v>
      </c>
      <c r="H36" s="2">
        <f t="shared" ref="H36:H86" si="17">B36*1.35</f>
        <v>13500</v>
      </c>
      <c r="I36" s="2">
        <f t="shared" ref="I36:I86" si="18">B36*1.4</f>
        <v>14000</v>
      </c>
      <c r="J36" s="2">
        <f t="shared" ref="J36:J45" si="19">B36*1.45</f>
        <v>14500</v>
      </c>
      <c r="K36" s="2">
        <f t="shared" ref="K36:K45" si="20">B36*1.5</f>
        <v>15000</v>
      </c>
      <c r="L36" s="15">
        <v>11000</v>
      </c>
      <c r="M36" s="2">
        <f t="shared" ref="M36:M45" si="21">L36-B36</f>
        <v>1000</v>
      </c>
      <c r="N36" s="6"/>
      <c r="P36">
        <f t="shared" si="9"/>
        <v>0</v>
      </c>
    </row>
    <row r="37" spans="1:16">
      <c r="A37" s="1" t="s">
        <v>53</v>
      </c>
      <c r="B37" s="1">
        <v>14900</v>
      </c>
      <c r="C37" s="1">
        <f t="shared" si="12"/>
        <v>16390</v>
      </c>
      <c r="D37" s="16">
        <f t="shared" si="13"/>
        <v>17135</v>
      </c>
      <c r="E37" s="16">
        <f t="shared" si="14"/>
        <v>17880</v>
      </c>
      <c r="F37" s="2">
        <f t="shared" si="15"/>
        <v>18625</v>
      </c>
      <c r="G37" s="2">
        <f t="shared" si="16"/>
        <v>19370</v>
      </c>
      <c r="H37" s="2">
        <f t="shared" si="17"/>
        <v>20115</v>
      </c>
      <c r="I37" s="2">
        <f t="shared" si="18"/>
        <v>20860</v>
      </c>
      <c r="J37" s="2">
        <f t="shared" si="19"/>
        <v>21605</v>
      </c>
      <c r="K37" s="2">
        <f t="shared" si="20"/>
        <v>22350</v>
      </c>
      <c r="L37" s="15">
        <v>16000</v>
      </c>
      <c r="M37" s="2">
        <f t="shared" si="21"/>
        <v>1100</v>
      </c>
      <c r="N37" s="6"/>
      <c r="P37">
        <f t="shared" si="9"/>
        <v>0</v>
      </c>
    </row>
    <row r="38" spans="1:16">
      <c r="A38" s="1" t="s">
        <v>54</v>
      </c>
      <c r="B38" s="1">
        <v>8600</v>
      </c>
      <c r="C38" s="1">
        <f t="shared" si="12"/>
        <v>9460</v>
      </c>
      <c r="D38" s="16">
        <f t="shared" si="13"/>
        <v>9890</v>
      </c>
      <c r="E38" s="16">
        <f t="shared" si="14"/>
        <v>10320</v>
      </c>
      <c r="F38" s="2">
        <f t="shared" si="15"/>
        <v>10750</v>
      </c>
      <c r="G38" s="2">
        <f t="shared" si="16"/>
        <v>11180</v>
      </c>
      <c r="H38" s="2">
        <f t="shared" si="17"/>
        <v>11610</v>
      </c>
      <c r="I38" s="2">
        <f t="shared" si="18"/>
        <v>12040</v>
      </c>
      <c r="J38" s="2">
        <f t="shared" si="19"/>
        <v>12470</v>
      </c>
      <c r="K38" s="2">
        <f t="shared" si="20"/>
        <v>12900</v>
      </c>
      <c r="L38" s="15">
        <v>11000</v>
      </c>
      <c r="M38" s="2">
        <f t="shared" si="21"/>
        <v>2400</v>
      </c>
      <c r="N38" s="6"/>
      <c r="P38">
        <f t="shared" si="9"/>
        <v>0</v>
      </c>
    </row>
    <row r="39" spans="1:16">
      <c r="A39" s="1" t="s">
        <v>620</v>
      </c>
      <c r="B39" s="1">
        <v>1900</v>
      </c>
      <c r="C39" s="1">
        <f t="shared" si="12"/>
        <v>2090</v>
      </c>
      <c r="D39" s="2">
        <f t="shared" si="13"/>
        <v>2185</v>
      </c>
      <c r="E39" s="2">
        <f t="shared" si="14"/>
        <v>2280</v>
      </c>
      <c r="F39" s="2">
        <f t="shared" si="15"/>
        <v>2375</v>
      </c>
      <c r="G39" s="2">
        <f t="shared" si="16"/>
        <v>2470</v>
      </c>
      <c r="H39" s="2">
        <f t="shared" si="17"/>
        <v>2565</v>
      </c>
      <c r="I39" s="16">
        <f t="shared" si="18"/>
        <v>2660</v>
      </c>
      <c r="J39" s="2">
        <f t="shared" si="19"/>
        <v>2755</v>
      </c>
      <c r="K39" s="2">
        <f t="shared" si="20"/>
        <v>2850</v>
      </c>
      <c r="L39" s="15">
        <v>3500</v>
      </c>
      <c r="M39" s="2">
        <f t="shared" si="21"/>
        <v>1600</v>
      </c>
      <c r="N39" s="6"/>
      <c r="P39">
        <f t="shared" si="9"/>
        <v>0</v>
      </c>
    </row>
    <row r="40" spans="1:16">
      <c r="A40" s="1" t="s">
        <v>55</v>
      </c>
      <c r="B40" s="1">
        <v>3900</v>
      </c>
      <c r="C40" s="1">
        <f t="shared" si="12"/>
        <v>4290</v>
      </c>
      <c r="D40" s="2">
        <f t="shared" si="13"/>
        <v>4485</v>
      </c>
      <c r="E40" s="2">
        <f t="shared" si="14"/>
        <v>4680</v>
      </c>
      <c r="F40" s="2">
        <f t="shared" si="15"/>
        <v>4875</v>
      </c>
      <c r="G40" s="2">
        <f t="shared" si="16"/>
        <v>5070</v>
      </c>
      <c r="H40" s="2">
        <f t="shared" si="17"/>
        <v>5265</v>
      </c>
      <c r="I40" s="16">
        <f t="shared" si="18"/>
        <v>5460</v>
      </c>
      <c r="J40" s="16">
        <f t="shared" si="19"/>
        <v>5655</v>
      </c>
      <c r="K40" s="2">
        <f t="shared" si="20"/>
        <v>5850</v>
      </c>
      <c r="L40" s="15">
        <v>5600</v>
      </c>
      <c r="M40" s="2">
        <f t="shared" si="21"/>
        <v>1700</v>
      </c>
      <c r="N40" s="6"/>
      <c r="P40">
        <f t="shared" si="9"/>
        <v>0</v>
      </c>
    </row>
    <row r="41" spans="1:16">
      <c r="A41" s="1" t="s">
        <v>56</v>
      </c>
      <c r="B41" s="1">
        <v>4700</v>
      </c>
      <c r="C41" s="1">
        <f t="shared" si="12"/>
        <v>5170</v>
      </c>
      <c r="D41" s="2">
        <f t="shared" si="13"/>
        <v>5405</v>
      </c>
      <c r="E41" s="2">
        <f t="shared" si="14"/>
        <v>5640</v>
      </c>
      <c r="F41" s="2">
        <f t="shared" si="15"/>
        <v>5875</v>
      </c>
      <c r="G41" s="2">
        <f t="shared" si="16"/>
        <v>6110</v>
      </c>
      <c r="H41" s="2">
        <f t="shared" si="17"/>
        <v>6345</v>
      </c>
      <c r="I41" s="16">
        <f t="shared" si="18"/>
        <v>6580</v>
      </c>
      <c r="J41" s="16">
        <f t="shared" si="19"/>
        <v>6815</v>
      </c>
      <c r="K41" s="2">
        <f t="shared" si="20"/>
        <v>7050</v>
      </c>
      <c r="L41" s="15">
        <v>6500</v>
      </c>
      <c r="M41" s="2">
        <f t="shared" si="21"/>
        <v>1800</v>
      </c>
      <c r="N41" s="6"/>
      <c r="P41">
        <f t="shared" si="9"/>
        <v>0</v>
      </c>
    </row>
    <row r="42" spans="1:16">
      <c r="A42" s="1" t="s">
        <v>57</v>
      </c>
      <c r="B42" s="1">
        <v>500</v>
      </c>
      <c r="C42" s="1">
        <f t="shared" si="12"/>
        <v>550</v>
      </c>
      <c r="D42" s="2">
        <f t="shared" si="13"/>
        <v>575</v>
      </c>
      <c r="E42" s="2">
        <f t="shared" si="14"/>
        <v>600</v>
      </c>
      <c r="F42" s="2">
        <f t="shared" si="15"/>
        <v>625</v>
      </c>
      <c r="G42" s="2">
        <f t="shared" si="16"/>
        <v>650</v>
      </c>
      <c r="H42" s="2">
        <f t="shared" si="17"/>
        <v>675</v>
      </c>
      <c r="I42" s="2">
        <f t="shared" si="18"/>
        <v>700</v>
      </c>
      <c r="J42" s="2">
        <f t="shared" si="19"/>
        <v>725</v>
      </c>
      <c r="K42" s="16">
        <f t="shared" si="20"/>
        <v>750</v>
      </c>
      <c r="L42" s="15">
        <v>1000</v>
      </c>
      <c r="M42" s="2">
        <f t="shared" si="21"/>
        <v>500</v>
      </c>
      <c r="N42" s="6"/>
      <c r="P42">
        <f t="shared" si="9"/>
        <v>0</v>
      </c>
    </row>
    <row r="43" spans="1:16">
      <c r="A43" s="1" t="s">
        <v>58</v>
      </c>
      <c r="B43" s="1">
        <v>1200</v>
      </c>
      <c r="C43" s="1">
        <f t="shared" si="12"/>
        <v>1320</v>
      </c>
      <c r="D43" s="2">
        <f t="shared" si="13"/>
        <v>1380</v>
      </c>
      <c r="E43" s="2">
        <f t="shared" si="14"/>
        <v>1440</v>
      </c>
      <c r="F43" s="2">
        <f t="shared" si="15"/>
        <v>1500</v>
      </c>
      <c r="G43" s="2">
        <f t="shared" si="16"/>
        <v>1560</v>
      </c>
      <c r="H43" s="2">
        <f t="shared" si="17"/>
        <v>1620</v>
      </c>
      <c r="I43" s="16">
        <f t="shared" si="18"/>
        <v>1680</v>
      </c>
      <c r="J43" s="2">
        <f t="shared" si="19"/>
        <v>1740</v>
      </c>
      <c r="K43" s="2">
        <f t="shared" si="20"/>
        <v>1800</v>
      </c>
      <c r="L43" s="15">
        <v>1600</v>
      </c>
      <c r="M43" s="2">
        <f t="shared" si="21"/>
        <v>400</v>
      </c>
      <c r="N43" s="6"/>
      <c r="P43">
        <f t="shared" si="9"/>
        <v>0</v>
      </c>
    </row>
    <row r="44" spans="1:16">
      <c r="A44" s="1" t="s">
        <v>59</v>
      </c>
      <c r="B44" s="1"/>
      <c r="C44" s="1">
        <f t="shared" si="12"/>
        <v>0</v>
      </c>
      <c r="D44" s="2">
        <f t="shared" si="13"/>
        <v>0</v>
      </c>
      <c r="E44" s="2">
        <f t="shared" si="14"/>
        <v>0</v>
      </c>
      <c r="F44" s="2">
        <f t="shared" si="15"/>
        <v>0</v>
      </c>
      <c r="G44" s="2">
        <f t="shared" si="16"/>
        <v>0</v>
      </c>
      <c r="H44" s="2">
        <f t="shared" si="17"/>
        <v>0</v>
      </c>
      <c r="I44" s="2">
        <f t="shared" si="18"/>
        <v>0</v>
      </c>
      <c r="J44" s="2">
        <f t="shared" si="19"/>
        <v>0</v>
      </c>
      <c r="K44" s="2">
        <f t="shared" si="20"/>
        <v>0</v>
      </c>
      <c r="L44" s="15"/>
      <c r="M44" s="2">
        <f t="shared" si="21"/>
        <v>0</v>
      </c>
      <c r="N44" s="6"/>
      <c r="P44">
        <f t="shared" si="9"/>
        <v>0</v>
      </c>
    </row>
    <row r="45" spans="1:16">
      <c r="A45" s="1" t="s">
        <v>60</v>
      </c>
      <c r="B45" s="1">
        <v>800</v>
      </c>
      <c r="C45" s="1">
        <f t="shared" si="12"/>
        <v>880.00000000000011</v>
      </c>
      <c r="D45" s="2">
        <f t="shared" si="13"/>
        <v>919.99999999999989</v>
      </c>
      <c r="E45" s="2">
        <f t="shared" si="14"/>
        <v>960</v>
      </c>
      <c r="F45" s="2">
        <f t="shared" si="15"/>
        <v>1000</v>
      </c>
      <c r="G45" s="2">
        <f t="shared" si="16"/>
        <v>1040</v>
      </c>
      <c r="H45" s="2">
        <f t="shared" si="17"/>
        <v>1080</v>
      </c>
      <c r="I45" s="2">
        <f t="shared" si="18"/>
        <v>1120</v>
      </c>
      <c r="J45" s="2">
        <f t="shared" si="19"/>
        <v>1160</v>
      </c>
      <c r="K45" s="2">
        <f t="shared" si="20"/>
        <v>1200</v>
      </c>
      <c r="L45" s="15"/>
      <c r="M45" s="2">
        <f t="shared" si="21"/>
        <v>-800</v>
      </c>
      <c r="N45" s="6"/>
      <c r="P45">
        <f t="shared" si="9"/>
        <v>0</v>
      </c>
    </row>
    <row r="46" spans="1:16">
      <c r="A46" s="1" t="s">
        <v>61</v>
      </c>
      <c r="B46" s="1">
        <v>1100</v>
      </c>
      <c r="C46" s="1">
        <f t="shared" si="12"/>
        <v>1210</v>
      </c>
      <c r="D46" s="2">
        <f t="shared" si="13"/>
        <v>1265</v>
      </c>
      <c r="E46" s="2">
        <f t="shared" si="14"/>
        <v>1320</v>
      </c>
      <c r="F46" s="2">
        <f t="shared" si="6"/>
        <v>1375</v>
      </c>
      <c r="G46" s="2">
        <f t="shared" si="16"/>
        <v>1430</v>
      </c>
      <c r="H46" s="16">
        <f t="shared" si="17"/>
        <v>1485</v>
      </c>
      <c r="I46" s="16">
        <f t="shared" si="18"/>
        <v>1540</v>
      </c>
      <c r="J46" s="2">
        <f t="shared" si="7"/>
        <v>1595</v>
      </c>
      <c r="K46" s="2">
        <f t="shared" si="8"/>
        <v>1650</v>
      </c>
      <c r="L46" s="15">
        <v>1600</v>
      </c>
      <c r="M46" s="2">
        <f t="shared" si="10"/>
        <v>500</v>
      </c>
      <c r="N46" s="6"/>
      <c r="O46">
        <v>20</v>
      </c>
      <c r="P46">
        <f t="shared" si="9"/>
        <v>22000</v>
      </c>
    </row>
    <row r="47" spans="1:16">
      <c r="A47" s="1" t="s">
        <v>62</v>
      </c>
      <c r="B47" s="1">
        <v>550</v>
      </c>
      <c r="C47" s="1">
        <f t="shared" si="12"/>
        <v>605</v>
      </c>
      <c r="D47" s="2">
        <f t="shared" si="13"/>
        <v>632.5</v>
      </c>
      <c r="E47" s="2">
        <f t="shared" si="14"/>
        <v>660</v>
      </c>
      <c r="F47" s="2">
        <f t="shared" si="6"/>
        <v>687.5</v>
      </c>
      <c r="G47" s="2">
        <f t="shared" si="16"/>
        <v>715</v>
      </c>
      <c r="H47" s="2">
        <f t="shared" si="17"/>
        <v>742.5</v>
      </c>
      <c r="I47" s="2">
        <f t="shared" si="18"/>
        <v>770</v>
      </c>
      <c r="J47" s="2">
        <f t="shared" si="7"/>
        <v>797.5</v>
      </c>
      <c r="K47" s="16">
        <f t="shared" si="8"/>
        <v>825</v>
      </c>
      <c r="L47" s="15">
        <v>1000</v>
      </c>
      <c r="M47" s="2">
        <f t="shared" si="10"/>
        <v>450</v>
      </c>
      <c r="N47" s="6"/>
      <c r="P47">
        <f t="shared" si="9"/>
        <v>0</v>
      </c>
    </row>
    <row r="48" spans="1:16">
      <c r="A48" s="1" t="s">
        <v>63</v>
      </c>
      <c r="B48" s="1"/>
      <c r="C48" s="1">
        <f t="shared" si="12"/>
        <v>0</v>
      </c>
      <c r="D48" s="2">
        <f t="shared" si="13"/>
        <v>0</v>
      </c>
      <c r="E48" s="2">
        <f t="shared" si="14"/>
        <v>0</v>
      </c>
      <c r="F48" s="2">
        <f t="shared" si="6"/>
        <v>0</v>
      </c>
      <c r="G48" s="2">
        <f t="shared" si="16"/>
        <v>0</v>
      </c>
      <c r="H48" s="2">
        <f t="shared" si="17"/>
        <v>0</v>
      </c>
      <c r="I48" s="2">
        <f t="shared" si="18"/>
        <v>0</v>
      </c>
      <c r="J48" s="2">
        <f t="shared" si="7"/>
        <v>0</v>
      </c>
      <c r="K48" s="2">
        <f t="shared" si="8"/>
        <v>0</v>
      </c>
      <c r="L48" s="15"/>
      <c r="M48" s="2">
        <f t="shared" si="10"/>
        <v>0</v>
      </c>
      <c r="N48" s="6"/>
      <c r="P48">
        <f t="shared" si="9"/>
        <v>0</v>
      </c>
    </row>
    <row r="49" spans="1:16">
      <c r="A49" s="1" t="s">
        <v>64</v>
      </c>
      <c r="B49" s="172">
        <v>1200</v>
      </c>
      <c r="C49" s="1">
        <f t="shared" si="12"/>
        <v>1320</v>
      </c>
      <c r="D49" s="2">
        <f t="shared" si="13"/>
        <v>1380</v>
      </c>
      <c r="E49" s="2">
        <f t="shared" si="14"/>
        <v>1440</v>
      </c>
      <c r="F49" s="2">
        <f t="shared" si="6"/>
        <v>1500</v>
      </c>
      <c r="G49" s="2">
        <f t="shared" si="16"/>
        <v>1560</v>
      </c>
      <c r="H49" s="2">
        <f t="shared" si="17"/>
        <v>1620</v>
      </c>
      <c r="I49" s="16">
        <f t="shared" si="18"/>
        <v>1680</v>
      </c>
      <c r="J49" s="16">
        <f t="shared" si="7"/>
        <v>1740</v>
      </c>
      <c r="K49" s="2">
        <f t="shared" si="8"/>
        <v>1800</v>
      </c>
      <c r="L49" s="15">
        <v>1700</v>
      </c>
      <c r="M49" s="2">
        <f t="shared" si="10"/>
        <v>500</v>
      </c>
      <c r="N49" s="6"/>
      <c r="O49">
        <v>20</v>
      </c>
      <c r="P49">
        <f t="shared" si="9"/>
        <v>24000</v>
      </c>
    </row>
    <row r="50" spans="1:16">
      <c r="A50" s="1" t="s">
        <v>613</v>
      </c>
      <c r="B50" s="172">
        <v>500</v>
      </c>
      <c r="C50" s="1">
        <f t="shared" si="12"/>
        <v>550</v>
      </c>
      <c r="D50" s="2">
        <f t="shared" si="13"/>
        <v>575</v>
      </c>
      <c r="E50" s="2">
        <f t="shared" si="14"/>
        <v>600</v>
      </c>
      <c r="F50" s="2">
        <f t="shared" si="6"/>
        <v>625</v>
      </c>
      <c r="G50" s="2">
        <f t="shared" si="16"/>
        <v>650</v>
      </c>
      <c r="H50" s="2">
        <f t="shared" si="17"/>
        <v>675</v>
      </c>
      <c r="I50" s="16">
        <f t="shared" si="18"/>
        <v>700</v>
      </c>
      <c r="J50" s="16">
        <f t="shared" si="7"/>
        <v>725</v>
      </c>
      <c r="K50" s="2">
        <f t="shared" si="8"/>
        <v>750</v>
      </c>
      <c r="L50" s="15">
        <v>700</v>
      </c>
      <c r="M50" s="2">
        <f t="shared" si="10"/>
        <v>200</v>
      </c>
      <c r="N50" s="6"/>
    </row>
    <row r="51" spans="1:16">
      <c r="A51" s="1" t="s">
        <v>614</v>
      </c>
      <c r="B51" s="172">
        <v>750</v>
      </c>
      <c r="C51" s="1">
        <f t="shared" si="12"/>
        <v>825.00000000000011</v>
      </c>
      <c r="D51" s="2">
        <f t="shared" si="13"/>
        <v>862.49999999999989</v>
      </c>
      <c r="E51" s="2">
        <f t="shared" si="14"/>
        <v>900</v>
      </c>
      <c r="F51" s="2">
        <f t="shared" si="6"/>
        <v>937.5</v>
      </c>
      <c r="G51" s="2">
        <f t="shared" si="16"/>
        <v>975</v>
      </c>
      <c r="H51" s="2">
        <f t="shared" si="17"/>
        <v>1012.5000000000001</v>
      </c>
      <c r="I51" s="16">
        <f t="shared" si="18"/>
        <v>1050</v>
      </c>
      <c r="J51" s="16">
        <f t="shared" si="7"/>
        <v>1087.5</v>
      </c>
      <c r="K51" s="2">
        <f t="shared" si="8"/>
        <v>1125</v>
      </c>
      <c r="L51" s="15">
        <v>1000</v>
      </c>
      <c r="M51" s="2">
        <f t="shared" si="10"/>
        <v>250</v>
      </c>
      <c r="N51" s="6"/>
    </row>
    <row r="52" spans="1:16">
      <c r="A52" s="1" t="s">
        <v>65</v>
      </c>
      <c r="B52" s="1">
        <v>800</v>
      </c>
      <c r="C52" s="1">
        <f t="shared" si="12"/>
        <v>880.00000000000011</v>
      </c>
      <c r="D52" s="2">
        <f t="shared" si="13"/>
        <v>919.99999999999989</v>
      </c>
      <c r="E52" s="2">
        <f t="shared" si="14"/>
        <v>960</v>
      </c>
      <c r="F52" s="2">
        <f t="shared" si="6"/>
        <v>1000</v>
      </c>
      <c r="G52" s="2">
        <f t="shared" si="16"/>
        <v>1040</v>
      </c>
      <c r="H52" s="2">
        <f t="shared" si="17"/>
        <v>1080</v>
      </c>
      <c r="I52" s="2">
        <f t="shared" si="18"/>
        <v>1120</v>
      </c>
      <c r="J52" s="2">
        <f t="shared" si="7"/>
        <v>1160</v>
      </c>
      <c r="K52" s="2">
        <f t="shared" si="8"/>
        <v>1200</v>
      </c>
      <c r="L52" s="15">
        <v>1100</v>
      </c>
      <c r="M52" s="2">
        <f t="shared" si="10"/>
        <v>300</v>
      </c>
      <c r="N52" s="6"/>
      <c r="O52">
        <v>20</v>
      </c>
      <c r="P52">
        <f t="shared" si="9"/>
        <v>16000</v>
      </c>
    </row>
    <row r="53" spans="1:16">
      <c r="A53" s="1" t="s">
        <v>66</v>
      </c>
      <c r="B53" s="1">
        <v>1500</v>
      </c>
      <c r="C53" s="1">
        <f t="shared" si="12"/>
        <v>1650.0000000000002</v>
      </c>
      <c r="D53" s="2">
        <f t="shared" si="13"/>
        <v>1724.9999999999998</v>
      </c>
      <c r="E53" s="2">
        <f t="shared" si="14"/>
        <v>1800</v>
      </c>
      <c r="F53" s="2">
        <f t="shared" si="6"/>
        <v>1875</v>
      </c>
      <c r="G53" s="2">
        <f t="shared" si="16"/>
        <v>1950</v>
      </c>
      <c r="H53" s="2">
        <f t="shared" si="17"/>
        <v>2025.0000000000002</v>
      </c>
      <c r="I53" s="2">
        <f t="shared" si="18"/>
        <v>2100</v>
      </c>
      <c r="J53" s="2">
        <f t="shared" si="7"/>
        <v>2175</v>
      </c>
      <c r="K53" s="16">
        <f t="shared" si="8"/>
        <v>2250</v>
      </c>
      <c r="L53" s="15">
        <v>2200</v>
      </c>
      <c r="M53" s="2">
        <f t="shared" si="10"/>
        <v>700</v>
      </c>
      <c r="N53" s="6"/>
      <c r="P53">
        <f t="shared" si="9"/>
        <v>0</v>
      </c>
    </row>
    <row r="54" spans="1:16">
      <c r="A54" s="1" t="s">
        <v>67</v>
      </c>
      <c r="B54" s="172">
        <v>1000</v>
      </c>
      <c r="C54" s="1">
        <f t="shared" si="12"/>
        <v>1100</v>
      </c>
      <c r="D54" s="2">
        <f t="shared" si="13"/>
        <v>1150</v>
      </c>
      <c r="E54" s="2">
        <f t="shared" si="14"/>
        <v>1200</v>
      </c>
      <c r="F54" s="2">
        <f t="shared" si="6"/>
        <v>1250</v>
      </c>
      <c r="G54" s="2">
        <f t="shared" si="16"/>
        <v>1300</v>
      </c>
      <c r="H54" s="2">
        <f t="shared" si="17"/>
        <v>1350</v>
      </c>
      <c r="I54" s="2">
        <f t="shared" si="18"/>
        <v>1400</v>
      </c>
      <c r="J54" s="2">
        <f t="shared" si="7"/>
        <v>1450</v>
      </c>
      <c r="K54" s="16">
        <f t="shared" si="8"/>
        <v>1500</v>
      </c>
      <c r="L54" s="15">
        <v>1500</v>
      </c>
      <c r="M54" s="2">
        <f t="shared" si="10"/>
        <v>500</v>
      </c>
      <c r="N54" s="6"/>
      <c r="O54">
        <v>30</v>
      </c>
      <c r="P54">
        <f t="shared" si="9"/>
        <v>30000</v>
      </c>
    </row>
    <row r="55" spans="1:16">
      <c r="A55" s="1" t="s">
        <v>68</v>
      </c>
      <c r="B55" s="172">
        <v>1200</v>
      </c>
      <c r="C55" s="1">
        <f t="shared" si="12"/>
        <v>1320</v>
      </c>
      <c r="D55" s="2">
        <f t="shared" si="13"/>
        <v>1380</v>
      </c>
      <c r="E55" s="2">
        <f t="shared" si="14"/>
        <v>1440</v>
      </c>
      <c r="F55" s="2">
        <f t="shared" si="6"/>
        <v>1500</v>
      </c>
      <c r="G55" s="2">
        <f t="shared" si="16"/>
        <v>1560</v>
      </c>
      <c r="H55" s="16">
        <f t="shared" si="17"/>
        <v>1620</v>
      </c>
      <c r="I55" s="16">
        <f t="shared" si="18"/>
        <v>1680</v>
      </c>
      <c r="J55" s="2">
        <f t="shared" si="7"/>
        <v>1740</v>
      </c>
      <c r="K55" s="2">
        <f t="shared" si="8"/>
        <v>1800</v>
      </c>
      <c r="L55" s="15">
        <v>1600</v>
      </c>
      <c r="M55" s="2">
        <f t="shared" si="10"/>
        <v>400</v>
      </c>
      <c r="N55" s="6"/>
      <c r="P55">
        <f t="shared" si="9"/>
        <v>0</v>
      </c>
    </row>
    <row r="56" spans="1:16">
      <c r="A56" s="1" t="s">
        <v>69</v>
      </c>
      <c r="B56" s="1">
        <v>2300</v>
      </c>
      <c r="C56" s="1">
        <f t="shared" si="12"/>
        <v>2530</v>
      </c>
      <c r="D56" s="2">
        <f t="shared" si="13"/>
        <v>2645</v>
      </c>
      <c r="E56" s="16">
        <f t="shared" si="14"/>
        <v>2760</v>
      </c>
      <c r="F56" s="16">
        <f t="shared" si="6"/>
        <v>2875</v>
      </c>
      <c r="G56" s="2">
        <f t="shared" si="16"/>
        <v>2990</v>
      </c>
      <c r="H56" s="2">
        <f t="shared" si="17"/>
        <v>3105</v>
      </c>
      <c r="I56" s="2">
        <f t="shared" si="18"/>
        <v>3220</v>
      </c>
      <c r="J56" s="2">
        <f t="shared" si="7"/>
        <v>3335</v>
      </c>
      <c r="K56" s="2">
        <f t="shared" si="8"/>
        <v>3450</v>
      </c>
      <c r="L56" s="15">
        <v>3000</v>
      </c>
      <c r="M56" s="2">
        <f t="shared" si="10"/>
        <v>700</v>
      </c>
      <c r="N56" s="6"/>
      <c r="P56">
        <f t="shared" si="9"/>
        <v>0</v>
      </c>
    </row>
    <row r="57" spans="1:16">
      <c r="A57" s="1" t="s">
        <v>70</v>
      </c>
      <c r="B57" s="1">
        <v>10000</v>
      </c>
      <c r="C57" s="16">
        <f t="shared" si="12"/>
        <v>11000</v>
      </c>
      <c r="D57" s="16">
        <f t="shared" si="13"/>
        <v>11500</v>
      </c>
      <c r="E57" s="2">
        <f t="shared" si="14"/>
        <v>12000</v>
      </c>
      <c r="F57" s="2">
        <f t="shared" si="6"/>
        <v>12500</v>
      </c>
      <c r="G57" s="2">
        <f t="shared" si="16"/>
        <v>13000</v>
      </c>
      <c r="H57" s="2">
        <f t="shared" si="17"/>
        <v>13500</v>
      </c>
      <c r="I57" s="2">
        <f t="shared" si="18"/>
        <v>14000</v>
      </c>
      <c r="J57" s="2">
        <f t="shared" si="7"/>
        <v>14500</v>
      </c>
      <c r="K57" s="2">
        <f t="shared" si="8"/>
        <v>15000</v>
      </c>
      <c r="L57" s="15">
        <v>10500</v>
      </c>
      <c r="M57" s="2">
        <f t="shared" si="10"/>
        <v>500</v>
      </c>
      <c r="N57" s="6"/>
      <c r="P57">
        <f t="shared" si="9"/>
        <v>0</v>
      </c>
    </row>
    <row r="58" spans="1:16">
      <c r="A58" s="1" t="s">
        <v>615</v>
      </c>
      <c r="B58" s="1">
        <v>16500</v>
      </c>
      <c r="C58" s="16">
        <f t="shared" si="12"/>
        <v>18150</v>
      </c>
      <c r="D58" s="2">
        <f t="shared" si="13"/>
        <v>18975</v>
      </c>
      <c r="E58" s="2">
        <f t="shared" si="14"/>
        <v>19800</v>
      </c>
      <c r="F58" s="2">
        <f t="shared" si="6"/>
        <v>20625</v>
      </c>
      <c r="G58" s="2">
        <f t="shared" si="16"/>
        <v>21450</v>
      </c>
      <c r="H58" s="2">
        <f t="shared" si="17"/>
        <v>22275</v>
      </c>
      <c r="I58" s="2">
        <f t="shared" si="18"/>
        <v>23100</v>
      </c>
      <c r="J58" s="2">
        <f t="shared" si="7"/>
        <v>23925</v>
      </c>
      <c r="K58" s="2">
        <f t="shared" si="8"/>
        <v>24750</v>
      </c>
      <c r="L58" s="15">
        <v>17500</v>
      </c>
      <c r="M58" s="2">
        <f t="shared" si="10"/>
        <v>1000</v>
      </c>
      <c r="N58" s="6"/>
      <c r="P58">
        <f t="shared" si="9"/>
        <v>0</v>
      </c>
    </row>
    <row r="59" spans="1:16">
      <c r="A59" s="1" t="s">
        <v>71</v>
      </c>
      <c r="B59" s="1">
        <v>2000</v>
      </c>
      <c r="C59" s="1">
        <f t="shared" si="12"/>
        <v>2200</v>
      </c>
      <c r="D59" s="2">
        <f t="shared" si="13"/>
        <v>2300</v>
      </c>
      <c r="E59" s="2">
        <f t="shared" si="14"/>
        <v>2400</v>
      </c>
      <c r="F59" s="2">
        <f t="shared" si="6"/>
        <v>2500</v>
      </c>
      <c r="G59" s="2">
        <f t="shared" si="16"/>
        <v>2600</v>
      </c>
      <c r="H59" s="2">
        <f t="shared" si="17"/>
        <v>2700</v>
      </c>
      <c r="I59" s="2">
        <f t="shared" si="18"/>
        <v>2800</v>
      </c>
      <c r="J59" s="2">
        <f t="shared" si="7"/>
        <v>2900</v>
      </c>
      <c r="K59" s="2">
        <f t="shared" si="8"/>
        <v>3000</v>
      </c>
      <c r="L59" s="15">
        <v>3000</v>
      </c>
      <c r="M59" s="2">
        <f t="shared" si="10"/>
        <v>1000</v>
      </c>
      <c r="N59" s="6"/>
      <c r="P59">
        <f t="shared" si="9"/>
        <v>0</v>
      </c>
    </row>
    <row r="60" spans="1:16">
      <c r="A60" s="1" t="s">
        <v>72</v>
      </c>
      <c r="B60" s="1">
        <v>2700</v>
      </c>
      <c r="C60" s="1">
        <f t="shared" si="12"/>
        <v>2970.0000000000005</v>
      </c>
      <c r="D60" s="2">
        <f t="shared" si="13"/>
        <v>3104.9999999999995</v>
      </c>
      <c r="E60" s="2">
        <f t="shared" si="14"/>
        <v>3240</v>
      </c>
      <c r="F60" s="2">
        <f t="shared" si="6"/>
        <v>3375</v>
      </c>
      <c r="G60" s="2">
        <f t="shared" si="16"/>
        <v>3510</v>
      </c>
      <c r="H60" s="2">
        <f t="shared" si="17"/>
        <v>3645.0000000000005</v>
      </c>
      <c r="I60" s="2">
        <f t="shared" si="18"/>
        <v>3779.9999999999995</v>
      </c>
      <c r="J60" s="2">
        <f t="shared" si="7"/>
        <v>3915</v>
      </c>
      <c r="K60" s="2">
        <f t="shared" si="8"/>
        <v>4050</v>
      </c>
      <c r="L60" s="15">
        <v>4000</v>
      </c>
      <c r="M60" s="2">
        <f t="shared" si="10"/>
        <v>1300</v>
      </c>
      <c r="N60" s="6"/>
      <c r="P60">
        <f t="shared" si="9"/>
        <v>0</v>
      </c>
    </row>
    <row r="61" spans="1:16">
      <c r="A61" s="1" t="s">
        <v>73</v>
      </c>
      <c r="B61" s="1">
        <v>2300</v>
      </c>
      <c r="C61" s="1">
        <f t="shared" si="12"/>
        <v>2530</v>
      </c>
      <c r="D61" s="2">
        <f t="shared" si="13"/>
        <v>2645</v>
      </c>
      <c r="E61" s="2">
        <f t="shared" si="14"/>
        <v>2760</v>
      </c>
      <c r="F61" s="2">
        <f t="shared" si="6"/>
        <v>2875</v>
      </c>
      <c r="G61" s="2">
        <f t="shared" si="16"/>
        <v>2990</v>
      </c>
      <c r="H61" s="2">
        <f t="shared" si="17"/>
        <v>3105</v>
      </c>
      <c r="I61" s="2">
        <f t="shared" si="18"/>
        <v>3220</v>
      </c>
      <c r="J61" s="2">
        <f t="shared" si="7"/>
        <v>3335</v>
      </c>
      <c r="K61" s="2">
        <f t="shared" si="8"/>
        <v>3450</v>
      </c>
      <c r="L61" s="15">
        <v>4000</v>
      </c>
      <c r="M61" s="2">
        <f t="shared" si="10"/>
        <v>1700</v>
      </c>
      <c r="N61" s="6"/>
      <c r="P61">
        <f t="shared" si="9"/>
        <v>0</v>
      </c>
    </row>
    <row r="62" spans="1:16">
      <c r="A62" s="1" t="s">
        <v>74</v>
      </c>
      <c r="B62" s="1">
        <v>3000</v>
      </c>
      <c r="C62" s="1">
        <f t="shared" si="12"/>
        <v>3300.0000000000005</v>
      </c>
      <c r="D62" s="2">
        <f t="shared" si="13"/>
        <v>3449.9999999999995</v>
      </c>
      <c r="E62" s="2">
        <f t="shared" si="14"/>
        <v>3600</v>
      </c>
      <c r="F62" s="2">
        <f t="shared" si="6"/>
        <v>3750</v>
      </c>
      <c r="G62" s="2">
        <f t="shared" si="16"/>
        <v>3900</v>
      </c>
      <c r="H62" s="2">
        <f t="shared" si="17"/>
        <v>4050.0000000000005</v>
      </c>
      <c r="I62" s="2">
        <f t="shared" si="18"/>
        <v>4200</v>
      </c>
      <c r="J62" s="2">
        <f t="shared" si="7"/>
        <v>4350</v>
      </c>
      <c r="K62" s="2">
        <f t="shared" si="8"/>
        <v>4500</v>
      </c>
      <c r="L62" s="15">
        <v>4000</v>
      </c>
      <c r="M62" s="2">
        <f t="shared" si="10"/>
        <v>1000</v>
      </c>
      <c r="N62" s="6"/>
      <c r="P62">
        <f t="shared" si="9"/>
        <v>0</v>
      </c>
    </row>
    <row r="63" spans="1:16">
      <c r="A63" s="1" t="s">
        <v>75</v>
      </c>
      <c r="B63" s="1">
        <v>2900</v>
      </c>
      <c r="C63" s="1">
        <f t="shared" si="12"/>
        <v>3190.0000000000005</v>
      </c>
      <c r="D63" s="2">
        <f t="shared" si="13"/>
        <v>3334.9999999999995</v>
      </c>
      <c r="E63" s="2">
        <f t="shared" si="14"/>
        <v>3480</v>
      </c>
      <c r="F63" s="2">
        <f t="shared" si="6"/>
        <v>3625</v>
      </c>
      <c r="G63" s="2">
        <f t="shared" si="16"/>
        <v>3770</v>
      </c>
      <c r="H63" s="2">
        <f t="shared" si="17"/>
        <v>3915.0000000000005</v>
      </c>
      <c r="I63" s="2">
        <f t="shared" si="18"/>
        <v>4059.9999999999995</v>
      </c>
      <c r="J63" s="2">
        <f t="shared" si="7"/>
        <v>4205</v>
      </c>
      <c r="K63" s="2">
        <f t="shared" si="8"/>
        <v>4350</v>
      </c>
      <c r="L63" s="15">
        <v>4500</v>
      </c>
      <c r="M63" s="2">
        <f t="shared" si="10"/>
        <v>1600</v>
      </c>
      <c r="N63" s="6"/>
      <c r="P63">
        <f t="shared" si="9"/>
        <v>0</v>
      </c>
    </row>
    <row r="64" spans="1:16">
      <c r="A64" s="1" t="s">
        <v>616</v>
      </c>
      <c r="B64" s="172">
        <v>1600</v>
      </c>
      <c r="C64" s="1">
        <f t="shared" si="12"/>
        <v>1760.0000000000002</v>
      </c>
      <c r="D64" s="2">
        <f t="shared" si="13"/>
        <v>1839.9999999999998</v>
      </c>
      <c r="E64" s="2">
        <f t="shared" si="14"/>
        <v>1920</v>
      </c>
      <c r="F64" s="2">
        <f t="shared" si="6"/>
        <v>2000</v>
      </c>
      <c r="G64" s="2">
        <f t="shared" si="16"/>
        <v>2080</v>
      </c>
      <c r="H64" s="2">
        <f t="shared" si="17"/>
        <v>2160</v>
      </c>
      <c r="I64" s="2">
        <f t="shared" si="18"/>
        <v>2240</v>
      </c>
      <c r="J64" s="2">
        <f t="shared" si="7"/>
        <v>2320</v>
      </c>
      <c r="K64" s="2">
        <f t="shared" si="8"/>
        <v>2400</v>
      </c>
      <c r="L64" s="15">
        <v>2400</v>
      </c>
      <c r="M64" s="2">
        <f t="shared" si="10"/>
        <v>800</v>
      </c>
      <c r="N64" s="6"/>
      <c r="O64">
        <v>20</v>
      </c>
      <c r="P64">
        <f t="shared" si="9"/>
        <v>32000</v>
      </c>
    </row>
    <row r="65" spans="1:16">
      <c r="A65" s="1" t="s">
        <v>77</v>
      </c>
      <c r="B65" s="172">
        <v>2100</v>
      </c>
      <c r="C65" s="1">
        <f t="shared" si="12"/>
        <v>2310</v>
      </c>
      <c r="D65" s="2">
        <f t="shared" si="13"/>
        <v>2415</v>
      </c>
      <c r="E65" s="2">
        <f t="shared" si="14"/>
        <v>2520</v>
      </c>
      <c r="F65" s="2">
        <f t="shared" si="6"/>
        <v>2625</v>
      </c>
      <c r="G65" s="2">
        <f t="shared" si="16"/>
        <v>2730</v>
      </c>
      <c r="H65" s="16">
        <f t="shared" si="17"/>
        <v>2835</v>
      </c>
      <c r="I65" s="16">
        <f t="shared" si="18"/>
        <v>2940</v>
      </c>
      <c r="J65" s="2">
        <f t="shared" si="7"/>
        <v>3045</v>
      </c>
      <c r="K65" s="2">
        <f t="shared" si="8"/>
        <v>3150</v>
      </c>
      <c r="L65" s="15">
        <v>3000</v>
      </c>
      <c r="M65" s="2">
        <f t="shared" si="10"/>
        <v>900</v>
      </c>
      <c r="N65" s="6"/>
      <c r="O65">
        <v>20</v>
      </c>
      <c r="P65">
        <f t="shared" si="9"/>
        <v>42000</v>
      </c>
    </row>
    <row r="66" spans="1:16">
      <c r="A66" s="1" t="s">
        <v>78</v>
      </c>
      <c r="B66" s="1">
        <v>1200</v>
      </c>
      <c r="C66" s="1">
        <f t="shared" si="12"/>
        <v>1320</v>
      </c>
      <c r="D66" s="2">
        <f t="shared" si="13"/>
        <v>1380</v>
      </c>
      <c r="E66" s="2">
        <f t="shared" si="14"/>
        <v>1440</v>
      </c>
      <c r="F66" s="2">
        <f t="shared" si="6"/>
        <v>1500</v>
      </c>
      <c r="G66" s="2">
        <f t="shared" si="16"/>
        <v>1560</v>
      </c>
      <c r="H66" s="2">
        <f t="shared" si="17"/>
        <v>1620</v>
      </c>
      <c r="I66" s="2">
        <f t="shared" si="18"/>
        <v>1680</v>
      </c>
      <c r="J66" s="2">
        <f t="shared" si="7"/>
        <v>1740</v>
      </c>
      <c r="K66" s="2">
        <f t="shared" si="8"/>
        <v>1800</v>
      </c>
      <c r="L66" s="15">
        <v>1800</v>
      </c>
      <c r="M66" s="2">
        <f t="shared" si="10"/>
        <v>600</v>
      </c>
      <c r="N66" s="6"/>
      <c r="P66">
        <f t="shared" si="9"/>
        <v>0</v>
      </c>
    </row>
    <row r="67" spans="1:16">
      <c r="A67" s="1" t="s">
        <v>79</v>
      </c>
      <c r="B67" s="1">
        <v>1700</v>
      </c>
      <c r="C67" s="1">
        <f t="shared" si="12"/>
        <v>1870.0000000000002</v>
      </c>
      <c r="D67" s="2">
        <f t="shared" si="13"/>
        <v>1954.9999999999998</v>
      </c>
      <c r="E67" s="2">
        <f t="shared" si="14"/>
        <v>2040</v>
      </c>
      <c r="F67" s="2">
        <f t="shared" si="6"/>
        <v>2125</v>
      </c>
      <c r="G67" s="16">
        <f t="shared" si="16"/>
        <v>2210</v>
      </c>
      <c r="H67" s="16">
        <f t="shared" si="17"/>
        <v>2295</v>
      </c>
      <c r="I67" s="2">
        <f t="shared" si="18"/>
        <v>2380</v>
      </c>
      <c r="J67" s="2">
        <f t="shared" si="7"/>
        <v>2465</v>
      </c>
      <c r="K67" s="2">
        <f t="shared" si="8"/>
        <v>2550</v>
      </c>
      <c r="L67" s="15">
        <v>2500</v>
      </c>
      <c r="M67" s="2">
        <f t="shared" si="10"/>
        <v>800</v>
      </c>
      <c r="N67" s="6"/>
      <c r="P67">
        <f t="shared" si="9"/>
        <v>0</v>
      </c>
    </row>
    <row r="68" spans="1:16">
      <c r="A68" s="1" t="s">
        <v>80</v>
      </c>
      <c r="B68" s="172">
        <v>850</v>
      </c>
      <c r="C68" s="1">
        <f t="shared" si="12"/>
        <v>935.00000000000011</v>
      </c>
      <c r="D68" s="2">
        <f t="shared" si="13"/>
        <v>977.49999999999989</v>
      </c>
      <c r="E68" s="2">
        <f t="shared" si="14"/>
        <v>1020</v>
      </c>
      <c r="F68" s="2">
        <f t="shared" si="6"/>
        <v>1062.5</v>
      </c>
      <c r="G68" s="16">
        <f t="shared" si="16"/>
        <v>1105</v>
      </c>
      <c r="H68" s="16">
        <f t="shared" si="17"/>
        <v>1147.5</v>
      </c>
      <c r="I68" s="2">
        <f t="shared" si="18"/>
        <v>1190</v>
      </c>
      <c r="J68" s="2">
        <f t="shared" si="7"/>
        <v>1232.5</v>
      </c>
      <c r="K68" s="2">
        <f t="shared" si="8"/>
        <v>1275</v>
      </c>
      <c r="L68" s="15">
        <v>1200</v>
      </c>
      <c r="M68" s="2">
        <f t="shared" si="10"/>
        <v>350</v>
      </c>
      <c r="N68" s="6"/>
      <c r="O68">
        <v>30</v>
      </c>
      <c r="P68">
        <f t="shared" si="9"/>
        <v>25500</v>
      </c>
    </row>
    <row r="69" spans="1:16">
      <c r="A69" s="1" t="s">
        <v>81</v>
      </c>
      <c r="B69" s="172">
        <v>1150</v>
      </c>
      <c r="C69" s="1">
        <f t="shared" si="12"/>
        <v>1265</v>
      </c>
      <c r="D69" s="2">
        <f t="shared" si="13"/>
        <v>1322.5</v>
      </c>
      <c r="E69" s="2">
        <f t="shared" si="14"/>
        <v>1380</v>
      </c>
      <c r="F69" s="2">
        <f t="shared" si="6"/>
        <v>1437.5</v>
      </c>
      <c r="G69" s="2">
        <f t="shared" si="16"/>
        <v>1495</v>
      </c>
      <c r="H69" s="2">
        <f t="shared" si="17"/>
        <v>1552.5</v>
      </c>
      <c r="I69" s="16">
        <f t="shared" si="18"/>
        <v>1610</v>
      </c>
      <c r="J69" s="16">
        <f t="shared" si="7"/>
        <v>1667.5</v>
      </c>
      <c r="K69" s="2">
        <f t="shared" si="8"/>
        <v>1725</v>
      </c>
      <c r="L69" s="15">
        <v>1700</v>
      </c>
      <c r="M69" s="2">
        <f t="shared" si="10"/>
        <v>550</v>
      </c>
      <c r="N69" s="6"/>
      <c r="O69">
        <v>30</v>
      </c>
      <c r="P69">
        <f t="shared" ref="P69:P86" si="22">+O69*B69</f>
        <v>34500</v>
      </c>
    </row>
    <row r="70" spans="1:16">
      <c r="A70" s="1" t="s">
        <v>82</v>
      </c>
      <c r="B70" s="1">
        <v>800</v>
      </c>
      <c r="C70" s="1">
        <f t="shared" si="12"/>
        <v>880.00000000000011</v>
      </c>
      <c r="D70" s="2">
        <f t="shared" si="13"/>
        <v>919.99999999999989</v>
      </c>
      <c r="E70" s="2">
        <f t="shared" si="14"/>
        <v>960</v>
      </c>
      <c r="F70" s="2">
        <f t="shared" ref="F70:F86" si="23">B70*1.25</f>
        <v>1000</v>
      </c>
      <c r="G70" s="2">
        <f t="shared" si="16"/>
        <v>1040</v>
      </c>
      <c r="H70" s="2">
        <f t="shared" si="17"/>
        <v>1080</v>
      </c>
      <c r="I70" s="2">
        <f t="shared" si="18"/>
        <v>1120</v>
      </c>
      <c r="J70" s="2">
        <f t="shared" ref="J70:J86" si="24">B70*1.45</f>
        <v>1160</v>
      </c>
      <c r="K70" s="16">
        <f t="shared" ref="K70:K86" si="25">B70*1.5</f>
        <v>1200</v>
      </c>
      <c r="L70" s="15">
        <v>1200</v>
      </c>
      <c r="M70" s="2">
        <f t="shared" si="10"/>
        <v>400</v>
      </c>
      <c r="N70" s="6"/>
      <c r="P70">
        <f t="shared" si="22"/>
        <v>0</v>
      </c>
    </row>
    <row r="71" spans="1:16">
      <c r="A71" s="1" t="s">
        <v>83</v>
      </c>
      <c r="B71" s="1">
        <v>1200</v>
      </c>
      <c r="C71" s="1">
        <f t="shared" si="12"/>
        <v>1320</v>
      </c>
      <c r="D71" s="2">
        <f t="shared" si="13"/>
        <v>1380</v>
      </c>
      <c r="E71" s="2">
        <f t="shared" si="14"/>
        <v>1440</v>
      </c>
      <c r="F71" s="2">
        <f t="shared" si="23"/>
        <v>1500</v>
      </c>
      <c r="G71" s="2">
        <f t="shared" si="16"/>
        <v>1560</v>
      </c>
      <c r="H71" s="2">
        <f t="shared" si="17"/>
        <v>1620</v>
      </c>
      <c r="I71" s="2">
        <f t="shared" si="18"/>
        <v>1680</v>
      </c>
      <c r="J71" s="2">
        <f t="shared" si="24"/>
        <v>1740</v>
      </c>
      <c r="K71" s="16">
        <f t="shared" si="25"/>
        <v>1800</v>
      </c>
      <c r="L71" s="15">
        <v>1700</v>
      </c>
      <c r="M71" s="2">
        <f t="shared" si="10"/>
        <v>500</v>
      </c>
      <c r="N71" s="6"/>
      <c r="P71">
        <f t="shared" si="22"/>
        <v>0</v>
      </c>
    </row>
    <row r="72" spans="1:16">
      <c r="A72" s="1" t="s">
        <v>84</v>
      </c>
      <c r="B72" s="1">
        <v>4600</v>
      </c>
      <c r="C72" s="1">
        <f t="shared" si="12"/>
        <v>5060</v>
      </c>
      <c r="D72" s="2">
        <f t="shared" si="13"/>
        <v>5290</v>
      </c>
      <c r="E72" s="2">
        <f t="shared" si="14"/>
        <v>5520</v>
      </c>
      <c r="F72" s="2">
        <f t="shared" si="23"/>
        <v>5750</v>
      </c>
      <c r="G72" s="2">
        <f t="shared" si="16"/>
        <v>5980</v>
      </c>
      <c r="H72" s="2">
        <f t="shared" si="17"/>
        <v>6210</v>
      </c>
      <c r="I72" s="2">
        <f t="shared" si="18"/>
        <v>6440</v>
      </c>
      <c r="J72" s="2">
        <f t="shared" si="24"/>
        <v>6670</v>
      </c>
      <c r="K72" s="2">
        <f t="shared" si="25"/>
        <v>6900</v>
      </c>
      <c r="L72" s="15">
        <v>6500</v>
      </c>
      <c r="M72" s="2">
        <f t="shared" ref="M72:M86" si="26">L72-B72</f>
        <v>1900</v>
      </c>
      <c r="N72" s="6"/>
      <c r="P72">
        <f t="shared" si="22"/>
        <v>0</v>
      </c>
    </row>
    <row r="73" spans="1:16">
      <c r="A73" s="1" t="s">
        <v>213</v>
      </c>
      <c r="B73" s="1">
        <v>6900</v>
      </c>
      <c r="C73" s="1">
        <f t="shared" si="12"/>
        <v>7590.0000000000009</v>
      </c>
      <c r="D73" s="2">
        <f t="shared" si="13"/>
        <v>7934.9999999999991</v>
      </c>
      <c r="E73" s="2">
        <f t="shared" si="14"/>
        <v>8280</v>
      </c>
      <c r="F73" s="2">
        <f t="shared" si="23"/>
        <v>8625</v>
      </c>
      <c r="G73" s="2">
        <f t="shared" si="16"/>
        <v>8970</v>
      </c>
      <c r="H73" s="2">
        <f t="shared" si="17"/>
        <v>9315</v>
      </c>
      <c r="I73" s="2">
        <f t="shared" si="18"/>
        <v>9660</v>
      </c>
      <c r="J73" s="2">
        <f t="shared" si="24"/>
        <v>10005</v>
      </c>
      <c r="K73" s="2">
        <f t="shared" si="25"/>
        <v>10350</v>
      </c>
      <c r="L73" s="15">
        <v>8500</v>
      </c>
      <c r="M73" s="2">
        <f t="shared" si="26"/>
        <v>1600</v>
      </c>
      <c r="N73" s="6"/>
      <c r="P73">
        <f t="shared" si="22"/>
        <v>0</v>
      </c>
    </row>
    <row r="74" spans="1:16">
      <c r="A74" s="1" t="s">
        <v>85</v>
      </c>
      <c r="B74" s="1">
        <v>5700</v>
      </c>
      <c r="C74" s="1">
        <f t="shared" si="12"/>
        <v>6270.0000000000009</v>
      </c>
      <c r="D74" s="2">
        <f t="shared" si="13"/>
        <v>6554.9999999999991</v>
      </c>
      <c r="E74" s="2">
        <f t="shared" si="14"/>
        <v>6840</v>
      </c>
      <c r="F74" s="2">
        <f t="shared" si="23"/>
        <v>7125</v>
      </c>
      <c r="G74" s="2">
        <f t="shared" si="16"/>
        <v>7410</v>
      </c>
      <c r="H74" s="2">
        <f t="shared" si="17"/>
        <v>7695.0000000000009</v>
      </c>
      <c r="I74" s="2">
        <f t="shared" si="18"/>
        <v>7979.9999999999991</v>
      </c>
      <c r="J74" s="2">
        <f t="shared" si="24"/>
        <v>8265</v>
      </c>
      <c r="K74" s="2">
        <f t="shared" si="25"/>
        <v>8550</v>
      </c>
      <c r="L74" s="15">
        <v>7500</v>
      </c>
      <c r="M74" s="2">
        <f t="shared" si="26"/>
        <v>1800</v>
      </c>
      <c r="N74" s="6"/>
      <c r="P74">
        <f t="shared" si="22"/>
        <v>0</v>
      </c>
    </row>
    <row r="75" spans="1:16">
      <c r="A75" s="1" t="s">
        <v>86</v>
      </c>
      <c r="B75" s="172">
        <v>6000</v>
      </c>
      <c r="C75" s="1">
        <f t="shared" si="12"/>
        <v>6600.0000000000009</v>
      </c>
      <c r="D75" s="2">
        <f t="shared" si="13"/>
        <v>6899.9999999999991</v>
      </c>
      <c r="E75" s="2">
        <f t="shared" si="14"/>
        <v>7200</v>
      </c>
      <c r="F75" s="2">
        <f t="shared" si="23"/>
        <v>7500</v>
      </c>
      <c r="G75" s="16">
        <f t="shared" si="16"/>
        <v>7800</v>
      </c>
      <c r="H75" s="16">
        <f t="shared" si="17"/>
        <v>8100.0000000000009</v>
      </c>
      <c r="I75" s="2">
        <f t="shared" si="18"/>
        <v>8400</v>
      </c>
      <c r="J75" s="2">
        <f t="shared" si="24"/>
        <v>8700</v>
      </c>
      <c r="K75" s="2">
        <f t="shared" si="25"/>
        <v>9000</v>
      </c>
      <c r="L75" s="15">
        <v>8000</v>
      </c>
      <c r="M75" s="2">
        <f t="shared" si="26"/>
        <v>2000</v>
      </c>
      <c r="N75" s="6"/>
      <c r="O75">
        <v>20</v>
      </c>
      <c r="P75">
        <f t="shared" si="22"/>
        <v>120000</v>
      </c>
    </row>
    <row r="76" spans="1:16">
      <c r="A76" s="1" t="s">
        <v>87</v>
      </c>
      <c r="B76" s="1">
        <v>38300</v>
      </c>
      <c r="C76" s="1">
        <f t="shared" si="12"/>
        <v>42130</v>
      </c>
      <c r="D76" s="2">
        <f t="shared" si="13"/>
        <v>44045</v>
      </c>
      <c r="E76" s="2">
        <f t="shared" si="14"/>
        <v>45960</v>
      </c>
      <c r="F76" s="2">
        <f t="shared" si="23"/>
        <v>47875</v>
      </c>
      <c r="G76" s="2">
        <f t="shared" si="16"/>
        <v>49790</v>
      </c>
      <c r="H76" s="2">
        <f t="shared" si="17"/>
        <v>51705</v>
      </c>
      <c r="I76" s="2">
        <f t="shared" si="18"/>
        <v>53620</v>
      </c>
      <c r="J76" s="2">
        <f t="shared" si="24"/>
        <v>55535</v>
      </c>
      <c r="K76" s="2">
        <f t="shared" si="25"/>
        <v>57450</v>
      </c>
      <c r="L76" s="15">
        <v>43000</v>
      </c>
      <c r="M76" s="2">
        <f t="shared" si="26"/>
        <v>4700</v>
      </c>
      <c r="N76" s="6"/>
      <c r="P76">
        <f t="shared" si="22"/>
        <v>0</v>
      </c>
    </row>
    <row r="77" spans="1:16">
      <c r="A77" s="1" t="s">
        <v>88</v>
      </c>
      <c r="B77" s="172">
        <v>12200</v>
      </c>
      <c r="C77" s="1">
        <f t="shared" si="12"/>
        <v>13420.000000000002</v>
      </c>
      <c r="D77" s="2">
        <f t="shared" si="13"/>
        <v>14029.999999999998</v>
      </c>
      <c r="E77" s="16">
        <f t="shared" si="14"/>
        <v>14640</v>
      </c>
      <c r="F77" s="16">
        <f t="shared" si="23"/>
        <v>15250</v>
      </c>
      <c r="G77" s="2">
        <f t="shared" si="16"/>
        <v>15860</v>
      </c>
      <c r="H77" s="2">
        <f t="shared" si="17"/>
        <v>16470</v>
      </c>
      <c r="I77" s="2">
        <f t="shared" si="18"/>
        <v>17080</v>
      </c>
      <c r="J77" s="2">
        <f t="shared" si="24"/>
        <v>17690</v>
      </c>
      <c r="K77" s="2">
        <f t="shared" si="25"/>
        <v>18300</v>
      </c>
      <c r="L77" s="15">
        <v>14000</v>
      </c>
      <c r="M77" s="2">
        <f t="shared" si="26"/>
        <v>1800</v>
      </c>
      <c r="N77" s="6"/>
      <c r="P77">
        <f t="shared" si="22"/>
        <v>0</v>
      </c>
    </row>
    <row r="78" spans="1:16">
      <c r="A78" s="1" t="s">
        <v>89</v>
      </c>
      <c r="B78" s="172">
        <v>17900</v>
      </c>
      <c r="C78" s="1">
        <f t="shared" si="12"/>
        <v>19690</v>
      </c>
      <c r="D78" s="16">
        <f t="shared" si="13"/>
        <v>20585</v>
      </c>
      <c r="E78" s="2">
        <f t="shared" si="14"/>
        <v>21480</v>
      </c>
      <c r="F78" s="2">
        <f t="shared" si="23"/>
        <v>22375</v>
      </c>
      <c r="G78" s="2">
        <f t="shared" si="16"/>
        <v>23270</v>
      </c>
      <c r="H78" s="2">
        <f t="shared" si="17"/>
        <v>24165</v>
      </c>
      <c r="I78" s="2">
        <f t="shared" si="18"/>
        <v>25060</v>
      </c>
      <c r="J78" s="2">
        <f t="shared" si="24"/>
        <v>25955</v>
      </c>
      <c r="K78" s="2">
        <f t="shared" si="25"/>
        <v>26850</v>
      </c>
      <c r="L78" s="15">
        <v>20000</v>
      </c>
      <c r="M78" s="2">
        <f t="shared" si="26"/>
        <v>2100</v>
      </c>
      <c r="N78" s="6"/>
      <c r="P78">
        <f t="shared" si="22"/>
        <v>0</v>
      </c>
    </row>
    <row r="79" spans="1:16">
      <c r="A79" s="1" t="s">
        <v>90</v>
      </c>
      <c r="B79" s="1">
        <v>11600</v>
      </c>
      <c r="C79" s="2">
        <f t="shared" si="12"/>
        <v>12760.000000000002</v>
      </c>
      <c r="D79" s="2">
        <f t="shared" si="13"/>
        <v>13339.999999999998</v>
      </c>
      <c r="E79" s="2">
        <f t="shared" si="14"/>
        <v>13920</v>
      </c>
      <c r="F79" s="16">
        <f t="shared" si="23"/>
        <v>14500</v>
      </c>
      <c r="G79" s="16">
        <f t="shared" si="16"/>
        <v>15080</v>
      </c>
      <c r="H79" s="2">
        <f t="shared" si="17"/>
        <v>15660.000000000002</v>
      </c>
      <c r="I79" s="2">
        <f t="shared" si="18"/>
        <v>16239.999999999998</v>
      </c>
      <c r="J79" s="2">
        <f t="shared" si="24"/>
        <v>16820</v>
      </c>
      <c r="K79" s="2">
        <f t="shared" si="25"/>
        <v>17400</v>
      </c>
      <c r="L79" s="15">
        <v>13500</v>
      </c>
      <c r="M79" s="2">
        <f t="shared" si="26"/>
        <v>1900</v>
      </c>
      <c r="N79" s="6"/>
      <c r="P79">
        <f t="shared" si="22"/>
        <v>0</v>
      </c>
    </row>
    <row r="80" spans="1:16">
      <c r="A80" s="1" t="s">
        <v>91</v>
      </c>
      <c r="B80" s="1">
        <v>14100</v>
      </c>
      <c r="C80" s="1">
        <f t="shared" si="12"/>
        <v>15510.000000000002</v>
      </c>
      <c r="D80" s="2">
        <f t="shared" si="13"/>
        <v>16214.999999999998</v>
      </c>
      <c r="E80" s="16">
        <f t="shared" si="14"/>
        <v>16920</v>
      </c>
      <c r="F80" s="16">
        <f t="shared" si="23"/>
        <v>17625</v>
      </c>
      <c r="G80" s="2">
        <f t="shared" si="16"/>
        <v>18330</v>
      </c>
      <c r="H80" s="2">
        <f t="shared" si="17"/>
        <v>19035</v>
      </c>
      <c r="I80" s="2">
        <f t="shared" si="18"/>
        <v>19740</v>
      </c>
      <c r="J80" s="2">
        <f t="shared" si="24"/>
        <v>20445</v>
      </c>
      <c r="K80" s="2">
        <f t="shared" si="25"/>
        <v>21150</v>
      </c>
      <c r="L80" s="15">
        <v>16000</v>
      </c>
      <c r="M80" s="2">
        <f t="shared" si="26"/>
        <v>1900</v>
      </c>
      <c r="N80" s="6"/>
      <c r="P80">
        <f t="shared" si="22"/>
        <v>0</v>
      </c>
    </row>
    <row r="81" spans="1:16">
      <c r="A81" s="1" t="s">
        <v>92</v>
      </c>
      <c r="B81" s="1">
        <v>1100</v>
      </c>
      <c r="C81" s="1">
        <f t="shared" si="12"/>
        <v>1210</v>
      </c>
      <c r="D81" s="2">
        <f t="shared" si="13"/>
        <v>1265</v>
      </c>
      <c r="E81" s="2">
        <f t="shared" si="14"/>
        <v>1320</v>
      </c>
      <c r="F81" s="2">
        <f t="shared" si="23"/>
        <v>1375</v>
      </c>
      <c r="G81" s="2">
        <f t="shared" si="16"/>
        <v>1430</v>
      </c>
      <c r="H81" s="16">
        <f t="shared" si="17"/>
        <v>1485</v>
      </c>
      <c r="I81" s="16">
        <f t="shared" si="18"/>
        <v>1540</v>
      </c>
      <c r="J81" s="2">
        <f t="shared" si="24"/>
        <v>1595</v>
      </c>
      <c r="K81" s="2">
        <f t="shared" si="25"/>
        <v>1650</v>
      </c>
      <c r="L81" s="15">
        <v>1550</v>
      </c>
      <c r="M81" s="2">
        <f t="shared" si="26"/>
        <v>450</v>
      </c>
      <c r="N81" s="6"/>
      <c r="P81">
        <f t="shared" si="22"/>
        <v>0</v>
      </c>
    </row>
    <row r="82" spans="1:16">
      <c r="A82" s="1" t="s">
        <v>93</v>
      </c>
      <c r="B82" s="172">
        <v>700</v>
      </c>
      <c r="C82" s="1">
        <f t="shared" si="12"/>
        <v>770.00000000000011</v>
      </c>
      <c r="D82" s="2">
        <f t="shared" si="13"/>
        <v>804.99999999999989</v>
      </c>
      <c r="E82" s="2">
        <f t="shared" si="14"/>
        <v>840</v>
      </c>
      <c r="F82" s="2">
        <f t="shared" si="23"/>
        <v>875</v>
      </c>
      <c r="G82" s="2">
        <f t="shared" si="16"/>
        <v>910</v>
      </c>
      <c r="H82" s="16">
        <f t="shared" si="17"/>
        <v>945.00000000000011</v>
      </c>
      <c r="I82" s="16">
        <f t="shared" si="18"/>
        <v>979.99999999999989</v>
      </c>
      <c r="J82" s="2">
        <f t="shared" si="24"/>
        <v>1015</v>
      </c>
      <c r="K82" s="2">
        <f t="shared" si="25"/>
        <v>1050</v>
      </c>
      <c r="L82" s="15">
        <v>1000</v>
      </c>
      <c r="M82" s="2">
        <f t="shared" si="26"/>
        <v>300</v>
      </c>
      <c r="N82" s="6"/>
      <c r="O82">
        <v>200</v>
      </c>
      <c r="P82">
        <f t="shared" si="22"/>
        <v>140000</v>
      </c>
    </row>
    <row r="83" spans="1:16">
      <c r="A83" s="1" t="s">
        <v>94</v>
      </c>
      <c r="B83" s="173">
        <v>7550</v>
      </c>
      <c r="C83" s="1">
        <f t="shared" si="12"/>
        <v>8305</v>
      </c>
      <c r="D83" s="2">
        <f t="shared" si="13"/>
        <v>8682.5</v>
      </c>
      <c r="E83" s="2">
        <f t="shared" si="14"/>
        <v>9060</v>
      </c>
      <c r="F83" s="2">
        <f t="shared" si="23"/>
        <v>9437.5</v>
      </c>
      <c r="G83" s="2">
        <f t="shared" si="16"/>
        <v>9815</v>
      </c>
      <c r="H83" s="2">
        <f t="shared" si="17"/>
        <v>10192.5</v>
      </c>
      <c r="I83" s="2">
        <f t="shared" si="18"/>
        <v>10570</v>
      </c>
      <c r="J83" s="2">
        <f t="shared" si="24"/>
        <v>10947.5</v>
      </c>
      <c r="K83" s="2">
        <f t="shared" si="25"/>
        <v>11325</v>
      </c>
      <c r="L83" s="15">
        <v>9000</v>
      </c>
      <c r="M83" s="23">
        <f t="shared" si="26"/>
        <v>1450</v>
      </c>
      <c r="N83" s="36"/>
      <c r="P83">
        <f t="shared" si="22"/>
        <v>0</v>
      </c>
    </row>
    <row r="84" spans="1:16">
      <c r="A84" s="1" t="s">
        <v>95</v>
      </c>
      <c r="B84" s="173">
        <v>7400</v>
      </c>
      <c r="C84" s="1">
        <f t="shared" si="12"/>
        <v>8140.0000000000009</v>
      </c>
      <c r="D84" s="2">
        <f t="shared" si="13"/>
        <v>8510</v>
      </c>
      <c r="E84" s="2">
        <f t="shared" si="14"/>
        <v>8880</v>
      </c>
      <c r="F84" s="2">
        <f t="shared" si="23"/>
        <v>9250</v>
      </c>
      <c r="G84" s="2">
        <f t="shared" si="16"/>
        <v>9620</v>
      </c>
      <c r="H84" s="2">
        <f t="shared" si="17"/>
        <v>9990</v>
      </c>
      <c r="I84" s="2">
        <f t="shared" si="18"/>
        <v>10360</v>
      </c>
      <c r="J84" s="2">
        <f t="shared" si="24"/>
        <v>10730</v>
      </c>
      <c r="K84" s="2">
        <f t="shared" si="25"/>
        <v>11100</v>
      </c>
      <c r="L84" s="15">
        <v>9000</v>
      </c>
      <c r="M84" s="23">
        <f t="shared" si="26"/>
        <v>1600</v>
      </c>
      <c r="N84" s="36"/>
      <c r="P84">
        <f t="shared" si="22"/>
        <v>0</v>
      </c>
    </row>
    <row r="85" spans="1:16">
      <c r="A85" s="1" t="s">
        <v>96</v>
      </c>
      <c r="B85" s="1">
        <v>8800</v>
      </c>
      <c r="C85" s="2">
        <f t="shared" si="12"/>
        <v>9680</v>
      </c>
      <c r="D85" s="2">
        <f t="shared" si="13"/>
        <v>10120</v>
      </c>
      <c r="E85" s="2">
        <f t="shared" si="14"/>
        <v>10560</v>
      </c>
      <c r="F85" s="2">
        <f t="shared" si="23"/>
        <v>11000</v>
      </c>
      <c r="G85" s="2">
        <f t="shared" si="16"/>
        <v>11440</v>
      </c>
      <c r="H85" s="2">
        <f t="shared" si="17"/>
        <v>11880</v>
      </c>
      <c r="I85" s="2">
        <f t="shared" si="18"/>
        <v>12320</v>
      </c>
      <c r="J85" s="2">
        <f t="shared" si="24"/>
        <v>12760</v>
      </c>
      <c r="K85" s="2">
        <f t="shared" si="25"/>
        <v>13200</v>
      </c>
      <c r="L85" s="15">
        <v>10000</v>
      </c>
      <c r="M85" s="2">
        <f t="shared" si="26"/>
        <v>1200</v>
      </c>
      <c r="N85" s="6"/>
      <c r="P85">
        <f t="shared" si="22"/>
        <v>0</v>
      </c>
    </row>
    <row r="86" spans="1:16">
      <c r="A86" s="1" t="s">
        <v>97</v>
      </c>
      <c r="B86" s="1">
        <v>9500</v>
      </c>
      <c r="C86" s="2">
        <f t="shared" si="12"/>
        <v>10450</v>
      </c>
      <c r="D86" s="2">
        <f t="shared" si="13"/>
        <v>10925</v>
      </c>
      <c r="E86" s="2">
        <f t="shared" si="14"/>
        <v>11400</v>
      </c>
      <c r="F86" s="2">
        <f t="shared" si="23"/>
        <v>11875</v>
      </c>
      <c r="G86" s="2">
        <f t="shared" si="16"/>
        <v>12350</v>
      </c>
      <c r="H86" s="2">
        <f t="shared" si="17"/>
        <v>12825</v>
      </c>
      <c r="I86" s="2">
        <f t="shared" si="18"/>
        <v>13300</v>
      </c>
      <c r="J86" s="2">
        <f t="shared" si="24"/>
        <v>13775</v>
      </c>
      <c r="K86" s="2">
        <f t="shared" si="25"/>
        <v>14250</v>
      </c>
      <c r="L86" s="15">
        <v>11000</v>
      </c>
      <c r="M86" s="2">
        <f t="shared" si="26"/>
        <v>1500</v>
      </c>
      <c r="N86" s="6"/>
      <c r="P86">
        <f t="shared" si="22"/>
        <v>0</v>
      </c>
    </row>
    <row r="87" spans="1:16">
      <c r="P87">
        <f>SUM(P3:P86)</f>
        <v>1740508</v>
      </c>
    </row>
    <row r="92" spans="1:16">
      <c r="A92" t="s">
        <v>98</v>
      </c>
    </row>
    <row r="93" spans="1:16">
      <c r="A93" s="1" t="s">
        <v>99</v>
      </c>
      <c r="B93" s="1">
        <v>11000</v>
      </c>
      <c r="C93" s="17">
        <f>B93*1.1</f>
        <v>12100.000000000002</v>
      </c>
      <c r="D93" s="17">
        <f>B93*1.15</f>
        <v>12649.999999999998</v>
      </c>
      <c r="E93" s="1">
        <f>B93*1.2</f>
        <v>13200</v>
      </c>
      <c r="F93" s="1">
        <f>B93*1.25</f>
        <v>13750</v>
      </c>
      <c r="G93" s="1">
        <f>B93*1.3</f>
        <v>14300</v>
      </c>
      <c r="H93" s="1">
        <f>B93*1.35</f>
        <v>14850.000000000002</v>
      </c>
      <c r="I93" s="1">
        <f>B93*1.4</f>
        <v>15399.999999999998</v>
      </c>
      <c r="J93" s="1">
        <f>B93*1.45</f>
        <v>15950</v>
      </c>
      <c r="K93" s="1">
        <f>B93*1.5</f>
        <v>16500</v>
      </c>
      <c r="L93" s="18">
        <v>15000</v>
      </c>
      <c r="M93" s="19">
        <f>L93-B93</f>
        <v>4000</v>
      </c>
      <c r="N93" s="37"/>
      <c r="P93">
        <f>O93*B93</f>
        <v>0</v>
      </c>
    </row>
    <row r="94" spans="1:16">
      <c r="A94" s="1" t="s">
        <v>186</v>
      </c>
      <c r="B94" s="172">
        <v>12500</v>
      </c>
      <c r="C94" s="17">
        <f>B94*1.1</f>
        <v>13750.000000000002</v>
      </c>
      <c r="D94" s="17">
        <f>B94*1.15</f>
        <v>14374.999999999998</v>
      </c>
      <c r="E94" s="1">
        <f>B94*1.2</f>
        <v>15000</v>
      </c>
      <c r="F94" s="1">
        <f>B94*1.25</f>
        <v>15625</v>
      </c>
      <c r="G94" s="1">
        <f>B94*1.3</f>
        <v>16250</v>
      </c>
      <c r="H94" s="1">
        <f>B94*1.35</f>
        <v>16875</v>
      </c>
      <c r="I94" s="1">
        <f>B94*1.4</f>
        <v>17500</v>
      </c>
      <c r="J94" s="1">
        <f>B94*1.45</f>
        <v>18125</v>
      </c>
      <c r="K94" s="1">
        <f>B94*1.5</f>
        <v>18750</v>
      </c>
      <c r="L94" s="18">
        <v>15000</v>
      </c>
      <c r="M94" s="19">
        <f>L94-B94</f>
        <v>2500</v>
      </c>
      <c r="N94" s="37"/>
      <c r="O94">
        <v>10</v>
      </c>
      <c r="P94">
        <f t="shared" ref="P94:P97" si="27">O94*B94</f>
        <v>125000</v>
      </c>
    </row>
    <row r="95" spans="1:16">
      <c r="A95" s="1" t="s">
        <v>100</v>
      </c>
      <c r="B95" s="172">
        <v>14000</v>
      </c>
      <c r="C95" s="17">
        <f>B95*1.1</f>
        <v>15400.000000000002</v>
      </c>
      <c r="D95" s="17">
        <f>B95*1.15</f>
        <v>16099.999999999998</v>
      </c>
      <c r="E95" s="1">
        <f>B95*1.2</f>
        <v>16800</v>
      </c>
      <c r="F95" s="1">
        <f>B95*1.25</f>
        <v>17500</v>
      </c>
      <c r="G95" s="1">
        <f>B95*1.3</f>
        <v>18200</v>
      </c>
      <c r="H95" s="1">
        <f>B95*1.35</f>
        <v>18900</v>
      </c>
      <c r="I95" s="1">
        <f>B95*1.4</f>
        <v>19600</v>
      </c>
      <c r="J95" s="1">
        <f>B95*1.45</f>
        <v>20300</v>
      </c>
      <c r="K95" s="1">
        <f>B95*1.5</f>
        <v>21000</v>
      </c>
      <c r="L95" s="18">
        <v>16000</v>
      </c>
      <c r="M95" s="19">
        <f>L95-B95</f>
        <v>2000</v>
      </c>
      <c r="N95" s="37"/>
      <c r="O95">
        <v>6</v>
      </c>
      <c r="P95">
        <f t="shared" si="27"/>
        <v>84000</v>
      </c>
    </row>
    <row r="96" spans="1:16">
      <c r="A96" s="1" t="s">
        <v>187</v>
      </c>
      <c r="B96" s="6">
        <v>12500</v>
      </c>
      <c r="C96" s="17">
        <f>B96*1.1</f>
        <v>13750.000000000002</v>
      </c>
      <c r="D96" s="17">
        <f>B96*1.15</f>
        <v>14374.999999999998</v>
      </c>
      <c r="E96" s="1">
        <f>B96*1.2</f>
        <v>15000</v>
      </c>
      <c r="F96" s="1">
        <f>B96*1.25</f>
        <v>15625</v>
      </c>
      <c r="G96" s="1">
        <f>B96*1.3</f>
        <v>16250</v>
      </c>
      <c r="H96" s="1">
        <f>B96*1.35</f>
        <v>16875</v>
      </c>
      <c r="I96" s="1">
        <f>B96*1.4</f>
        <v>17500</v>
      </c>
      <c r="J96" s="1">
        <f>B96*1.45</f>
        <v>18125</v>
      </c>
      <c r="K96" s="1">
        <f>B96*1.5</f>
        <v>18750</v>
      </c>
      <c r="L96" s="18">
        <v>16000</v>
      </c>
      <c r="M96" s="19">
        <f>L96-B96</f>
        <v>3500</v>
      </c>
      <c r="O96">
        <v>6</v>
      </c>
      <c r="P96">
        <f t="shared" si="27"/>
        <v>75000</v>
      </c>
    </row>
    <row r="97" spans="1:18">
      <c r="A97" s="6" t="s">
        <v>607</v>
      </c>
      <c r="B97" s="6">
        <v>22000</v>
      </c>
      <c r="C97" s="171">
        <f>B97*1.1</f>
        <v>24200.000000000004</v>
      </c>
      <c r="D97" s="171">
        <f>B97*1.15</f>
        <v>25299.999999999996</v>
      </c>
      <c r="E97" s="6">
        <f>B97*1.2</f>
        <v>26400</v>
      </c>
      <c r="F97" s="6">
        <f>B97*1.25</f>
        <v>27500</v>
      </c>
      <c r="G97" s="6">
        <f>B97*1.3</f>
        <v>28600</v>
      </c>
      <c r="H97" s="6">
        <f>B97*1.35</f>
        <v>29700.000000000004</v>
      </c>
      <c r="I97" s="6">
        <f>B97*1.4</f>
        <v>30799.999999999996</v>
      </c>
      <c r="J97" s="6">
        <f>B97*1.45</f>
        <v>31900</v>
      </c>
      <c r="K97" s="6">
        <f>B97*1.5</f>
        <v>33000</v>
      </c>
      <c r="O97">
        <v>4</v>
      </c>
      <c r="P97">
        <f t="shared" si="27"/>
        <v>88000</v>
      </c>
      <c r="R97">
        <f>P98+P87</f>
        <v>2112508</v>
      </c>
    </row>
    <row r="98" spans="1:18">
      <c r="P98">
        <f>SUM(P93:P97)</f>
        <v>372000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AG130"/>
  <sheetViews>
    <sheetView tabSelected="1" zoomScaleNormal="100" workbookViewId="0">
      <pane ySplit="1" topLeftCell="A28" activePane="bottomLeft" state="frozen"/>
      <selection activeCell="F1" sqref="F1"/>
      <selection pane="bottomLeft" activeCell="J52" sqref="J52"/>
    </sheetView>
  </sheetViews>
  <sheetFormatPr baseColWidth="10" defaultRowHeight="15"/>
  <cols>
    <col min="1" max="1" width="22.85546875" bestFit="1" customWidth="1"/>
    <col min="3" max="4" width="9.7109375" customWidth="1"/>
    <col min="5" max="5" width="10.42578125" bestFit="1" customWidth="1"/>
    <col min="6" max="11" width="10" bestFit="1" customWidth="1"/>
    <col min="14" max="14" width="4.42578125" customWidth="1"/>
    <col min="15" max="15" width="6.42578125" bestFit="1" customWidth="1"/>
    <col min="16" max="16" width="11.5703125" bestFit="1" customWidth="1"/>
    <col min="17" max="19" width="11.5703125" customWidth="1"/>
    <col min="20" max="20" width="11.5703125" bestFit="1" customWidth="1"/>
    <col min="23" max="23" width="8.42578125" customWidth="1"/>
  </cols>
  <sheetData>
    <row r="1" spans="1:33" ht="45">
      <c r="A1" s="1"/>
      <c r="B1" s="1"/>
      <c r="C1" s="1" t="s">
        <v>188</v>
      </c>
      <c r="D1" s="1"/>
      <c r="E1" s="24" t="s">
        <v>172</v>
      </c>
      <c r="F1" s="25">
        <v>0.08</v>
      </c>
      <c r="G1" s="26">
        <v>0.1</v>
      </c>
      <c r="H1" s="26">
        <v>0.15</v>
      </c>
      <c r="I1" s="26">
        <v>0.2</v>
      </c>
      <c r="J1" s="26">
        <v>0.25</v>
      </c>
      <c r="K1" s="26">
        <v>0.3</v>
      </c>
      <c r="L1" s="24" t="s">
        <v>171</v>
      </c>
      <c r="M1" s="27" t="s">
        <v>20</v>
      </c>
      <c r="N1" t="s">
        <v>17</v>
      </c>
      <c r="O1" s="27" t="s">
        <v>174</v>
      </c>
      <c r="P1" s="27" t="s">
        <v>175</v>
      </c>
      <c r="Q1" s="51"/>
      <c r="R1" s="51"/>
      <c r="S1" s="51"/>
    </row>
    <row r="2" spans="1:33">
      <c r="A2" s="4"/>
      <c r="B2" s="4"/>
      <c r="C2" s="4"/>
      <c r="D2" s="4"/>
      <c r="E2" s="4"/>
      <c r="F2" s="4"/>
      <c r="G2" s="28"/>
      <c r="H2" s="28"/>
      <c r="I2" s="28"/>
      <c r="J2" s="28"/>
      <c r="K2" s="28"/>
      <c r="L2" s="6"/>
      <c r="M2" s="6"/>
    </row>
    <row r="3" spans="1:33">
      <c r="A3" s="29" t="s">
        <v>101</v>
      </c>
      <c r="B3" s="4"/>
      <c r="C3" s="4"/>
      <c r="D3" s="4"/>
      <c r="E3" s="4"/>
      <c r="F3" s="4"/>
      <c r="G3" s="28"/>
      <c r="H3" s="28"/>
      <c r="I3" s="28"/>
      <c r="J3" s="28"/>
      <c r="K3" s="28"/>
      <c r="L3" s="6"/>
      <c r="M3" s="6"/>
    </row>
    <row r="4" spans="1:33">
      <c r="A4" s="30" t="s">
        <v>395</v>
      </c>
      <c r="B4" s="30"/>
      <c r="C4" s="30">
        <v>12000</v>
      </c>
      <c r="D4" s="159">
        <f>+(C4*0.06)+C4</f>
        <v>12720</v>
      </c>
      <c r="E4" s="31">
        <v>12500</v>
      </c>
      <c r="F4" s="31">
        <f>D4*1.08</f>
        <v>13737.6</v>
      </c>
      <c r="G4" s="31">
        <f>D4*1.1</f>
        <v>13992.000000000002</v>
      </c>
      <c r="H4" s="31">
        <f>D4*1.15</f>
        <v>14627.999999999998</v>
      </c>
      <c r="I4" s="31">
        <f>D4*1.2</f>
        <v>15264</v>
      </c>
      <c r="J4" s="31">
        <f>D4*1.25</f>
        <v>15900</v>
      </c>
      <c r="K4" s="31">
        <f>D4*1.3</f>
        <v>16536</v>
      </c>
      <c r="L4" s="31">
        <v>14500</v>
      </c>
      <c r="M4" s="31">
        <f>L4-C4</f>
        <v>2500</v>
      </c>
      <c r="O4" s="10"/>
      <c r="P4" s="10">
        <f>+E4*O4</f>
        <v>0</v>
      </c>
      <c r="Q4" s="10"/>
      <c r="R4" s="10"/>
      <c r="S4" s="10"/>
      <c r="T4" s="1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>
      <c r="A5" s="2" t="s">
        <v>102</v>
      </c>
      <c r="B5" s="2"/>
      <c r="C5" s="2">
        <v>13000</v>
      </c>
      <c r="D5" s="161">
        <f>+(E5*0.06)+E5</f>
        <v>13250</v>
      </c>
      <c r="E5" s="7">
        <v>12500</v>
      </c>
      <c r="F5" s="7">
        <f t="shared" ref="F5:F22" si="0">D5*1.08</f>
        <v>14310.000000000002</v>
      </c>
      <c r="G5" s="7">
        <f t="shared" ref="G5:G22" si="1">D5*1.1</f>
        <v>14575.000000000002</v>
      </c>
      <c r="H5" s="7">
        <f t="shared" ref="H5:H22" si="2">D5*1.15</f>
        <v>15237.499999999998</v>
      </c>
      <c r="I5" s="7">
        <f t="shared" ref="I5:I22" si="3">D5*1.2</f>
        <v>15900</v>
      </c>
      <c r="J5" s="7">
        <f t="shared" ref="J5:J22" si="4">D5*1.25</f>
        <v>16562.5</v>
      </c>
      <c r="K5" s="7">
        <f t="shared" ref="K5:K22" si="5">D5*1.3</f>
        <v>17225</v>
      </c>
      <c r="L5" s="7">
        <v>16000</v>
      </c>
      <c r="M5" s="7">
        <f>L5-C5</f>
        <v>3000</v>
      </c>
      <c r="O5" s="10"/>
      <c r="P5" s="10">
        <f t="shared" ref="P5:P9" si="6">+E5*O5</f>
        <v>0</v>
      </c>
      <c r="Q5" s="10"/>
      <c r="R5" s="10"/>
      <c r="S5" s="10"/>
      <c r="T5" s="10"/>
      <c r="W5" s="6"/>
      <c r="X5" s="38"/>
      <c r="Y5" s="6"/>
      <c r="Z5" s="6"/>
      <c r="AA5" s="6"/>
      <c r="AB5" s="6"/>
      <c r="AC5" s="6"/>
      <c r="AD5" s="6"/>
      <c r="AE5" s="6"/>
      <c r="AF5" s="6"/>
      <c r="AG5" s="6"/>
    </row>
    <row r="6" spans="1:33">
      <c r="A6" s="30" t="s">
        <v>103</v>
      </c>
      <c r="B6" s="30"/>
      <c r="C6" s="30">
        <v>15300</v>
      </c>
      <c r="D6" s="159">
        <f>+(E6*0.06)+E6</f>
        <v>15900</v>
      </c>
      <c r="E6" s="31">
        <v>15000</v>
      </c>
      <c r="F6" s="31">
        <f t="shared" si="0"/>
        <v>17172</v>
      </c>
      <c r="G6" s="31">
        <f t="shared" si="1"/>
        <v>17490</v>
      </c>
      <c r="H6" s="31">
        <f t="shared" si="2"/>
        <v>18285</v>
      </c>
      <c r="I6" s="31">
        <f t="shared" si="3"/>
        <v>19080</v>
      </c>
      <c r="J6" s="31">
        <f t="shared" si="4"/>
        <v>19875</v>
      </c>
      <c r="K6" s="31">
        <f t="shared" si="5"/>
        <v>20670</v>
      </c>
      <c r="L6" s="31">
        <v>17500</v>
      </c>
      <c r="M6" s="31">
        <f t="shared" ref="M6:M20" si="7">L6-E6</f>
        <v>2500</v>
      </c>
      <c r="O6" s="10"/>
      <c r="P6" s="10">
        <f t="shared" si="6"/>
        <v>0</v>
      </c>
      <c r="Q6" s="10"/>
      <c r="R6" s="10"/>
      <c r="S6" s="10"/>
      <c r="T6" s="10"/>
      <c r="W6" s="6"/>
      <c r="X6" s="38"/>
      <c r="Y6" s="6"/>
      <c r="Z6" s="6"/>
      <c r="AA6" s="6"/>
      <c r="AB6" s="6"/>
      <c r="AC6" s="6"/>
      <c r="AD6" s="6"/>
      <c r="AE6" s="6"/>
      <c r="AF6" s="6"/>
      <c r="AG6" s="6"/>
    </row>
    <row r="7" spans="1:33">
      <c r="A7" s="30" t="s">
        <v>104</v>
      </c>
      <c r="B7" s="30"/>
      <c r="C7" s="30">
        <v>17400</v>
      </c>
      <c r="D7" s="162">
        <v>18000</v>
      </c>
      <c r="E7" s="31">
        <v>16700</v>
      </c>
      <c r="F7" s="31">
        <f>D7*1.08</f>
        <v>19440</v>
      </c>
      <c r="G7" s="31">
        <f t="shared" si="1"/>
        <v>19800</v>
      </c>
      <c r="H7" s="31">
        <f t="shared" si="2"/>
        <v>20700</v>
      </c>
      <c r="I7" s="31">
        <f t="shared" si="3"/>
        <v>21600</v>
      </c>
      <c r="J7" s="31">
        <f t="shared" si="4"/>
        <v>22500</v>
      </c>
      <c r="K7" s="31">
        <f t="shared" si="5"/>
        <v>23400</v>
      </c>
      <c r="L7" s="31">
        <v>19500</v>
      </c>
      <c r="M7" s="31">
        <f t="shared" si="7"/>
        <v>2800</v>
      </c>
      <c r="O7" s="10"/>
      <c r="P7" s="10">
        <f>+D7*O7</f>
        <v>0</v>
      </c>
      <c r="Q7" s="10"/>
      <c r="R7" s="10"/>
      <c r="S7" s="10"/>
      <c r="T7" s="10"/>
      <c r="W7" s="6"/>
      <c r="X7" s="38"/>
      <c r="Y7" s="6"/>
      <c r="Z7" s="6"/>
      <c r="AA7" s="6"/>
      <c r="AB7" s="6"/>
      <c r="AC7" s="6"/>
      <c r="AD7" s="6"/>
      <c r="AE7" s="6"/>
      <c r="AF7" s="6"/>
      <c r="AG7" s="6"/>
    </row>
    <row r="8" spans="1:33">
      <c r="A8" s="2" t="s">
        <v>105</v>
      </c>
      <c r="B8" s="2"/>
      <c r="C8" s="2"/>
      <c r="D8" s="158">
        <f t="shared" ref="D8" si="8">+(C8*0.11)+C8</f>
        <v>0</v>
      </c>
      <c r="E8" s="7"/>
      <c r="F8" s="7">
        <f t="shared" si="0"/>
        <v>0</v>
      </c>
      <c r="G8" s="7">
        <f t="shared" si="1"/>
        <v>0</v>
      </c>
      <c r="H8" s="7">
        <f t="shared" si="2"/>
        <v>0</v>
      </c>
      <c r="I8" s="7">
        <f t="shared" si="3"/>
        <v>0</v>
      </c>
      <c r="J8" s="7">
        <f t="shared" si="4"/>
        <v>0</v>
      </c>
      <c r="K8" s="7">
        <f t="shared" si="5"/>
        <v>0</v>
      </c>
      <c r="L8" s="7">
        <v>30000</v>
      </c>
      <c r="M8" s="7">
        <f t="shared" si="7"/>
        <v>30000</v>
      </c>
      <c r="O8" s="10"/>
      <c r="P8" s="10">
        <f>+D8*O8</f>
        <v>0</v>
      </c>
      <c r="Q8" s="10"/>
      <c r="R8" s="10"/>
      <c r="S8" s="10"/>
      <c r="T8" s="10"/>
      <c r="W8" s="6"/>
      <c r="X8" s="38"/>
      <c r="Y8" s="6"/>
      <c r="Z8" s="6"/>
      <c r="AA8" s="6"/>
      <c r="AB8" s="6"/>
      <c r="AC8" s="6"/>
      <c r="AD8" s="6"/>
      <c r="AE8" s="6"/>
      <c r="AF8" s="6"/>
      <c r="AG8" s="6"/>
    </row>
    <row r="9" spans="1:33">
      <c r="A9" s="30" t="s">
        <v>106</v>
      </c>
      <c r="B9" s="30"/>
      <c r="C9" s="30">
        <v>24000</v>
      </c>
      <c r="D9" s="159">
        <f>+(E9*0.06)+E9</f>
        <v>28789.599999999999</v>
      </c>
      <c r="E9" s="31">
        <v>27160</v>
      </c>
      <c r="F9" s="31">
        <f>D9*1.08</f>
        <v>31092.768</v>
      </c>
      <c r="G9" s="31">
        <f t="shared" si="1"/>
        <v>31668.560000000001</v>
      </c>
      <c r="H9" s="31">
        <f t="shared" si="2"/>
        <v>33108.039999999994</v>
      </c>
      <c r="I9" s="31">
        <f t="shared" si="3"/>
        <v>34547.519999999997</v>
      </c>
      <c r="J9" s="31">
        <f t="shared" si="4"/>
        <v>35987</v>
      </c>
      <c r="K9" s="31">
        <f t="shared" si="5"/>
        <v>37426.479999999996</v>
      </c>
      <c r="L9" s="31">
        <v>31500</v>
      </c>
      <c r="M9" s="31">
        <f>L9-C9</f>
        <v>7500</v>
      </c>
      <c r="O9" s="10"/>
      <c r="P9" s="10">
        <f t="shared" si="6"/>
        <v>0</v>
      </c>
      <c r="Q9" s="10"/>
      <c r="R9" s="10"/>
      <c r="S9" s="10"/>
      <c r="T9" s="10"/>
      <c r="W9" s="6"/>
      <c r="X9" s="38"/>
      <c r="Y9" s="6"/>
      <c r="Z9" s="6"/>
      <c r="AA9" s="6"/>
      <c r="AB9" s="6"/>
      <c r="AC9" s="6"/>
      <c r="AD9" s="6"/>
      <c r="AE9" s="6"/>
      <c r="AF9" s="6"/>
      <c r="AG9" s="6"/>
    </row>
    <row r="10" spans="1:33">
      <c r="A10" s="30" t="s">
        <v>107</v>
      </c>
      <c r="B10" s="30"/>
      <c r="C10" s="30">
        <v>33700</v>
      </c>
      <c r="D10" s="162">
        <v>35000</v>
      </c>
      <c r="E10" s="31">
        <v>32800</v>
      </c>
      <c r="F10" s="31">
        <f t="shared" si="0"/>
        <v>37800</v>
      </c>
      <c r="G10" s="31">
        <f t="shared" si="1"/>
        <v>38500</v>
      </c>
      <c r="H10" s="31">
        <f t="shared" si="2"/>
        <v>40250</v>
      </c>
      <c r="I10" s="31">
        <f t="shared" si="3"/>
        <v>42000</v>
      </c>
      <c r="J10" s="31">
        <f t="shared" si="4"/>
        <v>43750</v>
      </c>
      <c r="K10" s="31">
        <f t="shared" si="5"/>
        <v>45500</v>
      </c>
      <c r="L10" s="31">
        <v>38000</v>
      </c>
      <c r="M10" s="31">
        <f>L10-C10</f>
        <v>4300</v>
      </c>
      <c r="O10" s="10"/>
      <c r="P10" s="10">
        <f>+D10*O10</f>
        <v>0</v>
      </c>
      <c r="Q10" s="10"/>
      <c r="R10" s="10"/>
      <c r="S10" s="10"/>
      <c r="T10" s="10"/>
      <c r="W10" s="6"/>
      <c r="X10" s="38"/>
      <c r="Y10" s="6"/>
      <c r="Z10" s="6"/>
      <c r="AA10" s="6"/>
      <c r="AB10" s="6"/>
      <c r="AC10" s="6"/>
      <c r="AD10" s="6"/>
      <c r="AE10" s="6"/>
      <c r="AF10" s="6"/>
      <c r="AG10" s="6"/>
    </row>
    <row r="11" spans="1:33">
      <c r="A11" s="30" t="s">
        <v>108</v>
      </c>
      <c r="B11" s="30"/>
      <c r="C11" s="48">
        <v>5100</v>
      </c>
      <c r="D11" s="162">
        <v>5500</v>
      </c>
      <c r="E11" s="32">
        <v>5100</v>
      </c>
      <c r="F11" s="31">
        <f t="shared" si="0"/>
        <v>5940</v>
      </c>
      <c r="G11" s="31">
        <f t="shared" si="1"/>
        <v>6050.0000000000009</v>
      </c>
      <c r="H11" s="31">
        <f t="shared" si="2"/>
        <v>6324.9999999999991</v>
      </c>
      <c r="I11" s="31">
        <f t="shared" si="3"/>
        <v>6600</v>
      </c>
      <c r="J11" s="31">
        <f t="shared" si="4"/>
        <v>6875</v>
      </c>
      <c r="K11" s="31">
        <f t="shared" si="5"/>
        <v>7150</v>
      </c>
      <c r="L11" s="31">
        <v>6000</v>
      </c>
      <c r="M11" s="31">
        <f t="shared" si="7"/>
        <v>900</v>
      </c>
      <c r="O11" s="10"/>
      <c r="P11" s="10">
        <f t="shared" ref="P11:P22" si="9">+D11*O11</f>
        <v>0</v>
      </c>
      <c r="Q11" s="10"/>
      <c r="R11" s="10"/>
      <c r="S11" s="10"/>
      <c r="T11" s="10"/>
      <c r="W11" s="6"/>
      <c r="X11" s="38"/>
      <c r="Y11" s="6"/>
      <c r="Z11" s="6"/>
      <c r="AA11" s="6"/>
      <c r="AB11" s="6"/>
      <c r="AC11" s="6"/>
      <c r="AD11" s="6"/>
      <c r="AE11" s="6"/>
      <c r="AF11" s="6"/>
      <c r="AG11" s="6"/>
    </row>
    <row r="12" spans="1:33">
      <c r="A12" s="30" t="s">
        <v>109</v>
      </c>
      <c r="B12" s="30"/>
      <c r="C12" s="30">
        <v>8100</v>
      </c>
      <c r="D12" s="162">
        <v>8700</v>
      </c>
      <c r="E12" s="31">
        <v>8150</v>
      </c>
      <c r="F12" s="31">
        <f t="shared" si="0"/>
        <v>9396</v>
      </c>
      <c r="G12" s="31">
        <f t="shared" si="1"/>
        <v>9570</v>
      </c>
      <c r="H12" s="31">
        <f t="shared" si="2"/>
        <v>10005</v>
      </c>
      <c r="I12" s="31">
        <f t="shared" si="3"/>
        <v>10440</v>
      </c>
      <c r="J12" s="31">
        <f t="shared" si="4"/>
        <v>10875</v>
      </c>
      <c r="K12" s="31">
        <f t="shared" si="5"/>
        <v>11310</v>
      </c>
      <c r="L12" s="31">
        <v>9500</v>
      </c>
      <c r="M12" s="31">
        <f t="shared" si="7"/>
        <v>1350</v>
      </c>
      <c r="O12" s="10"/>
      <c r="P12" s="10">
        <f t="shared" si="9"/>
        <v>0</v>
      </c>
      <c r="Q12" s="10"/>
      <c r="R12" s="10"/>
      <c r="S12" s="10"/>
      <c r="T12" s="10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 s="30" t="s">
        <v>110</v>
      </c>
      <c r="B13" s="30"/>
      <c r="C13" s="48"/>
      <c r="D13" s="162">
        <v>9800</v>
      </c>
      <c r="E13" s="32">
        <v>9300</v>
      </c>
      <c r="F13" s="31">
        <f t="shared" si="0"/>
        <v>10584</v>
      </c>
      <c r="G13" s="31">
        <f t="shared" si="1"/>
        <v>10780</v>
      </c>
      <c r="H13" s="31">
        <f t="shared" si="2"/>
        <v>11270</v>
      </c>
      <c r="I13" s="31">
        <f t="shared" si="3"/>
        <v>11760</v>
      </c>
      <c r="J13" s="31">
        <f t="shared" si="4"/>
        <v>12250</v>
      </c>
      <c r="K13" s="31">
        <f t="shared" si="5"/>
        <v>12740</v>
      </c>
      <c r="L13" s="31">
        <v>11000</v>
      </c>
      <c r="M13" s="31">
        <f t="shared" si="7"/>
        <v>1700</v>
      </c>
      <c r="O13" s="10"/>
      <c r="P13" s="10">
        <f t="shared" si="9"/>
        <v>0</v>
      </c>
      <c r="Q13" s="10"/>
      <c r="R13" s="10"/>
      <c r="S13" s="10"/>
      <c r="T13" s="10"/>
      <c r="W13" s="6"/>
      <c r="X13" s="8"/>
      <c r="Y13" s="6"/>
      <c r="Z13" s="6"/>
      <c r="AA13" s="6"/>
      <c r="AB13" s="6"/>
      <c r="AC13" s="6"/>
      <c r="AD13" s="6"/>
      <c r="AE13" s="6"/>
      <c r="AF13" s="6"/>
      <c r="AG13" s="6"/>
    </row>
    <row r="14" spans="1:33">
      <c r="A14" s="30" t="s">
        <v>111</v>
      </c>
      <c r="B14" s="30"/>
      <c r="C14" s="30">
        <v>11904</v>
      </c>
      <c r="D14" s="159">
        <f>+(C14*0.06)+C14</f>
        <v>12618.24</v>
      </c>
      <c r="E14" s="31">
        <v>11700</v>
      </c>
      <c r="F14" s="31">
        <f t="shared" si="0"/>
        <v>13627.699200000001</v>
      </c>
      <c r="G14" s="31">
        <f t="shared" si="1"/>
        <v>13880.064</v>
      </c>
      <c r="H14" s="31">
        <f t="shared" si="2"/>
        <v>14510.975999999999</v>
      </c>
      <c r="I14" s="31">
        <f t="shared" si="3"/>
        <v>15141.887999999999</v>
      </c>
      <c r="J14" s="31">
        <f t="shared" si="4"/>
        <v>15772.8</v>
      </c>
      <c r="K14" s="31">
        <f t="shared" si="5"/>
        <v>16403.712</v>
      </c>
      <c r="L14" s="31">
        <v>14000</v>
      </c>
      <c r="M14" s="31">
        <f t="shared" si="7"/>
        <v>2300</v>
      </c>
      <c r="O14" s="10"/>
      <c r="P14" s="10">
        <f t="shared" si="9"/>
        <v>0</v>
      </c>
      <c r="Q14" s="10"/>
      <c r="R14" s="10"/>
      <c r="S14" s="10"/>
      <c r="T14" s="10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>
      <c r="A15" s="30" t="s">
        <v>112</v>
      </c>
      <c r="B15" s="30"/>
      <c r="C15" s="30"/>
      <c r="D15" s="159">
        <f>+(E15*0.06)+E15</f>
        <v>14893</v>
      </c>
      <c r="E15" s="31">
        <v>14050</v>
      </c>
      <c r="F15" s="31">
        <f t="shared" si="0"/>
        <v>16084.44</v>
      </c>
      <c r="G15" s="31">
        <f t="shared" si="1"/>
        <v>16382.300000000001</v>
      </c>
      <c r="H15" s="31">
        <f t="shared" si="2"/>
        <v>17126.949999999997</v>
      </c>
      <c r="I15" s="31">
        <f t="shared" si="3"/>
        <v>17871.599999999999</v>
      </c>
      <c r="J15" s="31">
        <f t="shared" si="4"/>
        <v>18616.25</v>
      </c>
      <c r="K15" s="31">
        <f t="shared" si="5"/>
        <v>19360.900000000001</v>
      </c>
      <c r="L15" s="31">
        <v>16000</v>
      </c>
      <c r="M15" s="31">
        <f t="shared" si="7"/>
        <v>1950</v>
      </c>
      <c r="O15" s="10"/>
      <c r="P15" s="10">
        <f t="shared" si="9"/>
        <v>0</v>
      </c>
      <c r="Q15" s="10"/>
      <c r="R15" s="10"/>
      <c r="S15" s="10"/>
      <c r="T15" s="10"/>
      <c r="W15" s="6"/>
      <c r="X15" s="8"/>
      <c r="Y15" s="6"/>
      <c r="Z15" s="6"/>
      <c r="AA15" s="6"/>
      <c r="AB15" s="6"/>
      <c r="AC15" s="6"/>
      <c r="AD15" s="6"/>
      <c r="AE15" s="6"/>
      <c r="AF15" s="6"/>
      <c r="AG15" s="6"/>
    </row>
    <row r="16" spans="1:33">
      <c r="A16" s="30" t="s">
        <v>113</v>
      </c>
      <c r="B16" s="30"/>
      <c r="C16" s="30">
        <v>18150</v>
      </c>
      <c r="D16" s="159">
        <f>+(C16*0.06)+C16</f>
        <v>19239</v>
      </c>
      <c r="E16" s="31">
        <v>16930</v>
      </c>
      <c r="F16" s="31">
        <f t="shared" si="0"/>
        <v>20778.120000000003</v>
      </c>
      <c r="G16" s="31">
        <f t="shared" si="1"/>
        <v>21162.9</v>
      </c>
      <c r="H16" s="31">
        <f t="shared" si="2"/>
        <v>22124.85</v>
      </c>
      <c r="I16" s="31">
        <f t="shared" si="3"/>
        <v>23086.799999999999</v>
      </c>
      <c r="J16" s="31">
        <f t="shared" si="4"/>
        <v>24048.75</v>
      </c>
      <c r="K16" s="31">
        <f t="shared" si="5"/>
        <v>25010.7</v>
      </c>
      <c r="L16" s="31">
        <v>21000</v>
      </c>
      <c r="M16" s="31">
        <f>L16-C16</f>
        <v>2850</v>
      </c>
      <c r="O16" s="10"/>
      <c r="P16" s="10">
        <f t="shared" si="9"/>
        <v>0</v>
      </c>
      <c r="Q16" s="10"/>
      <c r="R16" s="10"/>
      <c r="S16" s="10"/>
      <c r="T16" s="10"/>
      <c r="W16" s="6"/>
      <c r="X16" s="8"/>
      <c r="Y16" s="6"/>
      <c r="Z16" s="6"/>
      <c r="AA16" s="6"/>
      <c r="AB16" s="6"/>
      <c r="AC16" s="6"/>
      <c r="AD16" s="6"/>
      <c r="AE16" s="6"/>
      <c r="AF16" s="6"/>
      <c r="AG16" s="6"/>
    </row>
    <row r="17" spans="1:33">
      <c r="A17" s="30" t="s">
        <v>114</v>
      </c>
      <c r="B17" s="30" t="s">
        <v>115</v>
      </c>
      <c r="C17" s="49">
        <v>24000</v>
      </c>
      <c r="D17" s="159">
        <v>27500</v>
      </c>
      <c r="E17" s="41">
        <v>26000</v>
      </c>
      <c r="F17" s="31">
        <f t="shared" si="0"/>
        <v>29700.000000000004</v>
      </c>
      <c r="G17" s="31">
        <f t="shared" si="1"/>
        <v>30250.000000000004</v>
      </c>
      <c r="H17" s="31">
        <f t="shared" si="2"/>
        <v>31624.999999999996</v>
      </c>
      <c r="I17" s="31">
        <f t="shared" si="3"/>
        <v>33000</v>
      </c>
      <c r="J17" s="31">
        <f t="shared" si="4"/>
        <v>34375</v>
      </c>
      <c r="K17" s="31">
        <f t="shared" si="5"/>
        <v>35750</v>
      </c>
      <c r="L17" s="31">
        <v>29500</v>
      </c>
      <c r="M17" s="31">
        <f t="shared" si="7"/>
        <v>3500</v>
      </c>
      <c r="O17" s="10"/>
      <c r="P17" s="10">
        <f t="shared" si="9"/>
        <v>0</v>
      </c>
      <c r="Q17" s="10"/>
      <c r="R17" s="10"/>
      <c r="S17" s="10"/>
      <c r="T17" s="10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>
      <c r="A18" s="2" t="s">
        <v>116</v>
      </c>
      <c r="B18" s="2"/>
      <c r="C18" s="2"/>
      <c r="D18" s="158">
        <f>+(C18*0.06)+C18</f>
        <v>0</v>
      </c>
      <c r="E18" s="160">
        <v>11400</v>
      </c>
      <c r="F18" s="160">
        <f t="shared" si="0"/>
        <v>0</v>
      </c>
      <c r="G18" s="160">
        <f t="shared" si="1"/>
        <v>0</v>
      </c>
      <c r="H18" s="160">
        <f t="shared" si="2"/>
        <v>0</v>
      </c>
      <c r="I18" s="160">
        <f t="shared" si="3"/>
        <v>0</v>
      </c>
      <c r="J18" s="160">
        <f t="shared" si="4"/>
        <v>0</v>
      </c>
      <c r="K18" s="160">
        <f t="shared" si="5"/>
        <v>0</v>
      </c>
      <c r="L18" s="160"/>
      <c r="M18" s="7">
        <f t="shared" si="7"/>
        <v>-11400</v>
      </c>
      <c r="O18" s="10"/>
      <c r="P18" s="10">
        <f t="shared" si="9"/>
        <v>0</v>
      </c>
      <c r="Q18" s="10"/>
      <c r="R18" s="10"/>
      <c r="S18" s="10"/>
      <c r="T18" s="10"/>
      <c r="W18" s="6"/>
      <c r="X18" s="8"/>
      <c r="Y18" s="6"/>
      <c r="Z18" s="6"/>
      <c r="AA18" s="6"/>
      <c r="AB18" s="6"/>
      <c r="AC18" s="6"/>
      <c r="AD18" s="6"/>
      <c r="AE18" s="6"/>
      <c r="AF18" s="6"/>
      <c r="AG18" s="6"/>
    </row>
    <row r="19" spans="1:33">
      <c r="A19" s="30" t="s">
        <v>117</v>
      </c>
      <c r="B19" s="30"/>
      <c r="C19" s="30">
        <v>13800</v>
      </c>
      <c r="D19" s="159">
        <v>14300</v>
      </c>
      <c r="E19" s="31">
        <v>14100</v>
      </c>
      <c r="F19" s="31">
        <f t="shared" si="0"/>
        <v>15444.000000000002</v>
      </c>
      <c r="G19" s="31">
        <f t="shared" si="1"/>
        <v>15730.000000000002</v>
      </c>
      <c r="H19" s="31">
        <f t="shared" si="2"/>
        <v>16445</v>
      </c>
      <c r="I19" s="31">
        <f t="shared" si="3"/>
        <v>17160</v>
      </c>
      <c r="J19" s="31">
        <f t="shared" si="4"/>
        <v>17875</v>
      </c>
      <c r="K19" s="31">
        <f t="shared" si="5"/>
        <v>18590</v>
      </c>
      <c r="L19" s="31">
        <v>15500</v>
      </c>
      <c r="M19" s="31">
        <f>L19-C19</f>
        <v>1700</v>
      </c>
      <c r="O19" s="10">
        <v>60</v>
      </c>
      <c r="P19" s="10">
        <f t="shared" si="9"/>
        <v>858000</v>
      </c>
      <c r="Q19" s="10"/>
      <c r="R19" s="10"/>
      <c r="S19" s="10"/>
      <c r="T19" s="10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 s="30" t="s">
        <v>118</v>
      </c>
      <c r="B20" s="30"/>
      <c r="C20" s="30"/>
      <c r="D20" s="162">
        <v>19500</v>
      </c>
      <c r="E20" s="31">
        <v>17350</v>
      </c>
      <c r="F20" s="31">
        <f t="shared" si="0"/>
        <v>21060</v>
      </c>
      <c r="G20" s="31">
        <f t="shared" si="1"/>
        <v>21450</v>
      </c>
      <c r="H20" s="31">
        <f t="shared" si="2"/>
        <v>22425</v>
      </c>
      <c r="I20" s="31">
        <f t="shared" si="3"/>
        <v>23400</v>
      </c>
      <c r="J20" s="31">
        <f t="shared" si="4"/>
        <v>24375</v>
      </c>
      <c r="K20" s="31">
        <f t="shared" si="5"/>
        <v>25350</v>
      </c>
      <c r="L20" s="31">
        <v>21000</v>
      </c>
      <c r="M20" s="31">
        <f t="shared" si="7"/>
        <v>3650</v>
      </c>
      <c r="O20" s="10"/>
      <c r="P20" s="10">
        <f t="shared" si="9"/>
        <v>0</v>
      </c>
      <c r="Q20" s="10"/>
      <c r="R20" s="10"/>
      <c r="S20" s="10"/>
      <c r="T20" s="10"/>
      <c r="W20" s="6"/>
      <c r="X20" s="8"/>
      <c r="Y20" s="6"/>
      <c r="Z20" s="6"/>
      <c r="AA20" s="6"/>
      <c r="AB20" s="6"/>
      <c r="AC20" s="6"/>
      <c r="AD20" s="6"/>
      <c r="AE20" s="6"/>
      <c r="AF20" s="6"/>
      <c r="AG20" s="6"/>
    </row>
    <row r="21" spans="1:33">
      <c r="A21" s="30" t="s">
        <v>119</v>
      </c>
      <c r="B21" s="30"/>
      <c r="C21" s="30"/>
      <c r="D21" s="159">
        <f>+(E21*0.06)+E21</f>
        <v>30740</v>
      </c>
      <c r="E21" s="31">
        <v>29000</v>
      </c>
      <c r="F21" s="31">
        <f t="shared" si="0"/>
        <v>33199.200000000004</v>
      </c>
      <c r="G21" s="31">
        <f t="shared" si="1"/>
        <v>33814</v>
      </c>
      <c r="H21" s="31">
        <f t="shared" si="2"/>
        <v>35351</v>
      </c>
      <c r="I21" s="31">
        <f t="shared" si="3"/>
        <v>36888</v>
      </c>
      <c r="J21" s="31">
        <f t="shared" si="4"/>
        <v>38425</v>
      </c>
      <c r="K21" s="31">
        <f t="shared" si="5"/>
        <v>39962</v>
      </c>
      <c r="L21" s="31">
        <v>33500</v>
      </c>
      <c r="M21" s="31">
        <f>L21-E21</f>
        <v>4500</v>
      </c>
      <c r="O21" s="10"/>
      <c r="P21" s="10">
        <f t="shared" si="9"/>
        <v>0</v>
      </c>
      <c r="Q21" s="10"/>
      <c r="R21" s="10"/>
      <c r="S21" s="10"/>
      <c r="T21" s="10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>
      <c r="A22" s="30" t="s">
        <v>120</v>
      </c>
      <c r="B22" s="30"/>
      <c r="C22" s="30">
        <v>14600</v>
      </c>
      <c r="D22" s="159">
        <v>15700</v>
      </c>
      <c r="E22" s="31">
        <v>14000</v>
      </c>
      <c r="F22" s="31">
        <f t="shared" si="0"/>
        <v>16956</v>
      </c>
      <c r="G22" s="31">
        <f t="shared" si="1"/>
        <v>17270</v>
      </c>
      <c r="H22" s="31">
        <f t="shared" si="2"/>
        <v>18055</v>
      </c>
      <c r="I22" s="31">
        <f t="shared" si="3"/>
        <v>18840</v>
      </c>
      <c r="J22" s="31">
        <f t="shared" si="4"/>
        <v>19625</v>
      </c>
      <c r="K22" s="31">
        <f t="shared" si="5"/>
        <v>20410</v>
      </c>
      <c r="L22" s="31">
        <v>17000</v>
      </c>
      <c r="M22" s="31">
        <f>L22-E22</f>
        <v>3000</v>
      </c>
      <c r="O22" s="10">
        <v>50</v>
      </c>
      <c r="P22" s="10">
        <f t="shared" si="9"/>
        <v>785000</v>
      </c>
      <c r="Q22" s="10"/>
      <c r="R22" s="10"/>
      <c r="S22" s="10"/>
      <c r="T22" s="10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>
      <c r="A23" s="6"/>
      <c r="B23" s="6"/>
      <c r="C23" s="6"/>
      <c r="D23" s="6"/>
      <c r="F23" s="8"/>
      <c r="G23" s="8"/>
      <c r="H23" s="8"/>
      <c r="I23" s="8"/>
      <c r="J23" s="8"/>
      <c r="K23" s="8"/>
      <c r="L23" s="8"/>
      <c r="M23" s="8"/>
      <c r="O23" s="10"/>
      <c r="P23" s="10"/>
      <c r="Q23" s="10"/>
      <c r="R23" s="10"/>
      <c r="S23" s="10"/>
      <c r="T23" s="10">
        <f>SUM(P4:P22)</f>
        <v>1643000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>
      <c r="A24" s="9" t="s">
        <v>121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O24" s="10"/>
      <c r="P24" s="10">
        <f t="shared" ref="P24:P39" si="10">+E24*O24</f>
        <v>0</v>
      </c>
      <c r="Q24" s="10"/>
      <c r="R24" s="10"/>
      <c r="S24" s="10"/>
      <c r="T24" s="10"/>
      <c r="W24" s="6"/>
      <c r="X24" s="6"/>
      <c r="Y24" s="39"/>
      <c r="Z24" s="6"/>
      <c r="AA24" s="6"/>
      <c r="AB24" s="6"/>
      <c r="AC24" s="6"/>
      <c r="AD24" s="6"/>
      <c r="AE24" s="6"/>
      <c r="AF24" s="6"/>
      <c r="AG24" s="6"/>
    </row>
    <row r="25" spans="1:33">
      <c r="A25" s="2" t="s">
        <v>122</v>
      </c>
      <c r="B25" s="2" t="s">
        <v>123</v>
      </c>
      <c r="C25" s="2"/>
      <c r="D25" s="158">
        <f>+(E25*0.06)+E25</f>
        <v>19154.2</v>
      </c>
      <c r="E25" s="7">
        <v>18070</v>
      </c>
      <c r="F25" s="7">
        <f>D25*1.08</f>
        <v>20686.536000000004</v>
      </c>
      <c r="G25" s="7">
        <f>D25*1.1</f>
        <v>21069.620000000003</v>
      </c>
      <c r="H25" s="7">
        <f>D25*1.15</f>
        <v>22027.329999999998</v>
      </c>
      <c r="I25" s="7">
        <f>D25*1.2</f>
        <v>22985.040000000001</v>
      </c>
      <c r="J25" s="7">
        <f>D25*1.25</f>
        <v>23942.75</v>
      </c>
      <c r="K25" s="7">
        <f>D25*1.3</f>
        <v>24900.460000000003</v>
      </c>
      <c r="L25" s="33">
        <v>22000</v>
      </c>
      <c r="M25" s="7">
        <f t="shared" ref="M25:M37" si="11">L25-E25</f>
        <v>3930</v>
      </c>
      <c r="O25" s="10"/>
      <c r="P25" s="10">
        <f t="shared" si="10"/>
        <v>0</v>
      </c>
      <c r="Q25" s="10"/>
      <c r="R25" s="10"/>
      <c r="S25" s="10"/>
      <c r="T25" s="10"/>
      <c r="W25" s="6"/>
      <c r="X25" s="6"/>
      <c r="Y25" s="40"/>
      <c r="Z25" s="6"/>
      <c r="AA25" s="6"/>
      <c r="AB25" s="6"/>
      <c r="AC25" s="6"/>
      <c r="AD25" s="6"/>
      <c r="AE25" s="6"/>
      <c r="AF25" s="6"/>
      <c r="AG25" s="6"/>
    </row>
    <row r="26" spans="1:33">
      <c r="A26" s="30" t="s">
        <v>122</v>
      </c>
      <c r="B26" s="30" t="s">
        <v>124</v>
      </c>
      <c r="C26" s="30"/>
      <c r="D26" s="158">
        <f t="shared" ref="D26:D32" si="12">+(E26*0.06)+E26</f>
        <v>22472</v>
      </c>
      <c r="E26" s="31">
        <v>21200</v>
      </c>
      <c r="F26" s="31">
        <f t="shared" ref="F26:F35" si="13">D26*1.08</f>
        <v>24269.760000000002</v>
      </c>
      <c r="G26" s="31">
        <f t="shared" ref="G26:G35" si="14">D26*1.1</f>
        <v>24719.200000000001</v>
      </c>
      <c r="H26" s="31">
        <f t="shared" ref="H26:H35" si="15">D26*1.15</f>
        <v>25842.799999999999</v>
      </c>
      <c r="I26" s="31">
        <f t="shared" ref="I26:I35" si="16">D26*1.2</f>
        <v>26966.399999999998</v>
      </c>
      <c r="J26" s="31">
        <f t="shared" ref="J26:J35" si="17">D26*1.25</f>
        <v>28090</v>
      </c>
      <c r="K26" s="31">
        <f t="shared" ref="K26:K35" si="18">D26*1.3</f>
        <v>29213.600000000002</v>
      </c>
      <c r="L26" s="34">
        <v>25000</v>
      </c>
      <c r="M26" s="31">
        <f t="shared" si="11"/>
        <v>3800</v>
      </c>
      <c r="O26" s="10">
        <v>10</v>
      </c>
      <c r="P26" s="10">
        <f t="shared" si="10"/>
        <v>212000</v>
      </c>
      <c r="Q26" s="10"/>
      <c r="R26" s="10"/>
      <c r="S26" s="10"/>
      <c r="T26" s="10"/>
      <c r="U26" s="43">
        <v>20900</v>
      </c>
      <c r="V26">
        <v>56</v>
      </c>
      <c r="W26" s="42">
        <f t="shared" ref="W26:W35" si="19">+E26-U26</f>
        <v>300</v>
      </c>
      <c r="X26" s="8">
        <f>+W26*V26</f>
        <v>16800</v>
      </c>
      <c r="Y26" s="8">
        <f>+V26*U26</f>
        <v>1170400</v>
      </c>
      <c r="Z26" s="8"/>
      <c r="AA26" s="8"/>
      <c r="AB26" s="8"/>
      <c r="AC26" s="8"/>
      <c r="AD26" s="8"/>
      <c r="AE26" s="8"/>
      <c r="AF26" s="8"/>
      <c r="AG26" s="8"/>
    </row>
    <row r="27" spans="1:33">
      <c r="A27" s="30" t="s">
        <v>122</v>
      </c>
      <c r="B27" s="30" t="s">
        <v>125</v>
      </c>
      <c r="C27" s="30"/>
      <c r="D27" s="158">
        <f t="shared" si="12"/>
        <v>24751</v>
      </c>
      <c r="E27" s="31">
        <v>23350</v>
      </c>
      <c r="F27" s="31">
        <f t="shared" si="13"/>
        <v>26731.08</v>
      </c>
      <c r="G27" s="31">
        <f t="shared" si="14"/>
        <v>27226.100000000002</v>
      </c>
      <c r="H27" s="31">
        <f t="shared" si="15"/>
        <v>28463.649999999998</v>
      </c>
      <c r="I27" s="31">
        <f t="shared" si="16"/>
        <v>29701.199999999997</v>
      </c>
      <c r="J27" s="31">
        <f t="shared" si="17"/>
        <v>30938.75</v>
      </c>
      <c r="K27" s="31">
        <f t="shared" si="18"/>
        <v>32176.300000000003</v>
      </c>
      <c r="L27" s="34">
        <v>27000</v>
      </c>
      <c r="M27" s="31">
        <f t="shared" si="11"/>
        <v>3650</v>
      </c>
      <c r="O27" s="10"/>
      <c r="P27" s="10">
        <f t="shared" si="10"/>
        <v>0</v>
      </c>
      <c r="Q27" s="10"/>
      <c r="R27" s="10"/>
      <c r="S27" s="10"/>
      <c r="T27" s="10"/>
      <c r="U27" s="43">
        <v>23000</v>
      </c>
      <c r="V27">
        <v>56</v>
      </c>
      <c r="W27" s="42">
        <f t="shared" si="19"/>
        <v>350</v>
      </c>
      <c r="X27" s="8">
        <f t="shared" ref="X27:X91" si="20">+W27*V27</f>
        <v>19600</v>
      </c>
      <c r="Y27" s="8">
        <f t="shared" ref="Y27:Y91" si="21">+V27*U27</f>
        <v>1288000</v>
      </c>
      <c r="Z27" s="8"/>
      <c r="AA27" s="8"/>
      <c r="AB27" s="8"/>
      <c r="AC27" s="8"/>
      <c r="AD27" s="8"/>
      <c r="AE27" s="8"/>
      <c r="AF27" s="8"/>
      <c r="AG27" s="8"/>
    </row>
    <row r="28" spans="1:33">
      <c r="A28" s="30" t="s">
        <v>126</v>
      </c>
      <c r="B28" s="30" t="s">
        <v>127</v>
      </c>
      <c r="C28" s="30"/>
      <c r="D28" s="158">
        <f t="shared" si="12"/>
        <v>27220.799999999999</v>
      </c>
      <c r="E28" s="31">
        <v>25680</v>
      </c>
      <c r="F28" s="31">
        <f t="shared" si="13"/>
        <v>29398.464</v>
      </c>
      <c r="G28" s="31">
        <f t="shared" si="14"/>
        <v>29942.880000000001</v>
      </c>
      <c r="H28" s="31">
        <f t="shared" si="15"/>
        <v>31303.919999999998</v>
      </c>
      <c r="I28" s="31">
        <f t="shared" si="16"/>
        <v>32664.959999999999</v>
      </c>
      <c r="J28" s="31">
        <f t="shared" si="17"/>
        <v>34026</v>
      </c>
      <c r="K28" s="31">
        <f t="shared" si="18"/>
        <v>35387.040000000001</v>
      </c>
      <c r="L28" s="34">
        <v>29500</v>
      </c>
      <c r="M28" s="31">
        <f t="shared" si="11"/>
        <v>3820</v>
      </c>
      <c r="N28">
        <v>6</v>
      </c>
      <c r="O28" s="10">
        <v>10</v>
      </c>
      <c r="P28" s="10">
        <f t="shared" si="10"/>
        <v>256800</v>
      </c>
      <c r="Q28" s="10"/>
      <c r="R28" s="10"/>
      <c r="S28" s="10"/>
      <c r="T28" s="10"/>
      <c r="U28" s="43">
        <v>25300</v>
      </c>
      <c r="V28">
        <v>39</v>
      </c>
      <c r="W28" s="42">
        <f t="shared" si="19"/>
        <v>380</v>
      </c>
      <c r="X28" s="8">
        <f t="shared" si="20"/>
        <v>14820</v>
      </c>
      <c r="Y28" s="8">
        <f t="shared" si="21"/>
        <v>986700</v>
      </c>
      <c r="Z28" s="8"/>
      <c r="AA28" s="8"/>
      <c r="AB28" s="8"/>
      <c r="AC28" s="8"/>
      <c r="AD28" s="8"/>
      <c r="AE28" s="8"/>
      <c r="AF28" s="8"/>
      <c r="AG28" s="8"/>
    </row>
    <row r="29" spans="1:33">
      <c r="A29" s="2" t="s">
        <v>126</v>
      </c>
      <c r="B29" s="2" t="s">
        <v>123</v>
      </c>
      <c r="C29" s="2"/>
      <c r="D29" s="158">
        <f t="shared" si="12"/>
        <v>29383.200000000001</v>
      </c>
      <c r="E29" s="7">
        <v>27720</v>
      </c>
      <c r="F29" s="7">
        <f t="shared" si="13"/>
        <v>31733.856000000003</v>
      </c>
      <c r="G29" s="7">
        <f t="shared" si="14"/>
        <v>32321.520000000004</v>
      </c>
      <c r="H29" s="7">
        <f t="shared" si="15"/>
        <v>33790.68</v>
      </c>
      <c r="I29" s="7">
        <f t="shared" si="16"/>
        <v>35259.839999999997</v>
      </c>
      <c r="J29" s="7">
        <f t="shared" si="17"/>
        <v>36729</v>
      </c>
      <c r="K29" s="7">
        <f t="shared" si="18"/>
        <v>38198.160000000003</v>
      </c>
      <c r="L29" s="33">
        <v>34000</v>
      </c>
      <c r="M29" s="7">
        <f t="shared" si="11"/>
        <v>6280</v>
      </c>
      <c r="O29" s="10"/>
      <c r="P29" s="10">
        <f t="shared" si="10"/>
        <v>0</v>
      </c>
      <c r="Q29" s="10"/>
      <c r="R29" s="10"/>
      <c r="S29" s="10"/>
      <c r="T29" s="10"/>
      <c r="U29" s="43">
        <v>26800</v>
      </c>
      <c r="V29">
        <v>39</v>
      </c>
      <c r="W29" s="42">
        <f t="shared" si="19"/>
        <v>920</v>
      </c>
      <c r="X29" s="8">
        <f t="shared" si="20"/>
        <v>35880</v>
      </c>
      <c r="Y29" s="8">
        <f t="shared" si="21"/>
        <v>1045200</v>
      </c>
      <c r="Z29" s="8"/>
      <c r="AA29" s="8"/>
      <c r="AB29" s="8"/>
      <c r="AC29" s="8"/>
      <c r="AD29" s="8"/>
      <c r="AE29" s="8"/>
      <c r="AF29" s="8"/>
      <c r="AG29" s="8"/>
    </row>
    <row r="30" spans="1:33">
      <c r="A30" s="2" t="s">
        <v>128</v>
      </c>
      <c r="B30" s="2" t="s">
        <v>124</v>
      </c>
      <c r="C30" s="2"/>
      <c r="D30" s="158">
        <f t="shared" si="12"/>
        <v>23860.6</v>
      </c>
      <c r="E30" s="7">
        <v>22510</v>
      </c>
      <c r="F30" s="7">
        <f t="shared" si="13"/>
        <v>25769.448</v>
      </c>
      <c r="G30" s="7">
        <f t="shared" si="14"/>
        <v>26246.66</v>
      </c>
      <c r="H30" s="7">
        <f t="shared" si="15"/>
        <v>27439.689999999995</v>
      </c>
      <c r="I30" s="7">
        <f t="shared" si="16"/>
        <v>28632.719999999998</v>
      </c>
      <c r="J30" s="7">
        <f t="shared" si="17"/>
        <v>29825.75</v>
      </c>
      <c r="K30" s="7">
        <f t="shared" si="18"/>
        <v>31018.78</v>
      </c>
      <c r="L30" s="33">
        <v>27500</v>
      </c>
      <c r="M30" s="7">
        <f t="shared" si="11"/>
        <v>4990</v>
      </c>
      <c r="O30" s="10"/>
      <c r="P30" s="10">
        <f t="shared" si="10"/>
        <v>0</v>
      </c>
      <c r="Q30" s="10"/>
      <c r="R30" s="10"/>
      <c r="S30" s="10"/>
      <c r="T30" s="10"/>
      <c r="U30" s="43">
        <v>22100</v>
      </c>
      <c r="V30">
        <v>56</v>
      </c>
      <c r="W30" s="42">
        <f t="shared" si="19"/>
        <v>410</v>
      </c>
      <c r="X30" s="8">
        <f t="shared" si="20"/>
        <v>22960</v>
      </c>
      <c r="Y30" s="8">
        <f t="shared" si="21"/>
        <v>1237600</v>
      </c>
      <c r="Z30" s="8"/>
      <c r="AA30" s="8"/>
      <c r="AB30" s="8"/>
      <c r="AC30" s="8"/>
      <c r="AD30" s="8"/>
      <c r="AE30" s="8"/>
      <c r="AF30" s="8"/>
      <c r="AG30" s="8"/>
    </row>
    <row r="31" spans="1:33">
      <c r="A31" s="30" t="s">
        <v>128</v>
      </c>
      <c r="B31" s="30" t="s">
        <v>125</v>
      </c>
      <c r="C31" s="30"/>
      <c r="D31" s="158">
        <f t="shared" si="12"/>
        <v>26235</v>
      </c>
      <c r="E31" s="31">
        <v>24750</v>
      </c>
      <c r="F31" s="31">
        <f t="shared" si="13"/>
        <v>28333.800000000003</v>
      </c>
      <c r="G31" s="31">
        <f t="shared" si="14"/>
        <v>28858.500000000004</v>
      </c>
      <c r="H31" s="31">
        <f t="shared" si="15"/>
        <v>30170.249999999996</v>
      </c>
      <c r="I31" s="31">
        <f t="shared" si="16"/>
        <v>31482</v>
      </c>
      <c r="J31" s="31">
        <f t="shared" si="17"/>
        <v>32793.75</v>
      </c>
      <c r="K31" s="31">
        <f t="shared" si="18"/>
        <v>34105.5</v>
      </c>
      <c r="L31" s="34">
        <v>29000</v>
      </c>
      <c r="M31" s="31">
        <f t="shared" si="11"/>
        <v>4250</v>
      </c>
      <c r="N31">
        <v>5</v>
      </c>
      <c r="O31" s="10">
        <v>15</v>
      </c>
      <c r="P31" s="10">
        <f t="shared" si="10"/>
        <v>371250</v>
      </c>
      <c r="Q31" s="10"/>
      <c r="R31" s="10"/>
      <c r="S31" s="10"/>
      <c r="T31" s="10"/>
      <c r="U31" s="43">
        <v>24300</v>
      </c>
      <c r="V31">
        <v>56</v>
      </c>
      <c r="W31" s="42">
        <f t="shared" si="19"/>
        <v>450</v>
      </c>
      <c r="X31" s="8">
        <f t="shared" si="20"/>
        <v>25200</v>
      </c>
      <c r="Y31" s="8">
        <f t="shared" si="21"/>
        <v>1360800</v>
      </c>
      <c r="Z31" s="6"/>
      <c r="AA31" s="6"/>
      <c r="AB31" s="6"/>
      <c r="AC31" s="6"/>
      <c r="AD31" s="6"/>
      <c r="AE31" s="6"/>
      <c r="AF31" s="6"/>
      <c r="AG31" s="6"/>
    </row>
    <row r="32" spans="1:33">
      <c r="A32" s="2" t="s">
        <v>129</v>
      </c>
      <c r="B32" s="2" t="s">
        <v>124</v>
      </c>
      <c r="C32" s="2"/>
      <c r="D32" s="158">
        <f t="shared" si="12"/>
        <v>27496.400000000001</v>
      </c>
      <c r="E32" s="7">
        <v>25940</v>
      </c>
      <c r="F32" s="7">
        <f t="shared" si="13"/>
        <v>29696.112000000005</v>
      </c>
      <c r="G32" s="7">
        <f t="shared" si="14"/>
        <v>30246.040000000005</v>
      </c>
      <c r="H32" s="7">
        <f t="shared" si="15"/>
        <v>31620.86</v>
      </c>
      <c r="I32" s="7">
        <f t="shared" si="16"/>
        <v>32995.68</v>
      </c>
      <c r="J32" s="7">
        <f t="shared" si="17"/>
        <v>34370.5</v>
      </c>
      <c r="K32" s="7">
        <f t="shared" si="18"/>
        <v>35745.32</v>
      </c>
      <c r="L32" s="33">
        <v>31500</v>
      </c>
      <c r="M32" s="7">
        <f t="shared" si="11"/>
        <v>5560</v>
      </c>
      <c r="O32" s="10"/>
      <c r="P32" s="10">
        <f t="shared" si="10"/>
        <v>0</v>
      </c>
      <c r="Q32" s="10"/>
      <c r="R32" s="10"/>
      <c r="S32" s="10"/>
      <c r="T32" s="10"/>
      <c r="U32" s="43">
        <v>25500</v>
      </c>
      <c r="V32">
        <v>56</v>
      </c>
      <c r="W32" s="42">
        <f t="shared" si="19"/>
        <v>440</v>
      </c>
      <c r="X32" s="8">
        <f t="shared" si="20"/>
        <v>24640</v>
      </c>
      <c r="Y32" s="8">
        <f t="shared" si="21"/>
        <v>1428000</v>
      </c>
      <c r="Z32" s="6"/>
      <c r="AA32" s="6"/>
      <c r="AB32" s="6"/>
      <c r="AC32" s="6"/>
      <c r="AD32" s="6"/>
      <c r="AE32" s="6"/>
      <c r="AF32" s="6"/>
      <c r="AG32" s="6"/>
    </row>
    <row r="33" spans="1:33">
      <c r="A33" s="30" t="s">
        <v>129</v>
      </c>
      <c r="B33" s="30" t="s">
        <v>125</v>
      </c>
      <c r="C33" s="30"/>
      <c r="D33" s="162">
        <f>+(E33*0.06)+E33</f>
        <v>30125.200000000001</v>
      </c>
      <c r="E33" s="31">
        <v>28420</v>
      </c>
      <c r="F33" s="31">
        <f t="shared" si="13"/>
        <v>32535.216000000004</v>
      </c>
      <c r="G33" s="31">
        <f t="shared" si="14"/>
        <v>33137.72</v>
      </c>
      <c r="H33" s="31">
        <f t="shared" si="15"/>
        <v>34643.979999999996</v>
      </c>
      <c r="I33" s="31">
        <f t="shared" si="16"/>
        <v>36150.239999999998</v>
      </c>
      <c r="J33" s="31">
        <f t="shared" si="17"/>
        <v>37656.5</v>
      </c>
      <c r="K33" s="31">
        <f t="shared" si="18"/>
        <v>39162.76</v>
      </c>
      <c r="L33" s="34">
        <v>33000</v>
      </c>
      <c r="M33" s="31">
        <f t="shared" si="11"/>
        <v>4580</v>
      </c>
      <c r="N33">
        <v>5</v>
      </c>
      <c r="O33" s="10">
        <v>10</v>
      </c>
      <c r="P33" s="10">
        <f t="shared" si="10"/>
        <v>284200</v>
      </c>
      <c r="Q33" s="10"/>
      <c r="R33" s="10"/>
      <c r="S33" s="10"/>
      <c r="T33" s="10"/>
      <c r="U33" s="43">
        <v>27900</v>
      </c>
      <c r="V33">
        <v>56</v>
      </c>
      <c r="W33" s="42">
        <f t="shared" si="19"/>
        <v>520</v>
      </c>
      <c r="X33" s="8">
        <f t="shared" si="20"/>
        <v>29120</v>
      </c>
      <c r="Y33" s="8">
        <f t="shared" si="21"/>
        <v>1562400</v>
      </c>
      <c r="Z33" s="6"/>
      <c r="AA33" s="6"/>
      <c r="AB33" s="6"/>
      <c r="AC33" s="6"/>
      <c r="AD33" s="6"/>
      <c r="AE33" s="6"/>
      <c r="AF33" s="6"/>
      <c r="AG33" s="6"/>
    </row>
    <row r="34" spans="1:33">
      <c r="A34" s="2" t="s">
        <v>130</v>
      </c>
      <c r="B34" s="2" t="s">
        <v>124</v>
      </c>
      <c r="C34" s="2"/>
      <c r="D34" s="158">
        <f>+(E34*0.06)+E34</f>
        <v>40884.199999999997</v>
      </c>
      <c r="E34" s="7">
        <v>38570</v>
      </c>
      <c r="F34" s="7">
        <f t="shared" si="13"/>
        <v>44154.936000000002</v>
      </c>
      <c r="G34" s="7">
        <f t="shared" si="14"/>
        <v>44972.62</v>
      </c>
      <c r="H34" s="7">
        <f t="shared" si="15"/>
        <v>47016.829999999994</v>
      </c>
      <c r="I34" s="7">
        <f t="shared" si="16"/>
        <v>49061.039999999994</v>
      </c>
      <c r="J34" s="7">
        <f t="shared" si="17"/>
        <v>51105.25</v>
      </c>
      <c r="K34" s="7">
        <f t="shared" si="18"/>
        <v>53149.46</v>
      </c>
      <c r="L34" s="33">
        <v>47000</v>
      </c>
      <c r="M34" s="7">
        <f t="shared" si="11"/>
        <v>8430</v>
      </c>
      <c r="O34" s="10"/>
      <c r="P34" s="10">
        <f t="shared" si="10"/>
        <v>0</v>
      </c>
      <c r="Q34" s="10"/>
      <c r="R34" s="10"/>
      <c r="S34" s="10"/>
      <c r="T34" s="10"/>
      <c r="U34" s="43">
        <v>37900</v>
      </c>
      <c r="V34">
        <v>40</v>
      </c>
      <c r="W34" s="42">
        <f t="shared" si="19"/>
        <v>670</v>
      </c>
      <c r="X34" s="8">
        <f t="shared" si="20"/>
        <v>26800</v>
      </c>
      <c r="Y34" s="8">
        <f t="shared" si="21"/>
        <v>1516000</v>
      </c>
      <c r="Z34" s="6"/>
      <c r="AA34" s="6"/>
      <c r="AB34" s="6"/>
      <c r="AC34" s="6"/>
      <c r="AD34" s="6"/>
      <c r="AE34" s="6"/>
      <c r="AF34" s="6"/>
      <c r="AG34" s="6"/>
    </row>
    <row r="35" spans="1:33">
      <c r="A35" s="30" t="s">
        <v>130</v>
      </c>
      <c r="B35" s="30" t="s">
        <v>125</v>
      </c>
      <c r="C35" s="30"/>
      <c r="D35" s="162">
        <f>+(E35*0.06)+E35</f>
        <v>44944</v>
      </c>
      <c r="E35" s="31">
        <v>42400</v>
      </c>
      <c r="F35" s="31">
        <f t="shared" si="13"/>
        <v>48539.520000000004</v>
      </c>
      <c r="G35" s="31">
        <f t="shared" si="14"/>
        <v>49438.400000000001</v>
      </c>
      <c r="H35" s="31">
        <f t="shared" si="15"/>
        <v>51685.599999999999</v>
      </c>
      <c r="I35" s="31">
        <f t="shared" si="16"/>
        <v>53932.799999999996</v>
      </c>
      <c r="J35" s="31">
        <f t="shared" si="17"/>
        <v>56180</v>
      </c>
      <c r="K35" s="31">
        <f t="shared" si="18"/>
        <v>58427.200000000004</v>
      </c>
      <c r="L35" s="34">
        <v>48500</v>
      </c>
      <c r="M35" s="31">
        <f t="shared" si="11"/>
        <v>6100</v>
      </c>
      <c r="N35">
        <v>4</v>
      </c>
      <c r="O35" s="10">
        <v>6</v>
      </c>
      <c r="P35" s="10">
        <f t="shared" si="10"/>
        <v>254400</v>
      </c>
      <c r="Q35" s="10"/>
      <c r="R35" s="10"/>
      <c r="S35" s="10"/>
      <c r="T35" s="10"/>
      <c r="U35" s="43">
        <v>41700</v>
      </c>
      <c r="V35">
        <v>40</v>
      </c>
      <c r="W35" s="42">
        <f t="shared" si="19"/>
        <v>700</v>
      </c>
      <c r="X35" s="8">
        <f t="shared" si="20"/>
        <v>28000</v>
      </c>
      <c r="Y35" s="8">
        <f t="shared" si="21"/>
        <v>1668000</v>
      </c>
      <c r="Z35" s="6"/>
      <c r="AA35" s="6"/>
      <c r="AB35" s="6"/>
      <c r="AC35" s="6"/>
      <c r="AD35" s="6"/>
      <c r="AE35" s="6"/>
      <c r="AF35" s="6"/>
      <c r="AG35" s="6"/>
    </row>
    <row r="36" spans="1:33">
      <c r="A36" s="2" t="s">
        <v>131</v>
      </c>
      <c r="B36" s="2" t="s">
        <v>127</v>
      </c>
      <c r="C36" s="2"/>
      <c r="D36" s="158">
        <f t="shared" ref="D36:D37" si="22">+(E36*0.11)+E36</f>
        <v>0</v>
      </c>
      <c r="E36" s="7"/>
      <c r="F36" s="7">
        <f t="shared" ref="F36:F37" si="23">E36*1.08</f>
        <v>0</v>
      </c>
      <c r="G36" s="7">
        <f t="shared" ref="G36:G37" si="24">E36*1.1</f>
        <v>0</v>
      </c>
      <c r="H36" s="7">
        <f t="shared" ref="H36:H37" si="25">E36*1.15</f>
        <v>0</v>
      </c>
      <c r="I36" s="7">
        <f t="shared" ref="I36:I37" si="26">E36*1.2</f>
        <v>0</v>
      </c>
      <c r="J36" s="7">
        <f t="shared" ref="J36:J37" si="27">E36*1.25</f>
        <v>0</v>
      </c>
      <c r="K36" s="7">
        <f t="shared" ref="K36:K37" si="28">E36*1.3</f>
        <v>0</v>
      </c>
      <c r="L36" s="33">
        <v>19000</v>
      </c>
      <c r="M36" s="7">
        <f t="shared" si="11"/>
        <v>19000</v>
      </c>
      <c r="O36" s="10"/>
      <c r="P36" s="10">
        <f t="shared" si="10"/>
        <v>0</v>
      </c>
      <c r="Q36" s="10"/>
      <c r="R36" s="10"/>
      <c r="S36" s="10"/>
      <c r="T36" s="10"/>
      <c r="W36" s="6"/>
      <c r="X36" s="8">
        <f t="shared" si="20"/>
        <v>0</v>
      </c>
      <c r="Y36" s="8">
        <f t="shared" si="21"/>
        <v>0</v>
      </c>
      <c r="Z36" s="6"/>
      <c r="AA36" s="6"/>
      <c r="AB36" s="6"/>
      <c r="AC36" s="6"/>
      <c r="AD36" s="6"/>
      <c r="AE36" s="6"/>
      <c r="AF36" s="6"/>
      <c r="AG36" s="6"/>
    </row>
    <row r="37" spans="1:33">
      <c r="A37" s="2" t="s">
        <v>131</v>
      </c>
      <c r="B37" s="2" t="s">
        <v>123</v>
      </c>
      <c r="C37" s="2"/>
      <c r="D37" s="158">
        <f t="shared" si="22"/>
        <v>0</v>
      </c>
      <c r="E37" s="7"/>
      <c r="F37" s="7">
        <f t="shared" si="23"/>
        <v>0</v>
      </c>
      <c r="G37" s="7">
        <f t="shared" si="24"/>
        <v>0</v>
      </c>
      <c r="H37" s="7">
        <f t="shared" si="25"/>
        <v>0</v>
      </c>
      <c r="I37" s="7">
        <f t="shared" si="26"/>
        <v>0</v>
      </c>
      <c r="J37" s="7">
        <f t="shared" si="27"/>
        <v>0</v>
      </c>
      <c r="K37" s="7">
        <f t="shared" si="28"/>
        <v>0</v>
      </c>
      <c r="L37" s="33">
        <v>19500</v>
      </c>
      <c r="M37" s="7">
        <f t="shared" si="11"/>
        <v>19500</v>
      </c>
      <c r="O37" s="10"/>
      <c r="P37" s="10">
        <f t="shared" si="10"/>
        <v>0</v>
      </c>
      <c r="Q37" s="10"/>
      <c r="R37" s="10"/>
      <c r="S37" s="10"/>
      <c r="T37" s="10"/>
      <c r="W37" s="6"/>
      <c r="X37" s="8">
        <f t="shared" si="20"/>
        <v>0</v>
      </c>
      <c r="Y37" s="8">
        <f t="shared" si="21"/>
        <v>0</v>
      </c>
      <c r="Z37" s="6"/>
      <c r="AA37" s="6"/>
      <c r="AB37" s="6"/>
      <c r="AC37" s="6"/>
      <c r="AD37" s="6"/>
      <c r="AE37" s="6"/>
      <c r="AF37" s="6"/>
      <c r="AG37" s="6"/>
    </row>
    <row r="38" spans="1:3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8"/>
      <c r="O38" s="10"/>
      <c r="P38" s="10">
        <f t="shared" si="10"/>
        <v>0</v>
      </c>
      <c r="Q38" s="10"/>
      <c r="R38" s="10"/>
      <c r="S38" s="10"/>
      <c r="T38" s="10"/>
      <c r="W38" s="6"/>
      <c r="X38" s="8">
        <f t="shared" si="20"/>
        <v>0</v>
      </c>
      <c r="Y38" s="8">
        <f t="shared" si="21"/>
        <v>0</v>
      </c>
      <c r="Z38" s="6"/>
      <c r="AA38" s="6"/>
      <c r="AB38" s="6"/>
      <c r="AC38" s="6"/>
      <c r="AD38" s="6"/>
      <c r="AE38" s="6"/>
      <c r="AF38" s="6"/>
      <c r="AG38" s="6"/>
    </row>
    <row r="39" spans="1:33">
      <c r="A39" s="9" t="s">
        <v>132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8"/>
      <c r="O39" s="10"/>
      <c r="P39" s="10">
        <f t="shared" si="10"/>
        <v>0</v>
      </c>
      <c r="Q39" s="10"/>
      <c r="R39" s="10"/>
      <c r="S39" s="10"/>
      <c r="T39" s="10"/>
      <c r="W39" s="6"/>
      <c r="X39" s="8">
        <f t="shared" si="20"/>
        <v>0</v>
      </c>
      <c r="Y39" s="8">
        <f t="shared" si="21"/>
        <v>0</v>
      </c>
      <c r="Z39" s="6"/>
      <c r="AA39" s="6"/>
      <c r="AB39" s="6"/>
      <c r="AC39" s="6"/>
      <c r="AD39" s="6"/>
      <c r="AE39" s="6"/>
      <c r="AF39" s="6"/>
      <c r="AG39" s="6"/>
    </row>
    <row r="40" spans="1:33">
      <c r="A40" s="2" t="s">
        <v>133</v>
      </c>
      <c r="B40" s="2" t="s">
        <v>123</v>
      </c>
      <c r="C40" s="2"/>
      <c r="D40" s="158">
        <f t="shared" ref="D40:D103" si="29">+(E40*0.11)+E40</f>
        <v>16172.7</v>
      </c>
      <c r="E40" s="7">
        <v>14570</v>
      </c>
      <c r="F40" s="7">
        <f>D40*1.08</f>
        <v>17466.516000000003</v>
      </c>
      <c r="G40" s="7">
        <f>D40*1.1</f>
        <v>17789.97</v>
      </c>
      <c r="H40" s="7">
        <f>D40*1.15</f>
        <v>18598.605</v>
      </c>
      <c r="I40" s="7">
        <f>D40*1.2</f>
        <v>19407.240000000002</v>
      </c>
      <c r="J40" s="7">
        <f>D40*1.25</f>
        <v>20215.875</v>
      </c>
      <c r="K40" s="7">
        <f>D40*1.3</f>
        <v>21024.510000000002</v>
      </c>
      <c r="L40" s="7">
        <v>18000</v>
      </c>
      <c r="M40" s="7">
        <f>L40-E40</f>
        <v>3430</v>
      </c>
      <c r="O40" s="10"/>
      <c r="P40" s="10">
        <f>+D40*O40</f>
        <v>0</v>
      </c>
      <c r="Q40" s="10"/>
      <c r="R40" s="10"/>
      <c r="S40" s="10"/>
      <c r="T40" s="10"/>
      <c r="W40" s="6"/>
      <c r="X40" s="8">
        <f t="shared" si="20"/>
        <v>0</v>
      </c>
      <c r="Y40" s="8">
        <f t="shared" si="21"/>
        <v>0</v>
      </c>
      <c r="Z40" s="6"/>
      <c r="AA40" s="6"/>
      <c r="AB40" s="6"/>
      <c r="AC40" s="6"/>
      <c r="AD40" s="6"/>
      <c r="AE40" s="6"/>
      <c r="AF40" s="6"/>
      <c r="AG40" s="6"/>
    </row>
    <row r="41" spans="1:33">
      <c r="A41" s="30" t="s">
        <v>133</v>
      </c>
      <c r="B41" s="30" t="s">
        <v>124</v>
      </c>
      <c r="C41" s="30">
        <v>16700</v>
      </c>
      <c r="D41" s="162">
        <v>17630</v>
      </c>
      <c r="E41" s="31">
        <v>17200</v>
      </c>
      <c r="F41" s="31">
        <f>D41*1.08</f>
        <v>19040.400000000001</v>
      </c>
      <c r="G41" s="31">
        <f t="shared" ref="G41:G60" si="30">D41*1.1</f>
        <v>19393</v>
      </c>
      <c r="H41" s="31">
        <f t="shared" ref="H41:H60" si="31">D41*1.15</f>
        <v>20274.5</v>
      </c>
      <c r="I41" s="31">
        <f t="shared" ref="I41:I60" si="32">D41*1.2</f>
        <v>21156</v>
      </c>
      <c r="J41" s="31">
        <f t="shared" ref="J41:J60" si="33">D41*1.25</f>
        <v>22037.5</v>
      </c>
      <c r="K41" s="31">
        <f t="shared" ref="K41:K60" si="34">D41*1.3</f>
        <v>22919</v>
      </c>
      <c r="L41" s="34">
        <v>19500</v>
      </c>
      <c r="M41" s="31">
        <f>L41-C41</f>
        <v>2800</v>
      </c>
      <c r="N41">
        <v>17</v>
      </c>
      <c r="O41" s="10">
        <v>50</v>
      </c>
      <c r="P41" s="10">
        <f t="shared" ref="P41:P104" si="35">+D41*O41</f>
        <v>881500</v>
      </c>
      <c r="Q41" s="10"/>
      <c r="R41" s="10"/>
      <c r="S41" s="10"/>
      <c r="T41" s="10"/>
      <c r="U41" s="43">
        <v>16900</v>
      </c>
      <c r="V41">
        <v>50</v>
      </c>
      <c r="W41" s="42">
        <f t="shared" ref="W41:W51" si="36">+E41-U41</f>
        <v>300</v>
      </c>
      <c r="X41" s="8">
        <f>+W41*V41</f>
        <v>15000</v>
      </c>
      <c r="Y41" s="45">
        <f t="shared" si="21"/>
        <v>845000</v>
      </c>
      <c r="Z41" s="6"/>
      <c r="AA41" s="6"/>
      <c r="AB41" s="6"/>
      <c r="AC41" s="6"/>
      <c r="AD41" s="6"/>
      <c r="AE41" s="6"/>
      <c r="AF41" s="6"/>
      <c r="AG41" s="6"/>
    </row>
    <row r="42" spans="1:33">
      <c r="A42" s="2" t="s">
        <v>133</v>
      </c>
      <c r="B42" s="2" t="s">
        <v>125</v>
      </c>
      <c r="C42" s="2"/>
      <c r="D42" s="158">
        <f t="shared" si="29"/>
        <v>20945.7</v>
      </c>
      <c r="E42" s="7">
        <v>18870</v>
      </c>
      <c r="F42" s="7">
        <f t="shared" ref="F42:F60" si="37">D42*1.08</f>
        <v>22621.356000000003</v>
      </c>
      <c r="G42" s="7">
        <f t="shared" si="30"/>
        <v>23040.270000000004</v>
      </c>
      <c r="H42" s="7">
        <f t="shared" si="31"/>
        <v>24087.555</v>
      </c>
      <c r="I42" s="7">
        <f t="shared" si="32"/>
        <v>25134.84</v>
      </c>
      <c r="J42" s="7">
        <f t="shared" si="33"/>
        <v>26182.125</v>
      </c>
      <c r="K42" s="7">
        <f t="shared" si="34"/>
        <v>27229.410000000003</v>
      </c>
      <c r="L42" s="33">
        <v>23000</v>
      </c>
      <c r="M42" s="7">
        <f t="shared" ref="M42:M60" si="38">L42-E42</f>
        <v>4130</v>
      </c>
      <c r="O42" s="10"/>
      <c r="P42" s="10">
        <f t="shared" si="35"/>
        <v>0</v>
      </c>
      <c r="Q42" s="10"/>
      <c r="R42" s="10"/>
      <c r="S42" s="10"/>
      <c r="T42" s="10"/>
      <c r="U42" s="43">
        <v>18600</v>
      </c>
      <c r="V42">
        <v>50</v>
      </c>
      <c r="W42" s="42">
        <f t="shared" si="36"/>
        <v>270</v>
      </c>
      <c r="X42" s="8">
        <f t="shared" si="20"/>
        <v>13500</v>
      </c>
      <c r="Y42" s="8">
        <f t="shared" si="21"/>
        <v>930000</v>
      </c>
      <c r="Z42" s="6"/>
      <c r="AA42" s="6"/>
      <c r="AB42" s="6"/>
      <c r="AC42" s="6"/>
      <c r="AD42" s="6"/>
      <c r="AE42" s="6"/>
      <c r="AF42" s="6"/>
      <c r="AG42" s="6"/>
    </row>
    <row r="43" spans="1:33">
      <c r="A43" s="2" t="s">
        <v>134</v>
      </c>
      <c r="B43" s="2" t="s">
        <v>135</v>
      </c>
      <c r="C43" s="2"/>
      <c r="D43" s="158">
        <f t="shared" si="29"/>
        <v>0</v>
      </c>
      <c r="E43" s="7"/>
      <c r="F43" s="7">
        <f t="shared" si="37"/>
        <v>0</v>
      </c>
      <c r="G43" s="7">
        <f t="shared" si="30"/>
        <v>0</v>
      </c>
      <c r="H43" s="7">
        <f t="shared" si="31"/>
        <v>0</v>
      </c>
      <c r="I43" s="7">
        <f t="shared" si="32"/>
        <v>0</v>
      </c>
      <c r="J43" s="7">
        <f t="shared" si="33"/>
        <v>0</v>
      </c>
      <c r="K43" s="7">
        <f t="shared" si="34"/>
        <v>0</v>
      </c>
      <c r="L43" s="33"/>
      <c r="M43" s="7">
        <f t="shared" si="38"/>
        <v>0</v>
      </c>
      <c r="O43" s="10"/>
      <c r="P43" s="10">
        <f t="shared" si="35"/>
        <v>0</v>
      </c>
      <c r="Q43" s="10"/>
      <c r="R43" s="10"/>
      <c r="S43" s="10"/>
      <c r="T43" s="10"/>
      <c r="W43" s="42">
        <f t="shared" si="36"/>
        <v>0</v>
      </c>
      <c r="X43" s="8">
        <f t="shared" si="20"/>
        <v>0</v>
      </c>
      <c r="Y43" s="8">
        <f t="shared" si="21"/>
        <v>0</v>
      </c>
      <c r="Z43" s="6"/>
      <c r="AA43" s="6"/>
      <c r="AB43" s="6"/>
      <c r="AC43" s="6"/>
      <c r="AD43" s="6"/>
      <c r="AE43" s="6"/>
      <c r="AF43" s="6"/>
      <c r="AG43" s="6"/>
    </row>
    <row r="44" spans="1:33">
      <c r="A44" s="2" t="s">
        <v>134</v>
      </c>
      <c r="B44" s="2" t="s">
        <v>125</v>
      </c>
      <c r="C44" s="2"/>
      <c r="D44" s="158">
        <f t="shared" si="29"/>
        <v>0</v>
      </c>
      <c r="E44" s="7"/>
      <c r="F44" s="7">
        <f t="shared" si="37"/>
        <v>0</v>
      </c>
      <c r="G44" s="7">
        <f t="shared" si="30"/>
        <v>0</v>
      </c>
      <c r="H44" s="7">
        <f t="shared" si="31"/>
        <v>0</v>
      </c>
      <c r="I44" s="7">
        <f t="shared" si="32"/>
        <v>0</v>
      </c>
      <c r="J44" s="7">
        <f t="shared" si="33"/>
        <v>0</v>
      </c>
      <c r="K44" s="7">
        <f t="shared" si="34"/>
        <v>0</v>
      </c>
      <c r="L44" s="33">
        <v>24200</v>
      </c>
      <c r="M44" s="7">
        <f t="shared" si="38"/>
        <v>24200</v>
      </c>
      <c r="O44" s="10"/>
      <c r="P44" s="10">
        <f t="shared" si="35"/>
        <v>0</v>
      </c>
      <c r="Q44" s="10"/>
      <c r="R44" s="10"/>
      <c r="S44" s="10"/>
      <c r="T44" s="10"/>
      <c r="W44" s="42">
        <f t="shared" si="36"/>
        <v>0</v>
      </c>
      <c r="X44" s="8">
        <f t="shared" si="20"/>
        <v>0</v>
      </c>
      <c r="Y44" s="8">
        <f t="shared" si="21"/>
        <v>0</v>
      </c>
      <c r="Z44" s="6"/>
      <c r="AA44" s="6"/>
      <c r="AB44" s="6"/>
      <c r="AC44" s="6"/>
      <c r="AD44" s="6"/>
      <c r="AE44" s="6"/>
      <c r="AF44" s="6"/>
      <c r="AG44" s="6"/>
    </row>
    <row r="45" spans="1:33">
      <c r="A45" s="30" t="s">
        <v>136</v>
      </c>
      <c r="B45" s="30" t="s">
        <v>127</v>
      </c>
      <c r="C45" s="30"/>
      <c r="D45" s="158">
        <f t="shared" si="29"/>
        <v>20013.3</v>
      </c>
      <c r="E45" s="31">
        <v>18030</v>
      </c>
      <c r="F45" s="31">
        <f t="shared" si="37"/>
        <v>21614.364000000001</v>
      </c>
      <c r="G45" s="31">
        <f t="shared" si="30"/>
        <v>22014.63</v>
      </c>
      <c r="H45" s="31">
        <f t="shared" si="31"/>
        <v>23015.294999999998</v>
      </c>
      <c r="I45" s="31">
        <f t="shared" si="32"/>
        <v>24015.96</v>
      </c>
      <c r="J45" s="31">
        <f t="shared" si="33"/>
        <v>25016.625</v>
      </c>
      <c r="K45" s="31">
        <f t="shared" si="34"/>
        <v>26017.29</v>
      </c>
      <c r="L45" s="34">
        <v>22000</v>
      </c>
      <c r="M45" s="31">
        <f t="shared" si="38"/>
        <v>3970</v>
      </c>
      <c r="N45">
        <v>8</v>
      </c>
      <c r="O45" s="10">
        <v>40</v>
      </c>
      <c r="P45" s="10">
        <f t="shared" si="35"/>
        <v>800532</v>
      </c>
      <c r="Q45" s="10"/>
      <c r="R45" s="10"/>
      <c r="S45" s="10"/>
      <c r="T45" s="10"/>
      <c r="U45" s="43">
        <v>17700</v>
      </c>
      <c r="V45">
        <v>36</v>
      </c>
      <c r="W45" s="42">
        <f t="shared" si="36"/>
        <v>330</v>
      </c>
      <c r="X45" s="8">
        <f t="shared" si="20"/>
        <v>11880</v>
      </c>
      <c r="Y45" s="45">
        <f t="shared" si="21"/>
        <v>637200</v>
      </c>
      <c r="Z45" s="6"/>
      <c r="AA45" s="6"/>
      <c r="AB45" s="6"/>
      <c r="AC45" s="6"/>
      <c r="AD45" s="6"/>
      <c r="AE45" s="6"/>
      <c r="AF45" s="6"/>
      <c r="AG45" s="6"/>
    </row>
    <row r="46" spans="1:33">
      <c r="A46" s="2" t="s">
        <v>136</v>
      </c>
      <c r="B46" s="2" t="s">
        <v>123</v>
      </c>
      <c r="C46" s="2">
        <v>17738</v>
      </c>
      <c r="D46" s="158">
        <f>+(E46*0.11)+E46</f>
        <v>21256.5</v>
      </c>
      <c r="E46" s="7">
        <v>19150</v>
      </c>
      <c r="F46" s="7">
        <f t="shared" si="37"/>
        <v>22957.02</v>
      </c>
      <c r="G46" s="7">
        <f t="shared" si="30"/>
        <v>23382.15</v>
      </c>
      <c r="H46" s="7">
        <f t="shared" si="31"/>
        <v>24444.974999999999</v>
      </c>
      <c r="I46" s="7">
        <f t="shared" si="32"/>
        <v>25507.8</v>
      </c>
      <c r="J46" s="7">
        <f t="shared" si="33"/>
        <v>26570.625</v>
      </c>
      <c r="K46" s="7">
        <f t="shared" si="34"/>
        <v>27633.45</v>
      </c>
      <c r="L46" s="33">
        <v>23500</v>
      </c>
      <c r="M46" s="7">
        <f t="shared" si="38"/>
        <v>4350</v>
      </c>
      <c r="O46" s="10"/>
      <c r="P46" s="10">
        <f t="shared" si="35"/>
        <v>0</v>
      </c>
      <c r="Q46" s="10"/>
      <c r="R46" s="10"/>
      <c r="S46" s="10"/>
      <c r="T46" s="10"/>
      <c r="U46" s="43">
        <v>18800</v>
      </c>
      <c r="V46">
        <v>36</v>
      </c>
      <c r="W46" s="42">
        <f t="shared" si="36"/>
        <v>350</v>
      </c>
      <c r="X46" s="8">
        <f t="shared" si="20"/>
        <v>12600</v>
      </c>
      <c r="Y46" s="8">
        <f t="shared" si="21"/>
        <v>676800</v>
      </c>
      <c r="Z46" s="6"/>
      <c r="AA46" s="6"/>
      <c r="AB46" s="6"/>
      <c r="AC46" s="6"/>
      <c r="AD46" s="6"/>
      <c r="AE46" s="6"/>
      <c r="AF46" s="6"/>
      <c r="AG46" s="6"/>
    </row>
    <row r="47" spans="1:33">
      <c r="A47" s="30" t="s">
        <v>137</v>
      </c>
      <c r="B47" s="30" t="s">
        <v>127</v>
      </c>
      <c r="C47" s="30"/>
      <c r="D47" s="162">
        <f>+(E47*0.08)+E47</f>
        <v>25218</v>
      </c>
      <c r="E47" s="31">
        <v>23350</v>
      </c>
      <c r="F47" s="31">
        <f t="shared" si="37"/>
        <v>27235.440000000002</v>
      </c>
      <c r="G47" s="31">
        <f t="shared" si="30"/>
        <v>27739.800000000003</v>
      </c>
      <c r="H47" s="31">
        <f t="shared" si="31"/>
        <v>29000.699999999997</v>
      </c>
      <c r="I47" s="31">
        <f t="shared" si="32"/>
        <v>30261.599999999999</v>
      </c>
      <c r="J47" s="31">
        <f t="shared" si="33"/>
        <v>31522.5</v>
      </c>
      <c r="K47" s="31">
        <f t="shared" si="34"/>
        <v>32783.4</v>
      </c>
      <c r="L47" s="34">
        <v>27000</v>
      </c>
      <c r="M47" s="31">
        <f t="shared" si="38"/>
        <v>3650</v>
      </c>
      <c r="O47" s="10">
        <v>20</v>
      </c>
      <c r="P47" s="10">
        <f t="shared" si="35"/>
        <v>504360</v>
      </c>
      <c r="Q47" s="10"/>
      <c r="R47" s="10"/>
      <c r="S47" s="10"/>
      <c r="T47" s="10"/>
      <c r="U47" s="43">
        <v>23000</v>
      </c>
      <c r="V47">
        <v>36</v>
      </c>
      <c r="W47" s="42">
        <f t="shared" si="36"/>
        <v>350</v>
      </c>
      <c r="X47" s="8">
        <f t="shared" si="20"/>
        <v>12600</v>
      </c>
      <c r="Y47" s="8">
        <f t="shared" si="21"/>
        <v>828000</v>
      </c>
      <c r="Z47" s="6"/>
      <c r="AA47" s="6"/>
      <c r="AB47" s="6"/>
      <c r="AC47" s="6"/>
      <c r="AD47" s="6"/>
      <c r="AE47" s="6"/>
      <c r="AF47" s="6"/>
      <c r="AG47" s="6"/>
    </row>
    <row r="48" spans="1:33">
      <c r="A48" s="30" t="s">
        <v>137</v>
      </c>
      <c r="B48" s="30" t="s">
        <v>123</v>
      </c>
      <c r="C48" s="30">
        <v>20198</v>
      </c>
      <c r="D48" s="158">
        <f t="shared" si="29"/>
        <v>27472.5</v>
      </c>
      <c r="E48" s="31">
        <v>24750</v>
      </c>
      <c r="F48" s="31">
        <f t="shared" si="37"/>
        <v>29670.300000000003</v>
      </c>
      <c r="G48" s="31">
        <f t="shared" si="30"/>
        <v>30219.750000000004</v>
      </c>
      <c r="H48" s="31">
        <f t="shared" si="31"/>
        <v>31593.374999999996</v>
      </c>
      <c r="I48" s="31">
        <f t="shared" si="32"/>
        <v>32967</v>
      </c>
      <c r="J48" s="31">
        <f t="shared" si="33"/>
        <v>34340.625</v>
      </c>
      <c r="K48" s="31">
        <f t="shared" si="34"/>
        <v>35714.25</v>
      </c>
      <c r="L48" s="34">
        <v>30000</v>
      </c>
      <c r="M48" s="31">
        <f t="shared" si="38"/>
        <v>5250</v>
      </c>
      <c r="O48" s="10"/>
      <c r="P48" s="10">
        <f t="shared" si="35"/>
        <v>0</v>
      </c>
      <c r="Q48" s="10"/>
      <c r="R48" s="10"/>
      <c r="S48" s="10"/>
      <c r="T48" s="10"/>
      <c r="U48" s="43">
        <v>24300</v>
      </c>
      <c r="V48">
        <v>36</v>
      </c>
      <c r="W48" s="42">
        <f t="shared" si="36"/>
        <v>450</v>
      </c>
      <c r="X48" s="8">
        <f t="shared" si="20"/>
        <v>16200</v>
      </c>
      <c r="Y48" s="8">
        <f t="shared" si="21"/>
        <v>874800</v>
      </c>
      <c r="Z48" s="6"/>
      <c r="AA48" s="6"/>
      <c r="AB48" s="6"/>
      <c r="AC48" s="6"/>
      <c r="AD48" s="6"/>
      <c r="AE48" s="6"/>
      <c r="AF48" s="6"/>
      <c r="AG48" s="6"/>
    </row>
    <row r="49" spans="1:33">
      <c r="A49" s="30" t="s">
        <v>138</v>
      </c>
      <c r="B49" s="30" t="s">
        <v>127</v>
      </c>
      <c r="C49" s="30"/>
      <c r="D49" s="162">
        <f>+(E49*0.06)+E49</f>
        <v>18210.8</v>
      </c>
      <c r="E49" s="31">
        <v>17180</v>
      </c>
      <c r="F49" s="31">
        <f t="shared" si="37"/>
        <v>19667.664000000001</v>
      </c>
      <c r="G49" s="31">
        <f t="shared" si="30"/>
        <v>20031.88</v>
      </c>
      <c r="H49" s="31">
        <f t="shared" si="31"/>
        <v>20942.419999999998</v>
      </c>
      <c r="I49" s="31">
        <f t="shared" si="32"/>
        <v>21852.959999999999</v>
      </c>
      <c r="J49" s="31">
        <f t="shared" si="33"/>
        <v>22763.5</v>
      </c>
      <c r="K49" s="31">
        <f t="shared" si="34"/>
        <v>23674.04</v>
      </c>
      <c r="L49" s="34">
        <v>19500</v>
      </c>
      <c r="M49" s="31">
        <f t="shared" si="38"/>
        <v>2320</v>
      </c>
      <c r="O49" s="10">
        <v>40</v>
      </c>
      <c r="P49" s="10">
        <f t="shared" si="35"/>
        <v>728432</v>
      </c>
      <c r="Q49" s="10"/>
      <c r="R49" s="10"/>
      <c r="S49" s="10"/>
      <c r="T49" s="10"/>
      <c r="U49" s="43">
        <v>16900</v>
      </c>
      <c r="V49">
        <v>44</v>
      </c>
      <c r="W49" s="42">
        <f t="shared" si="36"/>
        <v>280</v>
      </c>
      <c r="X49" s="8">
        <f t="shared" si="20"/>
        <v>12320</v>
      </c>
      <c r="Y49" s="45">
        <f t="shared" si="21"/>
        <v>743600</v>
      </c>
      <c r="Z49" s="6"/>
      <c r="AA49" s="6"/>
      <c r="AB49" s="6"/>
      <c r="AC49" s="6"/>
      <c r="AD49" s="6"/>
      <c r="AE49" s="6"/>
      <c r="AF49" s="6"/>
      <c r="AG49" s="6"/>
    </row>
    <row r="50" spans="1:33">
      <c r="A50" s="2" t="s">
        <v>138</v>
      </c>
      <c r="B50" s="2" t="s">
        <v>123</v>
      </c>
      <c r="C50" s="2"/>
      <c r="D50" s="158">
        <f t="shared" si="29"/>
        <v>20268.599999999999</v>
      </c>
      <c r="E50" s="7">
        <v>18260</v>
      </c>
      <c r="F50" s="7">
        <f t="shared" si="37"/>
        <v>21890.088</v>
      </c>
      <c r="G50" s="7">
        <f t="shared" si="30"/>
        <v>22295.46</v>
      </c>
      <c r="H50" s="7">
        <f t="shared" si="31"/>
        <v>23308.889999999996</v>
      </c>
      <c r="I50" s="7">
        <f t="shared" si="32"/>
        <v>24322.319999999996</v>
      </c>
      <c r="J50" s="7">
        <f t="shared" si="33"/>
        <v>25335.75</v>
      </c>
      <c r="K50" s="7">
        <f t="shared" si="34"/>
        <v>26349.18</v>
      </c>
      <c r="L50" s="33">
        <v>22000</v>
      </c>
      <c r="M50" s="7">
        <f t="shared" si="38"/>
        <v>3740</v>
      </c>
      <c r="O50" s="10"/>
      <c r="P50" s="10">
        <f t="shared" si="35"/>
        <v>0</v>
      </c>
      <c r="Q50" s="10"/>
      <c r="R50" s="10"/>
      <c r="S50" s="10"/>
      <c r="T50" s="10"/>
      <c r="U50" s="43">
        <v>18000</v>
      </c>
      <c r="V50">
        <v>44</v>
      </c>
      <c r="W50" s="42">
        <f t="shared" si="36"/>
        <v>260</v>
      </c>
      <c r="X50" s="8">
        <f t="shared" si="20"/>
        <v>11440</v>
      </c>
      <c r="Y50" s="8">
        <f t="shared" si="21"/>
        <v>792000</v>
      </c>
    </row>
    <row r="51" spans="1:33">
      <c r="A51" s="30" t="s">
        <v>139</v>
      </c>
      <c r="B51" s="30" t="s">
        <v>127</v>
      </c>
      <c r="C51" s="30">
        <v>13340</v>
      </c>
      <c r="D51" s="162">
        <f>+(C51*0.057)+C51</f>
        <v>14100.38</v>
      </c>
      <c r="E51" s="31">
        <v>13730</v>
      </c>
      <c r="F51" s="31">
        <f>D51*1.08</f>
        <v>15228.410400000001</v>
      </c>
      <c r="G51" s="31">
        <f t="shared" si="30"/>
        <v>15510.418</v>
      </c>
      <c r="H51" s="31">
        <f t="shared" si="31"/>
        <v>16215.436999999998</v>
      </c>
      <c r="I51" s="31">
        <f t="shared" si="32"/>
        <v>16920.455999999998</v>
      </c>
      <c r="J51" s="31">
        <f t="shared" si="33"/>
        <v>17625.474999999999</v>
      </c>
      <c r="K51" s="31">
        <f t="shared" si="34"/>
        <v>18330.493999999999</v>
      </c>
      <c r="L51" s="34">
        <v>15500</v>
      </c>
      <c r="M51" s="31">
        <f>L51-C51</f>
        <v>2160</v>
      </c>
      <c r="N51">
        <v>49</v>
      </c>
      <c r="O51" s="10">
        <v>49</v>
      </c>
      <c r="P51" s="10">
        <f>+D51*O51</f>
        <v>690918.62</v>
      </c>
      <c r="Q51" s="10"/>
      <c r="R51" s="10"/>
      <c r="S51" s="10"/>
      <c r="T51" s="10"/>
      <c r="U51" s="43">
        <v>13500</v>
      </c>
      <c r="V51">
        <v>49</v>
      </c>
      <c r="W51" s="42">
        <f t="shared" si="36"/>
        <v>230</v>
      </c>
      <c r="X51" s="8">
        <f t="shared" si="20"/>
        <v>11270</v>
      </c>
      <c r="Y51" s="8">
        <f t="shared" si="21"/>
        <v>661500</v>
      </c>
    </row>
    <row r="52" spans="1:33">
      <c r="A52" s="2" t="s">
        <v>140</v>
      </c>
      <c r="B52" s="2" t="s">
        <v>123</v>
      </c>
      <c r="C52" s="2"/>
      <c r="D52" s="158">
        <f t="shared" si="29"/>
        <v>16172.7</v>
      </c>
      <c r="E52" s="7">
        <v>14570</v>
      </c>
      <c r="F52" s="7">
        <f t="shared" si="37"/>
        <v>17466.516000000003</v>
      </c>
      <c r="G52" s="7">
        <f t="shared" si="30"/>
        <v>17789.97</v>
      </c>
      <c r="H52" s="7">
        <f t="shared" si="31"/>
        <v>18598.605</v>
      </c>
      <c r="I52" s="7">
        <f t="shared" si="32"/>
        <v>19407.240000000002</v>
      </c>
      <c r="J52" s="7">
        <f t="shared" si="33"/>
        <v>20215.875</v>
      </c>
      <c r="K52" s="7">
        <f t="shared" si="34"/>
        <v>21024.510000000002</v>
      </c>
      <c r="L52" s="33">
        <v>17800</v>
      </c>
      <c r="M52" s="7">
        <f t="shared" si="38"/>
        <v>3230</v>
      </c>
      <c r="O52" s="10"/>
      <c r="P52" s="10">
        <f t="shared" si="35"/>
        <v>0</v>
      </c>
      <c r="Q52" s="10"/>
      <c r="R52" s="10"/>
      <c r="S52" s="10"/>
      <c r="T52" s="10"/>
      <c r="W52" s="42"/>
      <c r="X52" s="8">
        <f t="shared" si="20"/>
        <v>0</v>
      </c>
      <c r="Y52" s="8">
        <f t="shared" si="21"/>
        <v>0</v>
      </c>
    </row>
    <row r="53" spans="1:33">
      <c r="A53" s="2" t="s">
        <v>141</v>
      </c>
      <c r="B53" s="2" t="s">
        <v>123</v>
      </c>
      <c r="C53" s="2">
        <v>13340</v>
      </c>
      <c r="D53" s="158">
        <f t="shared" si="29"/>
        <v>15140.4</v>
      </c>
      <c r="E53" s="7">
        <v>13640</v>
      </c>
      <c r="F53" s="7">
        <f t="shared" si="37"/>
        <v>16351.632000000001</v>
      </c>
      <c r="G53" s="7">
        <f t="shared" si="30"/>
        <v>16654.440000000002</v>
      </c>
      <c r="H53" s="7">
        <f t="shared" si="31"/>
        <v>17411.46</v>
      </c>
      <c r="I53" s="7">
        <f t="shared" si="32"/>
        <v>18168.48</v>
      </c>
      <c r="J53" s="7">
        <f t="shared" si="33"/>
        <v>18925.5</v>
      </c>
      <c r="K53" s="7">
        <f t="shared" si="34"/>
        <v>19682.52</v>
      </c>
      <c r="L53" s="33">
        <v>16500</v>
      </c>
      <c r="M53" s="7">
        <f t="shared" si="38"/>
        <v>2860</v>
      </c>
      <c r="O53" s="10"/>
      <c r="P53" s="10">
        <f t="shared" si="35"/>
        <v>0</v>
      </c>
      <c r="Q53" s="10"/>
      <c r="R53" s="10"/>
      <c r="S53" s="10"/>
      <c r="T53" s="10"/>
      <c r="U53" s="44">
        <v>14300</v>
      </c>
      <c r="V53">
        <v>49</v>
      </c>
      <c r="W53" s="42">
        <f>+E53-U53</f>
        <v>-660</v>
      </c>
      <c r="X53" s="8">
        <f t="shared" si="20"/>
        <v>-32340</v>
      </c>
      <c r="Y53" s="8">
        <f t="shared" si="21"/>
        <v>700700</v>
      </c>
    </row>
    <row r="54" spans="1:33">
      <c r="A54" s="2" t="s">
        <v>142</v>
      </c>
      <c r="B54" s="2" t="s">
        <v>124</v>
      </c>
      <c r="C54" s="2"/>
      <c r="D54" s="158">
        <f t="shared" si="29"/>
        <v>20790.3</v>
      </c>
      <c r="E54" s="7">
        <v>18730</v>
      </c>
      <c r="F54" s="7">
        <f t="shared" si="37"/>
        <v>22453.524000000001</v>
      </c>
      <c r="G54" s="7">
        <f t="shared" si="30"/>
        <v>22869.33</v>
      </c>
      <c r="H54" s="7">
        <f t="shared" si="31"/>
        <v>23908.844999999998</v>
      </c>
      <c r="I54" s="7">
        <f t="shared" si="32"/>
        <v>24948.359999999997</v>
      </c>
      <c r="J54" s="7">
        <f t="shared" si="33"/>
        <v>25987.875</v>
      </c>
      <c r="K54" s="7">
        <f t="shared" si="34"/>
        <v>27027.39</v>
      </c>
      <c r="L54" s="33">
        <v>22500</v>
      </c>
      <c r="M54" s="7">
        <f t="shared" si="38"/>
        <v>3770</v>
      </c>
      <c r="O54" s="10"/>
      <c r="P54" s="10">
        <f t="shared" si="35"/>
        <v>0</v>
      </c>
      <c r="Q54" s="10"/>
      <c r="R54" s="10"/>
      <c r="S54" s="10"/>
      <c r="T54" s="10"/>
      <c r="U54" s="43">
        <v>18400</v>
      </c>
      <c r="V54">
        <v>48</v>
      </c>
      <c r="W54" s="42">
        <f>+E54-U54</f>
        <v>330</v>
      </c>
      <c r="X54" s="8">
        <f t="shared" si="20"/>
        <v>15840</v>
      </c>
      <c r="Y54" s="8">
        <f t="shared" si="21"/>
        <v>883200</v>
      </c>
    </row>
    <row r="55" spans="1:33">
      <c r="A55" s="30" t="s">
        <v>142</v>
      </c>
      <c r="B55" s="30" t="s">
        <v>125</v>
      </c>
      <c r="C55" s="30"/>
      <c r="D55" s="162">
        <f>+(E55*0.06)+E55</f>
        <v>21825.4</v>
      </c>
      <c r="E55" s="31">
        <v>20590</v>
      </c>
      <c r="F55" s="31">
        <f t="shared" si="37"/>
        <v>23571.432000000004</v>
      </c>
      <c r="G55" s="31">
        <f t="shared" si="30"/>
        <v>24007.940000000002</v>
      </c>
      <c r="H55" s="31">
        <f t="shared" si="31"/>
        <v>25099.21</v>
      </c>
      <c r="I55" s="31">
        <f t="shared" si="32"/>
        <v>26190.48</v>
      </c>
      <c r="J55" s="31">
        <f t="shared" si="33"/>
        <v>27281.75</v>
      </c>
      <c r="K55" s="31">
        <f t="shared" si="34"/>
        <v>28373.020000000004</v>
      </c>
      <c r="L55" s="34">
        <v>24000</v>
      </c>
      <c r="M55" s="31">
        <f t="shared" si="38"/>
        <v>3410</v>
      </c>
      <c r="N55">
        <v>2</v>
      </c>
      <c r="O55" s="10">
        <v>15</v>
      </c>
      <c r="P55" s="10">
        <f t="shared" si="35"/>
        <v>327381</v>
      </c>
      <c r="Q55" s="10"/>
      <c r="R55" s="10"/>
      <c r="S55" s="10"/>
      <c r="T55" s="10"/>
      <c r="U55" s="43">
        <v>20300</v>
      </c>
      <c r="V55">
        <v>48</v>
      </c>
      <c r="W55" s="42">
        <f>+E55-U55</f>
        <v>290</v>
      </c>
      <c r="X55" s="8">
        <f t="shared" si="20"/>
        <v>13920</v>
      </c>
      <c r="Y55" s="8">
        <f t="shared" si="21"/>
        <v>974400</v>
      </c>
    </row>
    <row r="56" spans="1:33">
      <c r="A56" s="2" t="s">
        <v>143</v>
      </c>
      <c r="B56" s="2" t="s">
        <v>124</v>
      </c>
      <c r="C56" s="2"/>
      <c r="D56" s="158">
        <f t="shared" si="29"/>
        <v>0</v>
      </c>
      <c r="E56" s="7"/>
      <c r="F56" s="7">
        <f t="shared" si="37"/>
        <v>0</v>
      </c>
      <c r="G56" s="7">
        <f t="shared" si="30"/>
        <v>0</v>
      </c>
      <c r="H56" s="7">
        <f t="shared" si="31"/>
        <v>0</v>
      </c>
      <c r="I56" s="7">
        <f t="shared" si="32"/>
        <v>0</v>
      </c>
      <c r="J56" s="7">
        <f t="shared" si="33"/>
        <v>0</v>
      </c>
      <c r="K56" s="7">
        <f t="shared" si="34"/>
        <v>0</v>
      </c>
      <c r="L56" s="33"/>
      <c r="M56" s="7">
        <f t="shared" si="38"/>
        <v>0</v>
      </c>
      <c r="O56" s="10"/>
      <c r="P56" s="10">
        <f t="shared" si="35"/>
        <v>0</v>
      </c>
      <c r="Q56" s="10"/>
      <c r="R56" s="10"/>
      <c r="S56" s="10"/>
      <c r="T56" s="10"/>
      <c r="W56" s="42">
        <f>+E56-U56</f>
        <v>0</v>
      </c>
      <c r="X56" s="8">
        <f t="shared" si="20"/>
        <v>0</v>
      </c>
      <c r="Y56" s="8">
        <f t="shared" si="21"/>
        <v>0</v>
      </c>
    </row>
    <row r="57" spans="1:33">
      <c r="A57" s="2" t="s">
        <v>143</v>
      </c>
      <c r="B57" s="2" t="s">
        <v>125</v>
      </c>
      <c r="C57" s="2"/>
      <c r="D57" s="158">
        <f t="shared" si="29"/>
        <v>28860</v>
      </c>
      <c r="E57" s="47">
        <v>26000</v>
      </c>
      <c r="F57" s="7">
        <f t="shared" si="37"/>
        <v>31168.800000000003</v>
      </c>
      <c r="G57" s="7">
        <f t="shared" si="30"/>
        <v>31746.000000000004</v>
      </c>
      <c r="H57" s="7">
        <f t="shared" si="31"/>
        <v>33189</v>
      </c>
      <c r="I57" s="7">
        <f t="shared" si="32"/>
        <v>34632</v>
      </c>
      <c r="J57" s="7">
        <f t="shared" si="33"/>
        <v>36075</v>
      </c>
      <c r="K57" s="7">
        <f t="shared" si="34"/>
        <v>37518</v>
      </c>
      <c r="L57" s="33">
        <v>31500</v>
      </c>
      <c r="M57" s="7">
        <f t="shared" si="38"/>
        <v>5500</v>
      </c>
      <c r="O57" s="10"/>
      <c r="P57" s="10">
        <f t="shared" si="35"/>
        <v>0</v>
      </c>
      <c r="Q57" s="10"/>
      <c r="R57" s="10"/>
      <c r="S57" s="10"/>
      <c r="T57" s="10"/>
      <c r="W57" s="42"/>
      <c r="X57" s="8">
        <f t="shared" si="20"/>
        <v>0</v>
      </c>
      <c r="Y57" s="8">
        <f t="shared" si="21"/>
        <v>0</v>
      </c>
    </row>
    <row r="58" spans="1:33">
      <c r="A58" s="2" t="s">
        <v>144</v>
      </c>
      <c r="B58" s="2" t="s">
        <v>124</v>
      </c>
      <c r="C58" s="2"/>
      <c r="D58" s="158">
        <f t="shared" si="29"/>
        <v>41880.300000000003</v>
      </c>
      <c r="E58" s="7">
        <v>37730</v>
      </c>
      <c r="F58" s="7">
        <f t="shared" si="37"/>
        <v>45230.724000000009</v>
      </c>
      <c r="G58" s="7">
        <f t="shared" si="30"/>
        <v>46068.330000000009</v>
      </c>
      <c r="H58" s="7">
        <f t="shared" si="31"/>
        <v>48162.345000000001</v>
      </c>
      <c r="I58" s="7">
        <f t="shared" si="32"/>
        <v>50256.36</v>
      </c>
      <c r="J58" s="7">
        <f t="shared" si="33"/>
        <v>52350.375</v>
      </c>
      <c r="K58" s="7">
        <f t="shared" si="34"/>
        <v>54444.390000000007</v>
      </c>
      <c r="L58" s="33">
        <v>46000</v>
      </c>
      <c r="M58" s="7">
        <f t="shared" si="38"/>
        <v>8270</v>
      </c>
      <c r="O58" s="10"/>
      <c r="P58" s="10">
        <f t="shared" si="35"/>
        <v>0</v>
      </c>
      <c r="Q58" s="10"/>
      <c r="R58" s="10"/>
      <c r="S58" s="10"/>
      <c r="T58" s="10"/>
      <c r="U58" s="43">
        <v>37100</v>
      </c>
      <c r="V58">
        <v>40</v>
      </c>
      <c r="W58" s="42">
        <f>+E58-U58</f>
        <v>630</v>
      </c>
      <c r="X58" s="8">
        <f t="shared" si="20"/>
        <v>25200</v>
      </c>
      <c r="Y58" s="8">
        <f t="shared" si="21"/>
        <v>1484000</v>
      </c>
    </row>
    <row r="59" spans="1:33">
      <c r="A59" s="30" t="s">
        <v>144</v>
      </c>
      <c r="B59" s="30" t="s">
        <v>145</v>
      </c>
      <c r="C59" s="30"/>
      <c r="D59" s="158">
        <f>+(E59*0.08)+E59</f>
        <v>44884.800000000003</v>
      </c>
      <c r="E59" s="31">
        <v>41560</v>
      </c>
      <c r="F59" s="31">
        <f t="shared" si="37"/>
        <v>48475.58400000001</v>
      </c>
      <c r="G59" s="31">
        <f t="shared" si="30"/>
        <v>49373.280000000006</v>
      </c>
      <c r="H59" s="31">
        <f t="shared" si="31"/>
        <v>51617.52</v>
      </c>
      <c r="I59" s="31">
        <f t="shared" si="32"/>
        <v>53861.760000000002</v>
      </c>
      <c r="J59" s="31">
        <f t="shared" si="33"/>
        <v>56106</v>
      </c>
      <c r="K59" s="31">
        <f t="shared" si="34"/>
        <v>58350.240000000005</v>
      </c>
      <c r="L59" s="34">
        <v>48000</v>
      </c>
      <c r="M59" s="31">
        <f t="shared" si="38"/>
        <v>6440</v>
      </c>
      <c r="N59">
        <v>6</v>
      </c>
      <c r="O59" s="10"/>
      <c r="P59" s="10">
        <f t="shared" si="35"/>
        <v>0</v>
      </c>
      <c r="Q59" s="10"/>
      <c r="R59" s="10"/>
      <c r="S59" s="10"/>
      <c r="T59" s="10"/>
      <c r="U59" s="43">
        <v>40800</v>
      </c>
      <c r="V59">
        <v>40</v>
      </c>
      <c r="W59" s="42">
        <f>+E59-U59</f>
        <v>760</v>
      </c>
      <c r="X59" s="8">
        <f t="shared" si="20"/>
        <v>30400</v>
      </c>
      <c r="Y59" s="8">
        <f t="shared" si="21"/>
        <v>1632000</v>
      </c>
    </row>
    <row r="60" spans="1:33">
      <c r="A60" s="30" t="s">
        <v>146</v>
      </c>
      <c r="B60" s="30" t="s">
        <v>125</v>
      </c>
      <c r="C60" s="30"/>
      <c r="D60" s="162">
        <v>33400</v>
      </c>
      <c r="E60" s="31">
        <v>30600</v>
      </c>
      <c r="F60" s="31">
        <f t="shared" si="37"/>
        <v>36072</v>
      </c>
      <c r="G60" s="31">
        <f t="shared" si="30"/>
        <v>36740</v>
      </c>
      <c r="H60" s="31">
        <f t="shared" si="31"/>
        <v>38410</v>
      </c>
      <c r="I60" s="31">
        <f t="shared" si="32"/>
        <v>40080</v>
      </c>
      <c r="J60" s="31">
        <f t="shared" si="33"/>
        <v>41750</v>
      </c>
      <c r="K60" s="31">
        <f t="shared" si="34"/>
        <v>43420</v>
      </c>
      <c r="L60" s="31">
        <v>37000</v>
      </c>
      <c r="M60" s="31">
        <f t="shared" si="38"/>
        <v>6400</v>
      </c>
      <c r="N60">
        <v>7</v>
      </c>
      <c r="O60" s="10">
        <v>10</v>
      </c>
      <c r="P60" s="10">
        <f t="shared" si="35"/>
        <v>334000</v>
      </c>
      <c r="Q60" s="10"/>
      <c r="R60" s="10"/>
      <c r="S60" s="10"/>
      <c r="T60" s="10"/>
      <c r="W60" s="42">
        <f>+E60-U60</f>
        <v>30600</v>
      </c>
      <c r="X60" s="8">
        <f t="shared" si="20"/>
        <v>0</v>
      </c>
      <c r="Y60" s="8">
        <f t="shared" si="21"/>
        <v>0</v>
      </c>
    </row>
    <row r="61" spans="1:33">
      <c r="A61" s="5"/>
      <c r="B61" s="5"/>
      <c r="C61" s="5"/>
      <c r="D61" s="158">
        <f t="shared" si="29"/>
        <v>0</v>
      </c>
      <c r="E61" s="5"/>
      <c r="F61" s="5"/>
      <c r="G61" s="5"/>
      <c r="H61" s="5"/>
      <c r="I61" s="5"/>
      <c r="J61" s="5"/>
      <c r="K61" s="5"/>
      <c r="L61" s="5"/>
      <c r="M61" s="8"/>
      <c r="O61" s="10"/>
      <c r="P61" s="10">
        <f t="shared" si="35"/>
        <v>0</v>
      </c>
      <c r="Q61" s="10"/>
      <c r="R61" s="10"/>
      <c r="S61" s="10"/>
      <c r="T61" s="10"/>
      <c r="W61" s="42">
        <f>+E61-U61</f>
        <v>0</v>
      </c>
      <c r="X61" s="8">
        <f t="shared" si="20"/>
        <v>0</v>
      </c>
      <c r="Y61" s="8">
        <f t="shared" si="21"/>
        <v>0</v>
      </c>
    </row>
    <row r="62" spans="1:33">
      <c r="A62" s="9" t="s">
        <v>147</v>
      </c>
      <c r="B62" s="5"/>
      <c r="C62" s="5"/>
      <c r="D62" s="158">
        <f t="shared" si="29"/>
        <v>0</v>
      </c>
      <c r="E62" s="5"/>
      <c r="F62" s="5"/>
      <c r="G62" s="5"/>
      <c r="H62" s="5"/>
      <c r="I62" s="5"/>
      <c r="J62" s="5"/>
      <c r="K62" s="5"/>
      <c r="L62" s="5"/>
      <c r="M62" s="8"/>
      <c r="O62" s="10"/>
      <c r="P62" s="10">
        <f t="shared" si="35"/>
        <v>0</v>
      </c>
      <c r="Q62" s="10"/>
      <c r="R62" s="10"/>
      <c r="S62" s="10"/>
      <c r="T62" s="10"/>
      <c r="W62" s="42">
        <f>+E62-U62</f>
        <v>0</v>
      </c>
      <c r="X62" s="8">
        <f t="shared" si="20"/>
        <v>0</v>
      </c>
      <c r="Y62" s="8">
        <f t="shared" si="21"/>
        <v>0</v>
      </c>
    </row>
    <row r="63" spans="1:33">
      <c r="A63" s="2" t="s">
        <v>148</v>
      </c>
      <c r="B63" s="2" t="s">
        <v>149</v>
      </c>
      <c r="C63" s="2"/>
      <c r="D63" s="158">
        <f t="shared" si="29"/>
        <v>8757.9</v>
      </c>
      <c r="E63" s="7">
        <v>7890</v>
      </c>
      <c r="F63" s="7">
        <f>D63*1.08</f>
        <v>9458.5320000000011</v>
      </c>
      <c r="G63" s="7">
        <f t="shared" ref="G63" si="39">D63*1.1</f>
        <v>9633.69</v>
      </c>
      <c r="H63" s="7">
        <f t="shared" ref="H63" si="40">D63*1.15</f>
        <v>10071.584999999999</v>
      </c>
      <c r="I63" s="7">
        <f t="shared" ref="I63" si="41">D63*1.2</f>
        <v>10509.48</v>
      </c>
      <c r="J63" s="7">
        <f t="shared" ref="J63" si="42">D63*1.25</f>
        <v>10947.375</v>
      </c>
      <c r="K63" s="7">
        <f t="shared" ref="K63" si="43">D63*1.3</f>
        <v>11385.27</v>
      </c>
      <c r="L63" s="33">
        <v>9500</v>
      </c>
      <c r="M63" s="7">
        <f t="shared" ref="M63:M106" si="44">L63-E63</f>
        <v>1610</v>
      </c>
      <c r="O63" s="10"/>
      <c r="P63" s="10">
        <f t="shared" si="35"/>
        <v>0</v>
      </c>
      <c r="Q63" s="10"/>
      <c r="R63" s="10"/>
      <c r="S63" s="10"/>
      <c r="T63" s="10"/>
      <c r="W63" s="42"/>
      <c r="X63" s="8">
        <f t="shared" si="20"/>
        <v>0</v>
      </c>
      <c r="Y63" s="8">
        <f t="shared" si="21"/>
        <v>0</v>
      </c>
    </row>
    <row r="64" spans="1:33">
      <c r="A64" s="30" t="s">
        <v>148</v>
      </c>
      <c r="B64" s="30" t="s">
        <v>127</v>
      </c>
      <c r="C64" s="30"/>
      <c r="D64" s="158">
        <f t="shared" si="29"/>
        <v>10001.1</v>
      </c>
      <c r="E64" s="31">
        <v>9010</v>
      </c>
      <c r="F64" s="31">
        <f>D64*1.08</f>
        <v>10801.188000000002</v>
      </c>
      <c r="G64" s="31">
        <f>D64*1.1</f>
        <v>11001.210000000001</v>
      </c>
      <c r="H64" s="31">
        <f>D64*1.15</f>
        <v>11501.264999999999</v>
      </c>
      <c r="I64" s="31">
        <f>D64*1.2</f>
        <v>12001.32</v>
      </c>
      <c r="J64" s="31">
        <f>D64*1.25</f>
        <v>12501.375</v>
      </c>
      <c r="K64" s="31">
        <f>D64*1.3</f>
        <v>13001.43</v>
      </c>
      <c r="L64" s="34">
        <v>11500</v>
      </c>
      <c r="M64" s="31">
        <f t="shared" si="44"/>
        <v>2490</v>
      </c>
      <c r="N64">
        <v>23</v>
      </c>
      <c r="O64" s="10">
        <v>30</v>
      </c>
      <c r="P64" s="10">
        <f t="shared" si="35"/>
        <v>300033</v>
      </c>
      <c r="Q64" s="10"/>
      <c r="R64" s="10"/>
      <c r="S64" s="10"/>
      <c r="T64" s="10"/>
      <c r="U64" s="43">
        <v>8900</v>
      </c>
      <c r="V64">
        <v>100</v>
      </c>
      <c r="W64" s="42">
        <f>+E64-U64</f>
        <v>110</v>
      </c>
      <c r="X64" s="8">
        <f t="shared" si="20"/>
        <v>11000</v>
      </c>
      <c r="Y64" s="8">
        <f t="shared" si="21"/>
        <v>890000</v>
      </c>
    </row>
    <row r="65" spans="1:25">
      <c r="A65" s="2" t="s">
        <v>148</v>
      </c>
      <c r="B65" s="2" t="s">
        <v>123</v>
      </c>
      <c r="C65" s="2"/>
      <c r="D65" s="158">
        <f t="shared" si="29"/>
        <v>10622.7</v>
      </c>
      <c r="E65" s="7">
        <v>9570</v>
      </c>
      <c r="F65" s="7">
        <f t="shared" ref="F65:F108" si="45">D65*1.08</f>
        <v>11472.516000000001</v>
      </c>
      <c r="G65" s="7">
        <f t="shared" ref="G65:G108" si="46">D65*1.1</f>
        <v>11684.970000000001</v>
      </c>
      <c r="H65" s="7">
        <f t="shared" ref="H65:H108" si="47">D65*1.15</f>
        <v>12216.105</v>
      </c>
      <c r="I65" s="7">
        <f t="shared" ref="I65:I108" si="48">D65*1.2</f>
        <v>12747.24</v>
      </c>
      <c r="J65" s="7">
        <f t="shared" ref="J65:J108" si="49">D65*1.25</f>
        <v>13278.375</v>
      </c>
      <c r="K65" s="7">
        <f t="shared" ref="K65:K108" si="50">D65*1.3</f>
        <v>13809.510000000002</v>
      </c>
      <c r="L65" s="33">
        <v>11500</v>
      </c>
      <c r="M65" s="7">
        <f t="shared" si="44"/>
        <v>1930</v>
      </c>
      <c r="O65" s="10"/>
      <c r="P65" s="10">
        <f t="shared" si="35"/>
        <v>0</v>
      </c>
      <c r="Q65" s="10"/>
      <c r="R65" s="10"/>
      <c r="S65" s="10"/>
      <c r="T65" s="10"/>
      <c r="U65" s="43">
        <v>9400</v>
      </c>
      <c r="V65">
        <v>100</v>
      </c>
      <c r="W65" s="42">
        <f>+E65-U65</f>
        <v>170</v>
      </c>
      <c r="X65" s="8">
        <f t="shared" si="20"/>
        <v>17000</v>
      </c>
      <c r="Y65" s="8">
        <f t="shared" si="21"/>
        <v>940000</v>
      </c>
    </row>
    <row r="66" spans="1:25">
      <c r="A66" s="2" t="s">
        <v>148</v>
      </c>
      <c r="B66" s="2" t="s">
        <v>124</v>
      </c>
      <c r="C66" s="2"/>
      <c r="D66" s="158">
        <f t="shared" si="29"/>
        <v>12498.6</v>
      </c>
      <c r="E66" s="7">
        <v>11260</v>
      </c>
      <c r="F66" s="7">
        <f t="shared" si="45"/>
        <v>13498.488000000001</v>
      </c>
      <c r="G66" s="7">
        <f t="shared" si="46"/>
        <v>13748.460000000001</v>
      </c>
      <c r="H66" s="7">
        <f t="shared" si="47"/>
        <v>14373.39</v>
      </c>
      <c r="I66" s="7">
        <f t="shared" si="48"/>
        <v>14998.32</v>
      </c>
      <c r="J66" s="7">
        <f t="shared" si="49"/>
        <v>15623.25</v>
      </c>
      <c r="K66" s="7">
        <f t="shared" si="50"/>
        <v>16248.18</v>
      </c>
      <c r="L66" s="33">
        <v>13500</v>
      </c>
      <c r="M66" s="7">
        <f t="shared" si="44"/>
        <v>2240</v>
      </c>
      <c r="O66" s="10"/>
      <c r="P66" s="10">
        <f t="shared" si="35"/>
        <v>0</v>
      </c>
      <c r="Q66" s="10"/>
      <c r="R66" s="10"/>
      <c r="S66" s="10"/>
      <c r="T66" s="10"/>
      <c r="U66" s="43">
        <v>11100</v>
      </c>
      <c r="V66">
        <v>100</v>
      </c>
      <c r="W66" s="42">
        <f>+E66-U66</f>
        <v>160</v>
      </c>
      <c r="X66" s="8">
        <f t="shared" si="20"/>
        <v>16000</v>
      </c>
      <c r="Y66" s="8">
        <f t="shared" si="21"/>
        <v>1110000</v>
      </c>
    </row>
    <row r="67" spans="1:25">
      <c r="A67" s="2" t="s">
        <v>148</v>
      </c>
      <c r="B67" s="2" t="s">
        <v>125</v>
      </c>
      <c r="C67" s="2"/>
      <c r="D67" s="158">
        <f t="shared" si="29"/>
        <v>13741.8</v>
      </c>
      <c r="E67" s="7">
        <v>12380</v>
      </c>
      <c r="F67" s="7">
        <f t="shared" si="45"/>
        <v>14841.144</v>
      </c>
      <c r="G67" s="7">
        <f t="shared" si="46"/>
        <v>15115.98</v>
      </c>
      <c r="H67" s="7">
        <f t="shared" si="47"/>
        <v>15803.069999999998</v>
      </c>
      <c r="I67" s="7">
        <f t="shared" si="48"/>
        <v>16490.16</v>
      </c>
      <c r="J67" s="7">
        <f t="shared" si="49"/>
        <v>17177.25</v>
      </c>
      <c r="K67" s="7">
        <f t="shared" si="50"/>
        <v>17864.34</v>
      </c>
      <c r="L67" s="33">
        <v>15000</v>
      </c>
      <c r="M67" s="7">
        <f t="shared" si="44"/>
        <v>2620</v>
      </c>
      <c r="O67" s="10">
        <v>20</v>
      </c>
      <c r="P67" s="10">
        <f t="shared" si="35"/>
        <v>274836</v>
      </c>
      <c r="Q67" s="10"/>
      <c r="R67" s="10"/>
      <c r="S67" s="10"/>
      <c r="T67" s="10"/>
      <c r="U67" s="43">
        <v>12200</v>
      </c>
      <c r="V67">
        <v>100</v>
      </c>
      <c r="W67" s="42">
        <f>+E67-U67</f>
        <v>180</v>
      </c>
      <c r="X67" s="8">
        <f t="shared" si="20"/>
        <v>18000</v>
      </c>
      <c r="Y67" s="8">
        <f t="shared" si="21"/>
        <v>1220000</v>
      </c>
    </row>
    <row r="68" spans="1:25">
      <c r="A68" s="30" t="s">
        <v>150</v>
      </c>
      <c r="B68" s="30" t="s">
        <v>127</v>
      </c>
      <c r="C68" s="30">
        <v>11530</v>
      </c>
      <c r="D68" s="162">
        <f>+(E68*0.08)+E68</f>
        <v>12808.8</v>
      </c>
      <c r="E68" s="31">
        <v>11860</v>
      </c>
      <c r="F68" s="31">
        <f>D68*1.08</f>
        <v>13833.504000000001</v>
      </c>
      <c r="G68" s="31">
        <f t="shared" si="46"/>
        <v>14089.68</v>
      </c>
      <c r="H68" s="31">
        <f t="shared" si="47"/>
        <v>14730.119999999997</v>
      </c>
      <c r="I68" s="31">
        <f t="shared" si="48"/>
        <v>15370.559999999998</v>
      </c>
      <c r="J68" s="31">
        <f t="shared" si="49"/>
        <v>16011</v>
      </c>
      <c r="K68" s="31">
        <f t="shared" si="50"/>
        <v>16651.439999999999</v>
      </c>
      <c r="L68" s="34">
        <v>14000</v>
      </c>
      <c r="M68" s="31">
        <f t="shared" si="44"/>
        <v>2140</v>
      </c>
      <c r="N68">
        <v>0</v>
      </c>
      <c r="O68" s="10">
        <v>100</v>
      </c>
      <c r="P68" s="10">
        <f t="shared" si="35"/>
        <v>1280880</v>
      </c>
      <c r="Q68" s="10"/>
      <c r="R68" s="10"/>
      <c r="S68" s="10"/>
      <c r="T68" s="10"/>
      <c r="U68" s="43">
        <v>11700</v>
      </c>
      <c r="V68">
        <v>100</v>
      </c>
      <c r="W68" s="42">
        <f>+E68-U68</f>
        <v>160</v>
      </c>
      <c r="X68" s="8">
        <f t="shared" si="20"/>
        <v>16000</v>
      </c>
      <c r="Y68" s="8">
        <f t="shared" si="21"/>
        <v>1170000</v>
      </c>
    </row>
    <row r="69" spans="1:25">
      <c r="A69" s="2" t="s">
        <v>151</v>
      </c>
      <c r="B69" s="2" t="s">
        <v>123</v>
      </c>
      <c r="C69" s="2"/>
      <c r="D69" s="162">
        <v>14000</v>
      </c>
      <c r="E69" s="7">
        <v>12250</v>
      </c>
      <c r="F69" s="7">
        <f>D69*1.08</f>
        <v>15120.000000000002</v>
      </c>
      <c r="G69" s="7">
        <f t="shared" si="46"/>
        <v>15400.000000000002</v>
      </c>
      <c r="H69" s="7">
        <f t="shared" si="47"/>
        <v>16099.999999999998</v>
      </c>
      <c r="I69" s="7">
        <f t="shared" si="48"/>
        <v>16800</v>
      </c>
      <c r="J69" s="7">
        <f t="shared" si="49"/>
        <v>17500</v>
      </c>
      <c r="K69" s="7">
        <f t="shared" si="50"/>
        <v>18200</v>
      </c>
      <c r="L69" s="33">
        <v>15000</v>
      </c>
      <c r="M69" s="7">
        <f>L69-D69</f>
        <v>1000</v>
      </c>
      <c r="O69" s="10"/>
      <c r="P69" s="10">
        <f t="shared" si="35"/>
        <v>0</v>
      </c>
      <c r="Q69" s="10"/>
      <c r="R69" s="10"/>
      <c r="S69" s="10"/>
      <c r="T69" s="10"/>
      <c r="W69" s="42"/>
      <c r="X69" s="8">
        <f t="shared" si="20"/>
        <v>0</v>
      </c>
      <c r="Y69" s="8">
        <f t="shared" si="21"/>
        <v>0</v>
      </c>
    </row>
    <row r="70" spans="1:25">
      <c r="A70" s="2" t="s">
        <v>152</v>
      </c>
      <c r="B70" s="2" t="s">
        <v>123</v>
      </c>
      <c r="C70" s="2">
        <v>11599</v>
      </c>
      <c r="D70" s="158">
        <f t="shared" si="29"/>
        <v>13036.95</v>
      </c>
      <c r="E70" s="7">
        <v>11745</v>
      </c>
      <c r="F70" s="7">
        <f t="shared" si="45"/>
        <v>14079.906000000001</v>
      </c>
      <c r="G70" s="7">
        <f t="shared" si="46"/>
        <v>14340.645000000002</v>
      </c>
      <c r="H70" s="7">
        <f t="shared" si="47"/>
        <v>14992.4925</v>
      </c>
      <c r="I70" s="7">
        <f t="shared" si="48"/>
        <v>15644.34</v>
      </c>
      <c r="J70" s="7">
        <f t="shared" si="49"/>
        <v>16296.1875</v>
      </c>
      <c r="K70" s="7">
        <f t="shared" si="50"/>
        <v>16948.035</v>
      </c>
      <c r="L70" s="33">
        <v>14500</v>
      </c>
      <c r="M70" s="7">
        <f t="shared" si="44"/>
        <v>2755</v>
      </c>
      <c r="O70" s="10"/>
      <c r="P70" s="10">
        <f t="shared" si="35"/>
        <v>0</v>
      </c>
      <c r="Q70" s="10"/>
      <c r="R70" s="10"/>
      <c r="S70" s="10"/>
      <c r="T70" s="10"/>
      <c r="U70" s="44">
        <v>12400</v>
      </c>
      <c r="V70">
        <v>100</v>
      </c>
      <c r="W70" s="42">
        <f t="shared" ref="W70:W75" si="51">+E70-U70</f>
        <v>-655</v>
      </c>
      <c r="X70" s="8">
        <f t="shared" si="20"/>
        <v>-65500</v>
      </c>
      <c r="Y70" s="8">
        <f t="shared" si="21"/>
        <v>1240000</v>
      </c>
    </row>
    <row r="71" spans="1:25">
      <c r="A71" s="2" t="s">
        <v>150</v>
      </c>
      <c r="B71" s="2" t="s">
        <v>124</v>
      </c>
      <c r="C71" s="2"/>
      <c r="D71" s="158">
        <f t="shared" si="29"/>
        <v>16483.5</v>
      </c>
      <c r="E71" s="7">
        <v>14850</v>
      </c>
      <c r="F71" s="7">
        <f t="shared" si="45"/>
        <v>17802.18</v>
      </c>
      <c r="G71" s="7">
        <f t="shared" si="46"/>
        <v>18131.850000000002</v>
      </c>
      <c r="H71" s="7">
        <f t="shared" si="47"/>
        <v>18956.024999999998</v>
      </c>
      <c r="I71" s="7">
        <f t="shared" si="48"/>
        <v>19780.2</v>
      </c>
      <c r="J71" s="7">
        <f t="shared" si="49"/>
        <v>20604.375</v>
      </c>
      <c r="K71" s="7">
        <f t="shared" si="50"/>
        <v>21428.55</v>
      </c>
      <c r="L71" s="33">
        <v>18500</v>
      </c>
      <c r="M71" s="7">
        <f t="shared" si="44"/>
        <v>3650</v>
      </c>
      <c r="O71" s="10"/>
      <c r="P71" s="10">
        <f t="shared" si="35"/>
        <v>0</v>
      </c>
      <c r="Q71" s="10"/>
      <c r="R71" s="10"/>
      <c r="S71" s="10"/>
      <c r="T71" s="10"/>
      <c r="U71" s="43">
        <v>14600</v>
      </c>
      <c r="V71">
        <v>100</v>
      </c>
      <c r="W71" s="42">
        <f t="shared" si="51"/>
        <v>250</v>
      </c>
      <c r="X71" s="8">
        <f t="shared" si="20"/>
        <v>25000</v>
      </c>
      <c r="Y71" s="8">
        <f t="shared" si="21"/>
        <v>1460000</v>
      </c>
    </row>
    <row r="72" spans="1:25">
      <c r="A72" s="2" t="s">
        <v>150</v>
      </c>
      <c r="B72" s="2" t="s">
        <v>125</v>
      </c>
      <c r="C72" s="2"/>
      <c r="D72" s="158">
        <f t="shared" si="29"/>
        <v>18137.400000000001</v>
      </c>
      <c r="E72" s="7">
        <v>16340</v>
      </c>
      <c r="F72" s="7">
        <f t="shared" si="45"/>
        <v>19588.392000000003</v>
      </c>
      <c r="G72" s="7">
        <f t="shared" si="46"/>
        <v>19951.140000000003</v>
      </c>
      <c r="H72" s="7">
        <f t="shared" si="47"/>
        <v>20858.009999999998</v>
      </c>
      <c r="I72" s="7">
        <f t="shared" si="48"/>
        <v>21764.880000000001</v>
      </c>
      <c r="J72" s="7">
        <f t="shared" si="49"/>
        <v>22671.75</v>
      </c>
      <c r="K72" s="7">
        <f t="shared" si="50"/>
        <v>23578.620000000003</v>
      </c>
      <c r="L72" s="33">
        <v>20000</v>
      </c>
      <c r="M72" s="7">
        <f t="shared" si="44"/>
        <v>3660</v>
      </c>
      <c r="O72" s="10"/>
      <c r="P72" s="10">
        <f t="shared" si="35"/>
        <v>0</v>
      </c>
      <c r="Q72" s="10"/>
      <c r="R72" s="10"/>
      <c r="S72" s="10"/>
      <c r="T72" s="10"/>
      <c r="U72" s="43">
        <v>16100</v>
      </c>
      <c r="V72">
        <v>100</v>
      </c>
      <c r="W72" s="42">
        <f t="shared" si="51"/>
        <v>240</v>
      </c>
      <c r="X72" s="8">
        <f t="shared" si="20"/>
        <v>24000</v>
      </c>
      <c r="Y72" s="8">
        <f t="shared" si="21"/>
        <v>1610000</v>
      </c>
    </row>
    <row r="73" spans="1:25">
      <c r="A73" s="30" t="s">
        <v>153</v>
      </c>
      <c r="B73" s="30" t="s">
        <v>123</v>
      </c>
      <c r="C73" s="30"/>
      <c r="D73" s="158">
        <f t="shared" si="29"/>
        <v>21645</v>
      </c>
      <c r="E73" s="31">
        <v>19500</v>
      </c>
      <c r="F73" s="31">
        <f t="shared" si="45"/>
        <v>23376.600000000002</v>
      </c>
      <c r="G73" s="31">
        <f t="shared" si="46"/>
        <v>23809.500000000004</v>
      </c>
      <c r="H73" s="31">
        <f t="shared" si="47"/>
        <v>24891.749999999996</v>
      </c>
      <c r="I73" s="31">
        <f t="shared" si="48"/>
        <v>25974</v>
      </c>
      <c r="J73" s="31">
        <f t="shared" si="49"/>
        <v>27056.25</v>
      </c>
      <c r="K73" s="31">
        <f t="shared" si="50"/>
        <v>28138.5</v>
      </c>
      <c r="L73" s="34">
        <v>24000</v>
      </c>
      <c r="M73" s="31">
        <f t="shared" si="44"/>
        <v>4500</v>
      </c>
      <c r="N73">
        <v>10</v>
      </c>
      <c r="O73" s="10">
        <v>15</v>
      </c>
      <c r="P73" s="10">
        <f t="shared" si="35"/>
        <v>324675</v>
      </c>
      <c r="Q73" s="10"/>
      <c r="R73" s="10"/>
      <c r="S73" s="10"/>
      <c r="T73" s="10"/>
      <c r="U73" s="43">
        <v>18800</v>
      </c>
      <c r="V73">
        <v>100</v>
      </c>
      <c r="W73" s="42">
        <f t="shared" si="51"/>
        <v>700</v>
      </c>
      <c r="X73" s="8">
        <f t="shared" si="20"/>
        <v>70000</v>
      </c>
      <c r="Y73" s="8">
        <f t="shared" si="21"/>
        <v>1880000</v>
      </c>
    </row>
    <row r="74" spans="1:25">
      <c r="A74" s="2" t="s">
        <v>153</v>
      </c>
      <c r="B74" s="2" t="s">
        <v>124</v>
      </c>
      <c r="C74" s="2"/>
      <c r="D74" s="158">
        <f t="shared" si="29"/>
        <v>24986.1</v>
      </c>
      <c r="E74" s="7">
        <v>22510</v>
      </c>
      <c r="F74" s="7">
        <f t="shared" si="45"/>
        <v>26984.988000000001</v>
      </c>
      <c r="G74" s="7">
        <f t="shared" si="46"/>
        <v>27484.71</v>
      </c>
      <c r="H74" s="7">
        <f t="shared" si="47"/>
        <v>28734.014999999996</v>
      </c>
      <c r="I74" s="7">
        <f t="shared" si="48"/>
        <v>29983.319999999996</v>
      </c>
      <c r="J74" s="7">
        <f t="shared" si="49"/>
        <v>31232.625</v>
      </c>
      <c r="K74" s="7">
        <f t="shared" si="50"/>
        <v>32481.93</v>
      </c>
      <c r="L74" s="33"/>
      <c r="M74" s="7">
        <f t="shared" si="44"/>
        <v>-22510</v>
      </c>
      <c r="N74" s="5"/>
      <c r="O74" s="10"/>
      <c r="P74" s="10">
        <f t="shared" si="35"/>
        <v>0</v>
      </c>
      <c r="Q74" s="10"/>
      <c r="R74" s="10"/>
      <c r="S74" s="10"/>
      <c r="T74" s="10"/>
      <c r="U74" s="43">
        <v>22100</v>
      </c>
      <c r="V74">
        <v>100</v>
      </c>
      <c r="W74" s="42">
        <f t="shared" si="51"/>
        <v>410</v>
      </c>
      <c r="X74" s="8">
        <f t="shared" si="20"/>
        <v>41000</v>
      </c>
      <c r="Y74" s="8">
        <f t="shared" si="21"/>
        <v>2210000</v>
      </c>
    </row>
    <row r="75" spans="1:25">
      <c r="A75" s="2" t="s">
        <v>153</v>
      </c>
      <c r="B75" s="2" t="s">
        <v>125</v>
      </c>
      <c r="C75" s="2"/>
      <c r="D75" s="158">
        <f t="shared" si="29"/>
        <v>27472.5</v>
      </c>
      <c r="E75" s="7">
        <v>24750</v>
      </c>
      <c r="F75" s="7">
        <f t="shared" si="45"/>
        <v>29670.300000000003</v>
      </c>
      <c r="G75" s="7">
        <f t="shared" si="46"/>
        <v>30219.750000000004</v>
      </c>
      <c r="H75" s="7">
        <f t="shared" si="47"/>
        <v>31593.374999999996</v>
      </c>
      <c r="I75" s="7">
        <f t="shared" si="48"/>
        <v>32967</v>
      </c>
      <c r="J75" s="7">
        <f t="shared" si="49"/>
        <v>34340.625</v>
      </c>
      <c r="K75" s="7">
        <f t="shared" si="50"/>
        <v>35714.25</v>
      </c>
      <c r="L75" s="33">
        <v>30000</v>
      </c>
      <c r="M75" s="7">
        <f t="shared" si="44"/>
        <v>5250</v>
      </c>
      <c r="O75" s="10"/>
      <c r="P75" s="10">
        <f t="shared" si="35"/>
        <v>0</v>
      </c>
      <c r="Q75" s="10"/>
      <c r="R75" s="10"/>
      <c r="S75" s="10"/>
      <c r="T75" s="10"/>
      <c r="U75" s="43">
        <v>24300</v>
      </c>
      <c r="V75">
        <v>100</v>
      </c>
      <c r="W75" s="42">
        <f t="shared" si="51"/>
        <v>450</v>
      </c>
      <c r="X75" s="8">
        <f t="shared" si="20"/>
        <v>45000</v>
      </c>
      <c r="Y75" s="8">
        <f t="shared" si="21"/>
        <v>2430000</v>
      </c>
    </row>
    <row r="76" spans="1:25">
      <c r="A76" s="2" t="s">
        <v>153</v>
      </c>
      <c r="B76" s="2" t="s">
        <v>154</v>
      </c>
      <c r="C76" s="2"/>
      <c r="D76" s="158">
        <f t="shared" si="29"/>
        <v>37418.1</v>
      </c>
      <c r="E76" s="7">
        <v>33710</v>
      </c>
      <c r="F76" s="7">
        <f t="shared" si="45"/>
        <v>40411.548000000003</v>
      </c>
      <c r="G76" s="7">
        <f t="shared" si="46"/>
        <v>41159.910000000003</v>
      </c>
      <c r="H76" s="7">
        <f t="shared" si="47"/>
        <v>43030.814999999995</v>
      </c>
      <c r="I76" s="7">
        <f t="shared" si="48"/>
        <v>44901.719999999994</v>
      </c>
      <c r="J76" s="7">
        <f t="shared" si="49"/>
        <v>46772.625</v>
      </c>
      <c r="K76" s="7">
        <f t="shared" si="50"/>
        <v>48643.53</v>
      </c>
      <c r="L76" s="33"/>
      <c r="M76" s="7">
        <f t="shared" si="44"/>
        <v>-33710</v>
      </c>
      <c r="O76" s="10"/>
      <c r="P76" s="10">
        <f t="shared" si="35"/>
        <v>0</v>
      </c>
      <c r="Q76" s="10"/>
      <c r="R76" s="10"/>
      <c r="S76" s="10"/>
      <c r="T76" s="10"/>
      <c r="W76" s="42"/>
      <c r="X76" s="8">
        <f t="shared" si="20"/>
        <v>0</v>
      </c>
      <c r="Y76" s="8">
        <f t="shared" si="21"/>
        <v>0</v>
      </c>
    </row>
    <row r="77" spans="1:25">
      <c r="A77" s="2" t="s">
        <v>555</v>
      </c>
      <c r="B77" s="2" t="s">
        <v>125</v>
      </c>
      <c r="C77" s="2"/>
      <c r="D77" s="158">
        <f t="shared" si="29"/>
        <v>0</v>
      </c>
      <c r="E77" s="7"/>
      <c r="F77" s="7">
        <f t="shared" si="45"/>
        <v>0</v>
      </c>
      <c r="G77" s="7">
        <f t="shared" si="46"/>
        <v>0</v>
      </c>
      <c r="H77" s="7">
        <f t="shared" si="47"/>
        <v>0</v>
      </c>
      <c r="I77" s="7">
        <f t="shared" si="48"/>
        <v>0</v>
      </c>
      <c r="J77" s="7">
        <f t="shared" si="49"/>
        <v>0</v>
      </c>
      <c r="K77" s="7">
        <f t="shared" si="50"/>
        <v>0</v>
      </c>
      <c r="L77" s="33"/>
      <c r="M77" s="7"/>
      <c r="N77" t="s">
        <v>556</v>
      </c>
      <c r="O77" s="10"/>
      <c r="P77" s="10">
        <f t="shared" si="35"/>
        <v>0</v>
      </c>
      <c r="Q77" s="10"/>
      <c r="R77" s="10"/>
      <c r="S77" s="10"/>
      <c r="T77" s="10"/>
      <c r="W77" s="42"/>
      <c r="X77" s="8"/>
      <c r="Y77" s="8"/>
    </row>
    <row r="78" spans="1:25">
      <c r="A78" s="2" t="s">
        <v>155</v>
      </c>
      <c r="B78" s="2" t="s">
        <v>127</v>
      </c>
      <c r="C78" s="2"/>
      <c r="D78" s="158">
        <f t="shared" si="29"/>
        <v>15961.8</v>
      </c>
      <c r="E78" s="7">
        <v>14380</v>
      </c>
      <c r="F78" s="7">
        <f t="shared" si="45"/>
        <v>17238.743999999999</v>
      </c>
      <c r="G78" s="7">
        <f t="shared" si="46"/>
        <v>17557.98</v>
      </c>
      <c r="H78" s="7">
        <f t="shared" si="47"/>
        <v>18356.069999999996</v>
      </c>
      <c r="I78" s="7">
        <f t="shared" si="48"/>
        <v>19154.16</v>
      </c>
      <c r="J78" s="7">
        <f t="shared" si="49"/>
        <v>19952.25</v>
      </c>
      <c r="K78" s="7">
        <f t="shared" si="50"/>
        <v>20750.34</v>
      </c>
      <c r="L78" s="33"/>
      <c r="M78" s="7">
        <f t="shared" si="44"/>
        <v>-14380</v>
      </c>
      <c r="O78" s="10"/>
      <c r="P78" s="10">
        <f t="shared" si="35"/>
        <v>0</v>
      </c>
      <c r="Q78" s="10"/>
      <c r="R78" s="10"/>
      <c r="S78" s="10"/>
      <c r="T78" s="10"/>
      <c r="U78" s="43">
        <v>14200</v>
      </c>
      <c r="V78">
        <v>50</v>
      </c>
      <c r="W78" s="42">
        <f t="shared" ref="W78:W94" si="52">+E78-U78</f>
        <v>180</v>
      </c>
      <c r="X78" s="8">
        <f t="shared" si="20"/>
        <v>9000</v>
      </c>
      <c r="Y78" s="8">
        <f t="shared" si="21"/>
        <v>710000</v>
      </c>
    </row>
    <row r="79" spans="1:25">
      <c r="A79" s="2" t="s">
        <v>155</v>
      </c>
      <c r="B79" s="2" t="s">
        <v>123</v>
      </c>
      <c r="C79" s="2"/>
      <c r="D79" s="158">
        <f t="shared" si="29"/>
        <v>17005.2</v>
      </c>
      <c r="E79" s="7">
        <v>15320</v>
      </c>
      <c r="F79" s="7">
        <f t="shared" si="45"/>
        <v>18365.616000000002</v>
      </c>
      <c r="G79" s="7">
        <f t="shared" si="46"/>
        <v>18705.72</v>
      </c>
      <c r="H79" s="7">
        <f t="shared" si="47"/>
        <v>19555.98</v>
      </c>
      <c r="I79" s="7">
        <f t="shared" si="48"/>
        <v>20406.240000000002</v>
      </c>
      <c r="J79" s="7">
        <f t="shared" si="49"/>
        <v>21256.5</v>
      </c>
      <c r="K79" s="7">
        <f t="shared" si="50"/>
        <v>22106.760000000002</v>
      </c>
      <c r="L79" s="33"/>
      <c r="M79" s="7">
        <f t="shared" si="44"/>
        <v>-15320</v>
      </c>
      <c r="O79" s="10"/>
      <c r="P79" s="10">
        <f t="shared" si="35"/>
        <v>0</v>
      </c>
      <c r="Q79" s="10"/>
      <c r="R79" s="10"/>
      <c r="S79" s="10"/>
      <c r="T79" s="10"/>
      <c r="U79" s="43">
        <v>15100</v>
      </c>
      <c r="V79">
        <v>50</v>
      </c>
      <c r="W79" s="42">
        <f t="shared" si="52"/>
        <v>220</v>
      </c>
      <c r="X79" s="8">
        <f t="shared" si="20"/>
        <v>11000</v>
      </c>
      <c r="Y79" s="8">
        <f t="shared" si="21"/>
        <v>755000</v>
      </c>
    </row>
    <row r="80" spans="1:25">
      <c r="A80" s="2" t="s">
        <v>155</v>
      </c>
      <c r="B80" s="2" t="s">
        <v>124</v>
      </c>
      <c r="C80" s="2"/>
      <c r="D80" s="158">
        <f t="shared" si="29"/>
        <v>19902.3</v>
      </c>
      <c r="E80" s="7">
        <v>17930</v>
      </c>
      <c r="F80" s="7">
        <f t="shared" si="45"/>
        <v>21494.484</v>
      </c>
      <c r="G80" s="7">
        <f t="shared" si="46"/>
        <v>21892.530000000002</v>
      </c>
      <c r="H80" s="7">
        <f t="shared" si="47"/>
        <v>22887.644999999997</v>
      </c>
      <c r="I80" s="7">
        <f t="shared" si="48"/>
        <v>23882.76</v>
      </c>
      <c r="J80" s="7">
        <f t="shared" si="49"/>
        <v>24877.875</v>
      </c>
      <c r="K80" s="7">
        <f t="shared" si="50"/>
        <v>25872.99</v>
      </c>
      <c r="L80" s="33"/>
      <c r="M80" s="7">
        <f t="shared" si="44"/>
        <v>-17930</v>
      </c>
      <c r="O80" s="10"/>
      <c r="P80" s="10">
        <f t="shared" si="35"/>
        <v>0</v>
      </c>
      <c r="Q80" s="10"/>
      <c r="R80" s="10"/>
      <c r="S80" s="10"/>
      <c r="T80" s="10"/>
      <c r="U80" s="43">
        <v>17600</v>
      </c>
      <c r="V80">
        <v>50</v>
      </c>
      <c r="W80" s="42">
        <f t="shared" si="52"/>
        <v>330</v>
      </c>
      <c r="X80" s="8">
        <f t="shared" si="20"/>
        <v>16500</v>
      </c>
      <c r="Y80" s="8">
        <f t="shared" si="21"/>
        <v>880000</v>
      </c>
    </row>
    <row r="81" spans="1:25">
      <c r="A81" s="2" t="s">
        <v>155</v>
      </c>
      <c r="B81" s="2" t="s">
        <v>125</v>
      </c>
      <c r="C81" s="2"/>
      <c r="D81" s="158">
        <f t="shared" si="29"/>
        <v>21978</v>
      </c>
      <c r="E81" s="7">
        <v>19800</v>
      </c>
      <c r="F81" s="7">
        <f t="shared" si="45"/>
        <v>23736.240000000002</v>
      </c>
      <c r="G81" s="7">
        <f t="shared" si="46"/>
        <v>24175.800000000003</v>
      </c>
      <c r="H81" s="7">
        <f t="shared" si="47"/>
        <v>25274.699999999997</v>
      </c>
      <c r="I81" s="7">
        <f t="shared" si="48"/>
        <v>26373.599999999999</v>
      </c>
      <c r="J81" s="7">
        <f t="shared" si="49"/>
        <v>27472.5</v>
      </c>
      <c r="K81" s="7">
        <f t="shared" si="50"/>
        <v>28571.4</v>
      </c>
      <c r="L81" s="33"/>
      <c r="M81" s="7">
        <f t="shared" si="44"/>
        <v>-19800</v>
      </c>
      <c r="O81" s="10"/>
      <c r="P81" s="10">
        <f t="shared" si="35"/>
        <v>0</v>
      </c>
      <c r="Q81" s="10"/>
      <c r="R81" s="10"/>
      <c r="S81" s="10"/>
      <c r="T81" s="10"/>
      <c r="U81" s="43">
        <v>19500</v>
      </c>
      <c r="V81">
        <v>50</v>
      </c>
      <c r="W81" s="42">
        <f t="shared" si="52"/>
        <v>300</v>
      </c>
      <c r="X81" s="8">
        <f t="shared" si="20"/>
        <v>15000</v>
      </c>
      <c r="Y81" s="8">
        <f t="shared" si="21"/>
        <v>975000</v>
      </c>
    </row>
    <row r="82" spans="1:25">
      <c r="A82" s="2" t="s">
        <v>156</v>
      </c>
      <c r="B82" s="2" t="s">
        <v>127</v>
      </c>
      <c r="C82" s="2"/>
      <c r="D82" s="158">
        <f t="shared" si="29"/>
        <v>20013.3</v>
      </c>
      <c r="E82" s="7">
        <v>18030</v>
      </c>
      <c r="F82" s="7">
        <f t="shared" si="45"/>
        <v>21614.364000000001</v>
      </c>
      <c r="G82" s="7">
        <f t="shared" si="46"/>
        <v>22014.63</v>
      </c>
      <c r="H82" s="7">
        <f t="shared" si="47"/>
        <v>23015.294999999998</v>
      </c>
      <c r="I82" s="7">
        <f t="shared" si="48"/>
        <v>24015.96</v>
      </c>
      <c r="J82" s="7">
        <f t="shared" si="49"/>
        <v>25016.625</v>
      </c>
      <c r="K82" s="7">
        <f t="shared" si="50"/>
        <v>26017.29</v>
      </c>
      <c r="L82" s="33"/>
      <c r="M82" s="7">
        <f t="shared" si="44"/>
        <v>-18030</v>
      </c>
      <c r="O82" s="10"/>
      <c r="P82" s="10">
        <f t="shared" si="35"/>
        <v>0</v>
      </c>
      <c r="Q82" s="10"/>
      <c r="R82" s="10"/>
      <c r="S82" s="10"/>
      <c r="T82" s="10"/>
      <c r="U82" s="43">
        <v>17700</v>
      </c>
      <c r="V82">
        <v>50</v>
      </c>
      <c r="W82" s="42">
        <f t="shared" si="52"/>
        <v>330</v>
      </c>
      <c r="X82" s="8">
        <f t="shared" si="20"/>
        <v>16500</v>
      </c>
      <c r="Y82" s="8">
        <f t="shared" si="21"/>
        <v>885000</v>
      </c>
    </row>
    <row r="83" spans="1:25">
      <c r="A83" s="2" t="s">
        <v>156</v>
      </c>
      <c r="B83" s="2" t="s">
        <v>123</v>
      </c>
      <c r="C83" s="2"/>
      <c r="D83" s="158">
        <f t="shared" si="29"/>
        <v>21256.5</v>
      </c>
      <c r="E83" s="7">
        <v>19150</v>
      </c>
      <c r="F83" s="7">
        <f t="shared" si="45"/>
        <v>22957.02</v>
      </c>
      <c r="G83" s="7">
        <f t="shared" si="46"/>
        <v>23382.15</v>
      </c>
      <c r="H83" s="7">
        <f t="shared" si="47"/>
        <v>24444.974999999999</v>
      </c>
      <c r="I83" s="7">
        <f t="shared" si="48"/>
        <v>25507.8</v>
      </c>
      <c r="J83" s="7">
        <f t="shared" si="49"/>
        <v>26570.625</v>
      </c>
      <c r="K83" s="7">
        <f t="shared" si="50"/>
        <v>27633.45</v>
      </c>
      <c r="L83" s="33"/>
      <c r="M83" s="7">
        <f t="shared" si="44"/>
        <v>-19150</v>
      </c>
      <c r="O83" s="10"/>
      <c r="P83" s="10">
        <f t="shared" si="35"/>
        <v>0</v>
      </c>
      <c r="Q83" s="10"/>
      <c r="R83" s="10"/>
      <c r="S83" s="10"/>
      <c r="T83" s="10"/>
      <c r="U83" s="43">
        <v>18800</v>
      </c>
      <c r="V83">
        <v>50</v>
      </c>
      <c r="W83" s="42">
        <f t="shared" si="52"/>
        <v>350</v>
      </c>
      <c r="X83" s="8">
        <f t="shared" si="20"/>
        <v>17500</v>
      </c>
      <c r="Y83" s="8">
        <f t="shared" si="21"/>
        <v>940000</v>
      </c>
    </row>
    <row r="84" spans="1:25">
      <c r="A84" s="2" t="s">
        <v>156</v>
      </c>
      <c r="B84" s="2" t="s">
        <v>124</v>
      </c>
      <c r="C84" s="2"/>
      <c r="D84" s="158">
        <f t="shared" si="29"/>
        <v>24986.1</v>
      </c>
      <c r="E84" s="7">
        <v>22510</v>
      </c>
      <c r="F84" s="7">
        <f t="shared" si="45"/>
        <v>26984.988000000001</v>
      </c>
      <c r="G84" s="7">
        <f t="shared" si="46"/>
        <v>27484.71</v>
      </c>
      <c r="H84" s="7">
        <f t="shared" si="47"/>
        <v>28734.014999999996</v>
      </c>
      <c r="I84" s="7">
        <f t="shared" si="48"/>
        <v>29983.319999999996</v>
      </c>
      <c r="J84" s="7">
        <f t="shared" si="49"/>
        <v>31232.625</v>
      </c>
      <c r="K84" s="7">
        <f t="shared" si="50"/>
        <v>32481.93</v>
      </c>
      <c r="L84" s="33"/>
      <c r="M84" s="7">
        <f t="shared" si="44"/>
        <v>-22510</v>
      </c>
      <c r="O84" s="10">
        <v>5</v>
      </c>
      <c r="P84" s="10">
        <f t="shared" si="35"/>
        <v>124930.5</v>
      </c>
      <c r="Q84" s="10"/>
      <c r="R84" s="10"/>
      <c r="S84" s="10"/>
      <c r="T84" s="10"/>
      <c r="U84" s="43">
        <v>22100</v>
      </c>
      <c r="V84">
        <v>50</v>
      </c>
      <c r="W84" s="42">
        <f t="shared" si="52"/>
        <v>410</v>
      </c>
      <c r="X84" s="8">
        <f t="shared" si="20"/>
        <v>20500</v>
      </c>
      <c r="Y84" s="8">
        <f t="shared" si="21"/>
        <v>1105000</v>
      </c>
    </row>
    <row r="85" spans="1:25">
      <c r="A85" s="2" t="s">
        <v>156</v>
      </c>
      <c r="B85" s="2" t="s">
        <v>125</v>
      </c>
      <c r="C85" s="2"/>
      <c r="D85" s="158">
        <f t="shared" si="29"/>
        <v>27472.5</v>
      </c>
      <c r="E85" s="7">
        <v>24750</v>
      </c>
      <c r="F85" s="7">
        <f t="shared" si="45"/>
        <v>29670.300000000003</v>
      </c>
      <c r="G85" s="7">
        <f t="shared" si="46"/>
        <v>30219.750000000004</v>
      </c>
      <c r="H85" s="7">
        <f t="shared" si="47"/>
        <v>31593.374999999996</v>
      </c>
      <c r="I85" s="7">
        <f t="shared" si="48"/>
        <v>32967</v>
      </c>
      <c r="J85" s="7">
        <f t="shared" si="49"/>
        <v>34340.625</v>
      </c>
      <c r="K85" s="7">
        <f t="shared" si="50"/>
        <v>35714.25</v>
      </c>
      <c r="L85" s="33"/>
      <c r="M85" s="7">
        <f t="shared" si="44"/>
        <v>-24750</v>
      </c>
      <c r="O85" s="10"/>
      <c r="P85" s="10">
        <f t="shared" si="35"/>
        <v>0</v>
      </c>
      <c r="Q85" s="10"/>
      <c r="R85" s="10"/>
      <c r="S85" s="10"/>
      <c r="T85" s="10"/>
      <c r="U85" s="43">
        <v>24300</v>
      </c>
      <c r="V85">
        <v>50</v>
      </c>
      <c r="W85" s="42">
        <f t="shared" si="52"/>
        <v>450</v>
      </c>
      <c r="X85" s="8">
        <f t="shared" si="20"/>
        <v>22500</v>
      </c>
      <c r="Y85" s="8">
        <f t="shared" si="21"/>
        <v>1215000</v>
      </c>
    </row>
    <row r="86" spans="1:25">
      <c r="A86" s="2" t="s">
        <v>157</v>
      </c>
      <c r="B86" s="2" t="s">
        <v>127</v>
      </c>
      <c r="C86" s="2"/>
      <c r="D86" s="158">
        <f t="shared" si="29"/>
        <v>30991.200000000001</v>
      </c>
      <c r="E86" s="7">
        <v>27920</v>
      </c>
      <c r="F86" s="7">
        <f t="shared" si="45"/>
        <v>33470.496000000006</v>
      </c>
      <c r="G86" s="7">
        <f t="shared" si="46"/>
        <v>34090.320000000007</v>
      </c>
      <c r="H86" s="7">
        <f t="shared" si="47"/>
        <v>35639.879999999997</v>
      </c>
      <c r="I86" s="7">
        <f t="shared" si="48"/>
        <v>37189.440000000002</v>
      </c>
      <c r="J86" s="7">
        <f t="shared" si="49"/>
        <v>38739</v>
      </c>
      <c r="K86" s="7">
        <f t="shared" si="50"/>
        <v>40288.560000000005</v>
      </c>
      <c r="L86" s="33"/>
      <c r="M86" s="7">
        <f t="shared" si="44"/>
        <v>-27920</v>
      </c>
      <c r="O86" s="10"/>
      <c r="P86" s="10">
        <f t="shared" si="35"/>
        <v>0</v>
      </c>
      <c r="Q86" s="10"/>
      <c r="R86" s="10"/>
      <c r="S86" s="10"/>
      <c r="T86" s="10"/>
      <c r="U86" s="43">
        <v>27500</v>
      </c>
      <c r="V86">
        <v>50</v>
      </c>
      <c r="W86" s="42">
        <f t="shared" si="52"/>
        <v>420</v>
      </c>
      <c r="X86" s="8">
        <f t="shared" si="20"/>
        <v>21000</v>
      </c>
      <c r="Y86" s="8">
        <f t="shared" si="21"/>
        <v>1375000</v>
      </c>
    </row>
    <row r="87" spans="1:25">
      <c r="A87" s="2" t="s">
        <v>157</v>
      </c>
      <c r="B87" s="2" t="s">
        <v>123</v>
      </c>
      <c r="C87" s="2"/>
      <c r="D87" s="158">
        <f t="shared" si="29"/>
        <v>32967</v>
      </c>
      <c r="E87" s="7">
        <v>29700</v>
      </c>
      <c r="F87" s="7">
        <f t="shared" si="45"/>
        <v>35604.36</v>
      </c>
      <c r="G87" s="7">
        <f t="shared" si="46"/>
        <v>36263.700000000004</v>
      </c>
      <c r="H87" s="7">
        <f t="shared" si="47"/>
        <v>37912.049999999996</v>
      </c>
      <c r="I87" s="7">
        <f t="shared" si="48"/>
        <v>39560.400000000001</v>
      </c>
      <c r="J87" s="7">
        <f t="shared" si="49"/>
        <v>41208.75</v>
      </c>
      <c r="K87" s="7">
        <f t="shared" si="50"/>
        <v>42857.1</v>
      </c>
      <c r="L87" s="33">
        <v>36000</v>
      </c>
      <c r="M87" s="7">
        <f t="shared" si="44"/>
        <v>6300</v>
      </c>
      <c r="O87" s="10"/>
      <c r="P87" s="10">
        <f t="shared" si="35"/>
        <v>0</v>
      </c>
      <c r="Q87" s="10"/>
      <c r="R87" s="10"/>
      <c r="S87" s="10"/>
      <c r="T87" s="10"/>
      <c r="U87" s="43">
        <v>29200</v>
      </c>
      <c r="V87">
        <v>50</v>
      </c>
      <c r="W87" s="42">
        <f t="shared" si="52"/>
        <v>500</v>
      </c>
      <c r="X87" s="8">
        <f t="shared" si="20"/>
        <v>25000</v>
      </c>
      <c r="Y87" s="8">
        <f t="shared" si="21"/>
        <v>1460000</v>
      </c>
    </row>
    <row r="88" spans="1:25">
      <c r="A88" s="2" t="s">
        <v>157</v>
      </c>
      <c r="B88" s="2" t="s">
        <v>124</v>
      </c>
      <c r="C88" s="2"/>
      <c r="D88" s="158">
        <f t="shared" si="29"/>
        <v>38672.400000000001</v>
      </c>
      <c r="E88" s="7">
        <v>34840</v>
      </c>
      <c r="F88" s="7">
        <f t="shared" si="45"/>
        <v>41766.192000000003</v>
      </c>
      <c r="G88" s="7">
        <f t="shared" si="46"/>
        <v>42539.640000000007</v>
      </c>
      <c r="H88" s="7">
        <f t="shared" si="47"/>
        <v>44473.259999999995</v>
      </c>
      <c r="I88" s="7">
        <f t="shared" si="48"/>
        <v>46406.879999999997</v>
      </c>
      <c r="J88" s="7">
        <f t="shared" si="49"/>
        <v>48340.5</v>
      </c>
      <c r="K88" s="7">
        <f t="shared" si="50"/>
        <v>50274.12</v>
      </c>
      <c r="L88" s="33"/>
      <c r="M88" s="7">
        <f t="shared" si="44"/>
        <v>-34840</v>
      </c>
      <c r="O88" s="10"/>
      <c r="P88" s="10">
        <f t="shared" si="35"/>
        <v>0</v>
      </c>
      <c r="Q88" s="10"/>
      <c r="R88" s="10"/>
      <c r="S88" s="10"/>
      <c r="T88" s="10"/>
      <c r="U88" s="43">
        <v>34200</v>
      </c>
      <c r="V88">
        <v>50</v>
      </c>
      <c r="W88" s="42">
        <f t="shared" si="52"/>
        <v>640</v>
      </c>
      <c r="X88" s="8">
        <f t="shared" si="20"/>
        <v>32000</v>
      </c>
      <c r="Y88" s="8">
        <f t="shared" si="21"/>
        <v>1710000</v>
      </c>
    </row>
    <row r="89" spans="1:25">
      <c r="A89" s="2" t="s">
        <v>157</v>
      </c>
      <c r="B89" s="2" t="s">
        <v>125</v>
      </c>
      <c r="C89" s="2">
        <v>37940</v>
      </c>
      <c r="D89" s="158">
        <f t="shared" si="29"/>
        <v>42501.9</v>
      </c>
      <c r="E89" s="7">
        <v>38290</v>
      </c>
      <c r="F89" s="7">
        <f t="shared" si="45"/>
        <v>45902.052000000003</v>
      </c>
      <c r="G89" s="7">
        <f t="shared" si="46"/>
        <v>46752.090000000004</v>
      </c>
      <c r="H89" s="7">
        <f t="shared" si="47"/>
        <v>48877.184999999998</v>
      </c>
      <c r="I89" s="7">
        <f t="shared" si="48"/>
        <v>51002.28</v>
      </c>
      <c r="J89" s="7">
        <f t="shared" si="49"/>
        <v>53127.375</v>
      </c>
      <c r="K89" s="7">
        <f t="shared" si="50"/>
        <v>55252.47</v>
      </c>
      <c r="L89" s="33">
        <v>46000</v>
      </c>
      <c r="M89" s="7">
        <f t="shared" si="44"/>
        <v>7710</v>
      </c>
      <c r="O89" s="10">
        <v>5</v>
      </c>
      <c r="P89" s="10">
        <f t="shared" si="35"/>
        <v>212509.5</v>
      </c>
      <c r="Q89" s="10" t="s">
        <v>557</v>
      </c>
      <c r="R89" s="10"/>
      <c r="S89" s="10"/>
      <c r="T89" s="10"/>
      <c r="U89" s="43">
        <v>37600</v>
      </c>
      <c r="V89">
        <v>50</v>
      </c>
      <c r="W89" s="42">
        <f t="shared" si="52"/>
        <v>690</v>
      </c>
      <c r="X89" s="8">
        <f t="shared" si="20"/>
        <v>34500</v>
      </c>
      <c r="Y89" s="8">
        <f t="shared" si="21"/>
        <v>1880000</v>
      </c>
    </row>
    <row r="90" spans="1:25">
      <c r="A90" s="2" t="s">
        <v>158</v>
      </c>
      <c r="B90" s="2"/>
      <c r="C90" s="2"/>
      <c r="D90" s="158">
        <f t="shared" si="29"/>
        <v>0</v>
      </c>
      <c r="E90" s="7"/>
      <c r="F90" s="7">
        <f t="shared" si="45"/>
        <v>0</v>
      </c>
      <c r="G90" s="7">
        <f t="shared" si="46"/>
        <v>0</v>
      </c>
      <c r="H90" s="7">
        <f t="shared" si="47"/>
        <v>0</v>
      </c>
      <c r="I90" s="7">
        <f t="shared" si="48"/>
        <v>0</v>
      </c>
      <c r="J90" s="7">
        <f t="shared" si="49"/>
        <v>0</v>
      </c>
      <c r="K90" s="7">
        <f t="shared" si="50"/>
        <v>0</v>
      </c>
      <c r="L90" s="33"/>
      <c r="M90" s="7">
        <f t="shared" si="44"/>
        <v>0</v>
      </c>
      <c r="O90" s="10"/>
      <c r="P90" s="10">
        <f t="shared" si="35"/>
        <v>0</v>
      </c>
      <c r="Q90" s="10"/>
      <c r="R90" s="10"/>
      <c r="S90" s="10"/>
      <c r="T90" s="10"/>
      <c r="W90" s="42">
        <f t="shared" si="52"/>
        <v>0</v>
      </c>
      <c r="X90" s="8">
        <f t="shared" si="20"/>
        <v>0</v>
      </c>
      <c r="Y90" s="8">
        <f t="shared" si="21"/>
        <v>0</v>
      </c>
    </row>
    <row r="91" spans="1:25">
      <c r="A91" s="2" t="s">
        <v>157</v>
      </c>
      <c r="B91" s="2" t="s">
        <v>154</v>
      </c>
      <c r="C91" s="2"/>
      <c r="D91" s="158">
        <f t="shared" si="29"/>
        <v>57953.1</v>
      </c>
      <c r="E91" s="7">
        <v>52210</v>
      </c>
      <c r="F91" s="7">
        <f t="shared" si="45"/>
        <v>62589.348000000005</v>
      </c>
      <c r="G91" s="7">
        <f t="shared" si="46"/>
        <v>63748.41</v>
      </c>
      <c r="H91" s="7">
        <f t="shared" si="47"/>
        <v>66646.064999999988</v>
      </c>
      <c r="I91" s="7">
        <f t="shared" si="48"/>
        <v>69543.72</v>
      </c>
      <c r="J91" s="7">
        <f t="shared" si="49"/>
        <v>72441.375</v>
      </c>
      <c r="K91" s="7">
        <f t="shared" si="50"/>
        <v>75339.03</v>
      </c>
      <c r="L91" s="33"/>
      <c r="M91" s="7">
        <f t="shared" si="44"/>
        <v>-52210</v>
      </c>
      <c r="O91" s="10"/>
      <c r="P91" s="10">
        <f t="shared" si="35"/>
        <v>0</v>
      </c>
      <c r="Q91" s="10"/>
      <c r="R91" s="10"/>
      <c r="S91" s="10"/>
      <c r="T91" s="10"/>
      <c r="U91" s="43">
        <v>51300</v>
      </c>
      <c r="V91">
        <v>50</v>
      </c>
      <c r="W91" s="42">
        <f t="shared" si="52"/>
        <v>910</v>
      </c>
      <c r="X91" s="8">
        <f t="shared" si="20"/>
        <v>45500</v>
      </c>
      <c r="Y91" s="8">
        <f t="shared" si="21"/>
        <v>2565000</v>
      </c>
    </row>
    <row r="92" spans="1:25">
      <c r="A92" s="2" t="s">
        <v>159</v>
      </c>
      <c r="B92" s="2" t="s">
        <v>124</v>
      </c>
      <c r="C92" s="2"/>
      <c r="D92" s="158">
        <f t="shared" si="29"/>
        <v>46442.400000000001</v>
      </c>
      <c r="E92" s="7">
        <v>41840</v>
      </c>
      <c r="F92" s="7">
        <f t="shared" si="45"/>
        <v>50157.792000000001</v>
      </c>
      <c r="G92" s="7">
        <f t="shared" si="46"/>
        <v>51086.640000000007</v>
      </c>
      <c r="H92" s="7">
        <f t="shared" si="47"/>
        <v>53408.759999999995</v>
      </c>
      <c r="I92" s="7">
        <f t="shared" si="48"/>
        <v>55730.879999999997</v>
      </c>
      <c r="J92" s="7">
        <f t="shared" si="49"/>
        <v>58053</v>
      </c>
      <c r="K92" s="7">
        <f t="shared" si="50"/>
        <v>60375.12</v>
      </c>
      <c r="L92" s="33"/>
      <c r="M92" s="7">
        <f t="shared" si="44"/>
        <v>-41840</v>
      </c>
      <c r="N92">
        <v>1</v>
      </c>
      <c r="O92" s="10"/>
      <c r="P92" s="10">
        <f t="shared" si="35"/>
        <v>0</v>
      </c>
      <c r="Q92" s="10"/>
      <c r="R92" s="10"/>
      <c r="S92" s="10"/>
      <c r="T92" s="10"/>
      <c r="U92" s="43">
        <v>41100</v>
      </c>
      <c r="V92">
        <v>50</v>
      </c>
      <c r="W92" s="42">
        <f t="shared" si="52"/>
        <v>740</v>
      </c>
      <c r="X92" s="8">
        <f t="shared" ref="X92:X94" si="53">+W92*V92</f>
        <v>37000</v>
      </c>
      <c r="Y92" s="8">
        <f t="shared" ref="Y92:Y94" si="54">+V92*U92</f>
        <v>2055000</v>
      </c>
    </row>
    <row r="93" spans="1:25">
      <c r="A93" s="2" t="s">
        <v>159</v>
      </c>
      <c r="B93" s="2" t="s">
        <v>125</v>
      </c>
      <c r="C93" s="2"/>
      <c r="D93" s="158">
        <f t="shared" si="29"/>
        <v>51060</v>
      </c>
      <c r="E93" s="7">
        <v>46000</v>
      </c>
      <c r="F93" s="7">
        <f t="shared" si="45"/>
        <v>55144.800000000003</v>
      </c>
      <c r="G93" s="7">
        <f t="shared" si="46"/>
        <v>56166.000000000007</v>
      </c>
      <c r="H93" s="7">
        <f t="shared" si="47"/>
        <v>58718.999999999993</v>
      </c>
      <c r="I93" s="7">
        <f t="shared" si="48"/>
        <v>61272</v>
      </c>
      <c r="J93" s="7">
        <f t="shared" si="49"/>
        <v>63825</v>
      </c>
      <c r="K93" s="7">
        <f t="shared" si="50"/>
        <v>66378</v>
      </c>
      <c r="L93" s="33"/>
      <c r="M93" s="7">
        <f t="shared" si="44"/>
        <v>-46000</v>
      </c>
      <c r="O93" s="10"/>
      <c r="P93" s="10">
        <f t="shared" si="35"/>
        <v>0</v>
      </c>
      <c r="Q93" s="10"/>
      <c r="R93" s="10"/>
      <c r="S93" s="10"/>
      <c r="T93" s="10"/>
      <c r="U93" s="43">
        <v>45200</v>
      </c>
      <c r="V93">
        <v>50</v>
      </c>
      <c r="W93" s="42">
        <f t="shared" si="52"/>
        <v>800</v>
      </c>
      <c r="X93" s="8">
        <f t="shared" si="53"/>
        <v>40000</v>
      </c>
      <c r="Y93" s="8">
        <f t="shared" si="54"/>
        <v>2260000</v>
      </c>
    </row>
    <row r="94" spans="1:25">
      <c r="A94" s="2" t="s">
        <v>159</v>
      </c>
      <c r="B94" s="2" t="s">
        <v>154</v>
      </c>
      <c r="C94" s="2"/>
      <c r="D94" s="158">
        <f t="shared" si="29"/>
        <v>69663.600000000006</v>
      </c>
      <c r="E94" s="7">
        <v>62760</v>
      </c>
      <c r="F94" s="7">
        <f t="shared" si="45"/>
        <v>75236.688000000009</v>
      </c>
      <c r="G94" s="7">
        <f t="shared" si="46"/>
        <v>76629.960000000006</v>
      </c>
      <c r="H94" s="7">
        <f t="shared" si="47"/>
        <v>80113.14</v>
      </c>
      <c r="I94" s="7">
        <f t="shared" si="48"/>
        <v>83596.320000000007</v>
      </c>
      <c r="J94" s="7">
        <f t="shared" si="49"/>
        <v>87079.5</v>
      </c>
      <c r="K94" s="7">
        <f t="shared" si="50"/>
        <v>90562.680000000008</v>
      </c>
      <c r="L94" s="33"/>
      <c r="M94" s="7">
        <f t="shared" si="44"/>
        <v>-62760</v>
      </c>
      <c r="O94" s="10"/>
      <c r="P94" s="10">
        <f t="shared" si="35"/>
        <v>0</v>
      </c>
      <c r="Q94" s="10"/>
      <c r="R94" s="10"/>
      <c r="S94" s="10"/>
      <c r="T94" s="10"/>
      <c r="U94" s="43">
        <v>61600</v>
      </c>
      <c r="V94">
        <v>50</v>
      </c>
      <c r="W94" s="42">
        <f t="shared" si="52"/>
        <v>1160</v>
      </c>
      <c r="X94" s="8">
        <f t="shared" si="53"/>
        <v>58000</v>
      </c>
      <c r="Y94" s="8">
        <f t="shared" si="54"/>
        <v>3080000</v>
      </c>
    </row>
    <row r="95" spans="1:25">
      <c r="A95" s="2" t="s">
        <v>160</v>
      </c>
      <c r="B95" s="2" t="s">
        <v>161</v>
      </c>
      <c r="C95" s="2"/>
      <c r="D95" s="158">
        <f t="shared" si="29"/>
        <v>33277.800000000003</v>
      </c>
      <c r="E95" s="7">
        <v>29980</v>
      </c>
      <c r="F95" s="7">
        <f t="shared" si="45"/>
        <v>35940.024000000005</v>
      </c>
      <c r="G95" s="7">
        <f t="shared" si="46"/>
        <v>36605.580000000009</v>
      </c>
      <c r="H95" s="7">
        <f t="shared" si="47"/>
        <v>38269.47</v>
      </c>
      <c r="I95" s="7">
        <f t="shared" si="48"/>
        <v>39933.360000000001</v>
      </c>
      <c r="J95" s="7">
        <f t="shared" si="49"/>
        <v>41597.25</v>
      </c>
      <c r="K95" s="7">
        <f t="shared" si="50"/>
        <v>43261.140000000007</v>
      </c>
      <c r="L95" s="33"/>
      <c r="M95" s="7">
        <f t="shared" si="44"/>
        <v>-29980</v>
      </c>
      <c r="O95" s="10">
        <v>6</v>
      </c>
      <c r="P95" s="10">
        <f t="shared" si="35"/>
        <v>199666.80000000002</v>
      </c>
      <c r="Q95" s="10"/>
      <c r="R95" s="10"/>
      <c r="S95" s="10"/>
      <c r="T95" s="10"/>
    </row>
    <row r="96" spans="1:25">
      <c r="A96" s="2" t="s">
        <v>160</v>
      </c>
      <c r="B96" s="2" t="s">
        <v>162</v>
      </c>
      <c r="C96" s="2"/>
      <c r="D96" s="158">
        <f t="shared" si="29"/>
        <v>43645.2</v>
      </c>
      <c r="E96" s="7">
        <v>39320</v>
      </c>
      <c r="F96" s="7">
        <f t="shared" si="45"/>
        <v>47136.815999999999</v>
      </c>
      <c r="G96" s="7">
        <f t="shared" si="46"/>
        <v>48009.72</v>
      </c>
      <c r="H96" s="7">
        <f t="shared" si="47"/>
        <v>50191.979999999996</v>
      </c>
      <c r="I96" s="7">
        <f t="shared" si="48"/>
        <v>52374.239999999998</v>
      </c>
      <c r="J96" s="7">
        <f t="shared" si="49"/>
        <v>54556.5</v>
      </c>
      <c r="K96" s="7">
        <f t="shared" si="50"/>
        <v>56738.759999999995</v>
      </c>
      <c r="L96" s="33"/>
      <c r="M96" s="7">
        <f t="shared" si="44"/>
        <v>-39320</v>
      </c>
      <c r="O96" s="10"/>
      <c r="P96" s="10">
        <f t="shared" si="35"/>
        <v>0</v>
      </c>
      <c r="Q96" s="10"/>
      <c r="R96" s="10"/>
      <c r="S96" s="10"/>
      <c r="T96" s="10"/>
    </row>
    <row r="97" spans="1:20">
      <c r="A97" s="2" t="s">
        <v>163</v>
      </c>
      <c r="B97" s="2" t="s">
        <v>154</v>
      </c>
      <c r="C97" s="2"/>
      <c r="D97" s="158">
        <f t="shared" si="29"/>
        <v>38250.6</v>
      </c>
      <c r="E97" s="7">
        <v>34460</v>
      </c>
      <c r="F97" s="7">
        <f t="shared" si="45"/>
        <v>41310.648000000001</v>
      </c>
      <c r="G97" s="7">
        <f t="shared" si="46"/>
        <v>42075.66</v>
      </c>
      <c r="H97" s="7">
        <f t="shared" si="47"/>
        <v>43988.189999999995</v>
      </c>
      <c r="I97" s="7">
        <f t="shared" si="48"/>
        <v>45900.719999999994</v>
      </c>
      <c r="J97" s="7">
        <f t="shared" si="49"/>
        <v>47813.25</v>
      </c>
      <c r="K97" s="7">
        <f t="shared" si="50"/>
        <v>49725.78</v>
      </c>
      <c r="L97" s="33"/>
      <c r="M97" s="7">
        <f t="shared" si="44"/>
        <v>-34460</v>
      </c>
      <c r="O97" s="10"/>
      <c r="P97" s="10">
        <f t="shared" si="35"/>
        <v>0</v>
      </c>
      <c r="Q97" s="10"/>
      <c r="R97" s="10"/>
      <c r="S97" s="10"/>
      <c r="T97" s="10"/>
    </row>
    <row r="98" spans="1:20">
      <c r="A98" s="2" t="s">
        <v>163</v>
      </c>
      <c r="B98" s="2" t="s">
        <v>162</v>
      </c>
      <c r="C98" s="2"/>
      <c r="D98" s="158">
        <f t="shared" si="29"/>
        <v>50227.5</v>
      </c>
      <c r="E98" s="7">
        <v>45250</v>
      </c>
      <c r="F98" s="7">
        <f t="shared" si="45"/>
        <v>54245.700000000004</v>
      </c>
      <c r="G98" s="7">
        <f t="shared" si="46"/>
        <v>55250.250000000007</v>
      </c>
      <c r="H98" s="7">
        <f t="shared" si="47"/>
        <v>57761.624999999993</v>
      </c>
      <c r="I98" s="7">
        <f t="shared" si="48"/>
        <v>60273</v>
      </c>
      <c r="J98" s="7">
        <f t="shared" si="49"/>
        <v>62784.375</v>
      </c>
      <c r="K98" s="7">
        <f t="shared" si="50"/>
        <v>65295.75</v>
      </c>
      <c r="L98" s="33"/>
      <c r="M98" s="7">
        <f t="shared" si="44"/>
        <v>-45250</v>
      </c>
      <c r="O98" s="10"/>
      <c r="P98" s="10">
        <f t="shared" si="35"/>
        <v>0</v>
      </c>
      <c r="Q98" s="10"/>
      <c r="R98" s="10"/>
      <c r="S98" s="10"/>
      <c r="T98" s="10"/>
    </row>
    <row r="99" spans="1:20">
      <c r="A99" s="2" t="s">
        <v>164</v>
      </c>
      <c r="B99" s="2" t="s">
        <v>154</v>
      </c>
      <c r="C99" s="2"/>
      <c r="D99" s="158">
        <f t="shared" si="29"/>
        <v>47896.5</v>
      </c>
      <c r="E99" s="7">
        <v>43150</v>
      </c>
      <c r="F99" s="7">
        <f t="shared" si="45"/>
        <v>51728.22</v>
      </c>
      <c r="G99" s="7">
        <f t="shared" si="46"/>
        <v>52686.15</v>
      </c>
      <c r="H99" s="7">
        <f t="shared" si="47"/>
        <v>55080.974999999999</v>
      </c>
      <c r="I99" s="7">
        <f t="shared" si="48"/>
        <v>57475.799999999996</v>
      </c>
      <c r="J99" s="7">
        <f t="shared" si="49"/>
        <v>59870.625</v>
      </c>
      <c r="K99" s="7">
        <f t="shared" si="50"/>
        <v>62265.450000000004</v>
      </c>
      <c r="L99" s="33"/>
      <c r="M99" s="7">
        <f t="shared" si="44"/>
        <v>-43150</v>
      </c>
      <c r="O99" s="10"/>
      <c r="P99" s="10">
        <f t="shared" si="35"/>
        <v>0</v>
      </c>
      <c r="Q99" s="10"/>
      <c r="R99" s="10"/>
      <c r="S99" s="10"/>
      <c r="T99" s="10"/>
    </row>
    <row r="100" spans="1:20">
      <c r="A100" s="2" t="s">
        <v>164</v>
      </c>
      <c r="B100" s="2" t="s">
        <v>162</v>
      </c>
      <c r="C100" s="2"/>
      <c r="D100" s="158">
        <f t="shared" si="29"/>
        <v>63081.3</v>
      </c>
      <c r="E100" s="7">
        <v>56830</v>
      </c>
      <c r="F100" s="7">
        <f t="shared" si="45"/>
        <v>68127.804000000004</v>
      </c>
      <c r="G100" s="7">
        <f t="shared" si="46"/>
        <v>69389.430000000008</v>
      </c>
      <c r="H100" s="7">
        <f t="shared" si="47"/>
        <v>72543.494999999995</v>
      </c>
      <c r="I100" s="7">
        <f t="shared" si="48"/>
        <v>75697.56</v>
      </c>
      <c r="J100" s="7">
        <f t="shared" si="49"/>
        <v>78851.625</v>
      </c>
      <c r="K100" s="7">
        <f t="shared" si="50"/>
        <v>82005.69</v>
      </c>
      <c r="L100" s="33"/>
      <c r="M100" s="7">
        <f t="shared" si="44"/>
        <v>-56830</v>
      </c>
      <c r="O100" s="10"/>
      <c r="P100" s="10">
        <f t="shared" si="35"/>
        <v>0</v>
      </c>
      <c r="Q100" s="10"/>
      <c r="R100" s="10"/>
      <c r="S100" s="10"/>
      <c r="T100" s="10"/>
    </row>
    <row r="101" spans="1:20">
      <c r="A101" s="2" t="s">
        <v>165</v>
      </c>
      <c r="B101" s="2" t="s">
        <v>162</v>
      </c>
      <c r="C101" s="2"/>
      <c r="D101" s="158">
        <f t="shared" si="29"/>
        <v>121289.7</v>
      </c>
      <c r="E101" s="7">
        <v>109270</v>
      </c>
      <c r="F101" s="7">
        <f t="shared" si="45"/>
        <v>130992.876</v>
      </c>
      <c r="G101" s="7">
        <f t="shared" si="46"/>
        <v>133418.67000000001</v>
      </c>
      <c r="H101" s="7">
        <f t="shared" si="47"/>
        <v>139483.155</v>
      </c>
      <c r="I101" s="7">
        <f t="shared" si="48"/>
        <v>145547.63999999998</v>
      </c>
      <c r="J101" s="7">
        <f t="shared" si="49"/>
        <v>151612.125</v>
      </c>
      <c r="K101" s="7">
        <f t="shared" si="50"/>
        <v>157676.61000000002</v>
      </c>
      <c r="L101" s="33"/>
      <c r="M101" s="7">
        <f t="shared" si="44"/>
        <v>-109270</v>
      </c>
      <c r="O101" s="10"/>
      <c r="P101" s="10">
        <f t="shared" si="35"/>
        <v>0</v>
      </c>
      <c r="Q101" s="10"/>
      <c r="R101" s="10"/>
      <c r="S101" s="10"/>
      <c r="T101" s="10"/>
    </row>
    <row r="102" spans="1:20">
      <c r="A102" s="2" t="s">
        <v>166</v>
      </c>
      <c r="B102" s="2" t="s">
        <v>162</v>
      </c>
      <c r="C102" s="2"/>
      <c r="D102" s="158">
        <f t="shared" si="29"/>
        <v>135797.4</v>
      </c>
      <c r="E102" s="7">
        <v>122340</v>
      </c>
      <c r="F102" s="7">
        <f t="shared" si="45"/>
        <v>146661.19200000001</v>
      </c>
      <c r="G102" s="7">
        <f t="shared" si="46"/>
        <v>149377.14000000001</v>
      </c>
      <c r="H102" s="7">
        <f t="shared" si="47"/>
        <v>156167.00999999998</v>
      </c>
      <c r="I102" s="7">
        <f t="shared" si="48"/>
        <v>162956.87999999998</v>
      </c>
      <c r="J102" s="7">
        <f t="shared" si="49"/>
        <v>169746.75</v>
      </c>
      <c r="K102" s="7">
        <f t="shared" si="50"/>
        <v>176536.62</v>
      </c>
      <c r="L102" s="33"/>
      <c r="M102" s="7">
        <f t="shared" si="44"/>
        <v>-122340</v>
      </c>
      <c r="O102" s="10"/>
      <c r="P102" s="10">
        <f t="shared" si="35"/>
        <v>0</v>
      </c>
      <c r="Q102" s="10"/>
      <c r="R102" s="10"/>
      <c r="S102" s="10"/>
      <c r="T102" s="10"/>
    </row>
    <row r="103" spans="1:20">
      <c r="A103" s="2" t="s">
        <v>167</v>
      </c>
      <c r="B103" s="2" t="s">
        <v>154</v>
      </c>
      <c r="C103" s="2"/>
      <c r="D103" s="158">
        <f t="shared" si="29"/>
        <v>0</v>
      </c>
      <c r="E103" s="7"/>
      <c r="F103" s="7">
        <f t="shared" si="45"/>
        <v>0</v>
      </c>
      <c r="G103" s="7">
        <f t="shared" si="46"/>
        <v>0</v>
      </c>
      <c r="H103" s="7">
        <f t="shared" si="47"/>
        <v>0</v>
      </c>
      <c r="I103" s="7">
        <f t="shared" si="48"/>
        <v>0</v>
      </c>
      <c r="J103" s="7">
        <f t="shared" si="49"/>
        <v>0</v>
      </c>
      <c r="K103" s="7">
        <f t="shared" si="50"/>
        <v>0</v>
      </c>
      <c r="L103" s="33"/>
      <c r="M103" s="7">
        <f t="shared" si="44"/>
        <v>0</v>
      </c>
      <c r="O103" s="10"/>
      <c r="P103" s="10">
        <f t="shared" si="35"/>
        <v>0</v>
      </c>
      <c r="Q103" s="10"/>
      <c r="R103" s="10"/>
      <c r="S103" s="10"/>
      <c r="T103" s="10"/>
    </row>
    <row r="104" spans="1:20">
      <c r="A104" s="2" t="s">
        <v>167</v>
      </c>
      <c r="B104" s="2" t="s">
        <v>162</v>
      </c>
      <c r="C104" s="2"/>
      <c r="D104" s="158">
        <f t="shared" ref="D104:D108" si="55">+(E104*0.11)+E104</f>
        <v>121289.7</v>
      </c>
      <c r="E104" s="7">
        <v>109270</v>
      </c>
      <c r="F104" s="7">
        <f t="shared" si="45"/>
        <v>130992.876</v>
      </c>
      <c r="G104" s="7">
        <f t="shared" si="46"/>
        <v>133418.67000000001</v>
      </c>
      <c r="H104" s="7">
        <f t="shared" si="47"/>
        <v>139483.155</v>
      </c>
      <c r="I104" s="7">
        <f t="shared" si="48"/>
        <v>145547.63999999998</v>
      </c>
      <c r="J104" s="7">
        <f t="shared" si="49"/>
        <v>151612.125</v>
      </c>
      <c r="K104" s="7">
        <f t="shared" si="50"/>
        <v>157676.61000000002</v>
      </c>
      <c r="L104" s="33"/>
      <c r="M104" s="7">
        <f t="shared" si="44"/>
        <v>-109270</v>
      </c>
      <c r="O104" s="10"/>
      <c r="P104" s="10">
        <f t="shared" si="35"/>
        <v>0</v>
      </c>
      <c r="Q104" s="10"/>
      <c r="R104" s="10"/>
      <c r="S104" s="10"/>
      <c r="T104" s="10"/>
    </row>
    <row r="105" spans="1:20">
      <c r="A105" s="2" t="s">
        <v>168</v>
      </c>
      <c r="B105" s="2" t="s">
        <v>154</v>
      </c>
      <c r="C105" s="2"/>
      <c r="D105" s="158">
        <f t="shared" si="55"/>
        <v>0</v>
      </c>
      <c r="E105" s="7"/>
      <c r="F105" s="7">
        <f t="shared" si="45"/>
        <v>0</v>
      </c>
      <c r="G105" s="7">
        <f t="shared" si="46"/>
        <v>0</v>
      </c>
      <c r="H105" s="7">
        <f t="shared" si="47"/>
        <v>0</v>
      </c>
      <c r="I105" s="7">
        <f t="shared" si="48"/>
        <v>0</v>
      </c>
      <c r="J105" s="7">
        <f t="shared" si="49"/>
        <v>0</v>
      </c>
      <c r="K105" s="7">
        <f t="shared" si="50"/>
        <v>0</v>
      </c>
      <c r="L105" s="33"/>
      <c r="M105" s="7">
        <f t="shared" si="44"/>
        <v>0</v>
      </c>
      <c r="O105" s="10"/>
      <c r="P105" s="10">
        <f t="shared" ref="P105:P108" si="56">+D105*O105</f>
        <v>0</v>
      </c>
      <c r="Q105" s="10"/>
      <c r="R105" s="10"/>
      <c r="S105" s="10"/>
      <c r="T105" s="10"/>
    </row>
    <row r="106" spans="1:20">
      <c r="A106" s="2" t="s">
        <v>168</v>
      </c>
      <c r="B106" s="2" t="s">
        <v>162</v>
      </c>
      <c r="C106" s="2"/>
      <c r="D106" s="158">
        <f t="shared" si="55"/>
        <v>0</v>
      </c>
      <c r="E106" s="7"/>
      <c r="F106" s="7">
        <f t="shared" si="45"/>
        <v>0</v>
      </c>
      <c r="G106" s="7">
        <f t="shared" si="46"/>
        <v>0</v>
      </c>
      <c r="H106" s="7">
        <f t="shared" si="47"/>
        <v>0</v>
      </c>
      <c r="I106" s="7">
        <f t="shared" si="48"/>
        <v>0</v>
      </c>
      <c r="J106" s="7">
        <f t="shared" si="49"/>
        <v>0</v>
      </c>
      <c r="K106" s="7">
        <f t="shared" si="50"/>
        <v>0</v>
      </c>
      <c r="L106" s="33"/>
      <c r="M106" s="7">
        <f t="shared" si="44"/>
        <v>0</v>
      </c>
      <c r="O106" s="10"/>
      <c r="P106" s="10">
        <f t="shared" si="56"/>
        <v>0</v>
      </c>
      <c r="Q106" s="10"/>
      <c r="R106" s="10"/>
      <c r="S106" s="10"/>
      <c r="T106" s="10"/>
    </row>
    <row r="107" spans="1:20">
      <c r="A107" s="2" t="s">
        <v>169</v>
      </c>
      <c r="B107" s="2" t="s">
        <v>123</v>
      </c>
      <c r="C107" s="2">
        <v>19000</v>
      </c>
      <c r="D107" s="158">
        <f t="shared" si="55"/>
        <v>0</v>
      </c>
      <c r="E107" s="7"/>
      <c r="F107" s="7">
        <f t="shared" si="45"/>
        <v>0</v>
      </c>
      <c r="G107" s="7">
        <f t="shared" si="46"/>
        <v>0</v>
      </c>
      <c r="H107" s="7">
        <f t="shared" si="47"/>
        <v>0</v>
      </c>
      <c r="I107" s="7">
        <f t="shared" si="48"/>
        <v>0</v>
      </c>
      <c r="J107" s="7">
        <f t="shared" si="49"/>
        <v>0</v>
      </c>
      <c r="K107" s="7">
        <f t="shared" si="50"/>
        <v>0</v>
      </c>
      <c r="L107" s="33"/>
      <c r="M107" s="7" t="e">
        <f>L107-#REF!</f>
        <v>#REF!</v>
      </c>
      <c r="N107" t="s">
        <v>393</v>
      </c>
      <c r="O107" s="10"/>
      <c r="P107" s="10">
        <f t="shared" si="56"/>
        <v>0</v>
      </c>
      <c r="Q107" s="10"/>
      <c r="R107" s="10"/>
      <c r="S107" s="10"/>
      <c r="T107" s="10"/>
    </row>
    <row r="108" spans="1:20">
      <c r="A108" s="2" t="s">
        <v>170</v>
      </c>
      <c r="B108" s="2" t="s">
        <v>123</v>
      </c>
      <c r="C108" s="2">
        <v>18000</v>
      </c>
      <c r="D108" s="158">
        <f t="shared" si="55"/>
        <v>0</v>
      </c>
      <c r="E108" s="7"/>
      <c r="F108" s="7">
        <f t="shared" si="45"/>
        <v>0</v>
      </c>
      <c r="G108" s="7">
        <f t="shared" si="46"/>
        <v>0</v>
      </c>
      <c r="H108" s="7">
        <f t="shared" si="47"/>
        <v>0</v>
      </c>
      <c r="I108" s="7">
        <f t="shared" si="48"/>
        <v>0</v>
      </c>
      <c r="J108" s="7">
        <f t="shared" si="49"/>
        <v>0</v>
      </c>
      <c r="K108" s="7">
        <f t="shared" si="50"/>
        <v>0</v>
      </c>
      <c r="L108" s="33"/>
      <c r="M108" s="7">
        <f>L108-E108</f>
        <v>0</v>
      </c>
      <c r="O108" s="10"/>
      <c r="P108" s="10">
        <f t="shared" si="56"/>
        <v>0</v>
      </c>
      <c r="Q108" s="10"/>
      <c r="R108" s="10"/>
      <c r="S108" s="10"/>
      <c r="T108" s="10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O109" s="10"/>
      <c r="P109" s="10">
        <f>SUM(P25:P108)</f>
        <v>8363304.4199999999</v>
      </c>
      <c r="Q109" s="10"/>
      <c r="R109" s="10"/>
      <c r="S109" s="10"/>
      <c r="T109" s="10"/>
    </row>
    <row r="110" spans="1:20">
      <c r="A110" s="6" t="s">
        <v>394</v>
      </c>
      <c r="B110" s="5"/>
      <c r="C110" s="5">
        <v>14000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25" spans="5:6">
      <c r="E125">
        <v>14090</v>
      </c>
      <c r="F125">
        <f>E125*50</f>
        <v>704500</v>
      </c>
    </row>
    <row r="126" spans="5:6">
      <c r="E126">
        <v>17630</v>
      </c>
      <c r="F126">
        <f>E126*50</f>
        <v>881500</v>
      </c>
    </row>
    <row r="127" spans="5:6">
      <c r="E127">
        <v>18730</v>
      </c>
      <c r="F127">
        <f t="shared" ref="F127:F128" si="57">E127*50</f>
        <v>936500</v>
      </c>
    </row>
    <row r="128" spans="5:6">
      <c r="E128">
        <v>18490</v>
      </c>
      <c r="F128">
        <f t="shared" si="57"/>
        <v>924500</v>
      </c>
    </row>
    <row r="129" spans="5:6">
      <c r="E129">
        <v>12900</v>
      </c>
      <c r="F129">
        <f>E129*100</f>
        <v>1290000</v>
      </c>
    </row>
    <row r="130" spans="5:6">
      <c r="F130">
        <f>SUM(F125:F129)</f>
        <v>4737000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0.59999389629810485"/>
  </sheetPr>
  <dimension ref="A1:R57"/>
  <sheetViews>
    <sheetView workbookViewId="0">
      <pane ySplit="1" topLeftCell="A39" activePane="bottomLeft" state="frozen"/>
      <selection pane="bottomLeft" activeCell="G49" sqref="G49"/>
    </sheetView>
  </sheetViews>
  <sheetFormatPr baseColWidth="10" defaultRowHeight="15"/>
  <cols>
    <col min="1" max="1" width="27.28515625" bestFit="1" customWidth="1"/>
    <col min="2" max="2" width="9.42578125" customWidth="1"/>
    <col min="3" max="4" width="8.5703125" customWidth="1"/>
    <col min="5" max="5" width="9" customWidth="1"/>
    <col min="6" max="6" width="10.5703125" customWidth="1"/>
    <col min="7" max="7" width="11.28515625" customWidth="1"/>
    <col min="8" max="8" width="10.28515625" customWidth="1"/>
    <col min="11" max="11" width="21" bestFit="1" customWidth="1"/>
    <col min="12" max="15" width="14.42578125" bestFit="1" customWidth="1"/>
    <col min="16" max="16" width="13.28515625" bestFit="1" customWidth="1"/>
    <col min="17" max="17" width="12.28515625" bestFit="1" customWidth="1"/>
  </cols>
  <sheetData>
    <row r="1" spans="1:17" ht="47.25">
      <c r="A1" s="46" t="s">
        <v>0</v>
      </c>
      <c r="B1" s="46" t="s">
        <v>1</v>
      </c>
      <c r="C1" s="46"/>
      <c r="D1" s="46">
        <v>40</v>
      </c>
      <c r="E1" s="46">
        <v>50</v>
      </c>
      <c r="F1" s="46">
        <v>70</v>
      </c>
      <c r="G1" s="46" t="s">
        <v>2</v>
      </c>
      <c r="K1" s="46" t="s">
        <v>0</v>
      </c>
      <c r="L1" s="46" t="s">
        <v>1</v>
      </c>
      <c r="M1" s="46">
        <v>35</v>
      </c>
      <c r="N1" s="46">
        <v>50</v>
      </c>
      <c r="O1" s="46" t="s">
        <v>2</v>
      </c>
      <c r="P1" s="157" t="s">
        <v>20</v>
      </c>
    </row>
    <row r="2" spans="1:17">
      <c r="I2" s="175"/>
      <c r="J2" s="175"/>
      <c r="K2" s="175"/>
      <c r="L2" s="175"/>
      <c r="M2" s="175"/>
      <c r="N2" s="175"/>
      <c r="O2" s="175"/>
      <c r="P2" s="175"/>
      <c r="Q2" s="175"/>
    </row>
    <row r="3" spans="1:17">
      <c r="A3" s="194" t="s">
        <v>629</v>
      </c>
      <c r="B3" s="183"/>
      <c r="C3" s="190"/>
      <c r="D3" s="190"/>
      <c r="E3" s="190"/>
      <c r="F3" s="190"/>
      <c r="G3" s="183"/>
      <c r="H3" s="184"/>
      <c r="I3" s="175"/>
      <c r="J3" s="175"/>
      <c r="K3" s="196" t="s">
        <v>558</v>
      </c>
      <c r="L3" s="175"/>
      <c r="M3" s="175"/>
      <c r="N3" s="175"/>
      <c r="O3" s="175"/>
      <c r="P3" s="175"/>
      <c r="Q3" s="175"/>
    </row>
    <row r="4" spans="1:17">
      <c r="A4" s="174" t="s">
        <v>12</v>
      </c>
      <c r="B4" s="183">
        <v>2390</v>
      </c>
      <c r="C4" s="190">
        <v>1980</v>
      </c>
      <c r="D4" s="190">
        <f>B4*1.4</f>
        <v>3346</v>
      </c>
      <c r="E4" s="190">
        <f>B4*1.5</f>
        <v>3585</v>
      </c>
      <c r="F4" s="190">
        <f>B4*1.7</f>
        <v>4063</v>
      </c>
      <c r="G4" s="183">
        <v>3500</v>
      </c>
      <c r="H4" s="184">
        <f t="shared" ref="H4:H16" si="0">+G4-B4</f>
        <v>1110</v>
      </c>
      <c r="I4" s="176"/>
      <c r="J4" s="177"/>
      <c r="K4" s="174" t="s">
        <v>568</v>
      </c>
      <c r="L4" s="189">
        <v>1482</v>
      </c>
      <c r="M4" s="190">
        <f t="shared" ref="M4:M20" si="1">L4*1.35</f>
        <v>2000.7</v>
      </c>
      <c r="N4" s="190">
        <f t="shared" ref="N4:N20" si="2">L4*1.5</f>
        <v>2223</v>
      </c>
      <c r="O4" s="189">
        <v>2000</v>
      </c>
      <c r="P4" s="189">
        <f>+O4-L4</f>
        <v>518</v>
      </c>
      <c r="Q4" s="184"/>
    </row>
    <row r="5" spans="1:17">
      <c r="A5" s="174" t="s">
        <v>13</v>
      </c>
      <c r="B5" s="183">
        <v>4540</v>
      </c>
      <c r="C5" s="190">
        <v>4250</v>
      </c>
      <c r="D5" s="190">
        <f t="shared" ref="D5:D10" si="3">B5*1.4</f>
        <v>6356</v>
      </c>
      <c r="E5" s="190">
        <f t="shared" ref="E5:E16" si="4">B5*1.5</f>
        <v>6810</v>
      </c>
      <c r="F5" s="190">
        <f t="shared" ref="F5:F16" si="5">B5*1.7</f>
        <v>7718</v>
      </c>
      <c r="G5" s="183">
        <v>6500</v>
      </c>
      <c r="H5" s="184">
        <f t="shared" si="0"/>
        <v>1960</v>
      </c>
      <c r="I5" s="176"/>
      <c r="J5" s="177"/>
      <c r="K5" s="174" t="s">
        <v>569</v>
      </c>
      <c r="L5" s="189">
        <v>2036</v>
      </c>
      <c r="M5" s="190">
        <f t="shared" si="1"/>
        <v>2748.6000000000004</v>
      </c>
      <c r="N5" s="190">
        <f t="shared" si="2"/>
        <v>3054</v>
      </c>
      <c r="O5" s="189">
        <v>2800</v>
      </c>
      <c r="P5" s="189">
        <f>+O5-L5</f>
        <v>764</v>
      </c>
      <c r="Q5" s="184"/>
    </row>
    <row r="6" spans="1:17">
      <c r="A6" s="174" t="s">
        <v>8</v>
      </c>
      <c r="B6" s="183">
        <v>3640</v>
      </c>
      <c r="C6" s="190"/>
      <c r="D6" s="190">
        <f t="shared" si="3"/>
        <v>5096</v>
      </c>
      <c r="E6" s="190">
        <f>B6*1.5</f>
        <v>5460</v>
      </c>
      <c r="F6" s="190">
        <f>B6*1.7</f>
        <v>6188</v>
      </c>
      <c r="G6" s="183">
        <v>5000</v>
      </c>
      <c r="H6" s="184">
        <f>+G6-B6</f>
        <v>1360</v>
      </c>
      <c r="I6" s="177"/>
      <c r="J6" s="177"/>
      <c r="K6" s="174" t="s">
        <v>560</v>
      </c>
      <c r="L6" s="189">
        <v>20400</v>
      </c>
      <c r="M6" s="190">
        <f t="shared" si="1"/>
        <v>27540</v>
      </c>
      <c r="N6" s="190">
        <f t="shared" si="2"/>
        <v>30600</v>
      </c>
      <c r="O6" s="189">
        <v>26000</v>
      </c>
      <c r="P6" s="189">
        <f t="shared" ref="P6:P7" si="6">+O6-L6</f>
        <v>5600</v>
      </c>
      <c r="Q6" s="184"/>
    </row>
    <row r="7" spans="1:17">
      <c r="A7" s="174" t="s">
        <v>7</v>
      </c>
      <c r="B7" s="183">
        <v>190</v>
      </c>
      <c r="C7" s="190">
        <v>220</v>
      </c>
      <c r="D7" s="190">
        <f t="shared" si="3"/>
        <v>266</v>
      </c>
      <c r="E7" s="190">
        <f>B7*1.5</f>
        <v>285</v>
      </c>
      <c r="F7" s="190">
        <f>B7*1.7</f>
        <v>323</v>
      </c>
      <c r="G7" s="183">
        <v>350</v>
      </c>
      <c r="H7" s="184">
        <f>+G7-B7</f>
        <v>160</v>
      </c>
      <c r="I7" s="177"/>
      <c r="J7" s="177"/>
      <c r="K7" s="199" t="s">
        <v>560</v>
      </c>
      <c r="L7" s="200">
        <v>21800</v>
      </c>
      <c r="M7" s="190">
        <f t="shared" si="1"/>
        <v>29430.000000000004</v>
      </c>
      <c r="N7" s="190">
        <f t="shared" si="2"/>
        <v>32700</v>
      </c>
      <c r="O7" s="189">
        <v>28000</v>
      </c>
      <c r="P7" s="189">
        <f t="shared" si="6"/>
        <v>6200</v>
      </c>
      <c r="Q7" s="184"/>
    </row>
    <row r="8" spans="1:17">
      <c r="A8" s="178" t="s">
        <v>570</v>
      </c>
      <c r="B8" s="185">
        <v>356</v>
      </c>
      <c r="C8" s="191"/>
      <c r="D8" s="190">
        <f t="shared" si="3"/>
        <v>498.4</v>
      </c>
      <c r="E8" s="192">
        <f>B8*1.5</f>
        <v>534</v>
      </c>
      <c r="F8" s="192">
        <f>B8*1.7</f>
        <v>605.19999999999993</v>
      </c>
      <c r="G8" s="185">
        <v>450</v>
      </c>
      <c r="H8" s="184">
        <f>+G8-B8</f>
        <v>94</v>
      </c>
      <c r="I8" s="177"/>
      <c r="J8" s="177"/>
      <c r="K8" s="174" t="s">
        <v>561</v>
      </c>
      <c r="L8" s="189">
        <v>17324</v>
      </c>
      <c r="M8" s="190">
        <f t="shared" si="1"/>
        <v>23387.4</v>
      </c>
      <c r="N8" s="190">
        <f t="shared" si="2"/>
        <v>25986</v>
      </c>
      <c r="O8" s="189">
        <v>22000</v>
      </c>
      <c r="P8" s="189">
        <f>+O8-L8</f>
        <v>4676</v>
      </c>
      <c r="Q8" s="184"/>
    </row>
    <row r="9" spans="1:17">
      <c r="A9" s="174" t="s">
        <v>11</v>
      </c>
      <c r="B9" s="183">
        <v>24.4</v>
      </c>
      <c r="C9" s="190">
        <v>36</v>
      </c>
      <c r="D9" s="190">
        <f t="shared" si="3"/>
        <v>34.159999999999997</v>
      </c>
      <c r="E9" s="190">
        <f>B9*1.5</f>
        <v>36.599999999999994</v>
      </c>
      <c r="F9" s="190">
        <f>B9*1.7</f>
        <v>41.48</v>
      </c>
      <c r="G9" s="183">
        <v>50</v>
      </c>
      <c r="H9" s="184">
        <f>+G9-B9</f>
        <v>25.6</v>
      </c>
      <c r="I9" s="177"/>
      <c r="J9" s="177"/>
      <c r="K9" s="174" t="s">
        <v>561</v>
      </c>
      <c r="L9" s="189">
        <v>18440</v>
      </c>
      <c r="M9" s="190">
        <f t="shared" si="1"/>
        <v>24894</v>
      </c>
      <c r="N9" s="190">
        <f t="shared" si="2"/>
        <v>27660</v>
      </c>
      <c r="O9" s="189"/>
      <c r="P9" s="189"/>
      <c r="Q9" s="184"/>
    </row>
    <row r="10" spans="1:17">
      <c r="A10" s="174" t="s">
        <v>14</v>
      </c>
      <c r="B10" s="183">
        <v>30.5</v>
      </c>
      <c r="C10" s="190">
        <v>50</v>
      </c>
      <c r="D10" s="190">
        <f t="shared" si="3"/>
        <v>42.699999999999996</v>
      </c>
      <c r="E10" s="190">
        <f>B10*1.5</f>
        <v>45.75</v>
      </c>
      <c r="F10" s="190">
        <f>B10*1.7</f>
        <v>51.85</v>
      </c>
      <c r="G10" s="183">
        <v>75</v>
      </c>
      <c r="H10" s="184">
        <f>+G10-B10</f>
        <v>44.5</v>
      </c>
      <c r="I10" s="177"/>
      <c r="J10" s="177"/>
      <c r="K10" s="174" t="s">
        <v>562</v>
      </c>
      <c r="L10" s="189">
        <v>3570</v>
      </c>
      <c r="M10" s="190">
        <f t="shared" si="1"/>
        <v>4819.5</v>
      </c>
      <c r="N10" s="190">
        <f t="shared" si="2"/>
        <v>5355</v>
      </c>
      <c r="O10" s="189">
        <v>4500</v>
      </c>
      <c r="P10" s="189">
        <f t="shared" ref="P10:P17" si="7">+O10-L10</f>
        <v>930</v>
      </c>
      <c r="Q10" s="184"/>
    </row>
    <row r="11" spans="1:17">
      <c r="A11" s="174"/>
      <c r="B11" s="183"/>
      <c r="C11" s="190"/>
      <c r="D11" s="190"/>
      <c r="E11" s="190"/>
      <c r="F11" s="190"/>
      <c r="G11" s="183"/>
      <c r="H11" s="184"/>
      <c r="I11" s="177"/>
      <c r="J11" s="177"/>
      <c r="K11" s="174" t="s">
        <v>617</v>
      </c>
      <c r="L11" s="189">
        <v>8350</v>
      </c>
      <c r="M11" s="190">
        <f t="shared" si="1"/>
        <v>11272.5</v>
      </c>
      <c r="N11" s="190">
        <f t="shared" si="2"/>
        <v>12525</v>
      </c>
      <c r="O11" s="189">
        <v>11000</v>
      </c>
      <c r="P11" s="189">
        <f t="shared" si="7"/>
        <v>2650</v>
      </c>
      <c r="Q11" s="184"/>
    </row>
    <row r="12" spans="1:17">
      <c r="A12" s="194" t="s">
        <v>630</v>
      </c>
      <c r="B12" s="183"/>
      <c r="C12" s="190"/>
      <c r="D12" s="190"/>
      <c r="E12" s="190"/>
      <c r="F12" s="190"/>
      <c r="G12" s="183"/>
      <c r="H12" s="184"/>
      <c r="I12" s="177"/>
      <c r="J12" s="177"/>
      <c r="K12" s="174" t="s">
        <v>624</v>
      </c>
      <c r="L12" s="189">
        <v>9387</v>
      </c>
      <c r="M12" s="190">
        <f t="shared" si="1"/>
        <v>12672.45</v>
      </c>
      <c r="N12" s="190">
        <f t="shared" si="2"/>
        <v>14080.5</v>
      </c>
      <c r="O12" s="189">
        <v>13000</v>
      </c>
      <c r="P12" s="189">
        <f t="shared" si="7"/>
        <v>3613</v>
      </c>
      <c r="Q12" s="184"/>
    </row>
    <row r="13" spans="1:17">
      <c r="A13" s="179" t="s">
        <v>4</v>
      </c>
      <c r="B13" s="186">
        <v>2000</v>
      </c>
      <c r="C13" s="193">
        <v>2700</v>
      </c>
      <c r="D13" s="190">
        <f t="shared" ref="D13:D18" si="8">B13*1.4</f>
        <v>2800</v>
      </c>
      <c r="E13" s="190">
        <f t="shared" si="4"/>
        <v>3000</v>
      </c>
      <c r="F13" s="190">
        <f t="shared" si="5"/>
        <v>3400</v>
      </c>
      <c r="G13" s="186">
        <v>3500</v>
      </c>
      <c r="H13" s="184">
        <f t="shared" si="0"/>
        <v>1500</v>
      </c>
      <c r="I13" s="180"/>
      <c r="J13" s="177"/>
      <c r="K13" s="174" t="s">
        <v>619</v>
      </c>
      <c r="L13" s="189">
        <v>5065</v>
      </c>
      <c r="M13" s="190">
        <f t="shared" si="1"/>
        <v>6837.75</v>
      </c>
      <c r="N13" s="190">
        <f t="shared" si="2"/>
        <v>7597.5</v>
      </c>
      <c r="O13" s="189">
        <v>7000</v>
      </c>
      <c r="P13" s="189">
        <f t="shared" si="7"/>
        <v>1935</v>
      </c>
      <c r="Q13" s="184"/>
    </row>
    <row r="14" spans="1:17">
      <c r="A14" s="179" t="s">
        <v>192</v>
      </c>
      <c r="B14" s="186">
        <v>2500</v>
      </c>
      <c r="C14" s="193"/>
      <c r="D14" s="190">
        <f t="shared" si="8"/>
        <v>3500</v>
      </c>
      <c r="E14" s="190">
        <f t="shared" si="4"/>
        <v>3750</v>
      </c>
      <c r="F14" s="190">
        <f t="shared" si="5"/>
        <v>4250</v>
      </c>
      <c r="G14" s="186">
        <v>3500</v>
      </c>
      <c r="H14" s="184">
        <f t="shared" si="0"/>
        <v>1000</v>
      </c>
      <c r="I14" s="180"/>
      <c r="J14" s="177"/>
      <c r="K14" s="174" t="s">
        <v>618</v>
      </c>
      <c r="L14" s="189">
        <v>3075</v>
      </c>
      <c r="M14" s="190">
        <f t="shared" si="1"/>
        <v>4151.25</v>
      </c>
      <c r="N14" s="190">
        <f t="shared" si="2"/>
        <v>4612.5</v>
      </c>
      <c r="O14" s="189">
        <v>4000</v>
      </c>
      <c r="P14" s="189">
        <f t="shared" si="7"/>
        <v>925</v>
      </c>
      <c r="Q14" s="184"/>
    </row>
    <row r="15" spans="1:17">
      <c r="A15" s="179" t="s">
        <v>625</v>
      </c>
      <c r="B15" s="186">
        <v>6000</v>
      </c>
      <c r="C15" s="193"/>
      <c r="D15" s="190">
        <f t="shared" si="8"/>
        <v>8400</v>
      </c>
      <c r="E15" s="190">
        <f t="shared" si="4"/>
        <v>9000</v>
      </c>
      <c r="F15" s="190">
        <f t="shared" si="5"/>
        <v>10200</v>
      </c>
      <c r="G15" s="186">
        <v>7000</v>
      </c>
      <c r="H15" s="184">
        <f>+G15-B15</f>
        <v>1000</v>
      </c>
      <c r="I15" s="180"/>
      <c r="J15" s="177"/>
      <c r="K15" s="174" t="s">
        <v>621</v>
      </c>
      <c r="L15" s="189">
        <v>36605</v>
      </c>
      <c r="M15" s="190">
        <f t="shared" si="1"/>
        <v>49416.75</v>
      </c>
      <c r="N15" s="190">
        <f t="shared" si="2"/>
        <v>54907.5</v>
      </c>
      <c r="O15" s="189">
        <v>45000</v>
      </c>
      <c r="P15" s="189">
        <f t="shared" si="7"/>
        <v>8395</v>
      </c>
      <c r="Q15" s="184"/>
    </row>
    <row r="16" spans="1:17">
      <c r="A16" s="179" t="s">
        <v>10</v>
      </c>
      <c r="B16" s="186">
        <v>13900</v>
      </c>
      <c r="C16" s="193"/>
      <c r="D16" s="190">
        <f t="shared" si="8"/>
        <v>19460</v>
      </c>
      <c r="E16" s="190">
        <f t="shared" si="4"/>
        <v>20850</v>
      </c>
      <c r="F16" s="190">
        <f t="shared" si="5"/>
        <v>23630</v>
      </c>
      <c r="G16" s="186">
        <v>16000</v>
      </c>
      <c r="H16" s="184">
        <f t="shared" si="0"/>
        <v>2100</v>
      </c>
      <c r="I16" s="180"/>
      <c r="J16" s="177"/>
      <c r="K16" s="174" t="s">
        <v>622</v>
      </c>
      <c r="L16" s="189">
        <v>28780</v>
      </c>
      <c r="M16" s="190">
        <f t="shared" si="1"/>
        <v>38853</v>
      </c>
      <c r="N16" s="190">
        <f t="shared" si="2"/>
        <v>43170</v>
      </c>
      <c r="O16" s="189">
        <v>36000</v>
      </c>
      <c r="P16" s="189">
        <f t="shared" si="7"/>
        <v>7220</v>
      </c>
    </row>
    <row r="17" spans="1:18">
      <c r="A17" s="179" t="s">
        <v>183</v>
      </c>
      <c r="B17" s="186">
        <v>2600</v>
      </c>
      <c r="C17" s="193"/>
      <c r="D17" s="190">
        <f t="shared" si="8"/>
        <v>3639.9999999999995</v>
      </c>
      <c r="E17" s="190">
        <f>B17*1.5</f>
        <v>3900</v>
      </c>
      <c r="F17" s="190">
        <f>B17*1.7</f>
        <v>4420</v>
      </c>
      <c r="G17" s="186">
        <v>4000</v>
      </c>
      <c r="H17" s="184">
        <f>+G17-B17</f>
        <v>1400</v>
      </c>
      <c r="I17" s="181"/>
      <c r="J17" s="181"/>
      <c r="K17" s="174" t="s">
        <v>563</v>
      </c>
      <c r="L17" s="189">
        <v>14967</v>
      </c>
      <c r="M17" s="190">
        <f t="shared" si="1"/>
        <v>20205.45</v>
      </c>
      <c r="N17" s="190">
        <f t="shared" si="2"/>
        <v>22450.5</v>
      </c>
      <c r="O17" s="189">
        <v>20000</v>
      </c>
      <c r="P17" s="189">
        <f t="shared" si="7"/>
        <v>5033</v>
      </c>
      <c r="Q17" s="184"/>
    </row>
    <row r="18" spans="1:18">
      <c r="A18" s="179" t="s">
        <v>184</v>
      </c>
      <c r="B18" s="186">
        <v>5190</v>
      </c>
      <c r="C18" s="193">
        <v>4950</v>
      </c>
      <c r="D18" s="190">
        <f t="shared" si="8"/>
        <v>7265.9999999999991</v>
      </c>
      <c r="E18" s="190">
        <f>B18*1.5</f>
        <v>7785</v>
      </c>
      <c r="F18" s="190">
        <f>B18*1.7</f>
        <v>8823</v>
      </c>
      <c r="G18" s="186">
        <v>7500</v>
      </c>
      <c r="H18" s="184">
        <f>+G18-B18</f>
        <v>2310</v>
      </c>
      <c r="I18" s="181"/>
      <c r="J18" s="181"/>
      <c r="K18" s="174" t="s">
        <v>563</v>
      </c>
      <c r="L18" s="189">
        <v>15932</v>
      </c>
      <c r="M18" s="190">
        <f t="shared" si="1"/>
        <v>21508.2</v>
      </c>
      <c r="N18" s="190">
        <f t="shared" si="2"/>
        <v>23898</v>
      </c>
      <c r="O18" s="189"/>
      <c r="P18" s="189"/>
      <c r="Q18" s="184"/>
    </row>
    <row r="19" spans="1:18">
      <c r="A19" s="179"/>
      <c r="B19" s="186"/>
      <c r="C19" s="193"/>
      <c r="D19" s="193"/>
      <c r="E19" s="190"/>
      <c r="F19" s="190"/>
      <c r="G19" s="186"/>
      <c r="H19" s="184"/>
      <c r="I19" s="181"/>
      <c r="J19" s="181"/>
      <c r="K19" s="174" t="s">
        <v>564</v>
      </c>
      <c r="L19" s="189">
        <v>14756</v>
      </c>
      <c r="M19" s="190">
        <f t="shared" si="1"/>
        <v>19920.600000000002</v>
      </c>
      <c r="N19" s="190">
        <f t="shared" si="2"/>
        <v>22134</v>
      </c>
      <c r="O19" s="189">
        <v>19000</v>
      </c>
      <c r="P19" s="189">
        <f>+O19-L19</f>
        <v>4244</v>
      </c>
      <c r="Q19" s="184"/>
    </row>
    <row r="20" spans="1:18">
      <c r="A20" s="195" t="s">
        <v>631</v>
      </c>
      <c r="B20" s="186"/>
      <c r="C20" s="193"/>
      <c r="D20" s="193"/>
      <c r="E20" s="190"/>
      <c r="F20" s="190"/>
      <c r="G20" s="186"/>
      <c r="H20" s="184"/>
      <c r="I20" s="180"/>
      <c r="J20" s="177"/>
      <c r="K20" s="188" t="s">
        <v>559</v>
      </c>
      <c r="L20" s="189">
        <v>122150</v>
      </c>
      <c r="M20" s="190">
        <f t="shared" si="1"/>
        <v>164902.5</v>
      </c>
      <c r="N20" s="190">
        <f t="shared" si="2"/>
        <v>183225</v>
      </c>
      <c r="O20" s="189">
        <v>180000</v>
      </c>
      <c r="P20" s="189">
        <f>+O20-L20</f>
        <v>57850</v>
      </c>
      <c r="Q20" s="184"/>
    </row>
    <row r="21" spans="1:18">
      <c r="A21" s="179" t="s">
        <v>3</v>
      </c>
      <c r="B21" s="186">
        <v>1400</v>
      </c>
      <c r="C21" s="193">
        <v>1200</v>
      </c>
      <c r="D21" s="190">
        <f t="shared" ref="D21:D29" si="9">B21*1.4</f>
        <v>1959.9999999999998</v>
      </c>
      <c r="E21" s="190">
        <f t="shared" ref="E21:E29" si="10">B21*1.5</f>
        <v>2100</v>
      </c>
      <c r="F21" s="190">
        <f t="shared" ref="F21:F29" si="11">B21*1.7</f>
        <v>2380</v>
      </c>
      <c r="G21" s="186">
        <v>2000</v>
      </c>
      <c r="H21" s="184">
        <f t="shared" ref="H21:H29" si="12">+G21-B21</f>
        <v>600</v>
      </c>
      <c r="I21" s="177"/>
      <c r="J21" s="177"/>
      <c r="Q21" s="184"/>
    </row>
    <row r="22" spans="1:18">
      <c r="A22" s="174" t="s">
        <v>177</v>
      </c>
      <c r="B22" s="183">
        <v>150</v>
      </c>
      <c r="C22" s="190"/>
      <c r="D22" s="190">
        <f t="shared" si="9"/>
        <v>210</v>
      </c>
      <c r="E22" s="190">
        <f t="shared" si="10"/>
        <v>225</v>
      </c>
      <c r="F22" s="190">
        <f t="shared" si="11"/>
        <v>255</v>
      </c>
      <c r="G22" s="183">
        <v>500</v>
      </c>
      <c r="H22" s="184">
        <f t="shared" si="12"/>
        <v>350</v>
      </c>
      <c r="I22" s="177"/>
      <c r="J22" s="177"/>
      <c r="Q22" s="184"/>
    </row>
    <row r="23" spans="1:18">
      <c r="A23" s="179" t="s">
        <v>633</v>
      </c>
      <c r="B23" s="183">
        <v>4600</v>
      </c>
      <c r="C23" s="190"/>
      <c r="D23" s="190">
        <f t="shared" si="9"/>
        <v>6440</v>
      </c>
      <c r="E23" s="190">
        <f t="shared" ref="E23" si="13">B23*1.5</f>
        <v>6900</v>
      </c>
      <c r="F23" s="190">
        <f t="shared" ref="F23" si="14">B23*1.7</f>
        <v>7820</v>
      </c>
      <c r="G23" s="183">
        <v>7000</v>
      </c>
      <c r="H23" s="184">
        <f t="shared" ref="H23" si="15">+G23-B23</f>
        <v>2400</v>
      </c>
      <c r="I23" s="177"/>
      <c r="J23" s="177"/>
      <c r="Q23" s="184"/>
    </row>
    <row r="24" spans="1:18">
      <c r="A24" s="179" t="s">
        <v>5</v>
      </c>
      <c r="B24" s="186">
        <v>5000</v>
      </c>
      <c r="C24" s="193">
        <v>4800</v>
      </c>
      <c r="D24" s="190">
        <f t="shared" si="9"/>
        <v>7000</v>
      </c>
      <c r="E24" s="190">
        <f t="shared" si="10"/>
        <v>7500</v>
      </c>
      <c r="F24" s="190">
        <f t="shared" si="11"/>
        <v>8500</v>
      </c>
      <c r="G24" s="186">
        <v>8000</v>
      </c>
      <c r="H24" s="184">
        <f t="shared" si="12"/>
        <v>3000</v>
      </c>
      <c r="I24" s="177"/>
      <c r="J24" s="177"/>
      <c r="Q24" s="184"/>
    </row>
    <row r="25" spans="1:18">
      <c r="A25" s="179" t="s">
        <v>627</v>
      </c>
      <c r="B25" s="186">
        <v>1600</v>
      </c>
      <c r="C25" s="193"/>
      <c r="D25" s="190">
        <f t="shared" si="9"/>
        <v>2240</v>
      </c>
      <c r="E25" s="190">
        <f t="shared" si="10"/>
        <v>2400</v>
      </c>
      <c r="F25" s="190">
        <f t="shared" si="11"/>
        <v>2720</v>
      </c>
      <c r="G25" s="186">
        <v>2400</v>
      </c>
      <c r="H25" s="184">
        <f t="shared" si="12"/>
        <v>800</v>
      </c>
      <c r="I25" s="177"/>
      <c r="J25" s="177"/>
      <c r="K25" s="181"/>
      <c r="L25" s="197"/>
      <c r="M25" s="198"/>
      <c r="N25" s="198"/>
      <c r="O25" s="197"/>
      <c r="P25" s="197"/>
      <c r="Q25" s="197"/>
      <c r="R25" s="4"/>
    </row>
    <row r="26" spans="1:18">
      <c r="A26" s="179" t="s">
        <v>623</v>
      </c>
      <c r="B26" s="186">
        <v>10000</v>
      </c>
      <c r="C26" s="193"/>
      <c r="D26" s="190">
        <f t="shared" si="9"/>
        <v>14000</v>
      </c>
      <c r="E26" s="190">
        <f t="shared" si="10"/>
        <v>15000</v>
      </c>
      <c r="F26" s="190">
        <f t="shared" si="11"/>
        <v>17000</v>
      </c>
      <c r="G26" s="186">
        <v>14000</v>
      </c>
      <c r="H26" s="184">
        <f t="shared" si="12"/>
        <v>4000</v>
      </c>
      <c r="I26" s="181"/>
      <c r="J26" s="181"/>
      <c r="K26" s="4"/>
      <c r="L26" s="4"/>
      <c r="M26" s="4"/>
      <c r="N26" s="4"/>
      <c r="O26" s="4"/>
      <c r="P26" s="4"/>
      <c r="Q26" s="197"/>
      <c r="R26" s="4"/>
    </row>
    <row r="27" spans="1:18">
      <c r="A27" s="179" t="s">
        <v>628</v>
      </c>
      <c r="B27" s="186">
        <v>1400</v>
      </c>
      <c r="C27" s="193"/>
      <c r="D27" s="190">
        <f t="shared" si="9"/>
        <v>1959.9999999999998</v>
      </c>
      <c r="E27" s="190">
        <f t="shared" si="10"/>
        <v>2100</v>
      </c>
      <c r="F27" s="190">
        <f t="shared" si="11"/>
        <v>2380</v>
      </c>
      <c r="G27" s="186">
        <v>2000</v>
      </c>
      <c r="H27" s="184">
        <f t="shared" si="12"/>
        <v>600</v>
      </c>
      <c r="I27" s="181"/>
      <c r="J27" s="181"/>
      <c r="K27" s="4"/>
      <c r="L27" s="4"/>
      <c r="M27" s="4"/>
      <c r="N27" s="4"/>
      <c r="O27" s="4"/>
      <c r="P27" s="4"/>
      <c r="Q27" s="197"/>
      <c r="R27" s="4"/>
    </row>
    <row r="28" spans="1:18">
      <c r="A28" s="179" t="s">
        <v>626</v>
      </c>
      <c r="B28" s="186">
        <v>2900</v>
      </c>
      <c r="C28" s="193"/>
      <c r="D28" s="190">
        <f t="shared" si="9"/>
        <v>4059.9999999999995</v>
      </c>
      <c r="E28" s="190">
        <f t="shared" si="10"/>
        <v>4350</v>
      </c>
      <c r="F28" s="190">
        <f t="shared" si="11"/>
        <v>4930</v>
      </c>
      <c r="G28" s="186">
        <v>3800</v>
      </c>
      <c r="H28" s="184">
        <f t="shared" si="12"/>
        <v>900</v>
      </c>
      <c r="I28" s="181"/>
      <c r="J28" s="181"/>
      <c r="K28" s="177"/>
      <c r="L28" s="197"/>
      <c r="M28" s="198"/>
      <c r="N28" s="198"/>
      <c r="O28" s="197"/>
      <c r="P28" s="197"/>
      <c r="Q28" s="197"/>
      <c r="R28" s="4"/>
    </row>
    <row r="29" spans="1:18">
      <c r="A29" s="179" t="s">
        <v>6</v>
      </c>
      <c r="B29" s="186">
        <v>390</v>
      </c>
      <c r="C29" s="193"/>
      <c r="D29" s="190">
        <f t="shared" si="9"/>
        <v>546</v>
      </c>
      <c r="E29" s="190">
        <f t="shared" si="10"/>
        <v>585</v>
      </c>
      <c r="F29" s="190">
        <f t="shared" si="11"/>
        <v>663</v>
      </c>
      <c r="G29" s="186">
        <v>1000</v>
      </c>
      <c r="H29" s="184">
        <f t="shared" si="12"/>
        <v>610</v>
      </c>
      <c r="I29" s="181"/>
      <c r="J29" s="181"/>
      <c r="K29" s="177"/>
      <c r="L29" s="187"/>
      <c r="M29" s="198"/>
      <c r="N29" s="198"/>
      <c r="O29" s="187"/>
      <c r="P29" s="187"/>
      <c r="Q29" s="197"/>
      <c r="R29" s="4"/>
    </row>
    <row r="30" spans="1:18">
      <c r="A30" s="175"/>
      <c r="B30" s="184"/>
      <c r="C30" s="191"/>
      <c r="D30" s="191"/>
      <c r="E30" s="191"/>
      <c r="F30" s="191"/>
      <c r="G30" s="184"/>
      <c r="H30" s="184"/>
      <c r="I30" s="181"/>
      <c r="J30" s="181"/>
      <c r="K30" s="177"/>
      <c r="L30" s="187"/>
      <c r="M30" s="198"/>
      <c r="N30" s="198"/>
      <c r="O30" s="187"/>
      <c r="P30" s="187"/>
      <c r="Q30" s="197"/>
      <c r="R30" s="4"/>
    </row>
    <row r="31" spans="1:18">
      <c r="A31" s="175"/>
      <c r="B31" s="184"/>
      <c r="C31" s="191"/>
      <c r="D31" s="191"/>
      <c r="E31" s="191"/>
      <c r="F31" s="191"/>
      <c r="G31" s="184"/>
      <c r="H31" s="184"/>
      <c r="I31" s="181"/>
      <c r="J31" s="181"/>
      <c r="K31" s="181"/>
      <c r="L31" s="181"/>
      <c r="M31" s="181"/>
      <c r="N31" s="181"/>
      <c r="O31" s="181"/>
      <c r="P31" s="181"/>
      <c r="Q31" s="181"/>
      <c r="R31" s="4"/>
    </row>
    <row r="32" spans="1:18">
      <c r="A32" s="196" t="s">
        <v>632</v>
      </c>
      <c r="B32" s="184"/>
      <c r="C32" s="191"/>
      <c r="D32" s="191"/>
      <c r="E32" s="191"/>
      <c r="F32" s="191"/>
      <c r="G32" s="184"/>
      <c r="H32" s="184"/>
      <c r="I32" s="181"/>
      <c r="J32" s="181"/>
      <c r="K32" s="181"/>
      <c r="L32" s="181"/>
      <c r="M32" s="181"/>
      <c r="N32" s="181"/>
      <c r="O32" s="181"/>
      <c r="P32" s="181"/>
      <c r="Q32" s="181"/>
      <c r="R32" s="4"/>
    </row>
    <row r="33" spans="1:18">
      <c r="A33" s="179" t="s">
        <v>518</v>
      </c>
      <c r="B33" s="186">
        <v>1450</v>
      </c>
      <c r="C33" s="193"/>
      <c r="D33" s="190">
        <f t="shared" ref="D33:D56" si="16">B33*1.4</f>
        <v>2029.9999999999998</v>
      </c>
      <c r="E33" s="190">
        <f t="shared" ref="E33" si="17">B33*1.5</f>
        <v>2175</v>
      </c>
      <c r="F33" s="190">
        <f t="shared" ref="F33" si="18">B33*1.7</f>
        <v>2465</v>
      </c>
      <c r="G33" s="186">
        <v>2500</v>
      </c>
      <c r="H33" s="184">
        <f t="shared" ref="H33:H56" si="19">+G33-B33</f>
        <v>1050</v>
      </c>
      <c r="I33" s="181"/>
      <c r="J33" s="181"/>
      <c r="K33" s="181"/>
      <c r="L33" s="181"/>
      <c r="M33" s="181"/>
      <c r="N33" s="181"/>
      <c r="O33" s="181"/>
      <c r="P33" s="181"/>
      <c r="Q33" s="181"/>
      <c r="R33" s="4"/>
    </row>
    <row r="34" spans="1:18">
      <c r="A34" s="179" t="s">
        <v>179</v>
      </c>
      <c r="B34" s="186">
        <v>13000</v>
      </c>
      <c r="C34" s="193"/>
      <c r="D34" s="190">
        <f t="shared" si="16"/>
        <v>18200</v>
      </c>
      <c r="E34" s="190">
        <f t="shared" ref="E34:E56" si="20">B34*1.5</f>
        <v>19500</v>
      </c>
      <c r="F34" s="190">
        <f t="shared" ref="F34:F56" si="21">B34*1.7</f>
        <v>22100</v>
      </c>
      <c r="G34" s="183">
        <v>20000</v>
      </c>
      <c r="H34" s="184">
        <f t="shared" si="19"/>
        <v>7000</v>
      </c>
      <c r="I34" s="181"/>
      <c r="J34" s="181"/>
      <c r="K34" s="181"/>
      <c r="L34" s="175"/>
      <c r="M34" s="175"/>
      <c r="N34" s="175"/>
      <c r="O34" s="175"/>
      <c r="P34" s="175"/>
      <c r="Q34" s="175"/>
    </row>
    <row r="35" spans="1:18">
      <c r="A35" s="179" t="s">
        <v>638</v>
      </c>
      <c r="B35" s="186">
        <v>15000</v>
      </c>
      <c r="C35" s="193"/>
      <c r="D35" s="190">
        <f t="shared" si="16"/>
        <v>21000</v>
      </c>
      <c r="E35" s="190">
        <f t="shared" ref="E35" si="22">B35*1.5</f>
        <v>22500</v>
      </c>
      <c r="F35" s="190">
        <f t="shared" ref="F35" si="23">B35*1.7</f>
        <v>25500</v>
      </c>
      <c r="G35" s="183">
        <v>25000</v>
      </c>
      <c r="H35" s="184">
        <f t="shared" si="19"/>
        <v>10000</v>
      </c>
      <c r="I35" s="181"/>
      <c r="J35" s="181"/>
      <c r="K35" s="181"/>
      <c r="L35" s="175"/>
      <c r="M35" s="175"/>
      <c r="N35" s="175"/>
      <c r="O35" s="175"/>
      <c r="P35" s="175"/>
      <c r="Q35" s="175"/>
    </row>
    <row r="36" spans="1:18">
      <c r="A36" s="179" t="s">
        <v>565</v>
      </c>
      <c r="B36" s="186">
        <v>3260</v>
      </c>
      <c r="C36" s="193"/>
      <c r="D36" s="190">
        <f t="shared" si="16"/>
        <v>4564</v>
      </c>
      <c r="E36" s="190">
        <f t="shared" si="20"/>
        <v>4890</v>
      </c>
      <c r="F36" s="190">
        <f t="shared" si="21"/>
        <v>5542</v>
      </c>
      <c r="G36" s="183">
        <v>6000</v>
      </c>
      <c r="H36" s="184">
        <f t="shared" si="19"/>
        <v>2740</v>
      </c>
      <c r="I36" s="181"/>
      <c r="J36" s="181"/>
      <c r="K36" s="181"/>
      <c r="L36" s="175"/>
      <c r="M36" s="175"/>
      <c r="N36" s="175"/>
      <c r="O36" s="175"/>
      <c r="P36" s="175"/>
      <c r="Q36" s="175"/>
    </row>
    <row r="37" spans="1:18">
      <c r="A37" s="179" t="s">
        <v>566</v>
      </c>
      <c r="B37" s="186">
        <v>9500</v>
      </c>
      <c r="C37" s="193"/>
      <c r="D37" s="190">
        <f t="shared" si="16"/>
        <v>13300</v>
      </c>
      <c r="E37" s="190">
        <f t="shared" si="20"/>
        <v>14250</v>
      </c>
      <c r="F37" s="190">
        <f t="shared" si="21"/>
        <v>16150</v>
      </c>
      <c r="G37" s="186">
        <v>15000</v>
      </c>
      <c r="H37" s="184">
        <f t="shared" si="19"/>
        <v>5500</v>
      </c>
      <c r="I37" s="182"/>
      <c r="J37" s="181"/>
      <c r="K37" s="181"/>
      <c r="L37" s="175"/>
      <c r="M37" s="175"/>
      <c r="N37" s="175"/>
      <c r="O37" s="175"/>
      <c r="P37" s="175"/>
      <c r="Q37" s="175"/>
    </row>
    <row r="38" spans="1:18">
      <c r="A38" s="179" t="s">
        <v>567</v>
      </c>
      <c r="B38" s="186">
        <v>15780</v>
      </c>
      <c r="C38" s="193"/>
      <c r="D38" s="190">
        <f t="shared" si="16"/>
        <v>22092</v>
      </c>
      <c r="E38" s="190">
        <f t="shared" si="20"/>
        <v>23670</v>
      </c>
      <c r="F38" s="190">
        <f t="shared" si="21"/>
        <v>26826</v>
      </c>
      <c r="G38" s="186">
        <v>25000</v>
      </c>
      <c r="H38" s="184">
        <f t="shared" si="19"/>
        <v>9220</v>
      </c>
      <c r="I38" s="182"/>
      <c r="J38" s="181"/>
      <c r="K38" s="181"/>
      <c r="L38" s="175"/>
      <c r="M38" s="175"/>
      <c r="N38" s="175"/>
      <c r="O38" s="175"/>
      <c r="P38" s="175"/>
      <c r="Q38" s="175"/>
    </row>
    <row r="39" spans="1:18">
      <c r="A39" s="179" t="s">
        <v>520</v>
      </c>
      <c r="B39" s="186">
        <v>1400</v>
      </c>
      <c r="C39" s="193"/>
      <c r="D39" s="190">
        <f t="shared" si="16"/>
        <v>1959.9999999999998</v>
      </c>
      <c r="E39" s="190">
        <f t="shared" si="20"/>
        <v>2100</v>
      </c>
      <c r="F39" s="190">
        <f t="shared" si="21"/>
        <v>2380</v>
      </c>
      <c r="G39" s="186">
        <v>2500</v>
      </c>
      <c r="H39" s="184">
        <f t="shared" si="19"/>
        <v>1100</v>
      </c>
      <c r="I39" s="182"/>
      <c r="J39" s="181"/>
      <c r="K39" s="181"/>
      <c r="L39" s="175"/>
      <c r="M39" s="175"/>
      <c r="N39" s="175"/>
      <c r="O39" s="175"/>
      <c r="P39" s="175"/>
      <c r="Q39" s="175"/>
    </row>
    <row r="40" spans="1:18">
      <c r="A40" s="179" t="s">
        <v>521</v>
      </c>
      <c r="B40" s="186">
        <v>1000</v>
      </c>
      <c r="C40" s="193"/>
      <c r="D40" s="190">
        <f t="shared" si="16"/>
        <v>1400</v>
      </c>
      <c r="E40" s="190">
        <f t="shared" si="20"/>
        <v>1500</v>
      </c>
      <c r="F40" s="190">
        <f t="shared" si="21"/>
        <v>1700</v>
      </c>
      <c r="G40" s="186">
        <v>1500</v>
      </c>
      <c r="H40" s="184">
        <f t="shared" si="19"/>
        <v>500</v>
      </c>
      <c r="I40" s="182"/>
      <c r="J40" s="181"/>
      <c r="K40" s="181"/>
      <c r="L40" s="175"/>
      <c r="M40" s="175"/>
      <c r="N40" s="175"/>
      <c r="O40" s="175"/>
      <c r="P40" s="175"/>
      <c r="Q40" s="175"/>
    </row>
    <row r="41" spans="1:18">
      <c r="A41" s="179" t="s">
        <v>16</v>
      </c>
      <c r="B41" s="186">
        <v>3717</v>
      </c>
      <c r="C41" s="193">
        <v>10800</v>
      </c>
      <c r="D41" s="190">
        <f t="shared" si="16"/>
        <v>5203.7999999999993</v>
      </c>
      <c r="E41" s="190">
        <f t="shared" si="20"/>
        <v>5575.5</v>
      </c>
      <c r="F41" s="190">
        <f t="shared" si="21"/>
        <v>6318.9</v>
      </c>
      <c r="G41" s="186">
        <v>6000</v>
      </c>
      <c r="H41" s="184">
        <f t="shared" si="19"/>
        <v>2283</v>
      </c>
      <c r="I41" s="181"/>
      <c r="J41" s="181"/>
      <c r="K41" s="181"/>
      <c r="L41" s="175"/>
      <c r="M41" s="175"/>
      <c r="N41" s="175"/>
      <c r="O41" s="175"/>
      <c r="P41" s="175"/>
      <c r="Q41" s="175"/>
    </row>
    <row r="42" spans="1:18">
      <c r="A42" s="221" t="s">
        <v>182</v>
      </c>
      <c r="B42" s="186">
        <v>17210</v>
      </c>
      <c r="C42" s="190">
        <v>1</v>
      </c>
      <c r="D42" s="190">
        <f t="shared" si="16"/>
        <v>24094</v>
      </c>
      <c r="E42" s="190">
        <f t="shared" si="20"/>
        <v>25815</v>
      </c>
      <c r="F42" s="190">
        <f t="shared" si="21"/>
        <v>29257</v>
      </c>
      <c r="G42" s="183">
        <v>28000</v>
      </c>
      <c r="H42" s="184">
        <f t="shared" si="19"/>
        <v>10790</v>
      </c>
      <c r="I42" s="181"/>
      <c r="J42" s="181"/>
      <c r="K42" s="181"/>
      <c r="L42" s="175"/>
      <c r="M42" s="175"/>
      <c r="N42" s="175"/>
      <c r="O42" s="175"/>
      <c r="P42" s="175"/>
      <c r="Q42" s="175"/>
    </row>
    <row r="43" spans="1:18">
      <c r="A43" s="221" t="s">
        <v>634</v>
      </c>
      <c r="B43" s="186">
        <v>16000</v>
      </c>
      <c r="C43" s="190">
        <v>12</v>
      </c>
      <c r="D43" s="190">
        <f t="shared" si="16"/>
        <v>22400</v>
      </c>
      <c r="E43" s="190">
        <f t="shared" si="20"/>
        <v>24000</v>
      </c>
      <c r="F43" s="190">
        <f t="shared" si="21"/>
        <v>27200</v>
      </c>
      <c r="G43" s="183">
        <v>28000</v>
      </c>
      <c r="H43" s="184">
        <f t="shared" si="19"/>
        <v>12000</v>
      </c>
      <c r="I43" s="181"/>
      <c r="J43" s="181"/>
      <c r="K43" s="181"/>
      <c r="L43" s="175"/>
      <c r="M43" s="175"/>
      <c r="N43" s="175"/>
      <c r="O43" s="175"/>
      <c r="P43" s="175"/>
      <c r="Q43" s="175"/>
    </row>
    <row r="44" spans="1:18">
      <c r="A44" s="221" t="s">
        <v>635</v>
      </c>
      <c r="B44" s="186">
        <v>49800</v>
      </c>
      <c r="C44" s="190">
        <v>3</v>
      </c>
      <c r="D44" s="190">
        <f t="shared" si="16"/>
        <v>69720</v>
      </c>
      <c r="E44" s="190">
        <f t="shared" si="20"/>
        <v>74700</v>
      </c>
      <c r="F44" s="190">
        <f t="shared" si="21"/>
        <v>84660</v>
      </c>
      <c r="G44" s="183"/>
      <c r="H44" s="184"/>
      <c r="I44" s="181"/>
      <c r="J44" s="181"/>
      <c r="K44" s="181"/>
      <c r="L44" s="175"/>
      <c r="M44" s="175"/>
      <c r="N44" s="175"/>
      <c r="O44" s="175"/>
      <c r="P44" s="175"/>
      <c r="Q44" s="175"/>
    </row>
    <row r="45" spans="1:18">
      <c r="A45" s="221" t="s">
        <v>637</v>
      </c>
      <c r="B45" s="186">
        <v>54378</v>
      </c>
      <c r="C45" s="190">
        <v>2</v>
      </c>
      <c r="D45" s="190">
        <f t="shared" si="16"/>
        <v>76129.2</v>
      </c>
      <c r="E45" s="190">
        <f t="shared" si="20"/>
        <v>81567</v>
      </c>
      <c r="F45" s="190">
        <f t="shared" si="21"/>
        <v>92442.599999999991</v>
      </c>
      <c r="G45" s="183"/>
      <c r="H45" s="184"/>
      <c r="I45" s="181"/>
      <c r="J45" s="181"/>
      <c r="K45" s="181"/>
      <c r="L45" s="175"/>
      <c r="M45" s="175"/>
      <c r="N45" s="175"/>
      <c r="O45" s="175"/>
      <c r="P45" s="175"/>
      <c r="Q45" s="175"/>
    </row>
    <row r="46" spans="1:18">
      <c r="A46" s="221" t="s">
        <v>636</v>
      </c>
      <c r="B46" s="186">
        <v>80600</v>
      </c>
      <c r="C46" s="190">
        <v>2</v>
      </c>
      <c r="D46" s="190">
        <f t="shared" si="16"/>
        <v>112840</v>
      </c>
      <c r="E46" s="190">
        <f t="shared" si="20"/>
        <v>120900</v>
      </c>
      <c r="F46" s="190">
        <f t="shared" si="21"/>
        <v>137020</v>
      </c>
      <c r="G46" s="183">
        <v>120000</v>
      </c>
      <c r="H46" s="184"/>
      <c r="I46" s="181"/>
      <c r="J46" s="181"/>
      <c r="K46" s="181"/>
      <c r="L46" s="175"/>
      <c r="M46" s="175"/>
      <c r="N46" s="175"/>
      <c r="O46" s="175"/>
      <c r="P46" s="175"/>
      <c r="Q46" s="175"/>
    </row>
    <row r="47" spans="1:18">
      <c r="A47" s="179" t="s">
        <v>15</v>
      </c>
      <c r="B47" s="186">
        <v>4040</v>
      </c>
      <c r="C47" s="193">
        <v>5200</v>
      </c>
      <c r="D47" s="190">
        <f t="shared" si="16"/>
        <v>5656</v>
      </c>
      <c r="E47" s="190">
        <f t="shared" si="20"/>
        <v>6060</v>
      </c>
      <c r="F47" s="190">
        <f t="shared" si="21"/>
        <v>6868</v>
      </c>
      <c r="G47" s="186">
        <v>7000</v>
      </c>
      <c r="H47" s="184">
        <f t="shared" si="19"/>
        <v>2960</v>
      </c>
      <c r="I47" s="182"/>
      <c r="J47" s="181"/>
      <c r="K47" s="181"/>
      <c r="L47" s="175"/>
      <c r="M47" s="175"/>
      <c r="N47" s="175"/>
      <c r="O47" s="175"/>
      <c r="P47" s="175"/>
      <c r="Q47" s="175"/>
    </row>
    <row r="48" spans="1:18">
      <c r="A48" s="179" t="s">
        <v>178</v>
      </c>
      <c r="B48" s="186">
        <v>6760</v>
      </c>
      <c r="C48" s="193"/>
      <c r="D48" s="190">
        <f t="shared" si="16"/>
        <v>9464</v>
      </c>
      <c r="E48" s="190">
        <f t="shared" si="20"/>
        <v>10140</v>
      </c>
      <c r="F48" s="190">
        <f t="shared" si="21"/>
        <v>11492</v>
      </c>
      <c r="G48" s="222">
        <v>10000</v>
      </c>
      <c r="H48" s="184">
        <f t="shared" si="19"/>
        <v>3240</v>
      </c>
      <c r="I48" s="182"/>
      <c r="J48" s="181"/>
      <c r="K48" s="181"/>
      <c r="L48" s="175"/>
      <c r="M48" s="175"/>
      <c r="N48" s="175"/>
      <c r="O48" s="175"/>
      <c r="P48" s="175"/>
      <c r="Q48" s="175"/>
    </row>
    <row r="49" spans="1:17">
      <c r="A49" s="221" t="s">
        <v>639</v>
      </c>
      <c r="B49" s="186">
        <v>26000</v>
      </c>
      <c r="C49" s="193">
        <v>1</v>
      </c>
      <c r="D49" s="190">
        <f t="shared" si="16"/>
        <v>36400</v>
      </c>
      <c r="E49" s="190">
        <f t="shared" si="20"/>
        <v>39000</v>
      </c>
      <c r="F49" s="190">
        <f t="shared" si="21"/>
        <v>44200</v>
      </c>
      <c r="G49" s="186">
        <v>35000</v>
      </c>
      <c r="H49" s="184"/>
      <c r="I49" s="182"/>
      <c r="J49" s="181"/>
      <c r="K49" s="181"/>
      <c r="L49" s="175"/>
      <c r="M49" s="175"/>
      <c r="N49" s="175"/>
      <c r="O49" s="175"/>
      <c r="P49" s="175"/>
      <c r="Q49" s="175"/>
    </row>
    <row r="50" spans="1:17">
      <c r="A50" s="179" t="s">
        <v>180</v>
      </c>
      <c r="B50" s="186">
        <v>4680</v>
      </c>
      <c r="C50" s="193"/>
      <c r="D50" s="190">
        <f t="shared" si="16"/>
        <v>6552</v>
      </c>
      <c r="E50" s="190">
        <f t="shared" si="20"/>
        <v>7020</v>
      </c>
      <c r="F50" s="190">
        <f t="shared" si="21"/>
        <v>7956</v>
      </c>
      <c r="G50" s="186">
        <v>8000</v>
      </c>
      <c r="H50" s="184">
        <f t="shared" si="19"/>
        <v>3320</v>
      </c>
      <c r="I50" s="182"/>
      <c r="J50" s="181"/>
      <c r="K50" s="181"/>
      <c r="L50" s="175"/>
      <c r="M50" s="175"/>
      <c r="N50" s="175"/>
      <c r="O50" s="175"/>
      <c r="P50" s="175"/>
      <c r="Q50" s="175"/>
    </row>
    <row r="51" spans="1:17">
      <c r="A51" s="179" t="s">
        <v>181</v>
      </c>
      <c r="B51" s="186">
        <v>700</v>
      </c>
      <c r="C51" s="190"/>
      <c r="D51" s="190">
        <f t="shared" si="16"/>
        <v>979.99999999999989</v>
      </c>
      <c r="E51" s="190">
        <f t="shared" si="20"/>
        <v>1050</v>
      </c>
      <c r="F51" s="190">
        <f t="shared" si="21"/>
        <v>1190</v>
      </c>
      <c r="G51" s="183">
        <v>2000</v>
      </c>
      <c r="H51" s="184">
        <f t="shared" si="19"/>
        <v>1300</v>
      </c>
      <c r="I51" s="175"/>
      <c r="J51" s="175"/>
      <c r="K51" s="175"/>
      <c r="L51" s="175"/>
      <c r="M51" s="175"/>
      <c r="N51" s="175"/>
      <c r="O51" s="175"/>
      <c r="P51" s="175"/>
      <c r="Q51" s="175"/>
    </row>
    <row r="52" spans="1:17">
      <c r="A52" s="174" t="s">
        <v>185</v>
      </c>
      <c r="B52" s="186">
        <v>4500</v>
      </c>
      <c r="C52" s="190"/>
      <c r="D52" s="190">
        <f t="shared" si="16"/>
        <v>6300</v>
      </c>
      <c r="E52" s="190">
        <f t="shared" si="20"/>
        <v>6750</v>
      </c>
      <c r="F52" s="190">
        <f t="shared" si="21"/>
        <v>7650</v>
      </c>
      <c r="G52" s="183">
        <v>6000</v>
      </c>
      <c r="H52" s="187">
        <f t="shared" si="19"/>
        <v>1500</v>
      </c>
      <c r="I52" s="175"/>
      <c r="J52" s="175"/>
      <c r="K52" s="175"/>
      <c r="L52" s="175"/>
      <c r="M52" s="175"/>
      <c r="N52" s="175"/>
      <c r="O52" s="175"/>
      <c r="P52" s="175"/>
      <c r="Q52" s="175"/>
    </row>
    <row r="53" spans="1:17">
      <c r="A53" s="174" t="s">
        <v>517</v>
      </c>
      <c r="B53" s="186">
        <v>4500</v>
      </c>
      <c r="C53" s="190"/>
      <c r="D53" s="190">
        <f t="shared" si="16"/>
        <v>6300</v>
      </c>
      <c r="E53" s="190">
        <f t="shared" si="20"/>
        <v>6750</v>
      </c>
      <c r="F53" s="190">
        <f t="shared" si="21"/>
        <v>7650</v>
      </c>
      <c r="G53" s="183">
        <v>6000</v>
      </c>
      <c r="H53" s="187">
        <f t="shared" si="19"/>
        <v>1500</v>
      </c>
      <c r="I53" s="175"/>
      <c r="J53" s="175"/>
      <c r="K53" s="175"/>
      <c r="L53" s="175"/>
      <c r="M53" s="175"/>
      <c r="N53" s="175"/>
      <c r="O53" s="175"/>
      <c r="P53" s="175"/>
      <c r="Q53" s="175"/>
    </row>
    <row r="54" spans="1:17">
      <c r="A54" s="223" t="s">
        <v>516</v>
      </c>
      <c r="B54" s="186">
        <v>7900</v>
      </c>
      <c r="C54" s="190"/>
      <c r="D54" s="190">
        <f t="shared" si="16"/>
        <v>11060</v>
      </c>
      <c r="E54" s="190">
        <f t="shared" si="20"/>
        <v>11850</v>
      </c>
      <c r="F54" s="190">
        <f t="shared" si="21"/>
        <v>13430</v>
      </c>
      <c r="G54" s="183"/>
      <c r="H54" s="187"/>
      <c r="I54" s="175"/>
      <c r="J54" s="175"/>
      <c r="K54" s="175"/>
      <c r="L54" s="175"/>
      <c r="M54" s="175"/>
      <c r="N54" s="175"/>
      <c r="O54" s="175"/>
      <c r="P54" s="175"/>
      <c r="Q54" s="175"/>
    </row>
    <row r="55" spans="1:17">
      <c r="A55" s="174" t="s">
        <v>516</v>
      </c>
      <c r="B55" s="186">
        <v>9500</v>
      </c>
      <c r="C55" s="190"/>
      <c r="D55" s="190">
        <f t="shared" si="16"/>
        <v>13300</v>
      </c>
      <c r="E55" s="190">
        <f t="shared" si="20"/>
        <v>14250</v>
      </c>
      <c r="F55" s="190">
        <f t="shared" si="21"/>
        <v>16150</v>
      </c>
      <c r="G55" s="183">
        <v>14000</v>
      </c>
      <c r="H55" s="187">
        <f t="shared" si="19"/>
        <v>4500</v>
      </c>
      <c r="I55" s="175"/>
      <c r="J55" s="175"/>
      <c r="K55" s="175"/>
      <c r="L55" s="175"/>
      <c r="M55" s="175"/>
      <c r="N55" s="175"/>
      <c r="O55" s="175"/>
      <c r="P55" s="175"/>
      <c r="Q55" s="175"/>
    </row>
    <row r="56" spans="1:17">
      <c r="A56" s="179" t="s">
        <v>9</v>
      </c>
      <c r="B56" s="186">
        <v>250</v>
      </c>
      <c r="C56" s="193"/>
      <c r="D56" s="190">
        <f t="shared" si="16"/>
        <v>350</v>
      </c>
      <c r="E56" s="190">
        <f t="shared" si="20"/>
        <v>375</v>
      </c>
      <c r="F56" s="190">
        <f t="shared" si="21"/>
        <v>425</v>
      </c>
      <c r="G56" s="186">
        <v>500</v>
      </c>
      <c r="H56" s="184">
        <f t="shared" si="19"/>
        <v>250</v>
      </c>
      <c r="I56" s="175"/>
      <c r="J56" s="175"/>
      <c r="K56" s="175"/>
      <c r="L56" s="175"/>
      <c r="M56" s="175"/>
      <c r="N56" s="175"/>
      <c r="O56" s="175"/>
      <c r="P56" s="175"/>
      <c r="Q56" s="175"/>
    </row>
    <row r="57" spans="1:17">
      <c r="A57" s="174"/>
      <c r="B57" s="186"/>
      <c r="C57" s="1"/>
      <c r="D57" s="1"/>
      <c r="E57" s="190"/>
      <c r="F57" s="190"/>
      <c r="G57" s="183"/>
      <c r="H57" s="184"/>
    </row>
  </sheetData>
  <sortState ref="A34:G50">
    <sortCondition ref="A34"/>
  </sortState>
  <conditionalFormatting sqref="J38:J40">
    <cfRule type="colorScale" priority="1">
      <colorScale>
        <cfvo type="num" val="3"/>
        <cfvo type="num" val="12"/>
        <color rgb="FFFF0000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9" tint="-0.249977111117893"/>
  </sheetPr>
  <dimension ref="A1:N107"/>
  <sheetViews>
    <sheetView zoomScaleNormal="100" workbookViewId="0">
      <selection activeCell="N7" sqref="N7"/>
    </sheetView>
  </sheetViews>
  <sheetFormatPr baseColWidth="10" defaultRowHeight="15"/>
  <cols>
    <col min="1" max="1" width="26.42578125" customWidth="1"/>
    <col min="3" max="3" width="6.28515625" customWidth="1"/>
    <col min="4" max="4" width="19.5703125" customWidth="1"/>
    <col min="7" max="7" width="6.28515625" customWidth="1"/>
    <col min="8" max="8" width="21.28515625" bestFit="1" customWidth="1"/>
    <col min="11" max="11" width="7.28515625" customWidth="1"/>
    <col min="12" max="12" width="22.85546875" bestFit="1" customWidth="1"/>
  </cols>
  <sheetData>
    <row r="1" spans="1:14">
      <c r="D1" s="9" t="s">
        <v>121</v>
      </c>
      <c r="E1" s="5"/>
      <c r="F1" s="5" t="s">
        <v>176</v>
      </c>
      <c r="H1" s="9" t="s">
        <v>132</v>
      </c>
      <c r="I1" s="5"/>
      <c r="J1" s="5" t="s">
        <v>176</v>
      </c>
      <c r="L1" s="9" t="s">
        <v>147</v>
      </c>
      <c r="M1" s="5"/>
      <c r="N1" s="5" t="s">
        <v>176</v>
      </c>
    </row>
    <row r="2" spans="1:14">
      <c r="D2" s="2" t="s">
        <v>122</v>
      </c>
      <c r="E2" s="2" t="s">
        <v>123</v>
      </c>
      <c r="F2" s="33">
        <v>19800</v>
      </c>
      <c r="H2" s="30" t="s">
        <v>133</v>
      </c>
      <c r="I2" s="30" t="s">
        <v>124</v>
      </c>
      <c r="J2" s="34">
        <v>18500</v>
      </c>
      <c r="L2" s="2" t="s">
        <v>148</v>
      </c>
      <c r="M2" s="2" t="s">
        <v>127</v>
      </c>
      <c r="N2" s="33">
        <v>10500</v>
      </c>
    </row>
    <row r="3" spans="1:14" ht="15" customHeight="1">
      <c r="A3" s="210" t="s">
        <v>210</v>
      </c>
      <c r="B3" s="210"/>
      <c r="D3" s="2" t="s">
        <v>122</v>
      </c>
      <c r="E3" s="2" t="s">
        <v>124</v>
      </c>
      <c r="F3" s="33">
        <v>23500</v>
      </c>
      <c r="H3" s="2" t="s">
        <v>133</v>
      </c>
      <c r="I3" s="2" t="s">
        <v>125</v>
      </c>
      <c r="J3" s="33">
        <v>20800</v>
      </c>
      <c r="L3" s="30" t="s">
        <v>148</v>
      </c>
      <c r="M3" s="30" t="s">
        <v>123</v>
      </c>
      <c r="N3" s="34">
        <v>11000</v>
      </c>
    </row>
    <row r="4" spans="1:14" ht="15" customHeight="1">
      <c r="A4" s="210"/>
      <c r="B4" s="210"/>
      <c r="D4" s="30" t="s">
        <v>122</v>
      </c>
      <c r="E4" s="30" t="s">
        <v>125</v>
      </c>
      <c r="F4" s="34">
        <v>25500</v>
      </c>
      <c r="H4" s="2" t="s">
        <v>134</v>
      </c>
      <c r="I4" s="2" t="s">
        <v>125</v>
      </c>
      <c r="J4" s="33">
        <v>24200</v>
      </c>
      <c r="L4" s="30" t="s">
        <v>148</v>
      </c>
      <c r="M4" s="30" t="s">
        <v>124</v>
      </c>
      <c r="N4" s="34">
        <v>12400</v>
      </c>
    </row>
    <row r="5" spans="1:14" ht="15" customHeight="1">
      <c r="A5" s="210"/>
      <c r="B5" s="210"/>
      <c r="D5" s="30" t="s">
        <v>126</v>
      </c>
      <c r="E5" s="30" t="s">
        <v>127</v>
      </c>
      <c r="F5" s="34">
        <v>28000</v>
      </c>
      <c r="H5" s="30" t="s">
        <v>136</v>
      </c>
      <c r="I5" s="30" t="s">
        <v>127</v>
      </c>
      <c r="J5" s="34">
        <v>20000</v>
      </c>
      <c r="L5" s="30" t="s">
        <v>148</v>
      </c>
      <c r="M5" s="30" t="s">
        <v>125</v>
      </c>
      <c r="N5" s="34">
        <v>13500</v>
      </c>
    </row>
    <row r="6" spans="1:14" ht="15" customHeight="1">
      <c r="A6" s="210"/>
      <c r="B6" s="210"/>
      <c r="D6" s="2" t="s">
        <v>126</v>
      </c>
      <c r="E6" s="2" t="s">
        <v>123</v>
      </c>
      <c r="F6" s="33">
        <v>30000</v>
      </c>
      <c r="H6" s="2" t="s">
        <v>136</v>
      </c>
      <c r="I6" s="2" t="s">
        <v>123</v>
      </c>
      <c r="J6" s="33">
        <v>20800</v>
      </c>
      <c r="L6" s="30" t="s">
        <v>150</v>
      </c>
      <c r="M6" s="30" t="s">
        <v>123</v>
      </c>
      <c r="N6" s="34">
        <v>13500</v>
      </c>
    </row>
    <row r="7" spans="1:14" ht="15" customHeight="1">
      <c r="A7" s="210"/>
      <c r="B7" s="210"/>
      <c r="D7" s="2" t="s">
        <v>128</v>
      </c>
      <c r="E7" s="2" t="s">
        <v>124</v>
      </c>
      <c r="F7" s="33">
        <v>24500</v>
      </c>
      <c r="H7" s="30" t="s">
        <v>137</v>
      </c>
      <c r="I7" s="30" t="s">
        <v>127</v>
      </c>
      <c r="J7" s="34">
        <v>25500</v>
      </c>
      <c r="L7" s="2" t="s">
        <v>150</v>
      </c>
      <c r="M7" s="2" t="s">
        <v>125</v>
      </c>
      <c r="N7" s="33">
        <v>17800</v>
      </c>
    </row>
    <row r="8" spans="1:14" ht="15" customHeight="1">
      <c r="A8" s="210"/>
      <c r="B8" s="210"/>
      <c r="D8" s="30" t="s">
        <v>128</v>
      </c>
      <c r="E8" s="30" t="s">
        <v>125</v>
      </c>
      <c r="F8" s="34">
        <v>27500</v>
      </c>
      <c r="H8" s="2" t="s">
        <v>137</v>
      </c>
      <c r="I8" s="2" t="s">
        <v>123</v>
      </c>
      <c r="J8" s="33">
        <v>26800</v>
      </c>
      <c r="L8" s="30" t="s">
        <v>153</v>
      </c>
      <c r="M8" s="30" t="s">
        <v>123</v>
      </c>
      <c r="N8" s="34">
        <v>20500</v>
      </c>
    </row>
    <row r="9" spans="1:14">
      <c r="D9" s="2" t="s">
        <v>129</v>
      </c>
      <c r="E9" s="2" t="s">
        <v>124</v>
      </c>
      <c r="F9" s="33">
        <v>28500</v>
      </c>
      <c r="H9" s="30" t="s">
        <v>138</v>
      </c>
      <c r="I9" s="30" t="s">
        <v>127</v>
      </c>
      <c r="J9" s="34">
        <v>19000</v>
      </c>
      <c r="L9" s="30" t="s">
        <v>153</v>
      </c>
      <c r="M9" s="30" t="s">
        <v>125</v>
      </c>
      <c r="N9" s="34">
        <v>27000</v>
      </c>
    </row>
    <row r="10" spans="1:14">
      <c r="D10" s="30" t="s">
        <v>129</v>
      </c>
      <c r="E10" s="30" t="s">
        <v>125</v>
      </c>
      <c r="F10" s="34">
        <v>31000</v>
      </c>
      <c r="H10" s="2" t="s">
        <v>138</v>
      </c>
      <c r="I10" s="2" t="s">
        <v>123</v>
      </c>
      <c r="J10" s="33">
        <v>20000</v>
      </c>
      <c r="L10" s="2" t="s">
        <v>155</v>
      </c>
      <c r="M10" s="2" t="s">
        <v>125</v>
      </c>
      <c r="N10" s="33">
        <v>22000</v>
      </c>
    </row>
    <row r="11" spans="1:14">
      <c r="D11" s="2" t="s">
        <v>130</v>
      </c>
      <c r="E11" s="2" t="s">
        <v>124</v>
      </c>
      <c r="F11" s="33">
        <v>42000</v>
      </c>
      <c r="H11" s="30" t="s">
        <v>141</v>
      </c>
      <c r="I11" s="30" t="s">
        <v>123</v>
      </c>
      <c r="J11" s="34">
        <v>15500</v>
      </c>
      <c r="L11" s="30" t="s">
        <v>156</v>
      </c>
      <c r="M11" s="48" t="s">
        <v>127</v>
      </c>
      <c r="N11" s="34">
        <v>20000</v>
      </c>
    </row>
    <row r="12" spans="1:14">
      <c r="D12" s="30" t="s">
        <v>130</v>
      </c>
      <c r="E12" s="30" t="s">
        <v>125</v>
      </c>
      <c r="F12" s="34">
        <v>46000</v>
      </c>
      <c r="H12" s="2" t="s">
        <v>142</v>
      </c>
      <c r="I12" s="2" t="s">
        <v>124</v>
      </c>
      <c r="J12" s="33">
        <v>20500</v>
      </c>
      <c r="L12" s="2" t="s">
        <v>156</v>
      </c>
      <c r="M12" s="2" t="s">
        <v>124</v>
      </c>
      <c r="N12" s="33">
        <v>26000</v>
      </c>
    </row>
    <row r="13" spans="1:14">
      <c r="D13" s="2" t="s">
        <v>131</v>
      </c>
      <c r="E13" s="2" t="s">
        <v>127</v>
      </c>
      <c r="F13" s="33">
        <v>19000</v>
      </c>
      <c r="H13" s="30" t="s">
        <v>142</v>
      </c>
      <c r="I13" s="30" t="s">
        <v>125</v>
      </c>
      <c r="J13" s="34">
        <v>23000</v>
      </c>
      <c r="L13" s="30" t="s">
        <v>156</v>
      </c>
      <c r="M13" s="30" t="s">
        <v>125</v>
      </c>
      <c r="N13" s="34">
        <v>27000</v>
      </c>
    </row>
    <row r="14" spans="1:14">
      <c r="A14" s="29" t="s">
        <v>101</v>
      </c>
      <c r="B14" s="6" t="s">
        <v>176</v>
      </c>
      <c r="D14" s="2" t="s">
        <v>131</v>
      </c>
      <c r="E14" s="2" t="s">
        <v>123</v>
      </c>
      <c r="F14" s="33">
        <v>19500</v>
      </c>
      <c r="H14" s="2" t="s">
        <v>143</v>
      </c>
      <c r="I14" s="2" t="s">
        <v>124</v>
      </c>
      <c r="J14" s="33"/>
      <c r="L14" s="2" t="s">
        <v>157</v>
      </c>
      <c r="M14" s="2" t="s">
        <v>127</v>
      </c>
      <c r="N14" s="33">
        <v>31000</v>
      </c>
    </row>
    <row r="15" spans="1:14">
      <c r="A15" s="30" t="s">
        <v>395</v>
      </c>
      <c r="B15" s="31">
        <v>13500</v>
      </c>
      <c r="D15" s="6"/>
      <c r="E15" s="6"/>
      <c r="F15" s="8"/>
      <c r="H15" s="2" t="s">
        <v>143</v>
      </c>
      <c r="I15" s="2" t="s">
        <v>125</v>
      </c>
      <c r="J15" s="33">
        <v>26500</v>
      </c>
      <c r="L15" s="2" t="s">
        <v>157</v>
      </c>
      <c r="M15" s="2" t="s">
        <v>123</v>
      </c>
      <c r="N15" s="33">
        <v>33000</v>
      </c>
    </row>
    <row r="16" spans="1:14">
      <c r="A16" s="30" t="s">
        <v>398</v>
      </c>
      <c r="B16" s="31">
        <v>17000</v>
      </c>
      <c r="D16" s="6"/>
      <c r="E16" s="6"/>
      <c r="F16" s="8"/>
      <c r="H16" s="2" t="s">
        <v>144</v>
      </c>
      <c r="I16" s="2" t="s">
        <v>135</v>
      </c>
      <c r="J16" s="33">
        <v>42500</v>
      </c>
      <c r="K16" s="5"/>
      <c r="L16" s="2" t="s">
        <v>157</v>
      </c>
      <c r="M16" s="2" t="s">
        <v>124</v>
      </c>
      <c r="N16" s="33">
        <v>38000</v>
      </c>
    </row>
    <row r="17" spans="1:14">
      <c r="A17" s="30" t="s">
        <v>102</v>
      </c>
      <c r="B17" s="31">
        <v>14500</v>
      </c>
      <c r="D17" s="6"/>
      <c r="E17" s="6"/>
      <c r="F17" s="8"/>
      <c r="H17" s="30" t="s">
        <v>144</v>
      </c>
      <c r="I17" s="30" t="s">
        <v>145</v>
      </c>
      <c r="J17" s="30">
        <v>45000</v>
      </c>
      <c r="L17" s="30" t="s">
        <v>157</v>
      </c>
      <c r="M17" s="30" t="s">
        <v>125</v>
      </c>
      <c r="N17" s="34">
        <v>41000</v>
      </c>
    </row>
    <row r="18" spans="1:14">
      <c r="A18" s="30" t="s">
        <v>104</v>
      </c>
      <c r="B18" s="31">
        <v>18500</v>
      </c>
      <c r="D18" s="6"/>
      <c r="E18" s="6"/>
      <c r="F18" s="8"/>
      <c r="H18" s="2" t="s">
        <v>146</v>
      </c>
      <c r="I18" s="2" t="s">
        <v>125</v>
      </c>
      <c r="J18" s="7">
        <v>33000</v>
      </c>
    </row>
    <row r="19" spans="1:14">
      <c r="A19" s="2" t="s">
        <v>105</v>
      </c>
      <c r="B19" s="7">
        <v>30000</v>
      </c>
      <c r="D19" s="6"/>
      <c r="E19" s="6"/>
      <c r="F19" s="8"/>
    </row>
    <row r="20" spans="1:14">
      <c r="A20" s="30" t="s">
        <v>392</v>
      </c>
      <c r="B20" s="31">
        <v>26500</v>
      </c>
      <c r="D20" s="6"/>
      <c r="E20" s="6"/>
      <c r="F20" s="8"/>
    </row>
    <row r="21" spans="1:14">
      <c r="A21" s="30" t="s">
        <v>107</v>
      </c>
      <c r="B21" s="31">
        <v>37000</v>
      </c>
      <c r="D21" s="6"/>
      <c r="E21" s="6"/>
      <c r="F21" s="8"/>
    </row>
    <row r="22" spans="1:14">
      <c r="A22" s="30" t="s">
        <v>108</v>
      </c>
      <c r="B22" s="31">
        <v>5800</v>
      </c>
      <c r="D22" s="6"/>
      <c r="E22" s="6"/>
      <c r="F22" s="8"/>
    </row>
    <row r="23" spans="1:14">
      <c r="A23" s="30" t="s">
        <v>109</v>
      </c>
      <c r="B23" s="31">
        <v>9000</v>
      </c>
      <c r="D23" s="6"/>
      <c r="E23" s="6"/>
      <c r="F23" s="8"/>
    </row>
    <row r="24" spans="1:14">
      <c r="A24" s="30" t="s">
        <v>110</v>
      </c>
      <c r="B24" s="31">
        <v>10200</v>
      </c>
      <c r="D24" s="6"/>
      <c r="E24" s="6"/>
      <c r="F24" s="8"/>
    </row>
    <row r="25" spans="1:14">
      <c r="A25" s="30" t="s">
        <v>111</v>
      </c>
      <c r="B25" s="31">
        <v>12800</v>
      </c>
      <c r="D25" s="6"/>
      <c r="E25" s="6"/>
      <c r="F25" s="8"/>
    </row>
    <row r="26" spans="1:14">
      <c r="A26" s="30" t="s">
        <v>112</v>
      </c>
      <c r="B26" s="31">
        <v>15500</v>
      </c>
      <c r="D26" s="6"/>
      <c r="E26" s="6"/>
      <c r="F26" s="8"/>
    </row>
    <row r="27" spans="1:14">
      <c r="A27" s="30" t="s">
        <v>113</v>
      </c>
      <c r="B27" s="31">
        <v>19500</v>
      </c>
      <c r="D27" s="6"/>
      <c r="E27" s="6"/>
      <c r="F27" s="8"/>
    </row>
    <row r="28" spans="1:14">
      <c r="A28" s="30" t="s">
        <v>114</v>
      </c>
      <c r="B28" s="31">
        <v>27500</v>
      </c>
      <c r="D28" s="6"/>
      <c r="E28" s="6"/>
      <c r="F28" s="6"/>
    </row>
    <row r="29" spans="1:14">
      <c r="A29" s="2" t="s">
        <v>116</v>
      </c>
      <c r="B29" s="7">
        <v>12800</v>
      </c>
      <c r="D29" s="6"/>
      <c r="E29" s="6"/>
      <c r="F29" s="8"/>
    </row>
    <row r="30" spans="1:14">
      <c r="A30" s="30" t="s">
        <v>117</v>
      </c>
      <c r="B30" s="31">
        <v>15500</v>
      </c>
      <c r="D30" s="6"/>
      <c r="E30" s="6"/>
      <c r="F30" s="6"/>
    </row>
    <row r="31" spans="1:14">
      <c r="A31" s="30" t="s">
        <v>118</v>
      </c>
      <c r="B31" s="31">
        <v>20000</v>
      </c>
      <c r="D31" s="9"/>
      <c r="E31" s="6"/>
      <c r="F31" s="6"/>
    </row>
    <row r="32" spans="1:14">
      <c r="A32" s="30" t="s">
        <v>119</v>
      </c>
      <c r="B32" s="31">
        <v>31500</v>
      </c>
      <c r="D32" s="6"/>
      <c r="E32" s="6"/>
      <c r="F32" s="8"/>
    </row>
    <row r="33" spans="1:6">
      <c r="A33" s="30" t="s">
        <v>120</v>
      </c>
      <c r="B33" s="31">
        <v>16000</v>
      </c>
      <c r="D33" s="6"/>
      <c r="E33" s="6"/>
      <c r="F33" s="8"/>
    </row>
    <row r="34" spans="1:6">
      <c r="D34" s="6"/>
      <c r="E34" s="6"/>
      <c r="F34" s="8"/>
    </row>
    <row r="35" spans="1:6">
      <c r="D35" s="6"/>
      <c r="E35" s="6"/>
      <c r="F35" s="8"/>
    </row>
    <row r="36" spans="1:6">
      <c r="A36" s="5"/>
      <c r="B36" s="5"/>
      <c r="D36" s="6"/>
      <c r="E36" s="6"/>
      <c r="F36" s="8"/>
    </row>
    <row r="37" spans="1:6">
      <c r="D37" s="6"/>
      <c r="E37" s="6"/>
      <c r="F37" s="8"/>
    </row>
    <row r="38" spans="1:6">
      <c r="D38" s="6"/>
      <c r="E38" s="6"/>
      <c r="F38" s="8"/>
    </row>
    <row r="39" spans="1:6">
      <c r="D39" s="6"/>
      <c r="E39" s="6"/>
      <c r="F39" s="8"/>
    </row>
    <row r="40" spans="1:6">
      <c r="D40" s="6"/>
      <c r="E40" s="6"/>
      <c r="F40" s="8"/>
    </row>
    <row r="41" spans="1:6">
      <c r="D41" s="6"/>
      <c r="E41" s="6"/>
      <c r="F41" s="8"/>
    </row>
    <row r="42" spans="1:6">
      <c r="D42" s="6"/>
      <c r="E42" s="6"/>
      <c r="F42" s="8"/>
    </row>
    <row r="43" spans="1:6">
      <c r="D43" s="6"/>
      <c r="E43" s="6"/>
      <c r="F43" s="8"/>
    </row>
    <row r="44" spans="1:6">
      <c r="D44" s="6"/>
      <c r="E44" s="6"/>
      <c r="F44" s="6"/>
    </row>
    <row r="45" spans="1:6">
      <c r="D45" s="6"/>
      <c r="E45" s="6"/>
      <c r="F45" s="6"/>
    </row>
    <row r="46" spans="1:6">
      <c r="D46" s="6"/>
      <c r="E46" s="6"/>
      <c r="F46" s="6"/>
    </row>
    <row r="47" spans="1:6">
      <c r="D47" s="6"/>
      <c r="E47" s="6"/>
      <c r="F47" s="6"/>
    </row>
    <row r="48" spans="1:6">
      <c r="D48" s="6"/>
      <c r="E48" s="6"/>
      <c r="F48" s="6"/>
    </row>
    <row r="49" spans="1:6">
      <c r="D49" s="6"/>
      <c r="E49" s="6"/>
      <c r="F49" s="6"/>
    </row>
    <row r="50" spans="1:6">
      <c r="D50" s="6"/>
      <c r="E50" s="6"/>
      <c r="F50" s="6"/>
    </row>
    <row r="51" spans="1:6">
      <c r="D51" s="6"/>
      <c r="E51" s="6"/>
      <c r="F51" s="6"/>
    </row>
    <row r="52" spans="1:6">
      <c r="D52" s="6"/>
      <c r="E52" s="6"/>
      <c r="F52" s="6"/>
    </row>
    <row r="53" spans="1:6">
      <c r="D53" s="6"/>
      <c r="E53" s="6"/>
      <c r="F53" s="6"/>
    </row>
    <row r="54" spans="1:6">
      <c r="D54" s="6"/>
      <c r="E54" s="6"/>
      <c r="F54" s="6"/>
    </row>
    <row r="59" spans="1:6">
      <c r="A59" s="5"/>
      <c r="B59" s="5"/>
    </row>
    <row r="106" spans="1:2">
      <c r="A106" s="5"/>
      <c r="B106" s="5"/>
    </row>
    <row r="107" spans="1:2">
      <c r="A107" s="5"/>
      <c r="B107" s="5"/>
    </row>
  </sheetData>
  <mergeCells count="1">
    <mergeCell ref="A3:B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T251"/>
  <sheetViews>
    <sheetView topLeftCell="A7" zoomScaleNormal="100" workbookViewId="0">
      <pane xSplit="1" topLeftCell="F1" activePane="topRight" state="frozen"/>
      <selection pane="topRight" activeCell="A20" sqref="A20"/>
    </sheetView>
  </sheetViews>
  <sheetFormatPr baseColWidth="10" defaultRowHeight="15"/>
  <cols>
    <col min="1" max="1" width="32.7109375" bestFit="1" customWidth="1"/>
    <col min="2" max="2" width="13" customWidth="1"/>
    <col min="3" max="3" width="14" bestFit="1" customWidth="1"/>
  </cols>
  <sheetData>
    <row r="1" spans="1:18" ht="15.75" thickBot="1">
      <c r="A1" t="s">
        <v>193</v>
      </c>
    </row>
    <row r="2" spans="1:18">
      <c r="B2" s="213" t="s">
        <v>121</v>
      </c>
      <c r="C2" s="214"/>
      <c r="D2" s="211" t="s">
        <v>206</v>
      </c>
      <c r="E2" s="212"/>
      <c r="F2" s="213" t="s">
        <v>191</v>
      </c>
      <c r="G2" s="214"/>
      <c r="H2" s="211" t="s">
        <v>206</v>
      </c>
      <c r="I2" s="212"/>
      <c r="J2" s="59" t="s">
        <v>216</v>
      </c>
      <c r="K2" s="60"/>
      <c r="L2" s="60"/>
      <c r="M2" s="61"/>
      <c r="N2" s="59" t="s">
        <v>217</v>
      </c>
      <c r="O2" s="60"/>
      <c r="P2" s="60"/>
      <c r="Q2" s="61"/>
      <c r="R2" t="s">
        <v>410</v>
      </c>
    </row>
    <row r="3" spans="1:18">
      <c r="A3" s="56" t="s">
        <v>194</v>
      </c>
      <c r="B3" s="76" t="s">
        <v>203</v>
      </c>
      <c r="C3" s="77" t="s">
        <v>204</v>
      </c>
      <c r="D3" s="77" t="s">
        <v>205</v>
      </c>
      <c r="E3" s="78" t="s">
        <v>190</v>
      </c>
      <c r="F3" s="76" t="s">
        <v>203</v>
      </c>
      <c r="G3" s="77" t="s">
        <v>204</v>
      </c>
      <c r="H3" s="77" t="s">
        <v>207</v>
      </c>
      <c r="I3" s="78" t="s">
        <v>190</v>
      </c>
      <c r="J3" s="62" t="s">
        <v>203</v>
      </c>
      <c r="K3" s="4" t="s">
        <v>204</v>
      </c>
      <c r="L3" s="4" t="s">
        <v>205</v>
      </c>
      <c r="M3" s="63" t="s">
        <v>190</v>
      </c>
      <c r="N3" s="62" t="s">
        <v>203</v>
      </c>
      <c r="O3" s="4" t="s">
        <v>204</v>
      </c>
      <c r="P3" s="4" t="s">
        <v>205</v>
      </c>
      <c r="Q3" s="63" t="s">
        <v>190</v>
      </c>
      <c r="R3" s="76" t="s">
        <v>203</v>
      </c>
    </row>
    <row r="4" spans="1:18">
      <c r="A4" t="s">
        <v>195</v>
      </c>
      <c r="B4" s="79">
        <f>3000*5</f>
        <v>15000</v>
      </c>
      <c r="C4" s="65">
        <f>3000*5</f>
        <v>15000</v>
      </c>
      <c r="D4" s="65">
        <f>3000*5</f>
        <v>15000</v>
      </c>
      <c r="E4" s="66">
        <f>3000*4.5</f>
        <v>13500</v>
      </c>
      <c r="F4" s="64">
        <f>3000*5</f>
        <v>15000</v>
      </c>
      <c r="G4" s="65">
        <f>3000*5</f>
        <v>15000</v>
      </c>
      <c r="H4" s="65">
        <v>15000</v>
      </c>
      <c r="I4" s="66">
        <f>3000*4.5</f>
        <v>13500</v>
      </c>
      <c r="J4" s="64">
        <f>3000*5</f>
        <v>15000</v>
      </c>
      <c r="K4" s="65">
        <f t="shared" ref="K4:L4" si="0">3000*5</f>
        <v>15000</v>
      </c>
      <c r="L4" s="65">
        <f t="shared" si="0"/>
        <v>15000</v>
      </c>
      <c r="M4" s="66">
        <f>3000*4.5</f>
        <v>13500</v>
      </c>
      <c r="N4" s="64">
        <f>3000*5</f>
        <v>15000</v>
      </c>
      <c r="O4" s="65">
        <f>3000*5</f>
        <v>15000</v>
      </c>
      <c r="P4" s="65">
        <v>15000</v>
      </c>
      <c r="Q4" s="66">
        <f>3000*4.5</f>
        <v>13500</v>
      </c>
      <c r="R4" s="79">
        <f>5000*5</f>
        <v>25000</v>
      </c>
    </row>
    <row r="5" spans="1:18">
      <c r="A5" t="s">
        <v>196</v>
      </c>
      <c r="B5" s="79">
        <f>2000*7</f>
        <v>14000</v>
      </c>
      <c r="C5" s="65">
        <f>2000*7</f>
        <v>14000</v>
      </c>
      <c r="D5" s="65">
        <f>2000*6</f>
        <v>12000</v>
      </c>
      <c r="E5" s="66">
        <v>12000</v>
      </c>
      <c r="F5" s="64">
        <f>2000*7</f>
        <v>14000</v>
      </c>
      <c r="G5" s="65">
        <f>2000*7</f>
        <v>14000</v>
      </c>
      <c r="H5" s="65">
        <f>2000*6</f>
        <v>12000</v>
      </c>
      <c r="I5" s="66">
        <v>12000</v>
      </c>
      <c r="J5" s="64">
        <f>2000*6</f>
        <v>12000</v>
      </c>
      <c r="K5" s="65">
        <f t="shared" ref="K5:L5" si="1">2000*6</f>
        <v>12000</v>
      </c>
      <c r="L5" s="65">
        <f t="shared" si="1"/>
        <v>12000</v>
      </c>
      <c r="M5" s="66">
        <v>12000</v>
      </c>
      <c r="N5" s="64">
        <f>2000*6</f>
        <v>12000</v>
      </c>
      <c r="O5" s="65">
        <f>2000*6</f>
        <v>12000</v>
      </c>
      <c r="P5" s="65">
        <f>2000*6</f>
        <v>12000</v>
      </c>
      <c r="Q5" s="66">
        <v>12000</v>
      </c>
      <c r="R5" s="79">
        <f>3350*7</f>
        <v>23450</v>
      </c>
    </row>
    <row r="6" spans="1:18">
      <c r="A6" t="s">
        <v>197</v>
      </c>
      <c r="B6" s="79">
        <f>2300*3</f>
        <v>6900</v>
      </c>
      <c r="C6" s="65">
        <f>2300*2.5</f>
        <v>5750</v>
      </c>
      <c r="D6" s="65">
        <f>2300*2</f>
        <v>4600</v>
      </c>
      <c r="E6" s="66">
        <f>2300*1.5</f>
        <v>3450</v>
      </c>
      <c r="F6" s="64">
        <f>2300*5.5</f>
        <v>12650</v>
      </c>
      <c r="G6" s="65">
        <f>2300*4</f>
        <v>9200</v>
      </c>
      <c r="H6" s="65">
        <f>2300*2</f>
        <v>4600</v>
      </c>
      <c r="I6" s="66">
        <f>2300*1.5</f>
        <v>3450</v>
      </c>
      <c r="J6" s="64">
        <f>2300*2</f>
        <v>4600</v>
      </c>
      <c r="K6" s="65">
        <f t="shared" ref="K6" si="2">2300*2</f>
        <v>4600</v>
      </c>
      <c r="L6" s="65">
        <f>2300*1</f>
        <v>2300</v>
      </c>
      <c r="M6" s="66">
        <f>2300*1</f>
        <v>2300</v>
      </c>
      <c r="N6" s="64">
        <f>2300*2</f>
        <v>4600</v>
      </c>
      <c r="O6" s="65">
        <f>2300*2</f>
        <v>4600</v>
      </c>
      <c r="P6" s="65">
        <f>2300*1</f>
        <v>2300</v>
      </c>
      <c r="Q6" s="66">
        <f>2300*1</f>
        <v>2300</v>
      </c>
      <c r="R6" s="79">
        <f>2300*3</f>
        <v>6900</v>
      </c>
    </row>
    <row r="7" spans="1:18">
      <c r="A7" t="s">
        <v>237</v>
      </c>
      <c r="B7" s="79">
        <v>23000</v>
      </c>
      <c r="C7" s="65">
        <v>19000</v>
      </c>
      <c r="D7" s="65">
        <v>18000</v>
      </c>
      <c r="E7" s="66">
        <v>15000</v>
      </c>
      <c r="F7" s="64">
        <v>31000</v>
      </c>
      <c r="G7" s="65">
        <v>24000</v>
      </c>
      <c r="H7" s="65">
        <v>22000</v>
      </c>
      <c r="I7" s="66">
        <v>20000</v>
      </c>
      <c r="J7" s="64">
        <v>52000</v>
      </c>
      <c r="K7" s="65">
        <v>45000</v>
      </c>
      <c r="L7" s="65">
        <v>39000</v>
      </c>
      <c r="M7" s="66">
        <v>27000</v>
      </c>
      <c r="N7" s="64">
        <v>60000</v>
      </c>
      <c r="O7" s="65">
        <v>60000</v>
      </c>
      <c r="P7" s="65">
        <v>45000</v>
      </c>
      <c r="Q7" s="66">
        <v>45000</v>
      </c>
      <c r="R7" s="79">
        <v>23000</v>
      </c>
    </row>
    <row r="8" spans="1:18">
      <c r="A8" t="s">
        <v>199</v>
      </c>
      <c r="B8" s="79">
        <f>21000+2500+1200+1300</f>
        <v>26000</v>
      </c>
      <c r="C8" s="65">
        <f>21000+2500+1200+1300</f>
        <v>26000</v>
      </c>
      <c r="D8" s="65">
        <f>2500+500+1300</f>
        <v>4300</v>
      </c>
      <c r="E8" s="66">
        <v>4300</v>
      </c>
      <c r="F8" s="64">
        <f>21000+2500+1200+1300</f>
        <v>26000</v>
      </c>
      <c r="G8" s="65">
        <f>21000+2500+1200+1300</f>
        <v>26000</v>
      </c>
      <c r="H8" s="65">
        <f>2500+500+1300</f>
        <v>4300</v>
      </c>
      <c r="I8" s="66">
        <v>4300</v>
      </c>
      <c r="J8" s="64">
        <f>21000+2500+1200+1300</f>
        <v>26000</v>
      </c>
      <c r="K8" s="65">
        <f>21000+2500+1200+1300</f>
        <v>26000</v>
      </c>
      <c r="L8" s="65">
        <f>2500+500+1300</f>
        <v>4300</v>
      </c>
      <c r="M8" s="66">
        <v>4300</v>
      </c>
      <c r="N8" s="64">
        <f>21000+2500+1200+1300</f>
        <v>26000</v>
      </c>
      <c r="O8" s="65">
        <f>21000+2500+1200+1300</f>
        <v>26000</v>
      </c>
      <c r="P8" s="65">
        <f>2500+500+1300</f>
        <v>4300</v>
      </c>
      <c r="Q8" s="66">
        <v>4300</v>
      </c>
      <c r="R8" s="79">
        <f>21000+2500+1200+1300</f>
        <v>26000</v>
      </c>
    </row>
    <row r="9" spans="1:18">
      <c r="A9" t="s">
        <v>200</v>
      </c>
      <c r="B9" s="64">
        <v>20000</v>
      </c>
      <c r="C9" s="65">
        <v>20000</v>
      </c>
      <c r="D9" s="65">
        <v>20000</v>
      </c>
      <c r="E9" s="66">
        <v>20000</v>
      </c>
      <c r="F9" s="64">
        <v>20000</v>
      </c>
      <c r="G9" s="65">
        <v>20000</v>
      </c>
      <c r="H9" s="65">
        <v>20000</v>
      </c>
      <c r="I9" s="66">
        <v>20000</v>
      </c>
      <c r="J9" s="64">
        <v>20000</v>
      </c>
      <c r="K9" s="65">
        <v>20000</v>
      </c>
      <c r="L9" s="65">
        <v>20000</v>
      </c>
      <c r="M9" s="66">
        <v>20000</v>
      </c>
      <c r="N9" s="64">
        <v>20000</v>
      </c>
      <c r="O9" s="65">
        <v>20000</v>
      </c>
      <c r="P9" s="65">
        <v>20000</v>
      </c>
      <c r="Q9" s="66">
        <v>20000</v>
      </c>
      <c r="R9" s="64">
        <v>25000</v>
      </c>
    </row>
    <row r="10" spans="1:18">
      <c r="A10" t="s">
        <v>201</v>
      </c>
      <c r="B10" s="67">
        <v>15000</v>
      </c>
      <c r="C10" s="68">
        <v>15000</v>
      </c>
      <c r="D10" s="68">
        <v>15000</v>
      </c>
      <c r="E10" s="69">
        <v>15000</v>
      </c>
      <c r="F10" s="67">
        <v>15000</v>
      </c>
      <c r="G10" s="68">
        <v>15000</v>
      </c>
      <c r="H10" s="68">
        <v>15000</v>
      </c>
      <c r="I10" s="69">
        <v>15000</v>
      </c>
      <c r="J10" s="67">
        <v>15000</v>
      </c>
      <c r="K10" s="68">
        <v>15000</v>
      </c>
      <c r="L10" s="68">
        <v>15000</v>
      </c>
      <c r="M10" s="69">
        <v>15000</v>
      </c>
      <c r="N10" s="67">
        <v>15000</v>
      </c>
      <c r="O10" s="68">
        <v>15000</v>
      </c>
      <c r="P10" s="68">
        <v>15000</v>
      </c>
      <c r="Q10" s="69">
        <v>15000</v>
      </c>
      <c r="R10" s="67">
        <v>15000</v>
      </c>
    </row>
    <row r="11" spans="1:18">
      <c r="A11" t="s">
        <v>202</v>
      </c>
      <c r="B11" s="67">
        <v>5000</v>
      </c>
      <c r="C11" s="68">
        <v>5000</v>
      </c>
      <c r="D11" s="68">
        <v>5000</v>
      </c>
      <c r="E11" s="69">
        <v>5000</v>
      </c>
      <c r="F11" s="67">
        <v>5000</v>
      </c>
      <c r="G11" s="68">
        <v>5000</v>
      </c>
      <c r="H11" s="68">
        <v>5000</v>
      </c>
      <c r="I11" s="69">
        <v>5000</v>
      </c>
      <c r="J11" s="67">
        <v>5000</v>
      </c>
      <c r="K11" s="68">
        <v>5000</v>
      </c>
      <c r="L11" s="68">
        <v>5000</v>
      </c>
      <c r="M11" s="69">
        <v>5000</v>
      </c>
      <c r="N11" s="67">
        <v>5000</v>
      </c>
      <c r="O11" s="68">
        <v>5000</v>
      </c>
      <c r="P11" s="68">
        <v>5000</v>
      </c>
      <c r="Q11" s="69">
        <v>5000</v>
      </c>
      <c r="R11" s="67">
        <v>5000</v>
      </c>
    </row>
    <row r="12" spans="1:18">
      <c r="A12" s="3" t="s">
        <v>215</v>
      </c>
      <c r="B12" s="70">
        <f>SUM(B4:B11)</f>
        <v>124900</v>
      </c>
      <c r="C12" s="71">
        <f t="shared" ref="C12:I12" si="3">SUM(C4:C11)</f>
        <v>119750</v>
      </c>
      <c r="D12" s="71">
        <f t="shared" si="3"/>
        <v>93900</v>
      </c>
      <c r="E12" s="72">
        <f t="shared" si="3"/>
        <v>88250</v>
      </c>
      <c r="F12" s="70">
        <f t="shared" si="3"/>
        <v>138650</v>
      </c>
      <c r="G12" s="71">
        <f t="shared" si="3"/>
        <v>128200</v>
      </c>
      <c r="H12" s="71">
        <f t="shared" si="3"/>
        <v>97900</v>
      </c>
      <c r="I12" s="72">
        <f t="shared" si="3"/>
        <v>93250</v>
      </c>
      <c r="J12" s="70">
        <f t="shared" ref="J12:M12" si="4">SUM(J4:J11)</f>
        <v>149600</v>
      </c>
      <c r="K12" s="71">
        <f t="shared" si="4"/>
        <v>142600</v>
      </c>
      <c r="L12" s="71">
        <f t="shared" si="4"/>
        <v>112600</v>
      </c>
      <c r="M12" s="72">
        <f t="shared" si="4"/>
        <v>99100</v>
      </c>
      <c r="N12" s="70">
        <f t="shared" ref="N12:Q12" si="5">SUM(N4:N11)</f>
        <v>157600</v>
      </c>
      <c r="O12" s="71">
        <f t="shared" si="5"/>
        <v>157600</v>
      </c>
      <c r="P12" s="71">
        <f t="shared" si="5"/>
        <v>118600</v>
      </c>
      <c r="Q12" s="72">
        <f t="shared" si="5"/>
        <v>117100</v>
      </c>
      <c r="R12" s="70">
        <f>SUM(R4:R11)</f>
        <v>149350</v>
      </c>
    </row>
    <row r="13" spans="1:18">
      <c r="A13" s="50">
        <v>0.2</v>
      </c>
      <c r="B13" s="64">
        <f t="shared" ref="B13:I13" si="6">+B12*1.2</f>
        <v>149880</v>
      </c>
      <c r="C13" s="65">
        <f t="shared" si="6"/>
        <v>143700</v>
      </c>
      <c r="D13" s="65">
        <f t="shared" si="6"/>
        <v>112680</v>
      </c>
      <c r="E13" s="66">
        <f t="shared" si="6"/>
        <v>105900</v>
      </c>
      <c r="F13" s="64">
        <f t="shared" si="6"/>
        <v>166380</v>
      </c>
      <c r="G13" s="65">
        <f t="shared" si="6"/>
        <v>153840</v>
      </c>
      <c r="H13" s="65">
        <f t="shared" si="6"/>
        <v>117480</v>
      </c>
      <c r="I13" s="66">
        <f t="shared" si="6"/>
        <v>111900</v>
      </c>
      <c r="J13" s="64">
        <f t="shared" ref="J13:M13" si="7">+J12*1.2</f>
        <v>179520</v>
      </c>
      <c r="K13" s="65">
        <f t="shared" si="7"/>
        <v>171120</v>
      </c>
      <c r="L13" s="65">
        <f t="shared" si="7"/>
        <v>135120</v>
      </c>
      <c r="M13" s="66">
        <f t="shared" si="7"/>
        <v>118920</v>
      </c>
      <c r="N13" s="64">
        <f t="shared" ref="N13:R13" si="8">+N12*1.2</f>
        <v>189120</v>
      </c>
      <c r="O13" s="65">
        <f t="shared" si="8"/>
        <v>189120</v>
      </c>
      <c r="P13" s="65">
        <f t="shared" si="8"/>
        <v>142320</v>
      </c>
      <c r="Q13" s="66">
        <f t="shared" si="8"/>
        <v>140520</v>
      </c>
      <c r="R13" s="64">
        <f t="shared" si="8"/>
        <v>179220</v>
      </c>
    </row>
    <row r="14" spans="1:18" ht="15.75" thickBot="1">
      <c r="A14" s="50">
        <v>0.3</v>
      </c>
      <c r="B14" s="73">
        <f t="shared" ref="B14:I14" si="9">+B12*1.3</f>
        <v>162370</v>
      </c>
      <c r="C14" s="74">
        <f t="shared" si="9"/>
        <v>155675</v>
      </c>
      <c r="D14" s="74">
        <f t="shared" si="9"/>
        <v>122070</v>
      </c>
      <c r="E14" s="75">
        <f t="shared" si="9"/>
        <v>114725</v>
      </c>
      <c r="F14" s="73">
        <f t="shared" si="9"/>
        <v>180245</v>
      </c>
      <c r="G14" s="74">
        <f t="shared" si="9"/>
        <v>166660</v>
      </c>
      <c r="H14" s="74">
        <f t="shared" si="9"/>
        <v>127270</v>
      </c>
      <c r="I14" s="75">
        <f t="shared" si="9"/>
        <v>121225</v>
      </c>
      <c r="J14" s="73">
        <f t="shared" ref="J14:M14" si="10">+J12*1.3</f>
        <v>194480</v>
      </c>
      <c r="K14" s="74">
        <f t="shared" si="10"/>
        <v>185380</v>
      </c>
      <c r="L14" s="74">
        <f t="shared" si="10"/>
        <v>146380</v>
      </c>
      <c r="M14" s="75">
        <f t="shared" si="10"/>
        <v>128830</v>
      </c>
      <c r="N14" s="73">
        <f t="shared" ref="N14:R14" si="11">+N12*1.3</f>
        <v>204880</v>
      </c>
      <c r="O14" s="74">
        <f t="shared" si="11"/>
        <v>204880</v>
      </c>
      <c r="P14" s="74">
        <f t="shared" si="11"/>
        <v>154180</v>
      </c>
      <c r="Q14" s="75">
        <f t="shared" si="11"/>
        <v>152230</v>
      </c>
      <c r="R14" s="73">
        <f t="shared" si="11"/>
        <v>194155</v>
      </c>
    </row>
    <row r="15" spans="1:18" ht="15.75" thickBot="1"/>
    <row r="16" spans="1:18">
      <c r="A16" s="56" t="s">
        <v>230</v>
      </c>
      <c r="B16" s="80" t="s">
        <v>203</v>
      </c>
      <c r="C16" s="81" t="s">
        <v>204</v>
      </c>
    </row>
    <row r="17" spans="1:20">
      <c r="A17" t="s">
        <v>195</v>
      </c>
      <c r="B17" s="79">
        <f>3000*5</f>
        <v>15000</v>
      </c>
      <c r="C17" s="66">
        <f>3000*5</f>
        <v>15000</v>
      </c>
    </row>
    <row r="18" spans="1:20">
      <c r="A18" t="s">
        <v>196</v>
      </c>
      <c r="B18" s="79">
        <f>2000*7</f>
        <v>14000</v>
      </c>
      <c r="C18" s="66">
        <f>2000*6.5</f>
        <v>13000</v>
      </c>
    </row>
    <row r="19" spans="1:20">
      <c r="A19" t="s">
        <v>197</v>
      </c>
      <c r="B19" s="79">
        <f>2300*4</f>
        <v>9200</v>
      </c>
      <c r="C19" s="66">
        <f>2300*3.5</f>
        <v>8050</v>
      </c>
    </row>
    <row r="20" spans="1:20">
      <c r="A20" t="s">
        <v>229</v>
      </c>
      <c r="B20" s="79">
        <v>10000</v>
      </c>
      <c r="C20" s="66">
        <v>10000</v>
      </c>
    </row>
    <row r="21" spans="1:20">
      <c r="A21" t="s">
        <v>198</v>
      </c>
      <c r="B21" s="64">
        <v>31000</v>
      </c>
      <c r="C21" s="66">
        <v>24000</v>
      </c>
    </row>
    <row r="22" spans="1:20">
      <c r="A22" t="s">
        <v>199</v>
      </c>
      <c r="B22" s="79">
        <f>21000+2500+1200+1300</f>
        <v>26000</v>
      </c>
      <c r="C22" s="66">
        <f>21000+2500+1200+1300</f>
        <v>26000</v>
      </c>
    </row>
    <row r="23" spans="1:20">
      <c r="A23" t="s">
        <v>200</v>
      </c>
      <c r="B23" s="64">
        <v>22000</v>
      </c>
      <c r="C23" s="66">
        <v>22000</v>
      </c>
    </row>
    <row r="24" spans="1:20">
      <c r="A24" t="s">
        <v>201</v>
      </c>
      <c r="B24" s="67">
        <v>15000</v>
      </c>
      <c r="C24" s="69">
        <v>15000</v>
      </c>
    </row>
    <row r="25" spans="1:20">
      <c r="A25" t="s">
        <v>202</v>
      </c>
      <c r="B25" s="67">
        <v>5000</v>
      </c>
      <c r="C25" s="69">
        <v>5000</v>
      </c>
    </row>
    <row r="26" spans="1:20">
      <c r="A26" s="3" t="s">
        <v>215</v>
      </c>
      <c r="B26" s="70">
        <f>SUM(B17:B25)</f>
        <v>147200</v>
      </c>
      <c r="C26" s="72">
        <f t="shared" ref="C26" si="12">SUM(C17:C25)</f>
        <v>138050</v>
      </c>
    </row>
    <row r="27" spans="1:20">
      <c r="A27" s="50">
        <v>0.2</v>
      </c>
      <c r="B27" s="64">
        <f t="shared" ref="B27:C27" si="13">+B26*1.2</f>
        <v>176640</v>
      </c>
      <c r="C27" s="66">
        <f t="shared" si="13"/>
        <v>165660</v>
      </c>
    </row>
    <row r="28" spans="1:20" ht="15.75" thickBot="1">
      <c r="A28" s="50">
        <v>0.3</v>
      </c>
      <c r="B28" s="73">
        <f t="shared" ref="B28:C28" si="14">+B26*1.3</f>
        <v>191360</v>
      </c>
      <c r="C28" s="75">
        <f t="shared" si="14"/>
        <v>179465</v>
      </c>
    </row>
    <row r="30" spans="1:20" ht="15.75" thickBot="1">
      <c r="K30" s="56" t="s">
        <v>228</v>
      </c>
    </row>
    <row r="31" spans="1:20">
      <c r="A31" s="56" t="s">
        <v>219</v>
      </c>
      <c r="B31" s="80" t="s">
        <v>203</v>
      </c>
      <c r="C31" s="82" t="s">
        <v>203</v>
      </c>
      <c r="D31" s="82" t="s">
        <v>203</v>
      </c>
      <c r="E31" s="82" t="s">
        <v>227</v>
      </c>
      <c r="F31" s="82" t="s">
        <v>227</v>
      </c>
      <c r="G31" s="82" t="s">
        <v>227</v>
      </c>
      <c r="H31" s="82" t="s">
        <v>204</v>
      </c>
      <c r="I31" s="82" t="s">
        <v>204</v>
      </c>
      <c r="J31" s="81" t="s">
        <v>204</v>
      </c>
      <c r="K31" s="80" t="s">
        <v>203</v>
      </c>
      <c r="L31" s="82" t="s">
        <v>203</v>
      </c>
      <c r="M31" s="82" t="s">
        <v>203</v>
      </c>
      <c r="N31" s="82" t="s">
        <v>227</v>
      </c>
      <c r="O31" s="82" t="s">
        <v>227</v>
      </c>
      <c r="P31" s="82" t="s">
        <v>227</v>
      </c>
      <c r="Q31" s="82" t="s">
        <v>204</v>
      </c>
      <c r="R31" s="82" t="s">
        <v>204</v>
      </c>
      <c r="S31" s="81" t="s">
        <v>204</v>
      </c>
      <c r="T31" s="119" t="s">
        <v>478</v>
      </c>
    </row>
    <row r="32" spans="1:20">
      <c r="A32" t="s">
        <v>220</v>
      </c>
      <c r="B32" s="79">
        <f>3500*5</f>
        <v>17500</v>
      </c>
      <c r="C32" s="65"/>
      <c r="D32" s="4"/>
      <c r="E32" s="8">
        <f>3500*5</f>
        <v>17500</v>
      </c>
      <c r="F32" s="65"/>
      <c r="G32" s="4"/>
      <c r="H32" s="8">
        <f>3500*5</f>
        <v>17500</v>
      </c>
      <c r="I32" s="65"/>
      <c r="J32" s="63"/>
      <c r="K32" s="79">
        <f>3500*5</f>
        <v>17500</v>
      </c>
      <c r="L32" s="65"/>
      <c r="M32" s="4"/>
      <c r="N32" s="8">
        <f>3500*5</f>
        <v>17500</v>
      </c>
      <c r="O32" s="65"/>
      <c r="P32" s="4"/>
      <c r="Q32" s="8">
        <f>3500*5</f>
        <v>17500</v>
      </c>
      <c r="R32" s="65"/>
      <c r="S32" s="63"/>
      <c r="T32" s="8">
        <f>6000*6</f>
        <v>36000</v>
      </c>
    </row>
    <row r="33" spans="1:20">
      <c r="A33" t="s">
        <v>221</v>
      </c>
      <c r="B33" s="79"/>
      <c r="C33" s="65">
        <f>4200*5</f>
        <v>21000</v>
      </c>
      <c r="D33" s="4"/>
      <c r="E33" s="8"/>
      <c r="F33" s="65">
        <f>4200*5</f>
        <v>21000</v>
      </c>
      <c r="G33" s="4"/>
      <c r="H33" s="8"/>
      <c r="I33" s="65">
        <f>4200*5</f>
        <v>21000</v>
      </c>
      <c r="J33" s="63"/>
      <c r="K33" s="79"/>
      <c r="L33" s="65">
        <f>4200*5</f>
        <v>21000</v>
      </c>
      <c r="M33" s="4"/>
      <c r="N33" s="8"/>
      <c r="O33" s="65">
        <f>4200*5</f>
        <v>21000</v>
      </c>
      <c r="P33" s="4"/>
      <c r="Q33" s="8"/>
      <c r="R33" s="65">
        <f>4200*5</f>
        <v>21000</v>
      </c>
      <c r="S33" s="63"/>
      <c r="T33" s="8"/>
    </row>
    <row r="34" spans="1:20">
      <c r="A34" t="s">
        <v>222</v>
      </c>
      <c r="B34" s="79"/>
      <c r="C34" s="65"/>
      <c r="D34" s="4">
        <f>5000*5</f>
        <v>25000</v>
      </c>
      <c r="E34" s="8"/>
      <c r="F34" s="65"/>
      <c r="G34" s="4">
        <f>5000*5</f>
        <v>25000</v>
      </c>
      <c r="H34" s="8"/>
      <c r="I34" s="65"/>
      <c r="J34" s="63">
        <f>5000*5</f>
        <v>25000</v>
      </c>
      <c r="K34" s="79"/>
      <c r="L34" s="65"/>
      <c r="M34" s="4">
        <f>5000*5</f>
        <v>25000</v>
      </c>
      <c r="N34" s="8"/>
      <c r="O34" s="65"/>
      <c r="P34" s="4">
        <f>5000*5</f>
        <v>25000</v>
      </c>
      <c r="Q34" s="8"/>
      <c r="R34" s="65"/>
      <c r="S34" s="63">
        <f>5000*5</f>
        <v>25000</v>
      </c>
      <c r="T34" s="8">
        <f>2000*2</f>
        <v>4000</v>
      </c>
    </row>
    <row r="35" spans="1:20">
      <c r="A35" t="s">
        <v>209</v>
      </c>
      <c r="B35" s="79">
        <f>5000*7</f>
        <v>35000</v>
      </c>
      <c r="C35" s="8">
        <f t="shared" ref="C35:G35" si="15">5000*7</f>
        <v>35000</v>
      </c>
      <c r="D35" s="8">
        <f t="shared" si="15"/>
        <v>35000</v>
      </c>
      <c r="E35" s="8">
        <f>5000*7</f>
        <v>35000</v>
      </c>
      <c r="F35" s="8">
        <f t="shared" si="15"/>
        <v>35000</v>
      </c>
      <c r="G35" s="8">
        <f t="shared" si="15"/>
        <v>35000</v>
      </c>
      <c r="H35" s="8">
        <f>5000*6.5</f>
        <v>32500</v>
      </c>
      <c r="I35" s="8">
        <f t="shared" ref="I35:J35" si="16">5000*6.5</f>
        <v>32500</v>
      </c>
      <c r="J35" s="83">
        <f t="shared" si="16"/>
        <v>32500</v>
      </c>
      <c r="K35" s="79">
        <f>5000*7</f>
        <v>35000</v>
      </c>
      <c r="L35" s="8">
        <f t="shared" ref="L35:P35" si="17">5000*7</f>
        <v>35000</v>
      </c>
      <c r="M35" s="8">
        <f t="shared" si="17"/>
        <v>35000</v>
      </c>
      <c r="N35" s="8">
        <f>5000*7</f>
        <v>35000</v>
      </c>
      <c r="O35" s="8">
        <f t="shared" si="17"/>
        <v>35000</v>
      </c>
      <c r="P35" s="8">
        <f t="shared" si="17"/>
        <v>35000</v>
      </c>
      <c r="Q35" s="8">
        <f>5000*6.5</f>
        <v>32500</v>
      </c>
      <c r="R35" s="8">
        <f t="shared" ref="R35:S35" si="18">5000*6.5</f>
        <v>32500</v>
      </c>
      <c r="S35" s="83">
        <f t="shared" si="18"/>
        <v>32500</v>
      </c>
      <c r="T35" s="8">
        <f>5000*12</f>
        <v>60000</v>
      </c>
    </row>
    <row r="36" spans="1:20">
      <c r="A36" t="s">
        <v>197</v>
      </c>
      <c r="B36" s="79">
        <f>2300*4</f>
        <v>9200</v>
      </c>
      <c r="C36" s="8">
        <f t="shared" ref="C36:F36" si="19">2300*4</f>
        <v>9200</v>
      </c>
      <c r="D36" s="8">
        <f t="shared" si="19"/>
        <v>9200</v>
      </c>
      <c r="E36" s="8">
        <f>2300*4</f>
        <v>9200</v>
      </c>
      <c r="F36" s="8">
        <f t="shared" si="19"/>
        <v>9200</v>
      </c>
      <c r="G36" s="8">
        <f>2300*3</f>
        <v>6900</v>
      </c>
      <c r="H36" s="8">
        <f t="shared" ref="H36:J36" si="20">2300*3</f>
        <v>6900</v>
      </c>
      <c r="I36" s="8">
        <f t="shared" si="20"/>
        <v>6900</v>
      </c>
      <c r="J36" s="83">
        <f t="shared" si="20"/>
        <v>6900</v>
      </c>
      <c r="K36" s="79"/>
      <c r="L36" s="8"/>
      <c r="M36" s="8"/>
      <c r="N36" s="8"/>
      <c r="O36" s="8"/>
      <c r="P36" s="8"/>
      <c r="Q36" s="8"/>
      <c r="R36" s="8"/>
      <c r="S36" s="83"/>
      <c r="T36" s="8">
        <f>9200*2</f>
        <v>18400</v>
      </c>
    </row>
    <row r="37" spans="1:20">
      <c r="A37" t="s">
        <v>223</v>
      </c>
      <c r="B37" s="79">
        <v>10000</v>
      </c>
      <c r="C37" s="8">
        <v>10000</v>
      </c>
      <c r="D37" s="8">
        <v>10000</v>
      </c>
      <c r="E37" s="8">
        <v>10000</v>
      </c>
      <c r="F37" s="8">
        <v>10000</v>
      </c>
      <c r="G37" s="8">
        <v>10000</v>
      </c>
      <c r="H37" s="8">
        <v>10000</v>
      </c>
      <c r="I37" s="8">
        <v>10000</v>
      </c>
      <c r="J37" s="83">
        <v>10000</v>
      </c>
      <c r="K37" s="79"/>
      <c r="L37" s="8"/>
      <c r="M37" s="8"/>
      <c r="N37" s="8"/>
      <c r="O37" s="8"/>
      <c r="P37" s="8"/>
      <c r="Q37" s="8"/>
      <c r="R37" s="8"/>
      <c r="S37" s="83"/>
      <c r="T37" s="8">
        <f>10000*2</f>
        <v>20000</v>
      </c>
    </row>
    <row r="38" spans="1:20">
      <c r="A38" t="s">
        <v>224</v>
      </c>
      <c r="B38" s="79">
        <v>31000</v>
      </c>
      <c r="C38" s="65">
        <v>31000</v>
      </c>
      <c r="D38" s="4">
        <v>31000</v>
      </c>
      <c r="E38" s="8">
        <v>27000</v>
      </c>
      <c r="F38" s="8">
        <v>27000</v>
      </c>
      <c r="G38" s="8">
        <v>27000</v>
      </c>
      <c r="H38" s="8">
        <v>24000</v>
      </c>
      <c r="I38" s="8">
        <v>24000</v>
      </c>
      <c r="J38" s="83">
        <v>24000</v>
      </c>
      <c r="K38" s="79">
        <v>60000</v>
      </c>
      <c r="L38" s="8">
        <v>60000</v>
      </c>
      <c r="M38" s="8">
        <v>60000</v>
      </c>
      <c r="N38" s="8">
        <v>60000</v>
      </c>
      <c r="O38" s="8">
        <v>60000</v>
      </c>
      <c r="P38" s="8">
        <v>60000</v>
      </c>
      <c r="Q38" s="8">
        <v>60000</v>
      </c>
      <c r="R38" s="8">
        <v>60000</v>
      </c>
      <c r="S38" s="83">
        <v>60000</v>
      </c>
      <c r="T38" s="8">
        <v>72000</v>
      </c>
    </row>
    <row r="39" spans="1:20">
      <c r="A39" t="s">
        <v>199</v>
      </c>
      <c r="B39" s="79">
        <f>21000+2500+2200+2000</f>
        <v>27700</v>
      </c>
      <c r="C39" s="8">
        <f t="shared" ref="C39:S39" si="21">21000+2500+2200+2000</f>
        <v>27700</v>
      </c>
      <c r="D39" s="8">
        <f t="shared" si="21"/>
        <v>27700</v>
      </c>
      <c r="E39" s="8">
        <f t="shared" si="21"/>
        <v>27700</v>
      </c>
      <c r="F39" s="8">
        <f t="shared" si="21"/>
        <v>27700</v>
      </c>
      <c r="G39" s="8">
        <f t="shared" si="21"/>
        <v>27700</v>
      </c>
      <c r="H39" s="8">
        <f t="shared" si="21"/>
        <v>27700</v>
      </c>
      <c r="I39" s="8">
        <f t="shared" si="21"/>
        <v>27700</v>
      </c>
      <c r="J39" s="83">
        <f t="shared" si="21"/>
        <v>27700</v>
      </c>
      <c r="K39" s="79">
        <f t="shared" si="21"/>
        <v>27700</v>
      </c>
      <c r="L39" s="8">
        <f t="shared" si="21"/>
        <v>27700</v>
      </c>
      <c r="M39" s="8">
        <f t="shared" si="21"/>
        <v>27700</v>
      </c>
      <c r="N39" s="8">
        <f t="shared" si="21"/>
        <v>27700</v>
      </c>
      <c r="O39" s="8">
        <f t="shared" si="21"/>
        <v>27700</v>
      </c>
      <c r="P39" s="8">
        <f t="shared" si="21"/>
        <v>27700</v>
      </c>
      <c r="Q39" s="8">
        <f t="shared" si="21"/>
        <v>27700</v>
      </c>
      <c r="R39" s="8">
        <f t="shared" si="21"/>
        <v>27700</v>
      </c>
      <c r="S39" s="83">
        <f t="shared" si="21"/>
        <v>27700</v>
      </c>
      <c r="T39" s="8">
        <f>21000+2200+5100+12000</f>
        <v>40300</v>
      </c>
    </row>
    <row r="40" spans="1:20">
      <c r="A40" t="s">
        <v>200</v>
      </c>
      <c r="B40" s="64">
        <v>30000</v>
      </c>
      <c r="C40" s="65">
        <v>30000</v>
      </c>
      <c r="D40" s="65">
        <v>30000</v>
      </c>
      <c r="E40" s="65">
        <v>30000</v>
      </c>
      <c r="F40" s="65">
        <v>30000</v>
      </c>
      <c r="G40" s="65">
        <v>30000</v>
      </c>
      <c r="H40" s="65">
        <v>30000</v>
      </c>
      <c r="I40" s="65">
        <v>30000</v>
      </c>
      <c r="J40" s="66">
        <v>30000</v>
      </c>
      <c r="K40" s="64">
        <v>30000</v>
      </c>
      <c r="L40" s="65">
        <v>30000</v>
      </c>
      <c r="M40" s="65">
        <v>30000</v>
      </c>
      <c r="N40" s="65">
        <v>30000</v>
      </c>
      <c r="O40" s="65">
        <v>30000</v>
      </c>
      <c r="P40" s="65">
        <v>30000</v>
      </c>
      <c r="Q40" s="65">
        <v>30000</v>
      </c>
      <c r="R40" s="65">
        <v>30000</v>
      </c>
      <c r="S40" s="66">
        <v>30000</v>
      </c>
      <c r="T40" s="65">
        <v>50000</v>
      </c>
    </row>
    <row r="41" spans="1:20">
      <c r="A41" t="s">
        <v>225</v>
      </c>
      <c r="B41" s="67">
        <v>20000</v>
      </c>
      <c r="C41" s="68">
        <v>20000</v>
      </c>
      <c r="D41" s="68">
        <v>20000</v>
      </c>
      <c r="E41" s="68">
        <v>20000</v>
      </c>
      <c r="F41" s="68">
        <v>20000</v>
      </c>
      <c r="G41" s="68">
        <v>20000</v>
      </c>
      <c r="H41" s="68">
        <v>20000</v>
      </c>
      <c r="I41" s="68">
        <v>20000</v>
      </c>
      <c r="J41" s="69">
        <v>20000</v>
      </c>
      <c r="K41" s="67">
        <v>20000</v>
      </c>
      <c r="L41" s="68">
        <v>20000</v>
      </c>
      <c r="M41" s="68">
        <v>20000</v>
      </c>
      <c r="N41" s="68">
        <v>20000</v>
      </c>
      <c r="O41" s="68">
        <v>20000</v>
      </c>
      <c r="P41" s="68">
        <v>20000</v>
      </c>
      <c r="Q41" s="68">
        <v>20000</v>
      </c>
      <c r="R41" s="68">
        <v>20000</v>
      </c>
      <c r="S41" s="69">
        <v>20000</v>
      </c>
      <c r="T41" s="68">
        <v>40000</v>
      </c>
    </row>
    <row r="42" spans="1:20">
      <c r="A42" s="3" t="s">
        <v>215</v>
      </c>
      <c r="B42" s="70">
        <f>SUM(B32:B41)</f>
        <v>180400</v>
      </c>
      <c r="C42" s="71">
        <f t="shared" ref="C42:D42" si="22">SUM(C32:C41)</f>
        <v>183900</v>
      </c>
      <c r="D42" s="71">
        <f t="shared" si="22"/>
        <v>187900</v>
      </c>
      <c r="E42" s="71">
        <f>SUM(E32:E41)</f>
        <v>176400</v>
      </c>
      <c r="F42" s="71">
        <f t="shared" ref="F42" si="23">SUM(F32:F41)</f>
        <v>179900</v>
      </c>
      <c r="G42" s="71">
        <f t="shared" ref="G42" si="24">SUM(G32:G41)</f>
        <v>181600</v>
      </c>
      <c r="H42" s="71">
        <f>SUM(H32:H41)</f>
        <v>168600</v>
      </c>
      <c r="I42" s="71">
        <f t="shared" ref="I42" si="25">SUM(I32:I41)</f>
        <v>172100</v>
      </c>
      <c r="J42" s="72">
        <f t="shared" ref="J42" si="26">SUM(J32:J41)</f>
        <v>176100</v>
      </c>
      <c r="K42" s="70">
        <f>SUM(K32:K41)</f>
        <v>190200</v>
      </c>
      <c r="L42" s="71">
        <f t="shared" ref="L42" si="27">SUM(L32:L41)</f>
        <v>193700</v>
      </c>
      <c r="M42" s="71">
        <f t="shared" ref="M42" si="28">SUM(M32:M41)</f>
        <v>197700</v>
      </c>
      <c r="N42" s="71">
        <f>SUM(N32:N41)</f>
        <v>190200</v>
      </c>
      <c r="O42" s="71">
        <f t="shared" ref="O42" si="29">SUM(O32:O41)</f>
        <v>193700</v>
      </c>
      <c r="P42" s="71">
        <f t="shared" ref="P42" si="30">SUM(P32:P41)</f>
        <v>197700</v>
      </c>
      <c r="Q42" s="71">
        <f>SUM(Q32:Q41)</f>
        <v>187700</v>
      </c>
      <c r="R42" s="71">
        <f t="shared" ref="R42" si="31">SUM(R32:R41)</f>
        <v>191200</v>
      </c>
      <c r="S42" s="72">
        <f t="shared" ref="S42" si="32">SUM(S32:S41)</f>
        <v>195200</v>
      </c>
      <c r="T42" s="71">
        <f>SUM(T32:T41)</f>
        <v>340700</v>
      </c>
    </row>
    <row r="43" spans="1:20">
      <c r="A43" s="50">
        <v>0.2</v>
      </c>
      <c r="B43" s="64">
        <f t="shared" ref="B43" si="33">+B42*1.2</f>
        <v>216480</v>
      </c>
      <c r="C43" s="65">
        <f t="shared" ref="C43:E43" si="34">+C42*1.2</f>
        <v>220680</v>
      </c>
      <c r="D43" s="65">
        <f t="shared" si="34"/>
        <v>225480</v>
      </c>
      <c r="E43" s="65">
        <f t="shared" si="34"/>
        <v>211680</v>
      </c>
      <c r="F43" s="65">
        <f t="shared" ref="F43:N43" si="35">+F42*1.2</f>
        <v>215880</v>
      </c>
      <c r="G43" s="65">
        <f t="shared" si="35"/>
        <v>217920</v>
      </c>
      <c r="H43" s="65">
        <f t="shared" si="35"/>
        <v>202320</v>
      </c>
      <c r="I43" s="65">
        <f t="shared" si="35"/>
        <v>206520</v>
      </c>
      <c r="J43" s="66">
        <f t="shared" si="35"/>
        <v>211320</v>
      </c>
      <c r="K43" s="64">
        <f t="shared" si="35"/>
        <v>228240</v>
      </c>
      <c r="L43" s="65">
        <f t="shared" si="35"/>
        <v>232440</v>
      </c>
      <c r="M43" s="65">
        <f t="shared" si="35"/>
        <v>237240</v>
      </c>
      <c r="N43" s="65">
        <f t="shared" si="35"/>
        <v>228240</v>
      </c>
      <c r="O43" s="65">
        <f t="shared" ref="O43:T43" si="36">+O42*1.2</f>
        <v>232440</v>
      </c>
      <c r="P43" s="65">
        <f t="shared" si="36"/>
        <v>237240</v>
      </c>
      <c r="Q43" s="65">
        <f t="shared" si="36"/>
        <v>225240</v>
      </c>
      <c r="R43" s="65">
        <f t="shared" si="36"/>
        <v>229440</v>
      </c>
      <c r="S43" s="66">
        <f t="shared" si="36"/>
        <v>234240</v>
      </c>
      <c r="T43" s="65">
        <f t="shared" si="36"/>
        <v>408840</v>
      </c>
    </row>
    <row r="44" spans="1:20">
      <c r="A44" s="50">
        <v>0.3</v>
      </c>
      <c r="B44" s="64">
        <f t="shared" ref="B44" si="37">+B42*1.3</f>
        <v>234520</v>
      </c>
      <c r="C44" s="65">
        <f t="shared" ref="C44:E44" si="38">+C42*1.3</f>
        <v>239070</v>
      </c>
      <c r="D44" s="65">
        <f t="shared" si="38"/>
        <v>244270</v>
      </c>
      <c r="E44" s="65">
        <f t="shared" si="38"/>
        <v>229320</v>
      </c>
      <c r="F44" s="65">
        <f t="shared" ref="F44:N44" si="39">+F42*1.3</f>
        <v>233870</v>
      </c>
      <c r="G44" s="65">
        <f t="shared" si="39"/>
        <v>236080</v>
      </c>
      <c r="H44" s="65">
        <f t="shared" si="39"/>
        <v>219180</v>
      </c>
      <c r="I44" s="65">
        <f t="shared" si="39"/>
        <v>223730</v>
      </c>
      <c r="J44" s="66">
        <f t="shared" si="39"/>
        <v>228930</v>
      </c>
      <c r="K44" s="64">
        <f t="shared" si="39"/>
        <v>247260</v>
      </c>
      <c r="L44" s="65">
        <f t="shared" si="39"/>
        <v>251810</v>
      </c>
      <c r="M44" s="65">
        <f t="shared" si="39"/>
        <v>257010</v>
      </c>
      <c r="N44" s="65">
        <f t="shared" si="39"/>
        <v>247260</v>
      </c>
      <c r="O44" s="65">
        <f t="shared" ref="O44:T44" si="40">+O42*1.3</f>
        <v>251810</v>
      </c>
      <c r="P44" s="65">
        <f t="shared" si="40"/>
        <v>257010</v>
      </c>
      <c r="Q44" s="65">
        <f t="shared" si="40"/>
        <v>244010</v>
      </c>
      <c r="R44" s="65">
        <f t="shared" si="40"/>
        <v>248560</v>
      </c>
      <c r="S44" s="66">
        <f t="shared" si="40"/>
        <v>253760</v>
      </c>
      <c r="T44" s="65">
        <f t="shared" si="40"/>
        <v>442910</v>
      </c>
    </row>
    <row r="45" spans="1:20">
      <c r="A45" t="s">
        <v>226</v>
      </c>
      <c r="B45" s="84">
        <f>+B42+6000</f>
        <v>186400</v>
      </c>
      <c r="C45" s="85">
        <f t="shared" ref="C45:D45" si="41">+C42+6000</f>
        <v>189900</v>
      </c>
      <c r="D45" s="85">
        <f t="shared" si="41"/>
        <v>193900</v>
      </c>
      <c r="E45" s="85">
        <f>+E42+7000</f>
        <v>183400</v>
      </c>
      <c r="F45" s="85">
        <f t="shared" ref="F45:G45" si="42">+F42+7000</f>
        <v>186900</v>
      </c>
      <c r="G45" s="85">
        <f t="shared" si="42"/>
        <v>188600</v>
      </c>
      <c r="H45" s="85">
        <f>+H42+6000</f>
        <v>174600</v>
      </c>
      <c r="I45" s="85">
        <f t="shared" ref="I45:J45" si="43">+I42+6000</f>
        <v>178100</v>
      </c>
      <c r="J45" s="86">
        <f t="shared" si="43"/>
        <v>182100</v>
      </c>
      <c r="K45" s="84">
        <f>+K42+15000</f>
        <v>205200</v>
      </c>
      <c r="L45" s="85">
        <f t="shared" ref="L45:S45" si="44">+L42+15000</f>
        <v>208700</v>
      </c>
      <c r="M45" s="85">
        <f t="shared" si="44"/>
        <v>212700</v>
      </c>
      <c r="N45" s="85">
        <f t="shared" si="44"/>
        <v>205200</v>
      </c>
      <c r="O45" s="85">
        <f t="shared" si="44"/>
        <v>208700</v>
      </c>
      <c r="P45" s="85">
        <f t="shared" si="44"/>
        <v>212700</v>
      </c>
      <c r="Q45" s="85">
        <f t="shared" si="44"/>
        <v>202700</v>
      </c>
      <c r="R45" s="85">
        <f t="shared" si="44"/>
        <v>206200</v>
      </c>
      <c r="S45" s="86">
        <f t="shared" si="44"/>
        <v>210200</v>
      </c>
      <c r="T45" s="85">
        <f>+T42+30000</f>
        <v>370700</v>
      </c>
    </row>
    <row r="46" spans="1:20">
      <c r="A46" s="50">
        <v>0.2</v>
      </c>
      <c r="B46" s="64">
        <f>+B45*1.2</f>
        <v>223680</v>
      </c>
      <c r="C46" s="65">
        <f t="shared" ref="C46:D46" si="45">+C45*1.2</f>
        <v>227880</v>
      </c>
      <c r="D46" s="65">
        <f t="shared" si="45"/>
        <v>232680</v>
      </c>
      <c r="E46" s="65">
        <f>+E45*1.2</f>
        <v>220080</v>
      </c>
      <c r="F46" s="65">
        <f t="shared" ref="F46:G46" si="46">+F45*1.2</f>
        <v>224280</v>
      </c>
      <c r="G46" s="65">
        <f t="shared" si="46"/>
        <v>226320</v>
      </c>
      <c r="H46" s="65">
        <f>+H45*1.2</f>
        <v>209520</v>
      </c>
      <c r="I46" s="65">
        <f t="shared" ref="I46:J46" si="47">+I45*1.2</f>
        <v>213720</v>
      </c>
      <c r="J46" s="66">
        <f t="shared" si="47"/>
        <v>218520</v>
      </c>
      <c r="K46" s="64">
        <f>+K45*1.2</f>
        <v>246240</v>
      </c>
      <c r="L46" s="65">
        <f t="shared" ref="L46:M46" si="48">+L45*1.2</f>
        <v>250440</v>
      </c>
      <c r="M46" s="65">
        <f t="shared" si="48"/>
        <v>255240</v>
      </c>
      <c r="N46" s="65">
        <f>+N45*1.2</f>
        <v>246240</v>
      </c>
      <c r="O46" s="65">
        <f t="shared" ref="O46:P46" si="49">+O45*1.2</f>
        <v>250440</v>
      </c>
      <c r="P46" s="65">
        <f t="shared" si="49"/>
        <v>255240</v>
      </c>
      <c r="Q46" s="65">
        <f>+Q45*1.2</f>
        <v>243240</v>
      </c>
      <c r="R46" s="65">
        <f t="shared" ref="R46:S46" si="50">+R45*1.2</f>
        <v>247440</v>
      </c>
      <c r="S46" s="66">
        <f t="shared" si="50"/>
        <v>252240</v>
      </c>
      <c r="T46" s="65">
        <f>+T45*1.2</f>
        <v>444840</v>
      </c>
    </row>
    <row r="47" spans="1:20" ht="15.75" thickBot="1">
      <c r="A47" s="50">
        <v>0.3</v>
      </c>
      <c r="B47" s="73">
        <f>+B45*1.3</f>
        <v>242320</v>
      </c>
      <c r="C47" s="74">
        <f t="shared" ref="C47:D47" si="51">+C45*1.3</f>
        <v>246870</v>
      </c>
      <c r="D47" s="74">
        <f t="shared" si="51"/>
        <v>252070</v>
      </c>
      <c r="E47" s="74">
        <f>+E45*1.3</f>
        <v>238420</v>
      </c>
      <c r="F47" s="74">
        <f t="shared" ref="F47:G47" si="52">+F45*1.3</f>
        <v>242970</v>
      </c>
      <c r="G47" s="74">
        <f t="shared" si="52"/>
        <v>245180</v>
      </c>
      <c r="H47" s="74">
        <f>+H45*1.3</f>
        <v>226980</v>
      </c>
      <c r="I47" s="74">
        <f t="shared" ref="I47:J47" si="53">+I45*1.3</f>
        <v>231530</v>
      </c>
      <c r="J47" s="75">
        <f t="shared" si="53"/>
        <v>236730</v>
      </c>
      <c r="K47" s="73">
        <f>+K45*1.3</f>
        <v>266760</v>
      </c>
      <c r="L47" s="74">
        <f t="shared" ref="L47:M47" si="54">+L45*1.3</f>
        <v>271310</v>
      </c>
      <c r="M47" s="74">
        <f t="shared" si="54"/>
        <v>276510</v>
      </c>
      <c r="N47" s="74">
        <f>+N45*1.3</f>
        <v>266760</v>
      </c>
      <c r="O47" s="74">
        <f t="shared" ref="O47:P47" si="55">+O45*1.3</f>
        <v>271310</v>
      </c>
      <c r="P47" s="74">
        <f t="shared" si="55"/>
        <v>276510</v>
      </c>
      <c r="Q47" s="74">
        <f>+Q45*1.3</f>
        <v>263510</v>
      </c>
      <c r="R47" s="74">
        <f t="shared" ref="R47:S47" si="56">+R45*1.3</f>
        <v>268060</v>
      </c>
      <c r="S47" s="75">
        <f t="shared" si="56"/>
        <v>273260</v>
      </c>
      <c r="T47" s="74">
        <f>+T45*1.3</f>
        <v>481910</v>
      </c>
    </row>
    <row r="49" spans="1:12">
      <c r="K49" t="s">
        <v>430</v>
      </c>
    </row>
    <row r="50" spans="1:12">
      <c r="A50" s="56" t="s">
        <v>231</v>
      </c>
      <c r="B50" s="54" t="s">
        <v>203</v>
      </c>
      <c r="C50" s="54" t="s">
        <v>203</v>
      </c>
      <c r="D50" s="54" t="s">
        <v>203</v>
      </c>
      <c r="E50" s="54" t="s">
        <v>227</v>
      </c>
      <c r="F50" s="54" t="s">
        <v>227</v>
      </c>
      <c r="G50" s="54" t="s">
        <v>227</v>
      </c>
      <c r="H50" s="54" t="s">
        <v>204</v>
      </c>
      <c r="I50" s="54" t="s">
        <v>204</v>
      </c>
      <c r="J50" s="54" t="s">
        <v>204</v>
      </c>
      <c r="K50" s="54" t="s">
        <v>429</v>
      </c>
      <c r="L50" s="54" t="s">
        <v>204</v>
      </c>
    </row>
    <row r="51" spans="1:12">
      <c r="A51" t="s">
        <v>411</v>
      </c>
      <c r="B51" s="53">
        <f>3500*5</f>
        <v>17500</v>
      </c>
      <c r="C51" s="10"/>
      <c r="E51" s="53">
        <f>3500*5</f>
        <v>17500</v>
      </c>
      <c r="F51" s="10"/>
      <c r="H51" s="53">
        <f>3500*5</f>
        <v>17500</v>
      </c>
      <c r="I51" s="10"/>
    </row>
    <row r="52" spans="1:12">
      <c r="A52" t="s">
        <v>221</v>
      </c>
      <c r="B52" s="53"/>
      <c r="C52" s="10">
        <f>4200*5</f>
        <v>21000</v>
      </c>
      <c r="E52" s="53"/>
      <c r="F52" s="10">
        <f>4200*5</f>
        <v>21000</v>
      </c>
      <c r="H52" s="53"/>
      <c r="I52" s="10">
        <f>4200*5</f>
        <v>21000</v>
      </c>
    </row>
    <row r="53" spans="1:12">
      <c r="A53" t="s">
        <v>222</v>
      </c>
      <c r="B53" s="53"/>
      <c r="C53" s="10"/>
      <c r="D53">
        <f>5000*5</f>
        <v>25000</v>
      </c>
      <c r="E53" s="53"/>
      <c r="F53" s="10"/>
      <c r="G53">
        <f>5000*5</f>
        <v>25000</v>
      </c>
      <c r="H53" s="53"/>
      <c r="I53" s="10"/>
      <c r="J53">
        <f>5000*5</f>
        <v>25000</v>
      </c>
    </row>
    <row r="54" spans="1:12">
      <c r="A54" t="s">
        <v>232</v>
      </c>
      <c r="B54" s="53">
        <f t="shared" ref="B54:G54" si="57">3350*7</f>
        <v>23450</v>
      </c>
      <c r="C54" s="53">
        <f t="shared" si="57"/>
        <v>23450</v>
      </c>
      <c r="D54" s="53">
        <f t="shared" si="57"/>
        <v>23450</v>
      </c>
      <c r="E54" s="53">
        <f t="shared" si="57"/>
        <v>23450</v>
      </c>
      <c r="F54" s="53">
        <f t="shared" si="57"/>
        <v>23450</v>
      </c>
      <c r="G54" s="53">
        <f t="shared" si="57"/>
        <v>23450</v>
      </c>
      <c r="H54" s="53">
        <f>3350*6.5</f>
        <v>21775</v>
      </c>
      <c r="I54" s="53">
        <f>3350*6.5</f>
        <v>21775</v>
      </c>
      <c r="J54" s="53">
        <f>3350*6.5</f>
        <v>21775</v>
      </c>
      <c r="K54" s="53">
        <f t="shared" ref="K54" si="58">3350*7</f>
        <v>23450</v>
      </c>
      <c r="L54" s="53">
        <f>3350*6.5</f>
        <v>21775</v>
      </c>
    </row>
    <row r="55" spans="1:12">
      <c r="A55" t="s">
        <v>197</v>
      </c>
      <c r="B55" s="53">
        <f>2300*4</f>
        <v>9200</v>
      </c>
      <c r="C55" s="53">
        <f t="shared" ref="C55:D55" si="59">2300*4</f>
        <v>9200</v>
      </c>
      <c r="D55" s="53">
        <f t="shared" si="59"/>
        <v>9200</v>
      </c>
      <c r="E55" s="53">
        <f>2300*4</f>
        <v>9200</v>
      </c>
      <c r="F55" s="53">
        <f t="shared" ref="F55" si="60">2300*4</f>
        <v>9200</v>
      </c>
      <c r="G55" s="53">
        <f>2300*3</f>
        <v>6900</v>
      </c>
      <c r="H55" s="53">
        <f t="shared" ref="H55:L55" si="61">2300*3</f>
        <v>6900</v>
      </c>
      <c r="I55" s="53">
        <f t="shared" si="61"/>
        <v>6900</v>
      </c>
      <c r="J55" s="53">
        <f t="shared" si="61"/>
        <v>6900</v>
      </c>
      <c r="K55" s="53">
        <f>2300*4</f>
        <v>9200</v>
      </c>
      <c r="L55" s="53">
        <f t="shared" si="61"/>
        <v>6900</v>
      </c>
    </row>
    <row r="56" spans="1:12">
      <c r="A56" t="s">
        <v>223</v>
      </c>
      <c r="B56" s="53">
        <v>10000</v>
      </c>
      <c r="C56" s="53">
        <v>10000</v>
      </c>
      <c r="D56" s="53">
        <v>10000</v>
      </c>
      <c r="E56" s="53">
        <v>10000</v>
      </c>
      <c r="F56" s="53">
        <v>10000</v>
      </c>
      <c r="G56" s="53">
        <v>10000</v>
      </c>
      <c r="H56" s="53">
        <v>10000</v>
      </c>
      <c r="I56" s="53">
        <v>10000</v>
      </c>
      <c r="J56" s="53">
        <v>10000</v>
      </c>
      <c r="K56" s="53"/>
    </row>
    <row r="57" spans="1:12">
      <c r="A57" t="s">
        <v>224</v>
      </c>
      <c r="B57" s="53">
        <v>31000</v>
      </c>
      <c r="C57" s="10">
        <v>31000</v>
      </c>
      <c r="D57">
        <v>31000</v>
      </c>
      <c r="E57" s="53">
        <v>27000</v>
      </c>
      <c r="F57" s="53">
        <v>27000</v>
      </c>
      <c r="G57" s="53">
        <v>27000</v>
      </c>
      <c r="H57" s="53">
        <v>24000</v>
      </c>
      <c r="I57" s="53">
        <v>24000</v>
      </c>
      <c r="J57" s="53">
        <v>24000</v>
      </c>
      <c r="K57" s="53">
        <v>23000</v>
      </c>
      <c r="L57" s="53">
        <v>19000</v>
      </c>
    </row>
    <row r="58" spans="1:12">
      <c r="A58" t="s">
        <v>199</v>
      </c>
      <c r="B58" s="53">
        <f>21000+2500+2200+2000</f>
        <v>27700</v>
      </c>
      <c r="C58" s="53">
        <f t="shared" ref="C58:L58" si="62">21000+2500+2200+2000</f>
        <v>27700</v>
      </c>
      <c r="D58" s="53">
        <f t="shared" si="62"/>
        <v>27700</v>
      </c>
      <c r="E58" s="53">
        <f t="shared" si="62"/>
        <v>27700</v>
      </c>
      <c r="F58" s="53">
        <f t="shared" si="62"/>
        <v>27700</v>
      </c>
      <c r="G58" s="53">
        <f t="shared" si="62"/>
        <v>27700</v>
      </c>
      <c r="H58" s="53">
        <f t="shared" si="62"/>
        <v>27700</v>
      </c>
      <c r="I58" s="53">
        <f t="shared" si="62"/>
        <v>27700</v>
      </c>
      <c r="J58" s="53">
        <f t="shared" si="62"/>
        <v>27700</v>
      </c>
      <c r="K58" s="53">
        <f>21000+2500+2200+2000</f>
        <v>27700</v>
      </c>
      <c r="L58" s="53">
        <f t="shared" si="62"/>
        <v>27700</v>
      </c>
    </row>
    <row r="59" spans="1:12">
      <c r="A59" t="s">
        <v>200</v>
      </c>
      <c r="B59" s="10">
        <v>30000</v>
      </c>
      <c r="C59" s="10">
        <v>30000</v>
      </c>
      <c r="D59" s="10">
        <v>30000</v>
      </c>
      <c r="E59" s="10">
        <v>30000</v>
      </c>
      <c r="F59" s="10">
        <v>30000</v>
      </c>
      <c r="G59" s="10">
        <v>30000</v>
      </c>
      <c r="H59" s="10">
        <v>30000</v>
      </c>
      <c r="I59" s="10">
        <v>30000</v>
      </c>
      <c r="J59" s="10">
        <v>30000</v>
      </c>
      <c r="K59" s="10">
        <v>25000</v>
      </c>
      <c r="L59" s="10">
        <v>25000</v>
      </c>
    </row>
    <row r="60" spans="1:12">
      <c r="A60" t="s">
        <v>225</v>
      </c>
      <c r="B60" s="52">
        <v>20000</v>
      </c>
      <c r="C60" s="52">
        <v>20000</v>
      </c>
      <c r="D60" s="52">
        <v>20000</v>
      </c>
      <c r="E60" s="52">
        <v>20000</v>
      </c>
      <c r="F60" s="52">
        <v>20000</v>
      </c>
      <c r="G60" s="52">
        <v>20000</v>
      </c>
      <c r="H60" s="52">
        <v>20000</v>
      </c>
      <c r="I60" s="52">
        <v>20000</v>
      </c>
      <c r="J60" s="52">
        <v>20000</v>
      </c>
      <c r="K60" s="52">
        <v>20000</v>
      </c>
      <c r="L60" s="52">
        <v>20000</v>
      </c>
    </row>
    <row r="61" spans="1:12">
      <c r="A61" s="3" t="s">
        <v>215</v>
      </c>
      <c r="B61" s="57">
        <f>SUM(B51:B60)</f>
        <v>168850</v>
      </c>
      <c r="C61" s="57">
        <f t="shared" ref="C61:D61" si="63">SUM(C51:C60)</f>
        <v>172350</v>
      </c>
      <c r="D61" s="57">
        <f t="shared" si="63"/>
        <v>176350</v>
      </c>
      <c r="E61" s="57">
        <f>SUM(E51:E60)</f>
        <v>164850</v>
      </c>
      <c r="F61" s="57">
        <f t="shared" ref="F61:G61" si="64">SUM(F51:F60)</f>
        <v>168350</v>
      </c>
      <c r="G61" s="57">
        <f t="shared" si="64"/>
        <v>170050</v>
      </c>
      <c r="H61" s="57">
        <f>SUM(H51:H60)</f>
        <v>157875</v>
      </c>
      <c r="I61" s="57">
        <f t="shared" ref="I61:J61" si="65">SUM(I51:I60)</f>
        <v>161375</v>
      </c>
      <c r="J61" s="57">
        <f t="shared" si="65"/>
        <v>165375</v>
      </c>
      <c r="K61" s="57">
        <f>SUM(K51:K60)</f>
        <v>128350</v>
      </c>
      <c r="L61" s="57">
        <f>SUM(L51:L60)</f>
        <v>120375</v>
      </c>
    </row>
    <row r="62" spans="1:12">
      <c r="A62" s="50">
        <v>0.2</v>
      </c>
      <c r="B62" s="10">
        <f t="shared" ref="B62:J62" si="66">+B61*1.2</f>
        <v>202620</v>
      </c>
      <c r="C62" s="10">
        <f t="shared" si="66"/>
        <v>206820</v>
      </c>
      <c r="D62" s="10">
        <f t="shared" si="66"/>
        <v>211620</v>
      </c>
      <c r="E62" s="10">
        <f t="shared" si="66"/>
        <v>197820</v>
      </c>
      <c r="F62" s="10">
        <f t="shared" si="66"/>
        <v>202020</v>
      </c>
      <c r="G62" s="10">
        <f t="shared" si="66"/>
        <v>204060</v>
      </c>
      <c r="H62" s="10">
        <f t="shared" si="66"/>
        <v>189450</v>
      </c>
      <c r="I62" s="10">
        <f t="shared" si="66"/>
        <v>193650</v>
      </c>
      <c r="J62" s="10">
        <f t="shared" si="66"/>
        <v>198450</v>
      </c>
      <c r="K62" s="10">
        <f t="shared" ref="K62:L62" si="67">+K61*1.2</f>
        <v>154020</v>
      </c>
      <c r="L62" s="10">
        <f t="shared" si="67"/>
        <v>144450</v>
      </c>
    </row>
    <row r="63" spans="1:12">
      <c r="A63" s="50">
        <v>0.3</v>
      </c>
      <c r="B63" s="10">
        <f t="shared" ref="B63:J63" si="68">+B61*1.3</f>
        <v>219505</v>
      </c>
      <c r="C63" s="10">
        <f t="shared" si="68"/>
        <v>224055</v>
      </c>
      <c r="D63" s="10">
        <f t="shared" si="68"/>
        <v>229255</v>
      </c>
      <c r="E63" s="10">
        <f t="shared" si="68"/>
        <v>214305</v>
      </c>
      <c r="F63" s="10">
        <f t="shared" si="68"/>
        <v>218855</v>
      </c>
      <c r="G63" s="10">
        <f t="shared" si="68"/>
        <v>221065</v>
      </c>
      <c r="H63" s="10">
        <f t="shared" si="68"/>
        <v>205237.5</v>
      </c>
      <c r="I63" s="10">
        <f t="shared" si="68"/>
        <v>209787.5</v>
      </c>
      <c r="J63" s="10">
        <f t="shared" si="68"/>
        <v>214987.5</v>
      </c>
      <c r="K63" s="10">
        <f t="shared" ref="K63:L63" si="69">+K61*1.3</f>
        <v>166855</v>
      </c>
      <c r="L63" s="10">
        <f t="shared" si="69"/>
        <v>156487.5</v>
      </c>
    </row>
    <row r="64" spans="1:12">
      <c r="A64" t="s">
        <v>226</v>
      </c>
      <c r="B64" s="55">
        <f>+B61+6000</f>
        <v>174850</v>
      </c>
      <c r="C64" s="55">
        <f t="shared" ref="C64:D64" si="70">+C61+6000</f>
        <v>178350</v>
      </c>
      <c r="D64" s="55">
        <f t="shared" si="70"/>
        <v>182350</v>
      </c>
      <c r="E64" s="55">
        <f>+E61+7000</f>
        <v>171850</v>
      </c>
      <c r="F64" s="55">
        <f t="shared" ref="F64:G64" si="71">+F61+7000</f>
        <v>175350</v>
      </c>
      <c r="G64" s="55">
        <f t="shared" si="71"/>
        <v>177050</v>
      </c>
      <c r="H64" s="55">
        <f>+H61+6000</f>
        <v>163875</v>
      </c>
      <c r="I64" s="55">
        <f t="shared" ref="I64:J64" si="72">+I61+6000</f>
        <v>167375</v>
      </c>
      <c r="J64" s="55">
        <f t="shared" si="72"/>
        <v>171375</v>
      </c>
    </row>
    <row r="65" spans="1:10">
      <c r="A65" s="50">
        <v>0.2</v>
      </c>
      <c r="B65" s="10">
        <f>+B64*1.2</f>
        <v>209820</v>
      </c>
      <c r="C65" s="10">
        <f t="shared" ref="C65:D65" si="73">+C64*1.2</f>
        <v>214020</v>
      </c>
      <c r="D65" s="10">
        <f t="shared" si="73"/>
        <v>218820</v>
      </c>
      <c r="E65" s="10">
        <f>+E64*1.2</f>
        <v>206220</v>
      </c>
      <c r="F65" s="10">
        <f t="shared" ref="F65:G65" si="74">+F64*1.2</f>
        <v>210420</v>
      </c>
      <c r="G65" s="10">
        <f t="shared" si="74"/>
        <v>212460</v>
      </c>
      <c r="H65" s="10">
        <f>+H64*1.2</f>
        <v>196650</v>
      </c>
      <c r="I65" s="10">
        <f t="shared" ref="I65:J65" si="75">+I64*1.2</f>
        <v>200850</v>
      </c>
      <c r="J65" s="10">
        <f t="shared" si="75"/>
        <v>205650</v>
      </c>
    </row>
    <row r="66" spans="1:10">
      <c r="A66" s="50">
        <v>0.3</v>
      </c>
      <c r="B66" s="10">
        <f>+B64*1.3</f>
        <v>227305</v>
      </c>
      <c r="C66" s="10">
        <f t="shared" ref="C66:D66" si="76">+C64*1.3</f>
        <v>231855</v>
      </c>
      <c r="D66" s="10">
        <f t="shared" si="76"/>
        <v>237055</v>
      </c>
      <c r="E66" s="10">
        <f>+E64*1.3</f>
        <v>223405</v>
      </c>
      <c r="F66" s="10">
        <f t="shared" ref="F66:G66" si="77">+F64*1.3</f>
        <v>227955</v>
      </c>
      <c r="G66" s="10">
        <f t="shared" si="77"/>
        <v>230165</v>
      </c>
      <c r="H66" s="10">
        <f>+H64*1.3</f>
        <v>213037.5</v>
      </c>
      <c r="I66" s="10">
        <f t="shared" ref="I66:J66" si="78">+I64*1.3</f>
        <v>217587.5</v>
      </c>
      <c r="J66" s="10">
        <f t="shared" si="78"/>
        <v>222787.5</v>
      </c>
    </row>
    <row r="67" spans="1:10">
      <c r="A67" t="s">
        <v>233</v>
      </c>
      <c r="B67">
        <f>4200*7</f>
        <v>29400</v>
      </c>
      <c r="C67">
        <f t="shared" ref="C67:D67" si="79">4200*7</f>
        <v>29400</v>
      </c>
      <c r="D67">
        <f t="shared" si="79"/>
        <v>29400</v>
      </c>
      <c r="E67" s="53">
        <f>4200*7</f>
        <v>29400</v>
      </c>
      <c r="F67" s="53">
        <f t="shared" ref="F67:G67" si="80">4200*7</f>
        <v>29400</v>
      </c>
      <c r="G67" s="53">
        <f t="shared" si="80"/>
        <v>29400</v>
      </c>
      <c r="H67" s="53">
        <f>4200*6.5</f>
        <v>27300</v>
      </c>
      <c r="I67" s="53">
        <f t="shared" ref="I67:J67" si="81">4200*6.5</f>
        <v>27300</v>
      </c>
      <c r="J67" s="53">
        <f t="shared" si="81"/>
        <v>27300</v>
      </c>
    </row>
    <row r="68" spans="1:10">
      <c r="A68" t="s">
        <v>234</v>
      </c>
      <c r="B68" s="55">
        <f>+B67-B54</f>
        <v>5950</v>
      </c>
      <c r="C68" s="55">
        <f t="shared" ref="C68:J68" si="82">+C67-C54</f>
        <v>5950</v>
      </c>
      <c r="D68" s="55">
        <f t="shared" si="82"/>
        <v>5950</v>
      </c>
      <c r="E68" s="55">
        <f t="shared" si="82"/>
        <v>5950</v>
      </c>
      <c r="F68" s="55">
        <f t="shared" si="82"/>
        <v>5950</v>
      </c>
      <c r="G68" s="55">
        <f t="shared" si="82"/>
        <v>5950</v>
      </c>
      <c r="H68" s="55">
        <f t="shared" si="82"/>
        <v>5525</v>
      </c>
      <c r="I68" s="55">
        <f t="shared" si="82"/>
        <v>5525</v>
      </c>
      <c r="J68" s="55">
        <f t="shared" si="82"/>
        <v>5525</v>
      </c>
    </row>
    <row r="69" spans="1:10"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B70" t="s">
        <v>191</v>
      </c>
      <c r="E70" t="s">
        <v>121</v>
      </c>
    </row>
    <row r="71" spans="1:10">
      <c r="A71" s="56" t="s">
        <v>235</v>
      </c>
      <c r="B71" s="54" t="s">
        <v>203</v>
      </c>
      <c r="C71" s="54" t="s">
        <v>203</v>
      </c>
      <c r="D71" s="54" t="s">
        <v>203</v>
      </c>
      <c r="E71" s="54" t="s">
        <v>203</v>
      </c>
      <c r="F71" s="54" t="s">
        <v>203</v>
      </c>
      <c r="G71" s="54" t="s">
        <v>203</v>
      </c>
      <c r="H71" s="54"/>
      <c r="I71" s="54"/>
      <c r="J71" s="54"/>
    </row>
    <row r="72" spans="1:10">
      <c r="A72" t="s">
        <v>220</v>
      </c>
      <c r="B72" s="53">
        <f>3500*5</f>
        <v>17500</v>
      </c>
      <c r="C72" s="10"/>
      <c r="E72" s="53">
        <f>3500*5</f>
        <v>17500</v>
      </c>
      <c r="F72" s="10"/>
      <c r="H72" s="53"/>
      <c r="I72" s="10"/>
    </row>
    <row r="73" spans="1:10">
      <c r="A73" t="s">
        <v>221</v>
      </c>
      <c r="B73" s="53"/>
      <c r="C73" s="10">
        <f>4200*5</f>
        <v>21000</v>
      </c>
      <c r="E73" s="53"/>
      <c r="F73" s="10">
        <f>4200*5</f>
        <v>21000</v>
      </c>
      <c r="H73" s="53"/>
      <c r="I73" s="10"/>
    </row>
    <row r="74" spans="1:10">
      <c r="A74" t="s">
        <v>222</v>
      </c>
      <c r="B74" s="53"/>
      <c r="C74" s="10"/>
      <c r="D74">
        <f>5000*5</f>
        <v>25000</v>
      </c>
      <c r="E74" s="53"/>
      <c r="F74" s="10"/>
      <c r="G74">
        <f>5000*5</f>
        <v>25000</v>
      </c>
      <c r="H74" s="53"/>
      <c r="I74" s="10"/>
    </row>
    <row r="75" spans="1:10">
      <c r="A75" t="s">
        <v>236</v>
      </c>
      <c r="B75" s="53">
        <f>5000*7</f>
        <v>35000</v>
      </c>
      <c r="C75" s="53">
        <f t="shared" ref="C75:G75" si="83">5000*7</f>
        <v>35000</v>
      </c>
      <c r="D75" s="53">
        <f t="shared" si="83"/>
        <v>35000</v>
      </c>
      <c r="E75" s="53">
        <f>5000*7</f>
        <v>35000</v>
      </c>
      <c r="F75" s="53">
        <f t="shared" si="83"/>
        <v>35000</v>
      </c>
      <c r="G75" s="53">
        <f t="shared" si="83"/>
        <v>35000</v>
      </c>
      <c r="H75" s="53"/>
      <c r="I75" s="53"/>
      <c r="J75" s="53"/>
    </row>
    <row r="76" spans="1:10">
      <c r="A76" t="s">
        <v>224</v>
      </c>
      <c r="B76" s="10">
        <v>60000</v>
      </c>
      <c r="C76" s="10">
        <v>60000</v>
      </c>
      <c r="D76" s="10">
        <v>60000</v>
      </c>
      <c r="E76" s="53">
        <v>52000</v>
      </c>
      <c r="F76" s="53">
        <v>52000</v>
      </c>
      <c r="G76" s="53">
        <v>52000</v>
      </c>
    </row>
    <row r="77" spans="1:10">
      <c r="A77" t="s">
        <v>199</v>
      </c>
      <c r="B77" s="53">
        <f>21000+2500+2200+2000</f>
        <v>27700</v>
      </c>
      <c r="C77" s="53">
        <f t="shared" ref="C77:G77" si="84">21000+2500+2200+2000</f>
        <v>27700</v>
      </c>
      <c r="D77" s="53">
        <f t="shared" si="84"/>
        <v>27700</v>
      </c>
      <c r="E77" s="53">
        <f t="shared" si="84"/>
        <v>27700</v>
      </c>
      <c r="F77" s="53">
        <f t="shared" si="84"/>
        <v>27700</v>
      </c>
      <c r="G77" s="53">
        <f t="shared" si="84"/>
        <v>27700</v>
      </c>
    </row>
    <row r="78" spans="1:10">
      <c r="A78" t="s">
        <v>200</v>
      </c>
      <c r="B78" s="10">
        <v>50000</v>
      </c>
      <c r="C78" s="10">
        <v>50000</v>
      </c>
      <c r="D78" s="10">
        <v>50000</v>
      </c>
      <c r="E78" s="10">
        <v>50000</v>
      </c>
      <c r="F78" s="10">
        <v>50000</v>
      </c>
      <c r="G78" s="10">
        <v>50000</v>
      </c>
    </row>
    <row r="79" spans="1:10">
      <c r="A79" t="s">
        <v>225</v>
      </c>
      <c r="B79" s="10">
        <v>20000</v>
      </c>
      <c r="C79" s="10">
        <v>20000</v>
      </c>
      <c r="D79" s="10">
        <v>20000</v>
      </c>
      <c r="E79" s="10">
        <v>20000</v>
      </c>
      <c r="F79" s="10">
        <v>20000</v>
      </c>
      <c r="G79" s="10">
        <v>20000</v>
      </c>
    </row>
    <row r="80" spans="1:10">
      <c r="A80" s="3" t="s">
        <v>215</v>
      </c>
      <c r="B80" s="58">
        <f>SUM(B72:B79)</f>
        <v>210200</v>
      </c>
      <c r="C80" s="58">
        <f t="shared" ref="C80:D80" si="85">SUM(C72:C79)</f>
        <v>213700</v>
      </c>
      <c r="D80" s="58">
        <f t="shared" si="85"/>
        <v>217700</v>
      </c>
      <c r="E80" s="58">
        <f>SUM(E72:E79)</f>
        <v>202200</v>
      </c>
      <c r="F80" s="58">
        <f t="shared" ref="F80" si="86">SUM(F72:F79)</f>
        <v>205700</v>
      </c>
      <c r="G80" s="58">
        <f t="shared" ref="G80" si="87">SUM(G72:G79)</f>
        <v>209700</v>
      </c>
    </row>
    <row r="81" spans="1:7">
      <c r="A81" s="50">
        <v>0.2</v>
      </c>
      <c r="B81" s="10">
        <f>+B80*1.2</f>
        <v>252240</v>
      </c>
      <c r="C81" s="10">
        <f t="shared" ref="C81:D81" si="88">+C80*1.2</f>
        <v>256440</v>
      </c>
      <c r="D81" s="10">
        <f t="shared" si="88"/>
        <v>261240</v>
      </c>
      <c r="E81" s="10">
        <f>+E80*1.2</f>
        <v>242640</v>
      </c>
      <c r="F81" s="10">
        <f t="shared" ref="F81" si="89">+F80*1.2</f>
        <v>246840</v>
      </c>
      <c r="G81" s="10">
        <f t="shared" ref="G81" si="90">+G80*1.2</f>
        <v>251640</v>
      </c>
    </row>
    <row r="82" spans="1:7">
      <c r="A82" s="50">
        <v>0.3</v>
      </c>
      <c r="B82" s="10">
        <f t="shared" ref="B82:D82" si="91">+B80*1.3</f>
        <v>273260</v>
      </c>
      <c r="C82" s="10">
        <f t="shared" si="91"/>
        <v>277810</v>
      </c>
      <c r="D82" s="10">
        <f t="shared" si="91"/>
        <v>283010</v>
      </c>
      <c r="E82" s="10">
        <f t="shared" ref="E82:G82" si="92">+E80*1.3</f>
        <v>262860</v>
      </c>
      <c r="F82" s="10">
        <f t="shared" si="92"/>
        <v>267410</v>
      </c>
      <c r="G82" s="10">
        <f t="shared" si="92"/>
        <v>272610</v>
      </c>
    </row>
    <row r="83" spans="1:7">
      <c r="A83" t="s">
        <v>238</v>
      </c>
      <c r="B83" s="55">
        <f t="shared" ref="B83:G83" si="93">+B80+15000</f>
        <v>225200</v>
      </c>
      <c r="C83" s="55">
        <f t="shared" si="93"/>
        <v>228700</v>
      </c>
      <c r="D83" s="55">
        <f t="shared" si="93"/>
        <v>232700</v>
      </c>
      <c r="E83" s="55">
        <f t="shared" si="93"/>
        <v>217200</v>
      </c>
      <c r="F83" s="55">
        <f t="shared" si="93"/>
        <v>220700</v>
      </c>
      <c r="G83" s="55">
        <f t="shared" si="93"/>
        <v>224700</v>
      </c>
    </row>
    <row r="84" spans="1:7">
      <c r="A84" s="50">
        <v>0.2</v>
      </c>
      <c r="B84" s="10">
        <f>+B83*1.2</f>
        <v>270240</v>
      </c>
      <c r="C84" s="10">
        <f t="shared" ref="C84:D84" si="94">+C83*1.2</f>
        <v>274440</v>
      </c>
      <c r="D84" s="10">
        <f t="shared" si="94"/>
        <v>279240</v>
      </c>
      <c r="E84" s="10">
        <f>+E83*1.2</f>
        <v>260640</v>
      </c>
      <c r="F84" s="10">
        <f t="shared" ref="F84" si="95">+F83*1.2</f>
        <v>264840</v>
      </c>
      <c r="G84" s="10">
        <f t="shared" ref="G84" si="96">+G83*1.2</f>
        <v>269640</v>
      </c>
    </row>
    <row r="85" spans="1:7">
      <c r="A85" s="50">
        <v>0.3</v>
      </c>
      <c r="B85" s="10">
        <f>+B83*1.3</f>
        <v>292760</v>
      </c>
      <c r="C85" s="10">
        <f t="shared" ref="C85:D85" si="97">+C83*1.3</f>
        <v>297310</v>
      </c>
      <c r="D85" s="10">
        <f t="shared" si="97"/>
        <v>302510</v>
      </c>
      <c r="E85" s="10">
        <f>+E83*1.3</f>
        <v>282360</v>
      </c>
      <c r="F85" s="10">
        <f t="shared" ref="F85:G85" si="98">+F83*1.3</f>
        <v>286910</v>
      </c>
      <c r="G85" s="10">
        <f t="shared" si="98"/>
        <v>292110</v>
      </c>
    </row>
    <row r="86" spans="1:7">
      <c r="A86" t="s">
        <v>239</v>
      </c>
      <c r="B86" s="53">
        <f>6400*7</f>
        <v>44800</v>
      </c>
      <c r="C86" s="53">
        <f t="shared" ref="C86:G86" si="99">6400*7</f>
        <v>44800</v>
      </c>
      <c r="D86" s="53">
        <f t="shared" si="99"/>
        <v>44800</v>
      </c>
      <c r="E86" s="53">
        <f>6400*7</f>
        <v>44800</v>
      </c>
      <c r="F86" s="53">
        <f t="shared" si="99"/>
        <v>44800</v>
      </c>
      <c r="G86" s="53">
        <f t="shared" si="99"/>
        <v>44800</v>
      </c>
    </row>
    <row r="87" spans="1:7">
      <c r="B87" s="55">
        <f>+B86-B75</f>
        <v>9800</v>
      </c>
      <c r="C87" s="55">
        <f t="shared" ref="C87:D87" si="100">+C86-C75</f>
        <v>9800</v>
      </c>
      <c r="D87" s="55">
        <f t="shared" si="100"/>
        <v>9800</v>
      </c>
      <c r="E87" s="55">
        <f>+E86-E75</f>
        <v>9800</v>
      </c>
      <c r="F87" s="55">
        <f t="shared" ref="F87" si="101">+F86-F75</f>
        <v>9800</v>
      </c>
      <c r="G87" s="55">
        <f t="shared" ref="G87" si="102">+G86-G75</f>
        <v>9800</v>
      </c>
    </row>
    <row r="88" spans="1:7">
      <c r="B88" s="55"/>
      <c r="C88" s="55"/>
      <c r="D88" s="55"/>
    </row>
    <row r="89" spans="1:7">
      <c r="A89" s="56" t="s">
        <v>240</v>
      </c>
      <c r="C89" s="56" t="s">
        <v>244</v>
      </c>
    </row>
    <row r="90" spans="1:7">
      <c r="A90" t="s">
        <v>241</v>
      </c>
      <c r="B90" s="10">
        <f>5000*5</f>
        <v>25000</v>
      </c>
      <c r="C90" s="10">
        <f>5000*5</f>
        <v>25000</v>
      </c>
    </row>
    <row r="91" spans="1:7">
      <c r="A91" t="s">
        <v>242</v>
      </c>
      <c r="B91" s="10">
        <f>75000*2</f>
        <v>150000</v>
      </c>
      <c r="C91" s="10">
        <v>75000</v>
      </c>
    </row>
    <row r="92" spans="1:7">
      <c r="A92" t="s">
        <v>245</v>
      </c>
      <c r="B92" s="53">
        <f>21000+2500+2200+2600</f>
        <v>28300</v>
      </c>
      <c r="C92" s="53">
        <f>21000+2500+2200+2600</f>
        <v>28300</v>
      </c>
    </row>
    <row r="93" spans="1:7">
      <c r="A93" t="s">
        <v>86</v>
      </c>
      <c r="B93" s="53">
        <f>56000+5800</f>
        <v>61800</v>
      </c>
      <c r="C93" s="53"/>
    </row>
    <row r="94" spans="1:7">
      <c r="A94" t="s">
        <v>200</v>
      </c>
      <c r="B94" s="10">
        <v>70000</v>
      </c>
      <c r="C94" s="10">
        <v>40000</v>
      </c>
    </row>
    <row r="95" spans="1:7">
      <c r="A95" t="s">
        <v>243</v>
      </c>
      <c r="B95" s="10">
        <v>65000</v>
      </c>
      <c r="C95" s="10">
        <v>20000</v>
      </c>
    </row>
    <row r="96" spans="1:7">
      <c r="A96" s="3" t="s">
        <v>215</v>
      </c>
      <c r="B96" s="58">
        <f>SUM(B90:B95)</f>
        <v>400100</v>
      </c>
      <c r="C96" s="58">
        <f>SUM(C90:C95)</f>
        <v>188300</v>
      </c>
    </row>
    <row r="97" spans="1:7">
      <c r="A97" s="50">
        <v>0.2</v>
      </c>
      <c r="B97" s="10">
        <f>+B96*1.2</f>
        <v>480120</v>
      </c>
      <c r="C97" s="10">
        <f>+C96*1.2</f>
        <v>225960</v>
      </c>
    </row>
    <row r="98" spans="1:7">
      <c r="A98" s="50">
        <v>0.3</v>
      </c>
      <c r="B98" s="10">
        <f>+B96*1.3</f>
        <v>520130</v>
      </c>
      <c r="C98" s="10">
        <f>+C96*1.3</f>
        <v>244790</v>
      </c>
    </row>
    <row r="100" spans="1:7">
      <c r="A100" s="56" t="s">
        <v>246</v>
      </c>
      <c r="C100" t="s">
        <v>249</v>
      </c>
      <c r="E100" t="s">
        <v>478</v>
      </c>
    </row>
    <row r="101" spans="1:7">
      <c r="A101" t="s">
        <v>241</v>
      </c>
      <c r="B101" s="10">
        <f>5000*5</f>
        <v>25000</v>
      </c>
      <c r="C101" s="10">
        <f>5000*5</f>
        <v>25000</v>
      </c>
      <c r="E101" s="10">
        <f>5000*6</f>
        <v>30000</v>
      </c>
    </row>
    <row r="102" spans="1:7">
      <c r="A102" t="s">
        <v>247</v>
      </c>
      <c r="B102" s="10">
        <f>7100*7</f>
        <v>49700</v>
      </c>
      <c r="C102" s="10">
        <f>7100*7</f>
        <v>49700</v>
      </c>
      <c r="E102" s="10">
        <f>7100*12</f>
        <v>85200</v>
      </c>
    </row>
    <row r="103" spans="1:7">
      <c r="A103" t="s">
        <v>248</v>
      </c>
      <c r="B103" s="53">
        <v>36000</v>
      </c>
      <c r="C103" s="53">
        <v>75000</v>
      </c>
      <c r="E103" s="53">
        <v>72000</v>
      </c>
    </row>
    <row r="104" spans="1:7">
      <c r="A104" t="s">
        <v>197</v>
      </c>
      <c r="B104" s="53">
        <f>2300*4</f>
        <v>9200</v>
      </c>
      <c r="C104" s="53"/>
      <c r="E104" s="53">
        <f>2300*8</f>
        <v>18400</v>
      </c>
    </row>
    <row r="105" spans="1:7">
      <c r="A105" t="s">
        <v>269</v>
      </c>
      <c r="B105" s="53">
        <v>30000</v>
      </c>
      <c r="C105" s="53"/>
      <c r="E105" s="53">
        <v>60000</v>
      </c>
    </row>
    <row r="106" spans="1:7">
      <c r="A106" t="s">
        <v>245</v>
      </c>
      <c r="B106" s="53">
        <f>56000+2500+2200+2600</f>
        <v>63300</v>
      </c>
      <c r="C106" s="53">
        <f>56000+2500+2200+2600</f>
        <v>63300</v>
      </c>
      <c r="E106" s="8">
        <f>56000+2200+5100+12000</f>
        <v>75300</v>
      </c>
      <c r="G106" s="8"/>
    </row>
    <row r="107" spans="1:7">
      <c r="A107" t="s">
        <v>86</v>
      </c>
      <c r="B107" s="53">
        <f>21000+5800</f>
        <v>26800</v>
      </c>
      <c r="C107" s="53">
        <f>21000+5800</f>
        <v>26800</v>
      </c>
      <c r="E107" s="53">
        <f>21000+5800</f>
        <v>26800</v>
      </c>
    </row>
    <row r="108" spans="1:7">
      <c r="A108" t="s">
        <v>200</v>
      </c>
      <c r="B108" s="10">
        <v>60000</v>
      </c>
      <c r="C108" s="10">
        <v>60000</v>
      </c>
      <c r="E108" s="10">
        <v>120000</v>
      </c>
    </row>
    <row r="109" spans="1:7">
      <c r="A109" t="s">
        <v>225</v>
      </c>
      <c r="B109" s="10">
        <v>20000</v>
      </c>
      <c r="C109" s="10">
        <v>20000</v>
      </c>
      <c r="E109" s="10">
        <v>40000</v>
      </c>
    </row>
    <row r="110" spans="1:7">
      <c r="A110" s="3" t="s">
        <v>215</v>
      </c>
      <c r="B110" s="58">
        <f>SUM(B101:B109)</f>
        <v>320000</v>
      </c>
      <c r="C110" s="58">
        <f>SUM(C101:C109)</f>
        <v>319800</v>
      </c>
      <c r="E110" s="58">
        <f>SUM(E101:E109)</f>
        <v>527700</v>
      </c>
    </row>
    <row r="111" spans="1:7">
      <c r="A111" s="50">
        <v>0.2</v>
      </c>
      <c r="B111" s="10">
        <f>+B110*1.2</f>
        <v>384000</v>
      </c>
      <c r="C111" s="10">
        <f>+C110*1.2</f>
        <v>383760</v>
      </c>
      <c r="E111" s="10">
        <f>+E110*1.2</f>
        <v>633240</v>
      </c>
    </row>
    <row r="112" spans="1:7">
      <c r="A112" s="50">
        <v>0.3</v>
      </c>
      <c r="B112" s="10">
        <f>+B110*1.3</f>
        <v>416000</v>
      </c>
      <c r="C112" s="10">
        <f>+C110*1.3</f>
        <v>415740</v>
      </c>
      <c r="E112" s="10">
        <f>+E110*1.3</f>
        <v>686010</v>
      </c>
    </row>
    <row r="114" spans="1:4">
      <c r="A114" s="56" t="s">
        <v>250</v>
      </c>
      <c r="B114" t="s">
        <v>256</v>
      </c>
      <c r="C114" t="s">
        <v>477</v>
      </c>
      <c r="D114" t="s">
        <v>478</v>
      </c>
    </row>
    <row r="115" spans="1:4">
      <c r="A115" t="s">
        <v>257</v>
      </c>
      <c r="B115">
        <f>6000*5</f>
        <v>30000</v>
      </c>
      <c r="C115">
        <f>6000*6</f>
        <v>36000</v>
      </c>
      <c r="D115">
        <f>6000*4</f>
        <v>24000</v>
      </c>
    </row>
    <row r="116" spans="1:4">
      <c r="A116" t="s">
        <v>258</v>
      </c>
      <c r="B116">
        <f>6400*2.5</f>
        <v>16000</v>
      </c>
      <c r="C116">
        <f>6400*3</f>
        <v>19200</v>
      </c>
      <c r="D116">
        <f>6400*2</f>
        <v>12800</v>
      </c>
    </row>
    <row r="117" spans="1:4">
      <c r="A117" t="s">
        <v>253</v>
      </c>
      <c r="B117">
        <f>21*7100</f>
        <v>149100</v>
      </c>
      <c r="C117">
        <f>27*7100</f>
        <v>191700</v>
      </c>
      <c r="D117">
        <f>12*7100</f>
        <v>85200</v>
      </c>
    </row>
    <row r="118" spans="1:4">
      <c r="A118" t="s">
        <v>254</v>
      </c>
      <c r="B118">
        <f>2000*2.5</f>
        <v>5000</v>
      </c>
      <c r="C118">
        <f>2000*3</f>
        <v>6000</v>
      </c>
      <c r="D118">
        <f>2000*2</f>
        <v>4000</v>
      </c>
    </row>
    <row r="119" spans="1:4">
      <c r="A119" t="s">
        <v>251</v>
      </c>
      <c r="B119">
        <f>36000*3</f>
        <v>108000</v>
      </c>
      <c r="C119">
        <f>36000*3</f>
        <v>108000</v>
      </c>
      <c r="D119">
        <f>36000*2</f>
        <v>72000</v>
      </c>
    </row>
    <row r="120" spans="1:4">
      <c r="A120" t="s">
        <v>252</v>
      </c>
      <c r="B120">
        <f>2300*14</f>
        <v>32200</v>
      </c>
      <c r="C120">
        <f>2300*15</f>
        <v>34500</v>
      </c>
      <c r="D120">
        <f>2300*8</f>
        <v>18400</v>
      </c>
    </row>
    <row r="121" spans="1:4">
      <c r="A121" t="s">
        <v>255</v>
      </c>
      <c r="B121">
        <f>30000*3</f>
        <v>90000</v>
      </c>
      <c r="C121">
        <f>30000*3</f>
        <v>90000</v>
      </c>
      <c r="D121">
        <f>30000*2</f>
        <v>60000</v>
      </c>
    </row>
    <row r="122" spans="1:4">
      <c r="A122" t="s">
        <v>259</v>
      </c>
      <c r="B122" s="53">
        <f>56000+10000+2200+31000</f>
        <v>99200</v>
      </c>
      <c r="C122" s="53">
        <f>56000+10000+2200+31000</f>
        <v>99200</v>
      </c>
      <c r="D122" s="8">
        <f>56000+2200+5100+12000</f>
        <v>75300</v>
      </c>
    </row>
    <row r="123" spans="1:4">
      <c r="A123" t="s">
        <v>86</v>
      </c>
      <c r="B123">
        <f>21000+5800</f>
        <v>26800</v>
      </c>
      <c r="C123">
        <f>21000+5800</f>
        <v>26800</v>
      </c>
      <c r="D123" s="53">
        <f>21000+5800</f>
        <v>26800</v>
      </c>
    </row>
    <row r="124" spans="1:4">
      <c r="A124" t="s">
        <v>200</v>
      </c>
      <c r="B124">
        <v>150000</v>
      </c>
      <c r="C124">
        <v>150000</v>
      </c>
      <c r="D124" s="10">
        <v>120000</v>
      </c>
    </row>
    <row r="125" spans="1:4">
      <c r="A125" t="s">
        <v>225</v>
      </c>
      <c r="B125">
        <v>60000</v>
      </c>
      <c r="C125">
        <v>60000</v>
      </c>
      <c r="D125" s="10">
        <v>40000</v>
      </c>
    </row>
    <row r="126" spans="1:4">
      <c r="A126" s="3" t="s">
        <v>215</v>
      </c>
      <c r="B126" s="94">
        <f>SUM(B115:B125)</f>
        <v>766300</v>
      </c>
      <c r="C126" s="94">
        <f>SUM(C115:C125)</f>
        <v>821400</v>
      </c>
      <c r="D126" s="94">
        <f>SUM(D115:D125)</f>
        <v>538500</v>
      </c>
    </row>
    <row r="127" spans="1:4">
      <c r="A127" s="50">
        <v>0.2</v>
      </c>
      <c r="B127" s="10">
        <f>+B126*1.2</f>
        <v>919560</v>
      </c>
      <c r="C127" s="10">
        <f>+C126*1.2</f>
        <v>985680</v>
      </c>
      <c r="D127" s="10">
        <f>+D126*1.2</f>
        <v>646200</v>
      </c>
    </row>
    <row r="128" spans="1:4">
      <c r="A128" s="50">
        <v>0.3</v>
      </c>
      <c r="B128" s="10">
        <f>+B126*1.3</f>
        <v>996190</v>
      </c>
      <c r="C128" s="10">
        <f>+C126*1.3</f>
        <v>1067820</v>
      </c>
      <c r="D128" s="10">
        <f>+D126*1.3</f>
        <v>700050</v>
      </c>
    </row>
    <row r="129" spans="1:20">
      <c r="A129" s="50"/>
      <c r="B129" s="10"/>
    </row>
    <row r="130" spans="1:20">
      <c r="A130" s="107" t="s">
        <v>399</v>
      </c>
      <c r="B130" s="10" t="s">
        <v>400</v>
      </c>
      <c r="C130" t="s">
        <v>405</v>
      </c>
      <c r="D130" t="s">
        <v>406</v>
      </c>
      <c r="E130" t="s">
        <v>407</v>
      </c>
      <c r="F130" t="s">
        <v>408</v>
      </c>
      <c r="G130" t="s">
        <v>409</v>
      </c>
      <c r="H130" t="s">
        <v>428</v>
      </c>
    </row>
    <row r="131" spans="1:20">
      <c r="A131" s="107" t="s">
        <v>401</v>
      </c>
      <c r="B131" s="10">
        <f>(2.5*3000)+2000+2000</f>
        <v>11500</v>
      </c>
      <c r="C131" s="10">
        <f>(2.5*3000)+2000+2000</f>
        <v>11500</v>
      </c>
      <c r="D131" s="10">
        <f>(2.5*3000)+(1*2350)+3000+2000</f>
        <v>14850</v>
      </c>
      <c r="E131" s="10">
        <f>(2.6*3000)+3000+2000</f>
        <v>12800</v>
      </c>
      <c r="F131" s="10">
        <f>(2.6*3000)+(1*2350)+4000+3000</f>
        <v>17150</v>
      </c>
      <c r="G131" s="10">
        <f>(3*3000)+(1.2*2350)+6000+4000</f>
        <v>21820</v>
      </c>
      <c r="H131" s="10">
        <f>(3*3000)+(1.5*2350)+7000+4000</f>
        <v>23525</v>
      </c>
    </row>
    <row r="132" spans="1:20">
      <c r="A132" s="107" t="s">
        <v>402</v>
      </c>
      <c r="B132" s="10">
        <f>(2.5*3500)+2000+2000</f>
        <v>12750</v>
      </c>
      <c r="C132" s="10">
        <f>(2.5*3500)+2000+2000</f>
        <v>12750</v>
      </c>
      <c r="D132" s="10">
        <f>(2.5*3500)+(1*2350)+3000+2000</f>
        <v>16100</v>
      </c>
      <c r="E132" s="10">
        <f>(2.6*3500)+3000+2000</f>
        <v>14100</v>
      </c>
      <c r="F132" s="10">
        <f>(2.6*3500)+(1*2350)+4000+3000</f>
        <v>18450</v>
      </c>
      <c r="G132" s="10">
        <f>(3*3500)+(1.2*2350)+6000+4000</f>
        <v>23320</v>
      </c>
      <c r="H132" s="10">
        <f>(3*3500)+(1.5*2350)+7000+4000</f>
        <v>25025</v>
      </c>
    </row>
    <row r="133" spans="1:20">
      <c r="A133" s="107" t="s">
        <v>403</v>
      </c>
      <c r="B133" s="10">
        <f>(2.5*4200)+2000+2000</f>
        <v>14500</v>
      </c>
      <c r="C133" s="10">
        <f>(2.5*4200)+2000+2000</f>
        <v>14500</v>
      </c>
      <c r="D133" s="10">
        <f>(2.5*4200)+(1*2350)+3000+2000</f>
        <v>17850</v>
      </c>
      <c r="E133" s="10">
        <f>(2.6*4200)+3000+2000</f>
        <v>15920</v>
      </c>
      <c r="F133" s="10">
        <f>(2.6*4200)+(1*2350)+4000+3000</f>
        <v>20270</v>
      </c>
      <c r="G133" s="10">
        <f>(3*4200)+(1.2*2350)+6000+4000</f>
        <v>25420</v>
      </c>
      <c r="H133" s="10">
        <f>(3*4200)+(1.5*2350)+7000+4000</f>
        <v>27125</v>
      </c>
    </row>
    <row r="134" spans="1:20">
      <c r="A134" s="107" t="s">
        <v>404</v>
      </c>
      <c r="B134" s="10">
        <f>(2.5*5000)+2000+2000</f>
        <v>16500</v>
      </c>
      <c r="C134" s="10">
        <f>(2.5*5000)+2000+2000</f>
        <v>16500</v>
      </c>
      <c r="D134" s="10">
        <f>(2.5*5000)+(1*2350)+3000+2000</f>
        <v>19850</v>
      </c>
      <c r="E134" s="10">
        <f>(2.6*5000)+3000+2000</f>
        <v>18000</v>
      </c>
      <c r="F134" s="10">
        <f>(2.6*5000)+(1*2350)+4000+3000</f>
        <v>22350</v>
      </c>
      <c r="G134" s="10">
        <f>(3*5000)+(1.2*2350)+6000+4000</f>
        <v>27820</v>
      </c>
      <c r="H134" s="10">
        <f>(3*5000)+(1.5*2350)+7000+4000</f>
        <v>29525</v>
      </c>
    </row>
    <row r="135" spans="1:20">
      <c r="A135" s="107"/>
      <c r="B135" s="10"/>
    </row>
    <row r="137" spans="1:20" s="87" customFormat="1"/>
    <row r="138" spans="1:20">
      <c r="A138" t="s">
        <v>260</v>
      </c>
    </row>
    <row r="139" spans="1:20">
      <c r="B139" t="s">
        <v>391</v>
      </c>
    </row>
    <row r="140" spans="1:20">
      <c r="A140" s="56" t="s">
        <v>305</v>
      </c>
      <c r="B140" t="s">
        <v>307</v>
      </c>
      <c r="C140" s="54" t="s">
        <v>307</v>
      </c>
      <c r="D140" s="54" t="s">
        <v>307</v>
      </c>
      <c r="E140" s="95" t="s">
        <v>307</v>
      </c>
      <c r="F140" s="95" t="s">
        <v>311</v>
      </c>
      <c r="G140" s="95" t="s">
        <v>311</v>
      </c>
      <c r="H140" s="95" t="s">
        <v>311</v>
      </c>
      <c r="I140" s="95" t="s">
        <v>312</v>
      </c>
      <c r="J140" s="95" t="s">
        <v>312</v>
      </c>
      <c r="K140" s="95" t="s">
        <v>312</v>
      </c>
      <c r="L140" s="95" t="s">
        <v>203</v>
      </c>
      <c r="M140" s="95" t="s">
        <v>203</v>
      </c>
      <c r="N140" s="95" t="s">
        <v>203</v>
      </c>
      <c r="O140" t="s">
        <v>310</v>
      </c>
      <c r="P140" t="s">
        <v>310</v>
      </c>
      <c r="Q140" t="s">
        <v>310</v>
      </c>
      <c r="S140" t="s">
        <v>390</v>
      </c>
    </row>
    <row r="141" spans="1:20">
      <c r="A141" t="s">
        <v>304</v>
      </c>
      <c r="B141">
        <f>3000*4</f>
        <v>12000</v>
      </c>
      <c r="C141">
        <f>3000*4</f>
        <v>12000</v>
      </c>
      <c r="D141">
        <f>3000*4</f>
        <v>12000</v>
      </c>
      <c r="F141">
        <f>3000*4.5</f>
        <v>13500</v>
      </c>
      <c r="G141">
        <f>3000*4.5</f>
        <v>13500</v>
      </c>
      <c r="I141">
        <f>3000*5</f>
        <v>15000</v>
      </c>
      <c r="J141">
        <f>3000*5</f>
        <v>15000</v>
      </c>
      <c r="L141">
        <f>3000*6</f>
        <v>18000</v>
      </c>
      <c r="M141">
        <f>3000*6</f>
        <v>18000</v>
      </c>
      <c r="O141">
        <f>3000*6.5</f>
        <v>19500</v>
      </c>
      <c r="P141">
        <f>3000*6.5</f>
        <v>19500</v>
      </c>
      <c r="S141">
        <f>3000*2</f>
        <v>6000</v>
      </c>
    </row>
    <row r="142" spans="1:20">
      <c r="A142" t="s">
        <v>308</v>
      </c>
      <c r="E142">
        <f>4000*4</f>
        <v>16000</v>
      </c>
      <c r="H142">
        <f>4000*4.5</f>
        <v>18000</v>
      </c>
      <c r="K142">
        <f>4000*5</f>
        <v>20000</v>
      </c>
      <c r="N142">
        <f>4000*6</f>
        <v>24000</v>
      </c>
      <c r="Q142">
        <f>4000*6.5</f>
        <v>26000</v>
      </c>
      <c r="T142">
        <f>4000*2</f>
        <v>8000</v>
      </c>
    </row>
    <row r="143" spans="1:20">
      <c r="A143" t="s">
        <v>309</v>
      </c>
      <c r="B143">
        <f>1600*2</f>
        <v>3200</v>
      </c>
      <c r="C143">
        <f>3200*1</f>
        <v>3200</v>
      </c>
      <c r="D143">
        <f>3200*1</f>
        <v>3200</v>
      </c>
      <c r="E143">
        <f>4700*1</f>
        <v>4700</v>
      </c>
      <c r="F143">
        <f>3200*1</f>
        <v>3200</v>
      </c>
      <c r="G143">
        <f>3200*1</f>
        <v>3200</v>
      </c>
      <c r="H143">
        <f>4700*1</f>
        <v>4700</v>
      </c>
      <c r="I143">
        <f>3200*2</f>
        <v>6400</v>
      </c>
      <c r="J143">
        <f>3200*2</f>
        <v>6400</v>
      </c>
      <c r="K143">
        <f>4700*2</f>
        <v>9400</v>
      </c>
      <c r="L143">
        <f>3200*2</f>
        <v>6400</v>
      </c>
      <c r="M143">
        <f>3200*2</f>
        <v>6400</v>
      </c>
      <c r="N143">
        <f>4700*2</f>
        <v>9400</v>
      </c>
      <c r="O143">
        <f>3200*2.5</f>
        <v>8000</v>
      </c>
      <c r="P143">
        <f>3200*2.5</f>
        <v>8000</v>
      </c>
      <c r="Q143">
        <f>4700*2.5</f>
        <v>11750</v>
      </c>
      <c r="S143">
        <f>3200*0.5</f>
        <v>1600</v>
      </c>
      <c r="T143">
        <f>4700*0.5</f>
        <v>2350</v>
      </c>
    </row>
    <row r="144" spans="1:20">
      <c r="A144" t="s">
        <v>315</v>
      </c>
      <c r="B144">
        <f>2200*3</f>
        <v>6600</v>
      </c>
      <c r="C144">
        <f>2200*3</f>
        <v>6600</v>
      </c>
      <c r="E144">
        <f>2200*3</f>
        <v>6600</v>
      </c>
      <c r="F144">
        <f>2200*3</f>
        <v>6600</v>
      </c>
      <c r="H144">
        <f>2200*3</f>
        <v>6600</v>
      </c>
      <c r="I144">
        <f>2200*3</f>
        <v>6600</v>
      </c>
      <c r="K144">
        <f>2200*3</f>
        <v>6600</v>
      </c>
      <c r="L144">
        <f>2200*6</f>
        <v>13200</v>
      </c>
      <c r="N144">
        <f>3000*6</f>
        <v>18000</v>
      </c>
      <c r="O144">
        <f>2200*6.5</f>
        <v>14300</v>
      </c>
      <c r="Q144">
        <f>3000*6.5</f>
        <v>19500</v>
      </c>
      <c r="S144">
        <f>2200*1.5</f>
        <v>3300</v>
      </c>
      <c r="T144">
        <f>2200*1.5</f>
        <v>3300</v>
      </c>
    </row>
    <row r="145" spans="1:20">
      <c r="A145" t="s">
        <v>138</v>
      </c>
      <c r="D145">
        <f>3100*3</f>
        <v>9300</v>
      </c>
      <c r="G145">
        <f>3100*3</f>
        <v>9300</v>
      </c>
      <c r="J145">
        <f>3100*3</f>
        <v>9300</v>
      </c>
      <c r="M145">
        <f>3100*6</f>
        <v>18600</v>
      </c>
      <c r="P145">
        <f>3100*6.5</f>
        <v>20150</v>
      </c>
    </row>
    <row r="146" spans="1:20">
      <c r="A146" t="s">
        <v>306</v>
      </c>
      <c r="B146">
        <f>1000+1800</f>
        <v>2800</v>
      </c>
      <c r="C146">
        <f t="shared" ref="C146:K146" si="103">900+600</f>
        <v>1500</v>
      </c>
      <c r="D146">
        <f t="shared" si="103"/>
        <v>1500</v>
      </c>
      <c r="E146">
        <f t="shared" si="103"/>
        <v>1500</v>
      </c>
      <c r="F146">
        <f t="shared" si="103"/>
        <v>1500</v>
      </c>
      <c r="G146">
        <f t="shared" si="103"/>
        <v>1500</v>
      </c>
      <c r="H146">
        <f t="shared" si="103"/>
        <v>1500</v>
      </c>
      <c r="I146">
        <f t="shared" si="103"/>
        <v>1500</v>
      </c>
      <c r="J146">
        <f t="shared" si="103"/>
        <v>1500</v>
      </c>
      <c r="K146">
        <f t="shared" si="103"/>
        <v>1500</v>
      </c>
      <c r="L146">
        <f t="shared" ref="L146:Q146" si="104">1800+1200</f>
        <v>3000</v>
      </c>
      <c r="M146">
        <f t="shared" si="104"/>
        <v>3000</v>
      </c>
      <c r="N146">
        <f t="shared" si="104"/>
        <v>3000</v>
      </c>
      <c r="O146">
        <f t="shared" si="104"/>
        <v>3000</v>
      </c>
      <c r="P146">
        <f t="shared" si="104"/>
        <v>3000</v>
      </c>
      <c r="Q146">
        <f t="shared" si="104"/>
        <v>3000</v>
      </c>
      <c r="S146">
        <v>1500</v>
      </c>
      <c r="T146">
        <v>1500</v>
      </c>
    </row>
    <row r="147" spans="1:20">
      <c r="A147" t="s">
        <v>200</v>
      </c>
      <c r="B147">
        <v>12000</v>
      </c>
      <c r="C147">
        <v>10000</v>
      </c>
      <c r="D147">
        <v>10000</v>
      </c>
      <c r="E147">
        <v>10000</v>
      </c>
      <c r="F147">
        <v>12000</v>
      </c>
      <c r="G147">
        <v>12000</v>
      </c>
      <c r="H147">
        <v>12000</v>
      </c>
      <c r="I147">
        <v>15000</v>
      </c>
      <c r="J147">
        <v>15000</v>
      </c>
      <c r="K147">
        <v>15000</v>
      </c>
      <c r="L147">
        <v>20000</v>
      </c>
      <c r="M147">
        <v>20000</v>
      </c>
      <c r="N147">
        <v>20000</v>
      </c>
      <c r="O147">
        <v>24000</v>
      </c>
      <c r="P147">
        <v>24000</v>
      </c>
      <c r="Q147">
        <v>24000</v>
      </c>
      <c r="S147">
        <v>10000</v>
      </c>
      <c r="T147">
        <v>10000</v>
      </c>
    </row>
    <row r="148" spans="1:20">
      <c r="A148" t="s">
        <v>201</v>
      </c>
      <c r="B148">
        <v>5000</v>
      </c>
      <c r="C148">
        <v>5000</v>
      </c>
      <c r="D148">
        <v>5000</v>
      </c>
      <c r="E148">
        <v>5000</v>
      </c>
      <c r="F148">
        <v>6000</v>
      </c>
      <c r="G148">
        <v>6000</v>
      </c>
      <c r="H148">
        <v>6000</v>
      </c>
      <c r="I148">
        <v>7500</v>
      </c>
      <c r="J148">
        <v>7500</v>
      </c>
      <c r="K148">
        <v>7500</v>
      </c>
      <c r="L148">
        <v>10000</v>
      </c>
      <c r="M148">
        <v>10000</v>
      </c>
      <c r="N148">
        <v>10000</v>
      </c>
      <c r="O148">
        <v>12000</v>
      </c>
      <c r="P148">
        <v>12000</v>
      </c>
      <c r="Q148">
        <v>12000</v>
      </c>
      <c r="S148">
        <v>3000</v>
      </c>
      <c r="T148">
        <v>3000</v>
      </c>
    </row>
    <row r="149" spans="1:20">
      <c r="A149" t="s">
        <v>202</v>
      </c>
      <c r="B149">
        <v>5000</v>
      </c>
      <c r="C149">
        <v>5000</v>
      </c>
      <c r="D149">
        <v>5000</v>
      </c>
      <c r="E149">
        <v>5000</v>
      </c>
      <c r="F149">
        <v>5000</v>
      </c>
      <c r="G149">
        <v>5000</v>
      </c>
      <c r="H149">
        <v>5000</v>
      </c>
      <c r="I149">
        <v>5000</v>
      </c>
      <c r="J149">
        <v>5000</v>
      </c>
      <c r="K149">
        <v>5000</v>
      </c>
      <c r="L149">
        <v>5000</v>
      </c>
      <c r="M149">
        <v>5000</v>
      </c>
      <c r="N149">
        <v>5000</v>
      </c>
      <c r="O149">
        <v>5000</v>
      </c>
      <c r="P149">
        <v>5000</v>
      </c>
      <c r="Q149">
        <v>5000</v>
      </c>
      <c r="S149">
        <v>2000</v>
      </c>
      <c r="T149">
        <v>2000</v>
      </c>
    </row>
    <row r="150" spans="1:20">
      <c r="A150" s="3" t="s">
        <v>215</v>
      </c>
      <c r="B150" s="94">
        <f t="shared" ref="B150" si="105">SUM(B141:B149)</f>
        <v>46600</v>
      </c>
      <c r="C150" s="94">
        <f t="shared" ref="C150:Q150" si="106">SUM(C141:C149)</f>
        <v>43300</v>
      </c>
      <c r="D150" s="94">
        <f t="shared" si="106"/>
        <v>46000</v>
      </c>
      <c r="E150" s="94">
        <f t="shared" si="106"/>
        <v>48800</v>
      </c>
      <c r="F150" s="94">
        <f t="shared" si="106"/>
        <v>47800</v>
      </c>
      <c r="G150" s="94">
        <f t="shared" si="106"/>
        <v>50500</v>
      </c>
      <c r="H150" s="94">
        <f t="shared" si="106"/>
        <v>53800</v>
      </c>
      <c r="I150" s="94">
        <f t="shared" si="106"/>
        <v>57000</v>
      </c>
      <c r="J150" s="94">
        <f t="shared" si="106"/>
        <v>59700</v>
      </c>
      <c r="K150" s="94">
        <f t="shared" si="106"/>
        <v>65000</v>
      </c>
      <c r="L150" s="94">
        <f t="shared" si="106"/>
        <v>75600</v>
      </c>
      <c r="M150" s="94">
        <f t="shared" si="106"/>
        <v>81000</v>
      </c>
      <c r="N150" s="94">
        <f t="shared" si="106"/>
        <v>89400</v>
      </c>
      <c r="O150" s="94">
        <f t="shared" si="106"/>
        <v>85800</v>
      </c>
      <c r="P150" s="94">
        <f t="shared" si="106"/>
        <v>91650</v>
      </c>
      <c r="Q150" s="94">
        <f t="shared" si="106"/>
        <v>101250</v>
      </c>
      <c r="S150" s="94">
        <f>SUM(S141:S149)</f>
        <v>27400</v>
      </c>
      <c r="T150" s="94">
        <f t="shared" ref="T150" si="107">SUM(T141:T149)</f>
        <v>30150</v>
      </c>
    </row>
    <row r="151" spans="1:20">
      <c r="A151" s="50">
        <v>0.2</v>
      </c>
      <c r="B151" s="10">
        <f t="shared" ref="B151" si="108">+B150*1.2</f>
        <v>55920</v>
      </c>
      <c r="C151" s="10">
        <f t="shared" ref="C151:Q151" si="109">+C150*1.2</f>
        <v>51960</v>
      </c>
      <c r="D151" s="10">
        <f t="shared" si="109"/>
        <v>55200</v>
      </c>
      <c r="E151" s="10">
        <f t="shared" si="109"/>
        <v>58560</v>
      </c>
      <c r="F151" s="10">
        <f t="shared" si="109"/>
        <v>57360</v>
      </c>
      <c r="G151" s="10">
        <f t="shared" si="109"/>
        <v>60600</v>
      </c>
      <c r="H151" s="10">
        <f t="shared" si="109"/>
        <v>64560</v>
      </c>
      <c r="I151" s="10">
        <f t="shared" si="109"/>
        <v>68400</v>
      </c>
      <c r="J151" s="10">
        <f t="shared" si="109"/>
        <v>71640</v>
      </c>
      <c r="K151" s="10">
        <f t="shared" si="109"/>
        <v>78000</v>
      </c>
      <c r="L151" s="10">
        <f t="shared" si="109"/>
        <v>90720</v>
      </c>
      <c r="M151" s="10">
        <f t="shared" si="109"/>
        <v>97200</v>
      </c>
      <c r="N151" s="10">
        <f t="shared" si="109"/>
        <v>107280</v>
      </c>
      <c r="O151" s="10">
        <f t="shared" si="109"/>
        <v>102960</v>
      </c>
      <c r="P151" s="10">
        <f t="shared" si="109"/>
        <v>109980</v>
      </c>
      <c r="Q151" s="10">
        <f t="shared" si="109"/>
        <v>121500</v>
      </c>
      <c r="S151" s="10">
        <f t="shared" ref="S151:T151" si="110">+S150*1.2</f>
        <v>32880</v>
      </c>
      <c r="T151" s="10">
        <f t="shared" si="110"/>
        <v>36180</v>
      </c>
    </row>
    <row r="152" spans="1:20">
      <c r="A152" s="50">
        <v>0.3</v>
      </c>
      <c r="B152" s="10">
        <f t="shared" ref="B152" si="111">+B150*1.3</f>
        <v>60580</v>
      </c>
      <c r="C152" s="10">
        <f t="shared" ref="C152:Q152" si="112">+C150*1.3</f>
        <v>56290</v>
      </c>
      <c r="D152" s="10">
        <f t="shared" si="112"/>
        <v>59800</v>
      </c>
      <c r="E152" s="10">
        <f t="shared" si="112"/>
        <v>63440</v>
      </c>
      <c r="F152" s="10">
        <f t="shared" si="112"/>
        <v>62140</v>
      </c>
      <c r="G152" s="10">
        <f t="shared" si="112"/>
        <v>65650</v>
      </c>
      <c r="H152" s="10">
        <f t="shared" si="112"/>
        <v>69940</v>
      </c>
      <c r="I152" s="10">
        <f t="shared" si="112"/>
        <v>74100</v>
      </c>
      <c r="J152" s="10">
        <f t="shared" si="112"/>
        <v>77610</v>
      </c>
      <c r="K152" s="10">
        <f t="shared" si="112"/>
        <v>84500</v>
      </c>
      <c r="L152" s="10">
        <f t="shared" si="112"/>
        <v>98280</v>
      </c>
      <c r="M152" s="10">
        <f t="shared" si="112"/>
        <v>105300</v>
      </c>
      <c r="N152" s="10">
        <f t="shared" si="112"/>
        <v>116220</v>
      </c>
      <c r="O152" s="10">
        <f t="shared" si="112"/>
        <v>111540</v>
      </c>
      <c r="P152" s="10">
        <f t="shared" si="112"/>
        <v>119145</v>
      </c>
      <c r="Q152" s="10">
        <f t="shared" si="112"/>
        <v>131625</v>
      </c>
      <c r="S152" s="10">
        <f t="shared" ref="S152:T152" si="113">+S150*1.3</f>
        <v>35620</v>
      </c>
      <c r="T152" s="10">
        <f t="shared" si="113"/>
        <v>39195</v>
      </c>
    </row>
    <row r="153" spans="1:20">
      <c r="B153" t="s">
        <v>391</v>
      </c>
    </row>
    <row r="154" spans="1:20">
      <c r="A154" s="56" t="s">
        <v>313</v>
      </c>
      <c r="B154" s="54" t="s">
        <v>307</v>
      </c>
      <c r="C154" s="54" t="s">
        <v>307</v>
      </c>
      <c r="D154" s="54" t="s">
        <v>307</v>
      </c>
      <c r="E154" s="54" t="s">
        <v>307</v>
      </c>
      <c r="F154" s="54" t="s">
        <v>311</v>
      </c>
      <c r="G154" s="54" t="s">
        <v>311</v>
      </c>
      <c r="H154" s="54" t="s">
        <v>311</v>
      </c>
      <c r="I154" s="54" t="s">
        <v>312</v>
      </c>
      <c r="J154" s="54" t="s">
        <v>312</v>
      </c>
      <c r="K154" s="54" t="s">
        <v>312</v>
      </c>
      <c r="L154" s="54" t="s">
        <v>203</v>
      </c>
      <c r="M154" s="54" t="s">
        <v>203</v>
      </c>
      <c r="N154" s="54" t="s">
        <v>203</v>
      </c>
      <c r="O154" s="54" t="s">
        <v>310</v>
      </c>
      <c r="P154" s="54" t="s">
        <v>310</v>
      </c>
      <c r="Q154" s="54" t="s">
        <v>310</v>
      </c>
      <c r="S154" s="54" t="s">
        <v>390</v>
      </c>
    </row>
    <row r="155" spans="1:20">
      <c r="A155" t="s">
        <v>304</v>
      </c>
      <c r="B155">
        <f>3000*4</f>
        <v>12000</v>
      </c>
      <c r="C155">
        <f>3000*4</f>
        <v>12000</v>
      </c>
      <c r="D155">
        <f>3000*4</f>
        <v>12000</v>
      </c>
      <c r="E155">
        <f>3000*4</f>
        <v>12000</v>
      </c>
      <c r="F155">
        <f>3000*4.5</f>
        <v>13500</v>
      </c>
      <c r="G155">
        <f>3000*4.5</f>
        <v>13500</v>
      </c>
      <c r="H155">
        <f>3000*4.5</f>
        <v>13500</v>
      </c>
      <c r="I155">
        <f>3000*5</f>
        <v>15000</v>
      </c>
      <c r="J155">
        <f>3000*5</f>
        <v>15000</v>
      </c>
      <c r="K155">
        <f>3000*5</f>
        <v>15000</v>
      </c>
      <c r="L155">
        <f>3000*6</f>
        <v>18000</v>
      </c>
      <c r="M155">
        <f>3000*6</f>
        <v>18000</v>
      </c>
      <c r="N155">
        <f>3000*6</f>
        <v>18000</v>
      </c>
      <c r="O155">
        <f>3000*6.5</f>
        <v>19500</v>
      </c>
      <c r="P155">
        <f t="shared" ref="P155:Q155" si="114">3000*6.5</f>
        <v>19500</v>
      </c>
      <c r="Q155">
        <f t="shared" si="114"/>
        <v>19500</v>
      </c>
      <c r="S155">
        <f>3000*2</f>
        <v>6000</v>
      </c>
    </row>
    <row r="156" spans="1:20">
      <c r="A156" t="s">
        <v>197</v>
      </c>
      <c r="B156">
        <f>2300*5</f>
        <v>11500</v>
      </c>
      <c r="C156">
        <f>2300*5</f>
        <v>11500</v>
      </c>
      <c r="D156">
        <f t="shared" ref="D156:E156" si="115">2300*5</f>
        <v>11500</v>
      </c>
      <c r="E156">
        <f t="shared" si="115"/>
        <v>11500</v>
      </c>
      <c r="F156">
        <f>2300*6</f>
        <v>13800</v>
      </c>
      <c r="G156">
        <f t="shared" ref="G156:H156" si="116">2300*6</f>
        <v>13800</v>
      </c>
      <c r="H156">
        <f t="shared" si="116"/>
        <v>13800</v>
      </c>
      <c r="I156">
        <f>2300*9</f>
        <v>20700</v>
      </c>
      <c r="J156">
        <f t="shared" ref="J156:K156" si="117">2300*9</f>
        <v>20700</v>
      </c>
      <c r="K156">
        <f t="shared" si="117"/>
        <v>20700</v>
      </c>
      <c r="L156">
        <f>2300*11</f>
        <v>25300</v>
      </c>
      <c r="M156">
        <f t="shared" ref="M156:N156" si="118">2300*11</f>
        <v>25300</v>
      </c>
      <c r="N156">
        <f t="shared" si="118"/>
        <v>25300</v>
      </c>
      <c r="O156">
        <f>2300*12.5</f>
        <v>28750</v>
      </c>
      <c r="P156">
        <f t="shared" ref="P156:Q156" si="119">2300*12.5</f>
        <v>28750</v>
      </c>
      <c r="Q156">
        <f t="shared" si="119"/>
        <v>28750</v>
      </c>
      <c r="S156">
        <f>2300*1.5</f>
        <v>3450</v>
      </c>
    </row>
    <row r="157" spans="1:20">
      <c r="A157" t="s">
        <v>314</v>
      </c>
      <c r="B157">
        <f>1600*2</f>
        <v>3200</v>
      </c>
      <c r="C157">
        <f>3200*1</f>
        <v>3200</v>
      </c>
      <c r="D157">
        <f>3200*1</f>
        <v>3200</v>
      </c>
      <c r="E157">
        <f>4200*1</f>
        <v>4200</v>
      </c>
      <c r="F157">
        <f>3200*1</f>
        <v>3200</v>
      </c>
      <c r="G157">
        <f>3200*1</f>
        <v>3200</v>
      </c>
      <c r="H157">
        <f>4200*1</f>
        <v>4200</v>
      </c>
      <c r="I157">
        <f>3200*2</f>
        <v>6400</v>
      </c>
      <c r="J157">
        <f>3200*2</f>
        <v>6400</v>
      </c>
      <c r="K157">
        <f>4200*2</f>
        <v>8400</v>
      </c>
      <c r="L157">
        <f>3200*2</f>
        <v>6400</v>
      </c>
      <c r="M157">
        <f>3200*2</f>
        <v>6400</v>
      </c>
      <c r="N157">
        <f>4200*2</f>
        <v>8400</v>
      </c>
      <c r="O157">
        <f>3200*2.5</f>
        <v>8000</v>
      </c>
      <c r="P157">
        <f>3200*2.5</f>
        <v>8000</v>
      </c>
      <c r="Q157">
        <f>4200*2.5</f>
        <v>10500</v>
      </c>
      <c r="S157">
        <f>3200*0.5</f>
        <v>1600</v>
      </c>
    </row>
    <row r="158" spans="1:20">
      <c r="A158" t="s">
        <v>332</v>
      </c>
      <c r="B158">
        <f>2200*3</f>
        <v>6600</v>
      </c>
      <c r="C158">
        <f>2200*3</f>
        <v>6600</v>
      </c>
      <c r="E158">
        <f>3000*3</f>
        <v>9000</v>
      </c>
      <c r="F158">
        <f>2200*3</f>
        <v>6600</v>
      </c>
      <c r="H158">
        <f>3000*3</f>
        <v>9000</v>
      </c>
      <c r="I158">
        <f>2200*3</f>
        <v>6600</v>
      </c>
      <c r="K158">
        <f>3000*3</f>
        <v>9000</v>
      </c>
      <c r="L158">
        <f>2200*6</f>
        <v>13200</v>
      </c>
      <c r="N158">
        <f>3000*6</f>
        <v>18000</v>
      </c>
      <c r="O158">
        <f>2200*6.5</f>
        <v>14300</v>
      </c>
      <c r="Q158">
        <f>3000*6.5</f>
        <v>19500</v>
      </c>
      <c r="S158">
        <f>2200*1.5</f>
        <v>3300</v>
      </c>
    </row>
    <row r="159" spans="1:20">
      <c r="A159" t="s">
        <v>138</v>
      </c>
      <c r="D159">
        <f>3100*3</f>
        <v>9300</v>
      </c>
      <c r="G159">
        <f>3100*3</f>
        <v>9300</v>
      </c>
      <c r="J159">
        <f>3100*3</f>
        <v>9300</v>
      </c>
      <c r="M159">
        <f>3100*6</f>
        <v>18600</v>
      </c>
      <c r="P159">
        <f>3100*6.5</f>
        <v>20150</v>
      </c>
    </row>
    <row r="160" spans="1:20">
      <c r="A160" t="s">
        <v>306</v>
      </c>
      <c r="B160">
        <f>1000+1800</f>
        <v>2800</v>
      </c>
      <c r="C160">
        <f t="shared" ref="C160:K160" si="120">900+600</f>
        <v>1500</v>
      </c>
      <c r="D160">
        <f t="shared" si="120"/>
        <v>1500</v>
      </c>
      <c r="E160">
        <f t="shared" si="120"/>
        <v>1500</v>
      </c>
      <c r="F160">
        <f t="shared" si="120"/>
        <v>1500</v>
      </c>
      <c r="G160">
        <f t="shared" si="120"/>
        <v>1500</v>
      </c>
      <c r="H160">
        <f t="shared" si="120"/>
        <v>1500</v>
      </c>
      <c r="I160">
        <f t="shared" si="120"/>
        <v>1500</v>
      </c>
      <c r="J160">
        <f t="shared" si="120"/>
        <v>1500</v>
      </c>
      <c r="K160">
        <f t="shared" si="120"/>
        <v>1500</v>
      </c>
      <c r="L160">
        <f t="shared" ref="L160:Q160" si="121">1800+1200</f>
        <v>3000</v>
      </c>
      <c r="M160">
        <f t="shared" si="121"/>
        <v>3000</v>
      </c>
      <c r="N160">
        <f t="shared" si="121"/>
        <v>3000</v>
      </c>
      <c r="O160">
        <f t="shared" si="121"/>
        <v>3000</v>
      </c>
      <c r="P160">
        <f t="shared" si="121"/>
        <v>3000</v>
      </c>
      <c r="Q160">
        <f t="shared" si="121"/>
        <v>3000</v>
      </c>
      <c r="S160">
        <f t="shared" ref="S160" si="122">900+600</f>
        <v>1500</v>
      </c>
    </row>
    <row r="161" spans="1:19">
      <c r="A161" t="s">
        <v>200</v>
      </c>
      <c r="B161">
        <v>20000</v>
      </c>
      <c r="C161">
        <v>18000</v>
      </c>
      <c r="D161">
        <v>18000</v>
      </c>
      <c r="E161">
        <v>18000</v>
      </c>
      <c r="F161">
        <v>22000</v>
      </c>
      <c r="G161">
        <v>22000</v>
      </c>
      <c r="H161">
        <v>22000</v>
      </c>
      <c r="I161">
        <v>27000</v>
      </c>
      <c r="J161">
        <v>27000</v>
      </c>
      <c r="K161">
        <v>27000</v>
      </c>
      <c r="L161">
        <v>36000</v>
      </c>
      <c r="M161">
        <v>36000</v>
      </c>
      <c r="N161">
        <v>36000</v>
      </c>
      <c r="O161">
        <v>43000</v>
      </c>
      <c r="P161">
        <v>43000</v>
      </c>
      <c r="Q161">
        <v>43000</v>
      </c>
      <c r="S161">
        <v>12000</v>
      </c>
    </row>
    <row r="162" spans="1:19">
      <c r="A162" t="s">
        <v>201</v>
      </c>
      <c r="B162">
        <v>5000</v>
      </c>
      <c r="C162">
        <v>5000</v>
      </c>
      <c r="D162">
        <v>5000</v>
      </c>
      <c r="E162">
        <v>5000</v>
      </c>
      <c r="F162">
        <v>6000</v>
      </c>
      <c r="G162">
        <v>6000</v>
      </c>
      <c r="H162">
        <v>6000</v>
      </c>
      <c r="I162">
        <v>7500</v>
      </c>
      <c r="J162">
        <v>7500</v>
      </c>
      <c r="K162">
        <v>7500</v>
      </c>
      <c r="L162">
        <v>10000</v>
      </c>
      <c r="M162">
        <v>10000</v>
      </c>
      <c r="N162">
        <v>10000</v>
      </c>
      <c r="O162">
        <v>12000</v>
      </c>
      <c r="P162">
        <v>12000</v>
      </c>
      <c r="Q162">
        <v>12000</v>
      </c>
      <c r="S162">
        <v>2500</v>
      </c>
    </row>
    <row r="163" spans="1:19">
      <c r="A163" t="s">
        <v>202</v>
      </c>
      <c r="B163">
        <v>5000</v>
      </c>
      <c r="C163">
        <v>5000</v>
      </c>
      <c r="D163">
        <v>5000</v>
      </c>
      <c r="E163">
        <v>5000</v>
      </c>
      <c r="F163">
        <v>5000</v>
      </c>
      <c r="G163">
        <v>5000</v>
      </c>
      <c r="H163">
        <v>5000</v>
      </c>
      <c r="I163">
        <v>5000</v>
      </c>
      <c r="J163">
        <v>5000</v>
      </c>
      <c r="K163">
        <v>5000</v>
      </c>
      <c r="L163">
        <v>5000</v>
      </c>
      <c r="M163">
        <v>5000</v>
      </c>
      <c r="N163">
        <v>5000</v>
      </c>
      <c r="O163">
        <v>5000</v>
      </c>
      <c r="P163">
        <v>5000</v>
      </c>
      <c r="Q163">
        <v>5000</v>
      </c>
      <c r="S163">
        <v>2500</v>
      </c>
    </row>
    <row r="164" spans="1:19">
      <c r="A164" s="3" t="s">
        <v>215</v>
      </c>
      <c r="B164" s="94">
        <f>SUM(B155:B163)</f>
        <v>66100</v>
      </c>
      <c r="C164" s="94">
        <f>SUM(C155:C163)</f>
        <v>62800</v>
      </c>
      <c r="D164" s="94">
        <f t="shared" ref="D164:Q164" si="123">SUM(D155:D163)</f>
        <v>65500</v>
      </c>
      <c r="E164" s="94">
        <f t="shared" si="123"/>
        <v>66200</v>
      </c>
      <c r="F164" s="94">
        <f t="shared" si="123"/>
        <v>71600</v>
      </c>
      <c r="G164" s="94">
        <f t="shared" si="123"/>
        <v>74300</v>
      </c>
      <c r="H164" s="94">
        <f t="shared" si="123"/>
        <v>75000</v>
      </c>
      <c r="I164" s="94">
        <f t="shared" si="123"/>
        <v>89700</v>
      </c>
      <c r="J164" s="94">
        <f t="shared" si="123"/>
        <v>92400</v>
      </c>
      <c r="K164" s="94">
        <f t="shared" si="123"/>
        <v>94100</v>
      </c>
      <c r="L164" s="94">
        <f t="shared" si="123"/>
        <v>116900</v>
      </c>
      <c r="M164" s="94">
        <f t="shared" si="123"/>
        <v>122300</v>
      </c>
      <c r="N164" s="94">
        <f t="shared" si="123"/>
        <v>123700</v>
      </c>
      <c r="O164" s="94">
        <f t="shared" si="123"/>
        <v>133550</v>
      </c>
      <c r="P164" s="94">
        <f t="shared" si="123"/>
        <v>139400</v>
      </c>
      <c r="Q164" s="94">
        <f t="shared" si="123"/>
        <v>141250</v>
      </c>
      <c r="S164" s="94">
        <f>SUM(S155:S163)</f>
        <v>32850</v>
      </c>
    </row>
    <row r="165" spans="1:19">
      <c r="A165" s="50">
        <v>0.2</v>
      </c>
      <c r="B165" s="10">
        <f t="shared" ref="B165" si="124">+B164*1.2</f>
        <v>79320</v>
      </c>
      <c r="C165" s="10">
        <f t="shared" ref="C165:Q165" si="125">+C164*1.2</f>
        <v>75360</v>
      </c>
      <c r="D165" s="10">
        <f t="shared" si="125"/>
        <v>78600</v>
      </c>
      <c r="E165" s="10">
        <f t="shared" si="125"/>
        <v>79440</v>
      </c>
      <c r="F165" s="10">
        <f t="shared" si="125"/>
        <v>85920</v>
      </c>
      <c r="G165" s="10">
        <f t="shared" si="125"/>
        <v>89160</v>
      </c>
      <c r="H165" s="10">
        <f t="shared" si="125"/>
        <v>90000</v>
      </c>
      <c r="I165" s="10">
        <f t="shared" si="125"/>
        <v>107640</v>
      </c>
      <c r="J165" s="10">
        <f t="shared" si="125"/>
        <v>110880</v>
      </c>
      <c r="K165" s="10">
        <f t="shared" si="125"/>
        <v>112920</v>
      </c>
      <c r="L165" s="10">
        <f t="shared" si="125"/>
        <v>140280</v>
      </c>
      <c r="M165" s="10">
        <f t="shared" si="125"/>
        <v>146760</v>
      </c>
      <c r="N165" s="10">
        <f t="shared" si="125"/>
        <v>148440</v>
      </c>
      <c r="O165" s="10">
        <f t="shared" si="125"/>
        <v>160260</v>
      </c>
      <c r="P165" s="10">
        <f t="shared" si="125"/>
        <v>167280</v>
      </c>
      <c r="Q165" s="10">
        <f t="shared" si="125"/>
        <v>169500</v>
      </c>
      <c r="S165" s="10">
        <f t="shared" ref="S165" si="126">+S164*1.2</f>
        <v>39420</v>
      </c>
    </row>
    <row r="166" spans="1:19">
      <c r="A166" s="50">
        <v>0.3</v>
      </c>
      <c r="B166" s="10">
        <f t="shared" ref="B166" si="127">+B164*1.3</f>
        <v>85930</v>
      </c>
      <c r="C166" s="10">
        <f t="shared" ref="C166:Q166" si="128">+C164*1.3</f>
        <v>81640</v>
      </c>
      <c r="D166" s="10">
        <f t="shared" si="128"/>
        <v>85150</v>
      </c>
      <c r="E166" s="10">
        <f t="shared" si="128"/>
        <v>86060</v>
      </c>
      <c r="F166" s="10">
        <f t="shared" si="128"/>
        <v>93080</v>
      </c>
      <c r="G166" s="10">
        <f t="shared" si="128"/>
        <v>96590</v>
      </c>
      <c r="H166" s="10">
        <f t="shared" si="128"/>
        <v>97500</v>
      </c>
      <c r="I166" s="10">
        <f t="shared" si="128"/>
        <v>116610</v>
      </c>
      <c r="J166" s="10">
        <f t="shared" si="128"/>
        <v>120120</v>
      </c>
      <c r="K166" s="10">
        <f t="shared" si="128"/>
        <v>122330</v>
      </c>
      <c r="L166" s="10">
        <f t="shared" si="128"/>
        <v>151970</v>
      </c>
      <c r="M166" s="10">
        <f t="shared" si="128"/>
        <v>158990</v>
      </c>
      <c r="N166" s="10">
        <f t="shared" si="128"/>
        <v>160810</v>
      </c>
      <c r="O166" s="10">
        <f t="shared" si="128"/>
        <v>173615</v>
      </c>
      <c r="P166" s="10">
        <f t="shared" si="128"/>
        <v>181220</v>
      </c>
      <c r="Q166" s="10">
        <f t="shared" si="128"/>
        <v>183625</v>
      </c>
      <c r="S166" s="10">
        <f t="shared" ref="S166" si="129">+S164*1.3</f>
        <v>42705</v>
      </c>
    </row>
    <row r="167" spans="1:19">
      <c r="A167" s="50"/>
      <c r="C167" s="10"/>
      <c r="D167" s="10"/>
      <c r="E167" s="10"/>
      <c r="F167" s="10"/>
      <c r="G167" s="10"/>
      <c r="H167" s="10"/>
      <c r="I167" s="108" t="s">
        <v>340</v>
      </c>
      <c r="J167" s="108"/>
      <c r="K167" s="108"/>
      <c r="L167" s="10"/>
      <c r="M167" s="10"/>
      <c r="N167" s="10"/>
      <c r="O167" s="10"/>
      <c r="P167" s="10"/>
      <c r="Q167" s="10"/>
    </row>
    <row r="169" spans="1:19">
      <c r="A169" s="56" t="s">
        <v>339</v>
      </c>
      <c r="B169" s="54" t="s">
        <v>307</v>
      </c>
      <c r="C169" s="54" t="s">
        <v>311</v>
      </c>
      <c r="D169" s="54" t="s">
        <v>312</v>
      </c>
      <c r="E169" s="54" t="s">
        <v>203</v>
      </c>
      <c r="F169" s="54" t="s">
        <v>310</v>
      </c>
      <c r="G169" s="54" t="s">
        <v>310</v>
      </c>
    </row>
    <row r="170" spans="1:19">
      <c r="A170" t="s">
        <v>304</v>
      </c>
      <c r="B170">
        <f>3000*4</f>
        <v>12000</v>
      </c>
      <c r="C170">
        <f>3000*4.5</f>
        <v>13500</v>
      </c>
      <c r="D170">
        <f>3000*5</f>
        <v>15000</v>
      </c>
      <c r="E170">
        <f>3000*6</f>
        <v>18000</v>
      </c>
      <c r="F170">
        <f t="shared" ref="F170:G170" si="130">3000*6.5</f>
        <v>19500</v>
      </c>
      <c r="G170">
        <f t="shared" si="130"/>
        <v>19500</v>
      </c>
    </row>
    <row r="171" spans="1:19">
      <c r="A171" t="s">
        <v>197</v>
      </c>
      <c r="B171">
        <f>2300*3</f>
        <v>6900</v>
      </c>
      <c r="C171">
        <f>2300*3.5</f>
        <v>8050</v>
      </c>
      <c r="D171">
        <f>2300*6</f>
        <v>13800</v>
      </c>
      <c r="E171">
        <f>2300*6.5</f>
        <v>14950</v>
      </c>
      <c r="F171">
        <f>2300*7</f>
        <v>16100</v>
      </c>
      <c r="G171">
        <f>2300*7</f>
        <v>16100</v>
      </c>
    </row>
    <row r="172" spans="1:19">
      <c r="A172" t="s">
        <v>314</v>
      </c>
      <c r="B172">
        <f>3200*2</f>
        <v>6400</v>
      </c>
      <c r="C172">
        <f>3200*2.5</f>
        <v>8000</v>
      </c>
      <c r="D172">
        <f>3200*3.5</f>
        <v>11200</v>
      </c>
      <c r="E172">
        <f>3200*4</f>
        <v>12800</v>
      </c>
      <c r="F172">
        <f>3200*4.5</f>
        <v>14400</v>
      </c>
      <c r="G172">
        <f>4200*4.5</f>
        <v>18900</v>
      </c>
    </row>
    <row r="173" spans="1:19">
      <c r="A173" t="s">
        <v>138</v>
      </c>
      <c r="B173">
        <f>3100*2.5</f>
        <v>7750</v>
      </c>
      <c r="C173">
        <f t="shared" ref="C173" si="131">3100*2.5</f>
        <v>7750</v>
      </c>
      <c r="D173">
        <f>3100*4.5</f>
        <v>13950</v>
      </c>
      <c r="E173">
        <f>3100*4.5</f>
        <v>13950</v>
      </c>
      <c r="F173">
        <f>3100*5.5</f>
        <v>17050</v>
      </c>
      <c r="G173">
        <f>3100*5.5</f>
        <v>17050</v>
      </c>
    </row>
    <row r="174" spans="1:19">
      <c r="A174" t="s">
        <v>306</v>
      </c>
      <c r="B174">
        <f t="shared" ref="B174:D174" si="132">900+600</f>
        <v>1500</v>
      </c>
      <c r="C174">
        <f t="shared" si="132"/>
        <v>1500</v>
      </c>
      <c r="D174">
        <f t="shared" si="132"/>
        <v>1500</v>
      </c>
      <c r="E174">
        <f t="shared" ref="E174:G174" si="133">1800+1200</f>
        <v>3000</v>
      </c>
      <c r="F174">
        <f t="shared" si="133"/>
        <v>3000</v>
      </c>
      <c r="G174">
        <f t="shared" si="133"/>
        <v>3000</v>
      </c>
    </row>
    <row r="175" spans="1:19">
      <c r="A175" t="s">
        <v>200</v>
      </c>
      <c r="B175">
        <v>15000</v>
      </c>
      <c r="C175">
        <v>18000</v>
      </c>
      <c r="D175">
        <v>22500</v>
      </c>
      <c r="E175">
        <v>30000</v>
      </c>
      <c r="F175">
        <v>36000</v>
      </c>
      <c r="G175">
        <v>36000</v>
      </c>
    </row>
    <row r="176" spans="1:19">
      <c r="A176" t="s">
        <v>201</v>
      </c>
      <c r="B176">
        <v>5000</v>
      </c>
      <c r="C176">
        <v>6000</v>
      </c>
      <c r="D176">
        <v>7500</v>
      </c>
      <c r="E176">
        <v>10000</v>
      </c>
      <c r="F176">
        <v>12000</v>
      </c>
      <c r="G176">
        <v>12000</v>
      </c>
    </row>
    <row r="177" spans="1:11">
      <c r="A177" t="s">
        <v>202</v>
      </c>
      <c r="B177">
        <v>5000</v>
      </c>
      <c r="C177">
        <v>5000</v>
      </c>
      <c r="D177">
        <v>5000</v>
      </c>
      <c r="E177">
        <v>5000</v>
      </c>
      <c r="F177">
        <v>5000</v>
      </c>
      <c r="G177">
        <v>5000</v>
      </c>
    </row>
    <row r="178" spans="1:11">
      <c r="A178" s="3" t="s">
        <v>215</v>
      </c>
      <c r="B178" s="94">
        <f>SUM(B170:B177)</f>
        <v>59550</v>
      </c>
      <c r="C178" s="94">
        <f t="shared" ref="C178:F178" si="134">SUM(C169:C177)</f>
        <v>67800</v>
      </c>
      <c r="D178" s="94">
        <f t="shared" si="134"/>
        <v>90450</v>
      </c>
      <c r="E178" s="94">
        <f t="shared" si="134"/>
        <v>107700</v>
      </c>
      <c r="F178" s="94">
        <f t="shared" si="134"/>
        <v>123050</v>
      </c>
      <c r="G178" s="94">
        <f t="shared" ref="G178" si="135">SUM(G169:G177)</f>
        <v>127550</v>
      </c>
    </row>
    <row r="179" spans="1:11">
      <c r="A179" s="50">
        <v>0.2</v>
      </c>
      <c r="B179" s="10">
        <f t="shared" ref="B179:F179" si="136">+B178*1.2</f>
        <v>71460</v>
      </c>
      <c r="C179" s="10">
        <f t="shared" si="136"/>
        <v>81360</v>
      </c>
      <c r="D179" s="10">
        <f t="shared" si="136"/>
        <v>108540</v>
      </c>
      <c r="E179" s="10">
        <f t="shared" si="136"/>
        <v>129240</v>
      </c>
      <c r="F179" s="10">
        <f t="shared" si="136"/>
        <v>147660</v>
      </c>
      <c r="G179" s="10">
        <f t="shared" ref="G179" si="137">+G178*1.2</f>
        <v>153060</v>
      </c>
    </row>
    <row r="180" spans="1:11">
      <c r="A180" s="50">
        <v>0.3</v>
      </c>
      <c r="B180" s="10">
        <f t="shared" ref="B180:F180" si="138">+B178*1.3</f>
        <v>77415</v>
      </c>
      <c r="C180" s="10">
        <f t="shared" si="138"/>
        <v>88140</v>
      </c>
      <c r="D180" s="10">
        <f t="shared" si="138"/>
        <v>117585</v>
      </c>
      <c r="E180" s="10">
        <f t="shared" si="138"/>
        <v>140010</v>
      </c>
      <c r="F180" s="10">
        <f t="shared" si="138"/>
        <v>159965</v>
      </c>
      <c r="G180" s="10">
        <f t="shared" ref="G180" si="139">+G178*1.3</f>
        <v>165815</v>
      </c>
    </row>
    <row r="181" spans="1:11">
      <c r="D181" t="s">
        <v>341</v>
      </c>
    </row>
    <row r="183" spans="1:11" s="100" customFormat="1"/>
    <row r="184" spans="1:11">
      <c r="A184" t="s">
        <v>344</v>
      </c>
    </row>
    <row r="186" spans="1:11">
      <c r="A186" s="56" t="s">
        <v>346</v>
      </c>
      <c r="B186" t="s">
        <v>307</v>
      </c>
      <c r="C186" t="s">
        <v>307</v>
      </c>
      <c r="D186" t="s">
        <v>307</v>
      </c>
      <c r="E186" t="s">
        <v>307</v>
      </c>
      <c r="F186" t="s">
        <v>307</v>
      </c>
      <c r="G186" t="s">
        <v>353</v>
      </c>
      <c r="H186" t="s">
        <v>353</v>
      </c>
      <c r="I186" t="s">
        <v>353</v>
      </c>
      <c r="J186" t="s">
        <v>353</v>
      </c>
      <c r="K186" t="s">
        <v>353</v>
      </c>
    </row>
    <row r="187" spans="1:11">
      <c r="A187" t="s">
        <v>351</v>
      </c>
      <c r="B187">
        <f>2300*13.5</f>
        <v>31050</v>
      </c>
      <c r="G187">
        <f>2300*32</f>
        <v>73600</v>
      </c>
    </row>
    <row r="188" spans="1:11">
      <c r="A188" t="s">
        <v>350</v>
      </c>
      <c r="C188">
        <f>1600*12</f>
        <v>19200</v>
      </c>
      <c r="H188">
        <f>1600*24</f>
        <v>38400</v>
      </c>
    </row>
    <row r="189" spans="1:11">
      <c r="A189" t="s">
        <v>347</v>
      </c>
      <c r="D189">
        <f>2100*12</f>
        <v>25200</v>
      </c>
      <c r="I189">
        <f>2100*24</f>
        <v>50400</v>
      </c>
    </row>
    <row r="190" spans="1:11">
      <c r="A190" t="s">
        <v>348</v>
      </c>
      <c r="E190">
        <f>2000*12</f>
        <v>24000</v>
      </c>
      <c r="J190">
        <f>2000*24</f>
        <v>48000</v>
      </c>
    </row>
    <row r="191" spans="1:11">
      <c r="A191" t="s">
        <v>349</v>
      </c>
      <c r="F191">
        <f>2800*12</f>
        <v>33600</v>
      </c>
      <c r="K191">
        <f>2800*24</f>
        <v>67200</v>
      </c>
    </row>
    <row r="192" spans="1:11">
      <c r="A192" t="s">
        <v>354</v>
      </c>
      <c r="H192">
        <f t="shared" ref="H192:I192" si="140">2200*5</f>
        <v>11000</v>
      </c>
      <c r="I192">
        <f t="shared" si="140"/>
        <v>11000</v>
      </c>
      <c r="J192">
        <f>3000*5</f>
        <v>15000</v>
      </c>
      <c r="K192">
        <f>3000*5</f>
        <v>15000</v>
      </c>
    </row>
    <row r="193" spans="1:11">
      <c r="A193" t="s">
        <v>355</v>
      </c>
      <c r="G193">
        <f>1400+2600</f>
        <v>4000</v>
      </c>
      <c r="H193">
        <f t="shared" ref="H193:K193" si="141">1400+2600</f>
        <v>4000</v>
      </c>
      <c r="I193">
        <f t="shared" si="141"/>
        <v>4000</v>
      </c>
      <c r="J193">
        <f t="shared" si="141"/>
        <v>4000</v>
      </c>
      <c r="K193">
        <f t="shared" si="141"/>
        <v>4000</v>
      </c>
    </row>
    <row r="194" spans="1:11">
      <c r="A194" t="s">
        <v>200</v>
      </c>
      <c r="B194">
        <v>12000</v>
      </c>
      <c r="C194">
        <v>12000</v>
      </c>
      <c r="D194">
        <v>12000</v>
      </c>
      <c r="E194">
        <v>12000</v>
      </c>
      <c r="F194">
        <v>12000</v>
      </c>
      <c r="G194">
        <v>24000</v>
      </c>
      <c r="H194">
        <v>24000</v>
      </c>
      <c r="I194">
        <v>24000</v>
      </c>
      <c r="J194">
        <v>24000</v>
      </c>
      <c r="K194">
        <v>24000</v>
      </c>
    </row>
    <row r="195" spans="1:11">
      <c r="A195" t="s">
        <v>352</v>
      </c>
      <c r="B195">
        <v>10000</v>
      </c>
      <c r="C195">
        <v>10000</v>
      </c>
      <c r="D195">
        <v>10000</v>
      </c>
      <c r="E195">
        <v>10000</v>
      </c>
      <c r="F195">
        <v>10000</v>
      </c>
      <c r="G195">
        <v>20000</v>
      </c>
      <c r="H195">
        <v>20000</v>
      </c>
      <c r="I195">
        <v>20000</v>
      </c>
      <c r="J195">
        <v>20000</v>
      </c>
      <c r="K195">
        <v>20000</v>
      </c>
    </row>
    <row r="196" spans="1:11">
      <c r="A196" s="3" t="s">
        <v>215</v>
      </c>
      <c r="B196" s="94">
        <f>SUM(B187:B195)</f>
        <v>53050</v>
      </c>
      <c r="C196" s="94">
        <f t="shared" ref="C196:F196" si="142">SUM(C187:C195)</f>
        <v>41200</v>
      </c>
      <c r="D196" s="94">
        <f t="shared" si="142"/>
        <v>47200</v>
      </c>
      <c r="E196" s="94">
        <f t="shared" si="142"/>
        <v>46000</v>
      </c>
      <c r="F196" s="94">
        <f t="shared" si="142"/>
        <v>55600</v>
      </c>
      <c r="G196" s="94">
        <f>SUM(G185:G195)</f>
        <v>121600</v>
      </c>
      <c r="H196" s="94">
        <f t="shared" ref="H196:K196" si="143">SUM(H185:H195)</f>
        <v>97400</v>
      </c>
      <c r="I196" s="94">
        <f t="shared" si="143"/>
        <v>109400</v>
      </c>
      <c r="J196" s="94">
        <f t="shared" si="143"/>
        <v>111000</v>
      </c>
      <c r="K196" s="94">
        <f t="shared" si="143"/>
        <v>130200</v>
      </c>
    </row>
    <row r="197" spans="1:11">
      <c r="A197" s="50">
        <v>0.2</v>
      </c>
      <c r="B197" s="10">
        <f t="shared" ref="B197:G197" si="144">+B196*1.2</f>
        <v>63660</v>
      </c>
      <c r="C197" s="10">
        <f t="shared" si="144"/>
        <v>49440</v>
      </c>
      <c r="D197" s="10">
        <f t="shared" si="144"/>
        <v>56640</v>
      </c>
      <c r="E197" s="10">
        <f t="shared" si="144"/>
        <v>55200</v>
      </c>
      <c r="F197" s="10">
        <f t="shared" si="144"/>
        <v>66720</v>
      </c>
      <c r="G197" s="10">
        <f t="shared" si="144"/>
        <v>145920</v>
      </c>
      <c r="H197" s="10">
        <f t="shared" ref="H197:J197" si="145">+H196*1.2</f>
        <v>116880</v>
      </c>
      <c r="I197" s="10">
        <f t="shared" si="145"/>
        <v>131280</v>
      </c>
      <c r="J197" s="10">
        <f t="shared" si="145"/>
        <v>133200</v>
      </c>
      <c r="K197" s="10">
        <f t="shared" ref="K197" si="146">+K196*1.2</f>
        <v>156240</v>
      </c>
    </row>
    <row r="198" spans="1:11">
      <c r="A198" s="50">
        <v>0.3</v>
      </c>
      <c r="B198" s="10">
        <f t="shared" ref="B198:G198" si="147">+B196*1.3</f>
        <v>68965</v>
      </c>
      <c r="C198" s="10">
        <f t="shared" si="147"/>
        <v>53560</v>
      </c>
      <c r="D198" s="10">
        <f t="shared" si="147"/>
        <v>61360</v>
      </c>
      <c r="E198" s="10">
        <f t="shared" si="147"/>
        <v>59800</v>
      </c>
      <c r="F198" s="10">
        <f t="shared" si="147"/>
        <v>72280</v>
      </c>
      <c r="G198" s="10">
        <f t="shared" si="147"/>
        <v>158080</v>
      </c>
      <c r="H198" s="10">
        <f t="shared" ref="H198:J198" si="148">+H196*1.3</f>
        <v>126620</v>
      </c>
      <c r="I198" s="10">
        <f t="shared" si="148"/>
        <v>142220</v>
      </c>
      <c r="J198" s="10">
        <f t="shared" si="148"/>
        <v>144300</v>
      </c>
      <c r="K198" s="10">
        <f t="shared" ref="K198" si="149">+K196*1.3</f>
        <v>169260</v>
      </c>
    </row>
    <row r="199" spans="1:11">
      <c r="A199" t="s">
        <v>356</v>
      </c>
      <c r="B199">
        <f>+(B196)+(2300*3)+4000</f>
        <v>63950</v>
      </c>
      <c r="C199">
        <f>+(C196)+(2200*3)+4000</f>
        <v>51800</v>
      </c>
      <c r="D199">
        <f>+(D196)+(2200*3)+4000</f>
        <v>57800</v>
      </c>
      <c r="E199">
        <f>+(E196)+(3000*3)+4000</f>
        <v>59000</v>
      </c>
      <c r="F199">
        <f>+(F196)+(3000*3)+4000</f>
        <v>68600</v>
      </c>
    </row>
    <row r="200" spans="1:11">
      <c r="A200" s="50">
        <v>0.2</v>
      </c>
      <c r="B200" s="10">
        <f t="shared" ref="B200" si="150">+B199*1.2</f>
        <v>76740</v>
      </c>
      <c r="C200" s="10">
        <f t="shared" ref="C200:F200" si="151">+C199*1.2</f>
        <v>62160</v>
      </c>
      <c r="D200" s="10">
        <f t="shared" si="151"/>
        <v>69360</v>
      </c>
      <c r="E200" s="10">
        <f t="shared" si="151"/>
        <v>70800</v>
      </c>
      <c r="F200" s="10">
        <f t="shared" si="151"/>
        <v>82320</v>
      </c>
    </row>
    <row r="201" spans="1:11">
      <c r="A201" s="50">
        <v>0.3</v>
      </c>
      <c r="B201" s="10">
        <f t="shared" ref="B201" si="152">+B199*1.3</f>
        <v>83135</v>
      </c>
      <c r="C201" s="10">
        <f t="shared" ref="C201:F201" si="153">+C199*1.3</f>
        <v>67340</v>
      </c>
      <c r="D201" s="10">
        <f t="shared" si="153"/>
        <v>75140</v>
      </c>
      <c r="E201" s="10">
        <f t="shared" si="153"/>
        <v>76700</v>
      </c>
      <c r="F201" s="10">
        <f t="shared" si="153"/>
        <v>89180</v>
      </c>
    </row>
    <row r="203" spans="1:11">
      <c r="A203" s="56" t="s">
        <v>357</v>
      </c>
      <c r="B203" s="54" t="s">
        <v>307</v>
      </c>
      <c r="C203" s="54" t="s">
        <v>362</v>
      </c>
      <c r="D203" s="54">
        <v>1.5</v>
      </c>
      <c r="E203" s="54" t="s">
        <v>363</v>
      </c>
    </row>
    <row r="204" spans="1:11">
      <c r="A204" t="s">
        <v>358</v>
      </c>
      <c r="B204">
        <f>2300*5</f>
        <v>11500</v>
      </c>
      <c r="C204">
        <f>2300*4</f>
        <v>9200</v>
      </c>
      <c r="D204">
        <f>2300*6.5</f>
        <v>14950</v>
      </c>
      <c r="E204">
        <f>2300*5</f>
        <v>11500</v>
      </c>
    </row>
    <row r="205" spans="1:11">
      <c r="A205" t="s">
        <v>359</v>
      </c>
      <c r="B205">
        <f>2500*7</f>
        <v>17500</v>
      </c>
      <c r="C205">
        <f>2500*7</f>
        <v>17500</v>
      </c>
      <c r="D205">
        <f>2500*10</f>
        <v>25000</v>
      </c>
      <c r="E205">
        <f>2500*10</f>
        <v>25000</v>
      </c>
    </row>
    <row r="206" spans="1:11">
      <c r="A206" t="s">
        <v>360</v>
      </c>
      <c r="B206">
        <f>2300*8.5</f>
        <v>19550</v>
      </c>
      <c r="C206">
        <f>2300*4.5</f>
        <v>10350</v>
      </c>
      <c r="D206">
        <f>2300*13.5</f>
        <v>31050</v>
      </c>
      <c r="E206">
        <f>2300*7</f>
        <v>16100</v>
      </c>
    </row>
    <row r="207" spans="1:11">
      <c r="A207" t="s">
        <v>200</v>
      </c>
      <c r="B207">
        <v>22000</v>
      </c>
      <c r="C207">
        <v>22000</v>
      </c>
      <c r="D207">
        <v>33000</v>
      </c>
      <c r="E207">
        <v>33000</v>
      </c>
    </row>
    <row r="208" spans="1:11">
      <c r="A208" t="s">
        <v>361</v>
      </c>
      <c r="B208">
        <v>10000</v>
      </c>
      <c r="C208">
        <v>10000</v>
      </c>
      <c r="D208">
        <v>15000</v>
      </c>
      <c r="E208">
        <v>15000</v>
      </c>
    </row>
    <row r="209" spans="1:5">
      <c r="A209" s="3" t="s">
        <v>215</v>
      </c>
      <c r="B209" s="94">
        <f>SUM(B204:B208)</f>
        <v>80550</v>
      </c>
      <c r="C209" s="94">
        <f>SUM(C204:C208)</f>
        <v>69050</v>
      </c>
      <c r="D209" s="94">
        <f>SUM(D204:D208)</f>
        <v>119000</v>
      </c>
      <c r="E209" s="94">
        <f>SUM(E204:E208)</f>
        <v>100600</v>
      </c>
    </row>
    <row r="210" spans="1:5">
      <c r="A210" s="50">
        <v>0.2</v>
      </c>
      <c r="B210" s="10">
        <f t="shared" ref="B210:C210" si="154">+B209*1.2</f>
        <v>96660</v>
      </c>
      <c r="C210" s="10">
        <f t="shared" si="154"/>
        <v>82860</v>
      </c>
      <c r="D210" s="10">
        <f t="shared" ref="D210:E210" si="155">+D209*1.2</f>
        <v>142800</v>
      </c>
      <c r="E210" s="10">
        <f t="shared" si="155"/>
        <v>120720</v>
      </c>
    </row>
    <row r="211" spans="1:5">
      <c r="A211" s="50">
        <v>0.3</v>
      </c>
      <c r="B211" s="10">
        <f t="shared" ref="B211:C211" si="156">+B209*1.3</f>
        <v>104715</v>
      </c>
      <c r="C211" s="10">
        <f t="shared" si="156"/>
        <v>89765</v>
      </c>
      <c r="D211" s="10">
        <f t="shared" ref="D211:E211" si="157">+D209*1.3</f>
        <v>154700</v>
      </c>
      <c r="E211" s="10">
        <f t="shared" si="157"/>
        <v>130780</v>
      </c>
    </row>
    <row r="213" spans="1:5">
      <c r="A213" s="56" t="s">
        <v>364</v>
      </c>
      <c r="B213" s="54" t="s">
        <v>307</v>
      </c>
      <c r="C213" s="54" t="s">
        <v>307</v>
      </c>
      <c r="D213" s="54">
        <v>1.5</v>
      </c>
      <c r="E213" s="54">
        <v>1.5</v>
      </c>
    </row>
    <row r="214" spans="1:5">
      <c r="A214" t="s">
        <v>365</v>
      </c>
      <c r="B214">
        <f>3000*6</f>
        <v>18000</v>
      </c>
      <c r="D214">
        <f>3000*9</f>
        <v>27000</v>
      </c>
    </row>
    <row r="215" spans="1:5">
      <c r="A215" t="s">
        <v>366</v>
      </c>
      <c r="C215">
        <f>4100*6</f>
        <v>24600</v>
      </c>
      <c r="E215">
        <f>4100*9</f>
        <v>36900</v>
      </c>
    </row>
    <row r="216" spans="1:5">
      <c r="A216" t="s">
        <v>367</v>
      </c>
      <c r="B216">
        <f>1600*4</f>
        <v>6400</v>
      </c>
      <c r="C216">
        <f>2000*4</f>
        <v>8000</v>
      </c>
      <c r="D216">
        <f>1600*5</f>
        <v>8000</v>
      </c>
      <c r="E216">
        <f>2000*5</f>
        <v>10000</v>
      </c>
    </row>
    <row r="217" spans="1:5">
      <c r="A217" t="s">
        <v>200</v>
      </c>
      <c r="B217">
        <v>10000</v>
      </c>
      <c r="C217">
        <v>10000</v>
      </c>
      <c r="D217">
        <v>15000</v>
      </c>
      <c r="E217">
        <v>15000</v>
      </c>
    </row>
    <row r="218" spans="1:5">
      <c r="A218" t="s">
        <v>361</v>
      </c>
      <c r="B218">
        <v>10000</v>
      </c>
      <c r="C218">
        <v>10000</v>
      </c>
      <c r="D218">
        <v>15000</v>
      </c>
      <c r="E218">
        <v>15000</v>
      </c>
    </row>
    <row r="219" spans="1:5">
      <c r="A219" s="3" t="s">
        <v>215</v>
      </c>
      <c r="B219" s="94">
        <f>SUM(B214:B218)</f>
        <v>44400</v>
      </c>
      <c r="C219" s="94">
        <f>SUM(C214:C218)</f>
        <v>52600</v>
      </c>
      <c r="D219" s="94">
        <f>SUM(D214:D218)</f>
        <v>65000</v>
      </c>
      <c r="E219" s="94">
        <f>SUM(E214:E218)</f>
        <v>76900</v>
      </c>
    </row>
    <row r="220" spans="1:5">
      <c r="A220" s="50">
        <v>0.2</v>
      </c>
      <c r="B220" s="10">
        <f t="shared" ref="B220:C220" si="158">+B219*1.2</f>
        <v>53280</v>
      </c>
      <c r="C220" s="10">
        <f t="shared" si="158"/>
        <v>63120</v>
      </c>
      <c r="D220" s="10">
        <f t="shared" ref="D220:E220" si="159">+D219*1.2</f>
        <v>78000</v>
      </c>
      <c r="E220" s="10">
        <f t="shared" si="159"/>
        <v>92280</v>
      </c>
    </row>
    <row r="221" spans="1:5">
      <c r="A221" s="50">
        <v>0.3</v>
      </c>
      <c r="B221" s="10">
        <f t="shared" ref="B221:C221" si="160">+B219*1.3</f>
        <v>57720</v>
      </c>
      <c r="C221" s="10">
        <f t="shared" si="160"/>
        <v>68380</v>
      </c>
      <c r="D221" s="10">
        <f t="shared" ref="D221:E221" si="161">+D219*1.3</f>
        <v>84500</v>
      </c>
      <c r="E221" s="10">
        <f t="shared" si="161"/>
        <v>99970</v>
      </c>
    </row>
    <row r="223" spans="1:5">
      <c r="A223" s="56" t="s">
        <v>368</v>
      </c>
      <c r="B223" s="54" t="s">
        <v>307</v>
      </c>
      <c r="C223" s="54" t="s">
        <v>312</v>
      </c>
    </row>
    <row r="224" spans="1:5">
      <c r="A224" t="s">
        <v>369</v>
      </c>
      <c r="B224">
        <f>2300*4</f>
        <v>9200</v>
      </c>
      <c r="C224">
        <f>2300*5</f>
        <v>11500</v>
      </c>
    </row>
    <row r="225" spans="1:12">
      <c r="A225" t="s">
        <v>370</v>
      </c>
      <c r="B225">
        <f>2500*7</f>
        <v>17500</v>
      </c>
      <c r="C225">
        <f>2500*10</f>
        <v>25000</v>
      </c>
    </row>
    <row r="226" spans="1:12">
      <c r="A226" t="s">
        <v>200</v>
      </c>
      <c r="B226">
        <v>12000</v>
      </c>
      <c r="C226">
        <v>18000</v>
      </c>
    </row>
    <row r="227" spans="1:12">
      <c r="A227" t="s">
        <v>361</v>
      </c>
      <c r="B227">
        <v>10000</v>
      </c>
      <c r="C227">
        <v>15000</v>
      </c>
    </row>
    <row r="228" spans="1:12">
      <c r="A228" s="3" t="s">
        <v>215</v>
      </c>
      <c r="B228" s="94">
        <f>SUM(B224:B227)</f>
        <v>48700</v>
      </c>
      <c r="C228" s="94">
        <f>SUM(C224:C227)</f>
        <v>69500</v>
      </c>
    </row>
    <row r="229" spans="1:12">
      <c r="A229" s="50">
        <v>0.2</v>
      </c>
      <c r="B229" s="10">
        <f t="shared" ref="B229:C229" si="162">+B228*1.2</f>
        <v>58440</v>
      </c>
      <c r="C229" s="10">
        <f t="shared" si="162"/>
        <v>83400</v>
      </c>
    </row>
    <row r="230" spans="1:12">
      <c r="A230" s="50">
        <v>0.3</v>
      </c>
      <c r="B230" s="10">
        <f t="shared" ref="B230:C230" si="163">+B228*1.3</f>
        <v>63310</v>
      </c>
      <c r="C230" s="10">
        <f t="shared" si="163"/>
        <v>90350</v>
      </c>
    </row>
    <row r="231" spans="1:12">
      <c r="A231" t="s">
        <v>371</v>
      </c>
      <c r="B231">
        <f>4200+1200+2000</f>
        <v>7400</v>
      </c>
    </row>
    <row r="233" spans="1:12" s="100" customFormat="1"/>
    <row r="235" spans="1:12">
      <c r="A235" s="56" t="s">
        <v>372</v>
      </c>
    </row>
    <row r="236" spans="1:12">
      <c r="H236" t="s">
        <v>420</v>
      </c>
    </row>
    <row r="237" spans="1:12">
      <c r="A237" t="s">
        <v>412</v>
      </c>
      <c r="B237">
        <f>5500*2</f>
        <v>11000</v>
      </c>
      <c r="C237">
        <f>5500*2</f>
        <v>11000</v>
      </c>
      <c r="D237">
        <f t="shared" ref="D237:G237" si="164">5500*2</f>
        <v>11000</v>
      </c>
      <c r="E237">
        <f t="shared" si="164"/>
        <v>11000</v>
      </c>
      <c r="F237">
        <f t="shared" si="164"/>
        <v>11000</v>
      </c>
      <c r="G237">
        <f t="shared" si="164"/>
        <v>11000</v>
      </c>
      <c r="H237">
        <f>5500*2</f>
        <v>11000</v>
      </c>
      <c r="I237">
        <f t="shared" ref="I237:L237" si="165">5500*2</f>
        <v>11000</v>
      </c>
      <c r="J237">
        <f t="shared" si="165"/>
        <v>11000</v>
      </c>
      <c r="K237">
        <f t="shared" si="165"/>
        <v>11000</v>
      </c>
      <c r="L237">
        <f t="shared" si="165"/>
        <v>11000</v>
      </c>
    </row>
    <row r="238" spans="1:12">
      <c r="A238" t="s">
        <v>197</v>
      </c>
      <c r="B238">
        <v>6000</v>
      </c>
      <c r="C238">
        <v>6000</v>
      </c>
      <c r="D238">
        <v>6000</v>
      </c>
      <c r="E238">
        <v>6000</v>
      </c>
      <c r="F238">
        <v>6000</v>
      </c>
      <c r="G238">
        <v>6000</v>
      </c>
      <c r="H238">
        <v>12000</v>
      </c>
      <c r="I238">
        <v>12000</v>
      </c>
      <c r="J238">
        <v>12000</v>
      </c>
      <c r="K238">
        <v>12000</v>
      </c>
      <c r="L238">
        <v>12000</v>
      </c>
    </row>
    <row r="239" spans="1:12">
      <c r="A239" t="s">
        <v>413</v>
      </c>
      <c r="B239">
        <v>3000</v>
      </c>
      <c r="C239">
        <v>3000</v>
      </c>
      <c r="D239">
        <v>3000</v>
      </c>
      <c r="E239">
        <v>3000</v>
      </c>
      <c r="F239">
        <v>3000</v>
      </c>
      <c r="G239">
        <v>3000</v>
      </c>
      <c r="H239">
        <v>6000</v>
      </c>
      <c r="I239">
        <v>6000</v>
      </c>
      <c r="J239">
        <v>6000</v>
      </c>
      <c r="K239">
        <v>6000</v>
      </c>
      <c r="L239">
        <v>6000</v>
      </c>
    </row>
    <row r="240" spans="1:12">
      <c r="A240" t="s">
        <v>417</v>
      </c>
      <c r="B240">
        <f>1800*6</f>
        <v>10800</v>
      </c>
      <c r="H240">
        <f>1800*13</f>
        <v>23400</v>
      </c>
    </row>
    <row r="241" spans="1:12">
      <c r="A241" t="s">
        <v>414</v>
      </c>
      <c r="C241">
        <f>2000*6</f>
        <v>12000</v>
      </c>
      <c r="I241">
        <f>2000*13</f>
        <v>26000</v>
      </c>
    </row>
    <row r="242" spans="1:12">
      <c r="A242" t="s">
        <v>170</v>
      </c>
      <c r="D242">
        <f>3000*6</f>
        <v>18000</v>
      </c>
      <c r="J242">
        <f>3000*13</f>
        <v>39000</v>
      </c>
    </row>
    <row r="243" spans="1:12">
      <c r="A243" t="s">
        <v>415</v>
      </c>
      <c r="E243">
        <f>3200*6</f>
        <v>19200</v>
      </c>
      <c r="K243">
        <f>3200*13</f>
        <v>41600</v>
      </c>
    </row>
    <row r="244" spans="1:12">
      <c r="A244" t="s">
        <v>416</v>
      </c>
      <c r="F244">
        <f>2500*7</f>
        <v>17500</v>
      </c>
      <c r="G244">
        <f>2500*7</f>
        <v>17500</v>
      </c>
      <c r="L244">
        <f>2500*14</f>
        <v>35000</v>
      </c>
    </row>
    <row r="245" spans="1:12">
      <c r="A245" t="s">
        <v>360</v>
      </c>
      <c r="G245">
        <f>2300*5</f>
        <v>11500</v>
      </c>
    </row>
    <row r="246" spans="1:12">
      <c r="A246" t="s">
        <v>418</v>
      </c>
      <c r="B246">
        <v>15000</v>
      </c>
      <c r="C246">
        <v>15000</v>
      </c>
      <c r="D246">
        <v>15000</v>
      </c>
      <c r="E246">
        <v>15000</v>
      </c>
      <c r="F246">
        <v>15000</v>
      </c>
      <c r="G246">
        <v>22000</v>
      </c>
      <c r="H246">
        <v>30000</v>
      </c>
      <c r="I246">
        <v>30000</v>
      </c>
      <c r="J246">
        <v>30000</v>
      </c>
      <c r="K246">
        <v>30000</v>
      </c>
      <c r="L246">
        <v>30000</v>
      </c>
    </row>
    <row r="247" spans="1:12">
      <c r="A247" t="s">
        <v>419</v>
      </c>
      <c r="B247">
        <v>10000</v>
      </c>
      <c r="C247">
        <v>10000</v>
      </c>
      <c r="D247">
        <v>10000</v>
      </c>
      <c r="E247">
        <v>10000</v>
      </c>
      <c r="F247">
        <v>10000</v>
      </c>
      <c r="G247">
        <v>10000</v>
      </c>
      <c r="H247">
        <v>20000</v>
      </c>
      <c r="I247">
        <v>20000</v>
      </c>
      <c r="J247">
        <v>20000</v>
      </c>
      <c r="K247">
        <v>20000</v>
      </c>
      <c r="L247">
        <v>20000</v>
      </c>
    </row>
    <row r="248" spans="1:12">
      <c r="B248" s="94">
        <f>SUM(B237:B247)</f>
        <v>55800</v>
      </c>
      <c r="C248" s="94">
        <f t="shared" ref="C248:G248" si="166">SUM(C237:C247)</f>
        <v>57000</v>
      </c>
      <c r="D248" s="94">
        <f t="shared" si="166"/>
        <v>63000</v>
      </c>
      <c r="E248" s="94">
        <f t="shared" si="166"/>
        <v>64200</v>
      </c>
      <c r="F248" s="94">
        <f t="shared" si="166"/>
        <v>62500</v>
      </c>
      <c r="G248" s="94">
        <f t="shared" si="166"/>
        <v>81000</v>
      </c>
      <c r="H248" s="94">
        <f>SUM(H237:H247)</f>
        <v>102400</v>
      </c>
      <c r="I248" s="94">
        <f t="shared" ref="I248:L248" si="167">SUM(I237:I247)</f>
        <v>105000</v>
      </c>
      <c r="J248" s="94">
        <f t="shared" si="167"/>
        <v>118000</v>
      </c>
      <c r="K248" s="94">
        <f t="shared" si="167"/>
        <v>120600</v>
      </c>
      <c r="L248" s="94">
        <f t="shared" si="167"/>
        <v>114000</v>
      </c>
    </row>
    <row r="249" spans="1:12">
      <c r="A249" s="50">
        <v>0.2</v>
      </c>
      <c r="B249" s="10">
        <f>+B248*1.2</f>
        <v>66960</v>
      </c>
      <c r="C249" s="10">
        <f t="shared" ref="C249:G249" si="168">+C248*1.2</f>
        <v>68400</v>
      </c>
      <c r="D249" s="10">
        <f t="shared" si="168"/>
        <v>75600</v>
      </c>
      <c r="E249" s="10">
        <f t="shared" si="168"/>
        <v>77040</v>
      </c>
      <c r="F249" s="10">
        <f t="shared" si="168"/>
        <v>75000</v>
      </c>
      <c r="G249" s="10">
        <f t="shared" si="168"/>
        <v>97200</v>
      </c>
      <c r="H249" s="10">
        <f>+H248*1.2</f>
        <v>122880</v>
      </c>
      <c r="I249" s="10">
        <f t="shared" ref="I249:L249" si="169">+I248*1.2</f>
        <v>126000</v>
      </c>
      <c r="J249" s="10">
        <f t="shared" si="169"/>
        <v>141600</v>
      </c>
      <c r="K249" s="10">
        <f t="shared" si="169"/>
        <v>144720</v>
      </c>
      <c r="L249" s="10">
        <f t="shared" si="169"/>
        <v>136800</v>
      </c>
    </row>
    <row r="250" spans="1:12">
      <c r="A250" s="50">
        <v>0.3</v>
      </c>
      <c r="B250" s="10">
        <f t="shared" ref="B250:F250" si="170">+B248*1.3</f>
        <v>72540</v>
      </c>
      <c r="C250" s="10">
        <f t="shared" si="170"/>
        <v>74100</v>
      </c>
      <c r="D250" s="10">
        <f t="shared" si="170"/>
        <v>81900</v>
      </c>
      <c r="E250" s="10">
        <f t="shared" si="170"/>
        <v>83460</v>
      </c>
      <c r="F250" s="10">
        <f t="shared" si="170"/>
        <v>81250</v>
      </c>
      <c r="G250" s="10">
        <f t="shared" ref="G250" si="171">+G248*1.3</f>
        <v>105300</v>
      </c>
      <c r="H250" s="10">
        <f t="shared" ref="H250:L250" si="172">+H248*1.3</f>
        <v>133120</v>
      </c>
      <c r="I250" s="10">
        <f t="shared" si="172"/>
        <v>136500</v>
      </c>
      <c r="J250" s="10">
        <f t="shared" si="172"/>
        <v>153400</v>
      </c>
      <c r="K250" s="10">
        <f t="shared" si="172"/>
        <v>156780</v>
      </c>
      <c r="L250" s="10">
        <f t="shared" si="172"/>
        <v>148200</v>
      </c>
    </row>
    <row r="251" spans="1:12">
      <c r="A251" t="s">
        <v>229</v>
      </c>
      <c r="B251">
        <v>10000</v>
      </c>
    </row>
  </sheetData>
  <mergeCells count="4">
    <mergeCell ref="D2:E2"/>
    <mergeCell ref="B2:C2"/>
    <mergeCell ref="F2:G2"/>
    <mergeCell ref="H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105"/>
  <sheetViews>
    <sheetView zoomScaleNormal="100" workbookViewId="0">
      <selection activeCell="H5" sqref="H5"/>
    </sheetView>
  </sheetViews>
  <sheetFormatPr baseColWidth="10" defaultRowHeight="15"/>
  <cols>
    <col min="1" max="1" width="30.7109375" bestFit="1" customWidth="1"/>
    <col min="2" max="2" width="9.42578125" customWidth="1"/>
    <col min="3" max="3" width="9.28515625" customWidth="1"/>
    <col min="8" max="8" width="20.140625" bestFit="1" customWidth="1"/>
    <col min="16" max="16" width="25.28515625" bestFit="1" customWidth="1"/>
  </cols>
  <sheetData>
    <row r="1" spans="1:22" ht="28.5">
      <c r="A1" s="216" t="s">
        <v>208</v>
      </c>
      <c r="B1" s="216"/>
      <c r="C1" s="216"/>
      <c r="D1" s="216"/>
      <c r="E1" s="216"/>
      <c r="F1" s="216"/>
      <c r="G1" s="216"/>
      <c r="H1" s="216" t="s">
        <v>208</v>
      </c>
      <c r="I1" s="216"/>
      <c r="J1" s="216"/>
      <c r="K1" s="216"/>
      <c r="L1" s="216"/>
      <c r="M1" s="216"/>
      <c r="N1" s="216"/>
      <c r="P1" s="216" t="s">
        <v>208</v>
      </c>
      <c r="Q1" s="216"/>
      <c r="R1" s="216"/>
      <c r="S1" s="216"/>
      <c r="T1" s="216"/>
      <c r="U1" s="216"/>
      <c r="V1" s="216"/>
    </row>
    <row r="2" spans="1:22" ht="28.5">
      <c r="A2" s="217" t="s">
        <v>189</v>
      </c>
      <c r="B2" s="217"/>
      <c r="C2" s="217"/>
      <c r="D2" s="217"/>
      <c r="E2" s="217"/>
      <c r="F2" s="217"/>
      <c r="G2" s="217"/>
      <c r="H2" s="217" t="s">
        <v>260</v>
      </c>
      <c r="I2" s="217"/>
      <c r="J2" s="217"/>
      <c r="K2" s="217"/>
      <c r="L2" s="217"/>
      <c r="M2" s="217"/>
      <c r="N2" s="217"/>
      <c r="P2" s="217" t="s">
        <v>344</v>
      </c>
      <c r="Q2" s="217"/>
      <c r="R2" s="217"/>
      <c r="S2" s="217"/>
      <c r="T2" s="217"/>
      <c r="U2" s="217"/>
      <c r="V2" s="217"/>
    </row>
    <row r="3" spans="1:22" ht="30.75" thickBot="1">
      <c r="A3" s="96" t="s">
        <v>272</v>
      </c>
      <c r="B3" s="96" t="s">
        <v>218</v>
      </c>
      <c r="C3" s="97">
        <v>0.3</v>
      </c>
      <c r="D3" s="98" t="s">
        <v>2</v>
      </c>
      <c r="E3" s="99" t="s">
        <v>277</v>
      </c>
      <c r="F3" s="96" t="s">
        <v>264</v>
      </c>
      <c r="G3" s="96" t="s">
        <v>265</v>
      </c>
      <c r="H3" s="96" t="s">
        <v>303</v>
      </c>
      <c r="I3" s="96" t="s">
        <v>218</v>
      </c>
      <c r="J3" s="97">
        <v>0.3</v>
      </c>
      <c r="K3" s="98" t="s">
        <v>2</v>
      </c>
      <c r="L3" s="99" t="s">
        <v>277</v>
      </c>
      <c r="M3" s="96" t="s">
        <v>264</v>
      </c>
      <c r="N3" s="96" t="s">
        <v>265</v>
      </c>
      <c r="P3" s="96" t="s">
        <v>345</v>
      </c>
      <c r="Q3" s="96" t="s">
        <v>218</v>
      </c>
      <c r="R3" s="97">
        <v>0.3</v>
      </c>
      <c r="S3" s="98" t="s">
        <v>2</v>
      </c>
      <c r="T3" s="99" t="s">
        <v>277</v>
      </c>
      <c r="U3" s="96" t="s">
        <v>264</v>
      </c>
      <c r="V3" s="96" t="s">
        <v>265</v>
      </c>
    </row>
    <row r="4" spans="1:22">
      <c r="A4" t="s">
        <v>273</v>
      </c>
      <c r="B4">
        <v>125000</v>
      </c>
      <c r="C4">
        <f>+B4*1.3</f>
        <v>162500</v>
      </c>
      <c r="D4" s="88">
        <v>160000</v>
      </c>
      <c r="E4" s="89">
        <f>+B4+20000</f>
        <v>145000</v>
      </c>
      <c r="F4">
        <f>+D4-B4</f>
        <v>35000</v>
      </c>
      <c r="G4">
        <f>+E4-B4</f>
        <v>20000</v>
      </c>
      <c r="H4" t="s">
        <v>479</v>
      </c>
      <c r="I4">
        <v>25400</v>
      </c>
      <c r="J4">
        <f>+I4*1.3</f>
        <v>33020</v>
      </c>
      <c r="K4" s="88">
        <v>35000</v>
      </c>
      <c r="L4" s="89">
        <v>30000</v>
      </c>
      <c r="M4">
        <f>+K4-I4</f>
        <v>9600</v>
      </c>
      <c r="N4">
        <f>+L4-I4</f>
        <v>4600</v>
      </c>
      <c r="P4" t="s">
        <v>373</v>
      </c>
      <c r="Q4">
        <v>53000</v>
      </c>
      <c r="R4">
        <f>+Q4*1.3</f>
        <v>68900</v>
      </c>
      <c r="S4" s="88">
        <v>90000</v>
      </c>
      <c r="T4" s="89">
        <v>80000</v>
      </c>
      <c r="U4">
        <f>+S4-Q4</f>
        <v>37000</v>
      </c>
      <c r="V4">
        <f>+T4-Q4</f>
        <v>27000</v>
      </c>
    </row>
    <row r="5" spans="1:22">
      <c r="A5" t="s">
        <v>274</v>
      </c>
      <c r="B5">
        <v>120000</v>
      </c>
      <c r="C5">
        <f>+B5*1.3</f>
        <v>156000</v>
      </c>
      <c r="D5" s="70">
        <v>160000</v>
      </c>
      <c r="E5" s="72">
        <v>140000</v>
      </c>
      <c r="F5">
        <f t="shared" ref="F5:F10" si="0">+D5-B5</f>
        <v>40000</v>
      </c>
      <c r="G5">
        <f t="shared" ref="G5:G10" si="1">+E5-B5</f>
        <v>20000</v>
      </c>
      <c r="H5" t="s">
        <v>316</v>
      </c>
      <c r="I5">
        <v>43000</v>
      </c>
      <c r="J5">
        <f>+I5*1.3</f>
        <v>55900</v>
      </c>
      <c r="K5" s="70">
        <v>60000</v>
      </c>
      <c r="L5" s="72">
        <v>52000</v>
      </c>
      <c r="M5">
        <f>+K5-I5</f>
        <v>17000</v>
      </c>
      <c r="N5">
        <f>+L5-I5</f>
        <v>9000</v>
      </c>
      <c r="P5" t="s">
        <v>374</v>
      </c>
      <c r="Q5">
        <v>41000</v>
      </c>
      <c r="R5">
        <f t="shared" ref="R5:R8" si="2">+Q5*1.3</f>
        <v>53300</v>
      </c>
      <c r="S5" s="70">
        <v>80000</v>
      </c>
      <c r="T5" s="72">
        <v>70000</v>
      </c>
      <c r="U5">
        <f t="shared" ref="U5:U8" si="3">+S5-Q5</f>
        <v>39000</v>
      </c>
      <c r="V5">
        <f t="shared" ref="V5:V8" si="4">+T5-Q5</f>
        <v>29000</v>
      </c>
    </row>
    <row r="6" spans="1:22">
      <c r="A6" t="s">
        <v>275</v>
      </c>
      <c r="B6">
        <v>94000</v>
      </c>
      <c r="C6">
        <f>+B6*1.3</f>
        <v>122200</v>
      </c>
      <c r="D6" s="70">
        <v>120000</v>
      </c>
      <c r="E6" s="72">
        <v>110000</v>
      </c>
      <c r="F6">
        <f t="shared" si="0"/>
        <v>26000</v>
      </c>
      <c r="G6">
        <f t="shared" si="1"/>
        <v>16000</v>
      </c>
      <c r="H6" t="s">
        <v>318</v>
      </c>
      <c r="I6">
        <v>46000</v>
      </c>
      <c r="J6">
        <f t="shared" ref="J6:J11" si="5">+I6*1.3</f>
        <v>59800</v>
      </c>
      <c r="K6" s="70">
        <v>60000</v>
      </c>
      <c r="L6" s="72">
        <v>55000</v>
      </c>
      <c r="M6">
        <f t="shared" ref="M6:M7" si="6">+K6-I6</f>
        <v>14000</v>
      </c>
      <c r="N6">
        <f t="shared" ref="N6:N7" si="7">+L6-I6</f>
        <v>9000</v>
      </c>
      <c r="P6" t="s">
        <v>375</v>
      </c>
      <c r="Q6">
        <v>47000</v>
      </c>
      <c r="R6">
        <f t="shared" si="2"/>
        <v>61100</v>
      </c>
      <c r="S6" s="70">
        <v>80000</v>
      </c>
      <c r="T6" s="72">
        <v>70000</v>
      </c>
      <c r="U6">
        <f t="shared" si="3"/>
        <v>33000</v>
      </c>
      <c r="V6">
        <f t="shared" si="4"/>
        <v>23000</v>
      </c>
    </row>
    <row r="7" spans="1:22">
      <c r="A7" t="s">
        <v>276</v>
      </c>
      <c r="B7">
        <v>88000</v>
      </c>
      <c r="C7">
        <f>+B7*1.3</f>
        <v>114400</v>
      </c>
      <c r="D7" s="70">
        <v>115000</v>
      </c>
      <c r="E7" s="72">
        <v>100000</v>
      </c>
      <c r="F7">
        <f t="shared" ref="F7" si="8">+D7-B7</f>
        <v>27000</v>
      </c>
      <c r="G7">
        <f t="shared" ref="G7" si="9">+E7-B7</f>
        <v>12000</v>
      </c>
      <c r="H7" t="s">
        <v>317</v>
      </c>
      <c r="I7">
        <v>49000</v>
      </c>
      <c r="J7">
        <f t="shared" si="5"/>
        <v>63700</v>
      </c>
      <c r="K7" s="70">
        <v>65000</v>
      </c>
      <c r="L7" s="72">
        <v>58000</v>
      </c>
      <c r="M7">
        <f t="shared" si="6"/>
        <v>16000</v>
      </c>
      <c r="N7">
        <f t="shared" si="7"/>
        <v>9000</v>
      </c>
      <c r="P7" t="s">
        <v>376</v>
      </c>
      <c r="Q7">
        <v>46000</v>
      </c>
      <c r="R7">
        <f t="shared" si="2"/>
        <v>59800</v>
      </c>
      <c r="S7" s="70">
        <v>80000</v>
      </c>
      <c r="T7" s="72">
        <v>70000</v>
      </c>
      <c r="U7">
        <f t="shared" si="3"/>
        <v>34000</v>
      </c>
      <c r="V7">
        <f t="shared" si="4"/>
        <v>24000</v>
      </c>
    </row>
    <row r="8" spans="1:22" ht="15.75" thickBot="1">
      <c r="A8" t="s">
        <v>261</v>
      </c>
      <c r="B8">
        <v>150000</v>
      </c>
      <c r="C8">
        <f t="shared" ref="C8:C9" si="10">+B8*1.3</f>
        <v>195000</v>
      </c>
      <c r="D8" s="70">
        <v>190000</v>
      </c>
      <c r="E8" s="72">
        <v>170000</v>
      </c>
      <c r="F8">
        <f t="shared" si="0"/>
        <v>40000</v>
      </c>
      <c r="G8">
        <f t="shared" si="1"/>
        <v>20000</v>
      </c>
      <c r="H8" t="s">
        <v>319</v>
      </c>
      <c r="I8">
        <v>48000</v>
      </c>
      <c r="J8">
        <f t="shared" si="5"/>
        <v>62400</v>
      </c>
      <c r="K8" s="70">
        <v>70000</v>
      </c>
      <c r="L8" s="72">
        <v>60000</v>
      </c>
      <c r="M8">
        <f t="shared" ref="M8:M11" si="11">+K8-I8</f>
        <v>22000</v>
      </c>
      <c r="N8">
        <f t="shared" ref="N8:N11" si="12">+L8-I8</f>
        <v>12000</v>
      </c>
      <c r="P8" t="s">
        <v>377</v>
      </c>
      <c r="Q8">
        <v>56000</v>
      </c>
      <c r="R8">
        <f t="shared" si="2"/>
        <v>72800</v>
      </c>
      <c r="S8" s="90">
        <v>70000</v>
      </c>
      <c r="T8" s="91">
        <v>80000</v>
      </c>
      <c r="U8">
        <f t="shared" si="3"/>
        <v>14000</v>
      </c>
      <c r="V8">
        <f t="shared" si="4"/>
        <v>24000</v>
      </c>
    </row>
    <row r="9" spans="1:22" ht="15.75" thickBot="1">
      <c r="A9" t="s">
        <v>262</v>
      </c>
      <c r="B9">
        <v>142000</v>
      </c>
      <c r="C9">
        <f t="shared" si="10"/>
        <v>184600</v>
      </c>
      <c r="D9" s="70">
        <v>185000</v>
      </c>
      <c r="E9" s="72">
        <v>165000</v>
      </c>
      <c r="F9">
        <f t="shared" si="0"/>
        <v>43000</v>
      </c>
      <c r="G9">
        <f t="shared" si="1"/>
        <v>23000</v>
      </c>
      <c r="H9" t="s">
        <v>320</v>
      </c>
      <c r="I9">
        <v>50500</v>
      </c>
      <c r="J9">
        <f t="shared" si="5"/>
        <v>65650</v>
      </c>
      <c r="K9" s="70">
        <v>70000</v>
      </c>
      <c r="L9" s="72">
        <v>62000</v>
      </c>
      <c r="M9">
        <f t="shared" si="11"/>
        <v>19500</v>
      </c>
      <c r="N9">
        <f t="shared" si="12"/>
        <v>11500</v>
      </c>
      <c r="P9" s="215" t="s">
        <v>378</v>
      </c>
      <c r="Q9" s="215"/>
      <c r="R9" s="215"/>
      <c r="S9" s="215"/>
    </row>
    <row r="10" spans="1:22" ht="15.75" thickBot="1">
      <c r="A10" t="s">
        <v>263</v>
      </c>
      <c r="B10">
        <v>113000</v>
      </c>
      <c r="C10">
        <f>+B10*1.3</f>
        <v>146900</v>
      </c>
      <c r="D10" s="90">
        <v>145000</v>
      </c>
      <c r="E10" s="91">
        <v>130000</v>
      </c>
      <c r="F10">
        <f t="shared" si="0"/>
        <v>32000</v>
      </c>
      <c r="G10">
        <f t="shared" si="1"/>
        <v>17000</v>
      </c>
      <c r="H10" t="s">
        <v>321</v>
      </c>
      <c r="I10">
        <v>54000</v>
      </c>
      <c r="J10">
        <f t="shared" si="5"/>
        <v>70200</v>
      </c>
      <c r="K10" s="70">
        <v>80000</v>
      </c>
      <c r="L10" s="72">
        <v>65000</v>
      </c>
      <c r="M10">
        <f t="shared" si="11"/>
        <v>26000</v>
      </c>
      <c r="N10">
        <f t="shared" si="12"/>
        <v>11000</v>
      </c>
      <c r="P10" t="s">
        <v>379</v>
      </c>
      <c r="Q10">
        <v>122000</v>
      </c>
      <c r="R10">
        <f>+Q10*1.3</f>
        <v>158600</v>
      </c>
      <c r="S10" s="88">
        <v>180000</v>
      </c>
      <c r="T10" s="89">
        <v>160000</v>
      </c>
      <c r="U10">
        <f>+S10-Q10</f>
        <v>58000</v>
      </c>
      <c r="V10">
        <f>+T10-Q10</f>
        <v>38000</v>
      </c>
    </row>
    <row r="11" spans="1:22">
      <c r="A11" t="s">
        <v>391</v>
      </c>
      <c r="D11" s="8"/>
      <c r="E11" s="8"/>
      <c r="H11" t="s">
        <v>322</v>
      </c>
      <c r="I11">
        <v>57000</v>
      </c>
      <c r="J11">
        <f t="shared" si="5"/>
        <v>74100</v>
      </c>
      <c r="K11" s="70">
        <v>90000</v>
      </c>
      <c r="L11" s="72">
        <v>75000</v>
      </c>
      <c r="M11">
        <f t="shared" si="11"/>
        <v>33000</v>
      </c>
      <c r="N11">
        <f t="shared" si="12"/>
        <v>18000</v>
      </c>
      <c r="S11" s="70"/>
      <c r="T11" s="72"/>
    </row>
    <row r="12" spans="1:22">
      <c r="H12" t="s">
        <v>323</v>
      </c>
      <c r="I12">
        <v>60000</v>
      </c>
      <c r="J12">
        <f t="shared" ref="J12:J19" si="13">+I12*1.3</f>
        <v>78000</v>
      </c>
      <c r="K12" s="70">
        <v>90000</v>
      </c>
      <c r="L12" s="72">
        <v>75000</v>
      </c>
      <c r="M12">
        <f t="shared" ref="M12:M19" si="14">+K12-I12</f>
        <v>30000</v>
      </c>
      <c r="N12">
        <f t="shared" ref="N12:N19" si="15">+L12-I12</f>
        <v>15000</v>
      </c>
      <c r="P12" t="s">
        <v>383</v>
      </c>
      <c r="Q12">
        <v>97000</v>
      </c>
      <c r="R12">
        <f t="shared" ref="R12:R15" si="16">+Q12*1.3</f>
        <v>126100</v>
      </c>
      <c r="S12" s="70">
        <v>160000</v>
      </c>
      <c r="T12" s="72">
        <v>130000</v>
      </c>
      <c r="U12">
        <f t="shared" ref="U12:U15" si="17">+S12-Q12</f>
        <v>63000</v>
      </c>
      <c r="V12">
        <f t="shared" ref="V12:V15" si="18">+T12-Q12</f>
        <v>33000</v>
      </c>
    </row>
    <row r="13" spans="1:22" ht="30.75" thickBot="1">
      <c r="A13" s="96" t="s">
        <v>278</v>
      </c>
      <c r="B13" s="96" t="s">
        <v>218</v>
      </c>
      <c r="C13" s="97">
        <v>0.3</v>
      </c>
      <c r="D13" s="98" t="s">
        <v>2</v>
      </c>
      <c r="E13" s="99" t="s">
        <v>277</v>
      </c>
      <c r="F13" s="96" t="s">
        <v>264</v>
      </c>
      <c r="G13" s="96" t="s">
        <v>265</v>
      </c>
      <c r="H13" t="s">
        <v>324</v>
      </c>
      <c r="I13">
        <v>65000</v>
      </c>
      <c r="J13">
        <f t="shared" si="13"/>
        <v>84500</v>
      </c>
      <c r="K13" s="70">
        <v>90000</v>
      </c>
      <c r="L13" s="72">
        <v>75000</v>
      </c>
      <c r="M13">
        <f t="shared" si="14"/>
        <v>25000</v>
      </c>
      <c r="N13">
        <f t="shared" si="15"/>
        <v>10000</v>
      </c>
      <c r="P13" t="s">
        <v>380</v>
      </c>
      <c r="Q13">
        <v>109000</v>
      </c>
      <c r="R13">
        <f t="shared" si="16"/>
        <v>141700</v>
      </c>
      <c r="S13" s="70">
        <v>160000</v>
      </c>
      <c r="T13" s="72">
        <v>140000</v>
      </c>
      <c r="U13">
        <f t="shared" si="17"/>
        <v>51000</v>
      </c>
      <c r="V13">
        <f t="shared" si="18"/>
        <v>31000</v>
      </c>
    </row>
    <row r="14" spans="1:22">
      <c r="A14" t="s">
        <v>279</v>
      </c>
      <c r="B14">
        <v>139000</v>
      </c>
      <c r="C14">
        <f>+B14*1.3</f>
        <v>180700</v>
      </c>
      <c r="D14" s="88">
        <v>170000</v>
      </c>
      <c r="E14" s="89">
        <v>160000</v>
      </c>
      <c r="F14">
        <f>+D14-B14</f>
        <v>31000</v>
      </c>
      <c r="G14">
        <f>+E14-B14</f>
        <v>21000</v>
      </c>
      <c r="H14" t="s">
        <v>325</v>
      </c>
      <c r="I14">
        <v>76000</v>
      </c>
      <c r="J14">
        <f t="shared" si="13"/>
        <v>98800</v>
      </c>
      <c r="K14" s="70">
        <v>120000</v>
      </c>
      <c r="L14" s="72">
        <v>100000</v>
      </c>
      <c r="M14">
        <f t="shared" si="14"/>
        <v>44000</v>
      </c>
      <c r="N14">
        <f t="shared" si="15"/>
        <v>24000</v>
      </c>
      <c r="P14" t="s">
        <v>381</v>
      </c>
      <c r="Q14">
        <v>111000</v>
      </c>
      <c r="R14">
        <f t="shared" si="16"/>
        <v>144300</v>
      </c>
      <c r="S14" s="70">
        <v>160000</v>
      </c>
      <c r="T14" s="72">
        <v>140000</v>
      </c>
      <c r="U14">
        <f t="shared" si="17"/>
        <v>49000</v>
      </c>
      <c r="V14">
        <f t="shared" si="18"/>
        <v>29000</v>
      </c>
    </row>
    <row r="15" spans="1:22" ht="15.75" thickBot="1">
      <c r="A15" t="s">
        <v>280</v>
      </c>
      <c r="B15">
        <v>128000</v>
      </c>
      <c r="C15">
        <f>+B15*1.3</f>
        <v>166400</v>
      </c>
      <c r="D15" s="70">
        <v>170000</v>
      </c>
      <c r="E15" s="72">
        <v>150000</v>
      </c>
      <c r="F15">
        <f t="shared" ref="F15:F24" si="19">+D15-B15</f>
        <v>42000</v>
      </c>
      <c r="G15">
        <f t="shared" ref="G15:G24" si="20">+E15-B15</f>
        <v>22000</v>
      </c>
      <c r="H15" t="s">
        <v>326</v>
      </c>
      <c r="I15">
        <v>81000</v>
      </c>
      <c r="J15">
        <f t="shared" si="13"/>
        <v>105300</v>
      </c>
      <c r="K15" s="70">
        <v>120000</v>
      </c>
      <c r="L15" s="72">
        <v>100000</v>
      </c>
      <c r="M15">
        <f t="shared" si="14"/>
        <v>39000</v>
      </c>
      <c r="N15">
        <f t="shared" si="15"/>
        <v>19000</v>
      </c>
      <c r="P15" t="s">
        <v>382</v>
      </c>
      <c r="Q15">
        <v>130000</v>
      </c>
      <c r="R15">
        <f t="shared" si="16"/>
        <v>169000</v>
      </c>
      <c r="S15" s="90">
        <v>180000</v>
      </c>
      <c r="T15" s="91">
        <v>160000</v>
      </c>
      <c r="U15">
        <f t="shared" si="17"/>
        <v>50000</v>
      </c>
      <c r="V15">
        <f t="shared" si="18"/>
        <v>30000</v>
      </c>
    </row>
    <row r="16" spans="1:22">
      <c r="A16" t="s">
        <v>281</v>
      </c>
      <c r="B16">
        <v>98000</v>
      </c>
      <c r="C16">
        <f>+B16*1.3</f>
        <v>127400</v>
      </c>
      <c r="D16" s="70">
        <v>130000</v>
      </c>
      <c r="E16" s="72">
        <v>115000</v>
      </c>
      <c r="F16">
        <f t="shared" si="19"/>
        <v>32000</v>
      </c>
      <c r="G16">
        <f t="shared" si="20"/>
        <v>17000</v>
      </c>
      <c r="H16" t="s">
        <v>327</v>
      </c>
      <c r="I16">
        <v>89000</v>
      </c>
      <c r="J16">
        <f t="shared" si="13"/>
        <v>115700</v>
      </c>
      <c r="K16" s="70">
        <v>130000</v>
      </c>
      <c r="L16" s="72">
        <v>110000</v>
      </c>
      <c r="M16">
        <f t="shared" si="14"/>
        <v>41000</v>
      </c>
      <c r="N16">
        <f t="shared" si="15"/>
        <v>21000</v>
      </c>
    </row>
    <row r="17" spans="1:22" ht="30.75" thickBot="1">
      <c r="A17" t="s">
        <v>282</v>
      </c>
      <c r="B17">
        <v>93000</v>
      </c>
      <c r="C17">
        <f>+B17*1.3</f>
        <v>120900</v>
      </c>
      <c r="D17" s="70">
        <v>130000</v>
      </c>
      <c r="E17" s="72">
        <v>110000</v>
      </c>
      <c r="F17">
        <f t="shared" si="19"/>
        <v>37000</v>
      </c>
      <c r="G17">
        <f t="shared" si="20"/>
        <v>17000</v>
      </c>
      <c r="H17" t="s">
        <v>328</v>
      </c>
      <c r="I17">
        <v>86000</v>
      </c>
      <c r="J17">
        <f t="shared" si="13"/>
        <v>111800</v>
      </c>
      <c r="K17" s="70">
        <v>145000</v>
      </c>
      <c r="L17" s="72">
        <v>120000</v>
      </c>
      <c r="M17">
        <f t="shared" si="14"/>
        <v>59000</v>
      </c>
      <c r="N17">
        <f t="shared" si="15"/>
        <v>34000</v>
      </c>
      <c r="P17" s="96" t="s">
        <v>384</v>
      </c>
      <c r="Q17" s="96" t="s">
        <v>218</v>
      </c>
      <c r="R17" s="97">
        <v>0.3</v>
      </c>
      <c r="S17" s="98" t="s">
        <v>2</v>
      </c>
      <c r="T17" s="99" t="s">
        <v>277</v>
      </c>
      <c r="U17" s="96" t="s">
        <v>264</v>
      </c>
      <c r="V17" s="96" t="s">
        <v>265</v>
      </c>
    </row>
    <row r="18" spans="1:22">
      <c r="A18" t="s">
        <v>268</v>
      </c>
      <c r="B18">
        <v>158000</v>
      </c>
      <c r="C18">
        <f t="shared" ref="C18" si="21">+B18*1.3</f>
        <v>205400</v>
      </c>
      <c r="D18" s="70">
        <v>200000</v>
      </c>
      <c r="E18" s="72">
        <v>185000</v>
      </c>
      <c r="F18">
        <f t="shared" si="19"/>
        <v>42000</v>
      </c>
      <c r="G18">
        <f t="shared" si="20"/>
        <v>27000</v>
      </c>
      <c r="H18" t="s">
        <v>329</v>
      </c>
      <c r="I18">
        <v>92000</v>
      </c>
      <c r="J18">
        <f t="shared" si="13"/>
        <v>119600</v>
      </c>
      <c r="K18" s="70">
        <v>145000</v>
      </c>
      <c r="L18" s="72">
        <v>125000</v>
      </c>
      <c r="M18">
        <f t="shared" si="14"/>
        <v>53000</v>
      </c>
      <c r="N18">
        <f t="shared" si="15"/>
        <v>33000</v>
      </c>
      <c r="P18" s="54" t="s">
        <v>307</v>
      </c>
      <c r="Q18">
        <v>80500</v>
      </c>
      <c r="R18">
        <f>+Q18*1.3</f>
        <v>104650</v>
      </c>
      <c r="S18" s="88">
        <v>110000</v>
      </c>
      <c r="T18" s="89">
        <v>100000</v>
      </c>
      <c r="U18">
        <f>+S18-Q18</f>
        <v>29500</v>
      </c>
      <c r="V18">
        <f>+T18-Q18</f>
        <v>19500</v>
      </c>
    </row>
    <row r="19" spans="1:22" ht="15.75" thickBot="1">
      <c r="A19" t="s">
        <v>263</v>
      </c>
      <c r="B19" s="5">
        <v>119000</v>
      </c>
      <c r="C19">
        <f>+B19*1.3</f>
        <v>154700</v>
      </c>
      <c r="D19" s="90">
        <v>150000</v>
      </c>
      <c r="E19" s="91">
        <v>140000</v>
      </c>
      <c r="F19">
        <f t="shared" si="19"/>
        <v>31000</v>
      </c>
      <c r="G19">
        <f t="shared" si="20"/>
        <v>21000</v>
      </c>
      <c r="H19" t="s">
        <v>330</v>
      </c>
      <c r="I19">
        <v>101000</v>
      </c>
      <c r="J19">
        <f t="shared" si="13"/>
        <v>131300</v>
      </c>
      <c r="K19" s="90">
        <v>150000</v>
      </c>
      <c r="L19" s="91">
        <v>130000</v>
      </c>
      <c r="M19">
        <f t="shared" si="14"/>
        <v>49000</v>
      </c>
      <c r="N19">
        <f t="shared" si="15"/>
        <v>29000</v>
      </c>
      <c r="P19" s="54" t="s">
        <v>362</v>
      </c>
      <c r="Q19">
        <v>69000</v>
      </c>
      <c r="R19">
        <f t="shared" ref="R19:R22" si="22">+Q19*1.3</f>
        <v>89700</v>
      </c>
      <c r="S19" s="70">
        <v>100000</v>
      </c>
      <c r="T19" s="72">
        <v>90000</v>
      </c>
      <c r="U19">
        <f t="shared" ref="U19:U22" si="23">+S19-Q19</f>
        <v>31000</v>
      </c>
      <c r="V19">
        <f t="shared" ref="V19:V22" si="24">+T19-Q19</f>
        <v>21000</v>
      </c>
    </row>
    <row r="20" spans="1:22">
      <c r="A20" t="s">
        <v>391</v>
      </c>
      <c r="B20" s="5"/>
      <c r="D20" s="8"/>
      <c r="E20" s="8"/>
      <c r="P20" s="54"/>
      <c r="S20" s="70"/>
      <c r="T20" s="72"/>
    </row>
    <row r="21" spans="1:22" ht="30.75" thickBot="1">
      <c r="B21" s="5"/>
      <c r="D21" s="8"/>
      <c r="E21" s="8"/>
      <c r="H21" s="96" t="s">
        <v>331</v>
      </c>
      <c r="I21" s="96" t="s">
        <v>218</v>
      </c>
      <c r="J21" s="97">
        <v>0.3</v>
      </c>
      <c r="K21" s="98" t="s">
        <v>2</v>
      </c>
      <c r="L21" s="99" t="s">
        <v>277</v>
      </c>
      <c r="M21" s="96" t="s">
        <v>264</v>
      </c>
      <c r="N21" s="96" t="s">
        <v>265</v>
      </c>
      <c r="O21" t="s">
        <v>229</v>
      </c>
      <c r="P21" s="54">
        <v>1.5</v>
      </c>
      <c r="Q21">
        <v>119000</v>
      </c>
      <c r="R21">
        <f t="shared" si="22"/>
        <v>154700</v>
      </c>
      <c r="S21" s="70">
        <v>165000</v>
      </c>
      <c r="T21" s="72">
        <v>150000</v>
      </c>
      <c r="U21">
        <f t="shared" si="23"/>
        <v>46000</v>
      </c>
      <c r="V21">
        <f t="shared" si="24"/>
        <v>31000</v>
      </c>
    </row>
    <row r="22" spans="1:22" ht="30.75" thickBot="1">
      <c r="A22" s="99" t="s">
        <v>283</v>
      </c>
      <c r="B22" s="96" t="s">
        <v>218</v>
      </c>
      <c r="C22" s="97">
        <v>0.3</v>
      </c>
      <c r="D22" s="98" t="s">
        <v>2</v>
      </c>
      <c r="E22" s="99" t="s">
        <v>277</v>
      </c>
      <c r="F22" s="96" t="s">
        <v>264</v>
      </c>
      <c r="G22" s="96" t="s">
        <v>265</v>
      </c>
      <c r="H22" t="s">
        <v>390</v>
      </c>
      <c r="I22">
        <v>33000</v>
      </c>
      <c r="J22">
        <f>+I22*1.3</f>
        <v>42900</v>
      </c>
      <c r="K22" s="88">
        <v>50000</v>
      </c>
      <c r="L22" s="89">
        <v>40000</v>
      </c>
      <c r="M22">
        <f>+K22-I22</f>
        <v>17000</v>
      </c>
      <c r="N22">
        <f>+L22-I22</f>
        <v>7000</v>
      </c>
      <c r="O22">
        <v>10000</v>
      </c>
      <c r="P22" s="54" t="s">
        <v>363</v>
      </c>
      <c r="Q22">
        <v>101000</v>
      </c>
      <c r="R22">
        <f t="shared" si="22"/>
        <v>131300</v>
      </c>
      <c r="S22" s="90">
        <v>150000</v>
      </c>
      <c r="T22" s="91">
        <v>120000</v>
      </c>
      <c r="U22">
        <f t="shared" si="23"/>
        <v>49000</v>
      </c>
      <c r="V22">
        <f t="shared" si="24"/>
        <v>19000</v>
      </c>
    </row>
    <row r="23" spans="1:22">
      <c r="A23" t="s">
        <v>266</v>
      </c>
      <c r="B23">
        <v>147000</v>
      </c>
      <c r="C23">
        <f>+B23*1.3</f>
        <v>191100</v>
      </c>
      <c r="D23" s="88">
        <v>180000</v>
      </c>
      <c r="E23" s="89">
        <v>170000</v>
      </c>
      <c r="F23">
        <f t="shared" si="19"/>
        <v>33000</v>
      </c>
      <c r="G23">
        <f t="shared" si="20"/>
        <v>23000</v>
      </c>
      <c r="H23" t="s">
        <v>333</v>
      </c>
      <c r="I23">
        <v>63000</v>
      </c>
      <c r="J23">
        <f>+I23*1.3</f>
        <v>81900</v>
      </c>
      <c r="K23" s="70">
        <v>100000</v>
      </c>
      <c r="L23" s="72">
        <v>80000</v>
      </c>
      <c r="M23">
        <f>+K23-I23</f>
        <v>37000</v>
      </c>
      <c r="N23">
        <f>+L23-I23</f>
        <v>17000</v>
      </c>
    </row>
    <row r="24" spans="1:22" ht="30.75" thickBot="1">
      <c r="A24" t="s">
        <v>267</v>
      </c>
      <c r="B24">
        <v>138000</v>
      </c>
      <c r="C24" s="6">
        <f>+B24*1.3</f>
        <v>179400</v>
      </c>
      <c r="D24" s="90">
        <v>170000</v>
      </c>
      <c r="E24" s="91">
        <v>160000</v>
      </c>
      <c r="F24">
        <f t="shared" si="19"/>
        <v>32000</v>
      </c>
      <c r="G24">
        <f t="shared" si="20"/>
        <v>22000</v>
      </c>
      <c r="H24" t="s">
        <v>318</v>
      </c>
      <c r="I24">
        <v>65500</v>
      </c>
      <c r="J24">
        <f t="shared" ref="J24" si="25">+I24*1.3</f>
        <v>85150</v>
      </c>
      <c r="K24" s="70">
        <v>100000</v>
      </c>
      <c r="L24" s="72">
        <v>85000</v>
      </c>
      <c r="M24">
        <f t="shared" ref="M24" si="26">+K24-I24</f>
        <v>34500</v>
      </c>
      <c r="N24">
        <f t="shared" ref="N24" si="27">+L24-I24</f>
        <v>19500</v>
      </c>
      <c r="P24" s="96" t="s">
        <v>385</v>
      </c>
      <c r="Q24" s="96" t="s">
        <v>218</v>
      </c>
      <c r="R24" s="97">
        <v>0.3</v>
      </c>
      <c r="S24" s="98" t="s">
        <v>2</v>
      </c>
      <c r="T24" s="99" t="s">
        <v>277</v>
      </c>
      <c r="U24" s="96" t="s">
        <v>264</v>
      </c>
      <c r="V24" s="96" t="s">
        <v>265</v>
      </c>
    </row>
    <row r="25" spans="1:22" ht="15.75" thickBot="1">
      <c r="A25" t="s">
        <v>391</v>
      </c>
      <c r="C25" s="6"/>
      <c r="D25" s="8"/>
      <c r="E25" s="8"/>
      <c r="H25" t="s">
        <v>334</v>
      </c>
      <c r="I25">
        <v>66000</v>
      </c>
      <c r="J25">
        <f t="shared" ref="J25:J37" si="28">+I25*1.3</f>
        <v>85800</v>
      </c>
      <c r="K25" s="70">
        <v>100000</v>
      </c>
      <c r="L25" s="72">
        <v>85000</v>
      </c>
      <c r="M25">
        <f t="shared" ref="M25:M37" si="29">+K25-I25</f>
        <v>34000</v>
      </c>
      <c r="N25">
        <f t="shared" ref="N25:N37" si="30">+L25-I25</f>
        <v>19000</v>
      </c>
      <c r="P25" s="96"/>
      <c r="Q25" s="96"/>
      <c r="R25" s="97"/>
      <c r="S25" s="98"/>
      <c r="T25" s="99"/>
      <c r="U25" s="96"/>
      <c r="V25" s="96"/>
    </row>
    <row r="26" spans="1:22">
      <c r="H26" t="s">
        <v>319</v>
      </c>
      <c r="I26">
        <v>72000</v>
      </c>
      <c r="J26">
        <f t="shared" si="28"/>
        <v>93600</v>
      </c>
      <c r="K26" s="70">
        <v>120000</v>
      </c>
      <c r="L26" s="72">
        <v>95000</v>
      </c>
      <c r="M26">
        <f t="shared" si="29"/>
        <v>48000</v>
      </c>
      <c r="N26">
        <f t="shared" si="30"/>
        <v>23000</v>
      </c>
      <c r="P26" t="s">
        <v>386</v>
      </c>
      <c r="Q26">
        <v>45000</v>
      </c>
      <c r="R26">
        <f>+Q26*1.3</f>
        <v>58500</v>
      </c>
      <c r="S26" s="101">
        <v>70000</v>
      </c>
      <c r="T26" s="102">
        <v>60000</v>
      </c>
      <c r="U26">
        <f>+S26-Q26</f>
        <v>25000</v>
      </c>
      <c r="V26">
        <f>+T26-Q26</f>
        <v>15000</v>
      </c>
    </row>
    <row r="27" spans="1:22" ht="30.75" thickBot="1">
      <c r="A27" s="96" t="s">
        <v>284</v>
      </c>
      <c r="B27" s="96" t="s">
        <v>218</v>
      </c>
      <c r="C27" s="97">
        <v>0.3</v>
      </c>
      <c r="D27" s="98" t="s">
        <v>2</v>
      </c>
      <c r="E27" s="99" t="s">
        <v>277</v>
      </c>
      <c r="F27" s="96" t="s">
        <v>264</v>
      </c>
      <c r="G27" s="96" t="s">
        <v>265</v>
      </c>
      <c r="H27" t="s">
        <v>320</v>
      </c>
      <c r="I27">
        <v>74000</v>
      </c>
      <c r="J27">
        <f t="shared" si="28"/>
        <v>96200</v>
      </c>
      <c r="K27" s="70">
        <v>120000</v>
      </c>
      <c r="L27" s="72">
        <v>95000</v>
      </c>
      <c r="M27">
        <f t="shared" si="29"/>
        <v>46000</v>
      </c>
      <c r="N27">
        <f t="shared" si="30"/>
        <v>21000</v>
      </c>
      <c r="P27" t="s">
        <v>387</v>
      </c>
      <c r="Q27">
        <v>53000</v>
      </c>
      <c r="R27">
        <f t="shared" ref="R27:R29" si="31">+Q27*1.3</f>
        <v>68900</v>
      </c>
      <c r="S27" s="103">
        <v>80000</v>
      </c>
      <c r="T27" s="104">
        <v>70000</v>
      </c>
      <c r="U27">
        <f t="shared" ref="U27:U29" si="32">+S27-Q27</f>
        <v>27000</v>
      </c>
      <c r="V27">
        <f t="shared" ref="V27:V29" si="33">+T27-Q27</f>
        <v>17000</v>
      </c>
    </row>
    <row r="28" spans="1:22">
      <c r="A28" t="s">
        <v>287</v>
      </c>
      <c r="B28">
        <v>186000</v>
      </c>
      <c r="C28">
        <f>+B28*1.3</f>
        <v>241800</v>
      </c>
      <c r="D28" s="88">
        <v>250000</v>
      </c>
      <c r="E28" s="89">
        <v>230000</v>
      </c>
      <c r="F28">
        <f>+D28-B28</f>
        <v>64000</v>
      </c>
      <c r="G28">
        <f>+E28-B28</f>
        <v>44000</v>
      </c>
      <c r="H28" t="s">
        <v>335</v>
      </c>
      <c r="I28">
        <v>75000</v>
      </c>
      <c r="J28">
        <f t="shared" si="28"/>
        <v>97500</v>
      </c>
      <c r="K28" s="70">
        <v>120000</v>
      </c>
      <c r="L28" s="72">
        <v>100000</v>
      </c>
      <c r="M28">
        <f t="shared" si="29"/>
        <v>45000</v>
      </c>
      <c r="N28">
        <f t="shared" si="30"/>
        <v>25000</v>
      </c>
      <c r="P28" t="s">
        <v>388</v>
      </c>
      <c r="Q28">
        <v>65000</v>
      </c>
      <c r="R28">
        <f t="shared" si="31"/>
        <v>84500</v>
      </c>
      <c r="S28" s="103">
        <v>140000</v>
      </c>
      <c r="T28" s="104">
        <v>120000</v>
      </c>
      <c r="U28">
        <f t="shared" si="32"/>
        <v>75000</v>
      </c>
      <c r="V28">
        <f t="shared" si="33"/>
        <v>55000</v>
      </c>
    </row>
    <row r="29" spans="1:22" ht="15.75" thickBot="1">
      <c r="A29" t="s">
        <v>288</v>
      </c>
      <c r="B29">
        <v>190000</v>
      </c>
      <c r="C29">
        <f>+B29*1.3</f>
        <v>247000</v>
      </c>
      <c r="D29" s="70">
        <v>250000</v>
      </c>
      <c r="E29" s="72">
        <v>230000</v>
      </c>
      <c r="F29">
        <f t="shared" ref="F29:F30" si="34">+D29-B29</f>
        <v>60000</v>
      </c>
      <c r="G29">
        <f t="shared" ref="G29:G30" si="35">+E29-B29</f>
        <v>40000</v>
      </c>
      <c r="H29" t="s">
        <v>322</v>
      </c>
      <c r="I29">
        <v>90000</v>
      </c>
      <c r="J29">
        <f t="shared" si="28"/>
        <v>117000</v>
      </c>
      <c r="K29" s="70">
        <v>150000</v>
      </c>
      <c r="L29" s="72">
        <v>120000</v>
      </c>
      <c r="M29">
        <f t="shared" si="29"/>
        <v>60000</v>
      </c>
      <c r="N29">
        <f t="shared" si="30"/>
        <v>30000</v>
      </c>
      <c r="P29" t="s">
        <v>389</v>
      </c>
      <c r="Q29">
        <v>77000</v>
      </c>
      <c r="R29">
        <f t="shared" si="31"/>
        <v>100100</v>
      </c>
      <c r="S29" s="105">
        <v>140000</v>
      </c>
      <c r="T29" s="106">
        <v>140000</v>
      </c>
      <c r="U29">
        <f t="shared" si="32"/>
        <v>63000</v>
      </c>
      <c r="V29">
        <f t="shared" si="33"/>
        <v>63000</v>
      </c>
    </row>
    <row r="30" spans="1:22">
      <c r="A30" t="s">
        <v>289</v>
      </c>
      <c r="B30">
        <v>194000</v>
      </c>
      <c r="C30">
        <f>+B30*1.3</f>
        <v>252200</v>
      </c>
      <c r="D30" s="70">
        <v>260000</v>
      </c>
      <c r="E30" s="72">
        <v>240000</v>
      </c>
      <c r="F30">
        <f t="shared" si="34"/>
        <v>66000</v>
      </c>
      <c r="G30">
        <f t="shared" si="35"/>
        <v>46000</v>
      </c>
      <c r="H30" t="s">
        <v>323</v>
      </c>
      <c r="I30">
        <v>92000</v>
      </c>
      <c r="J30">
        <f t="shared" si="28"/>
        <v>119600</v>
      </c>
      <c r="K30" s="70">
        <v>150000</v>
      </c>
      <c r="L30" s="72">
        <v>120000</v>
      </c>
      <c r="M30">
        <f t="shared" si="29"/>
        <v>58000</v>
      </c>
      <c r="N30">
        <f t="shared" si="30"/>
        <v>28000</v>
      </c>
    </row>
    <row r="31" spans="1:22" ht="30">
      <c r="A31" t="s">
        <v>293</v>
      </c>
      <c r="B31">
        <v>183000</v>
      </c>
      <c r="C31">
        <f t="shared" ref="C31:C36" si="36">+B31*1.3</f>
        <v>237900</v>
      </c>
      <c r="D31" s="70">
        <v>250000</v>
      </c>
      <c r="E31" s="72">
        <v>230000</v>
      </c>
      <c r="F31">
        <f t="shared" ref="F31:F36" si="37">+D31-B31</f>
        <v>67000</v>
      </c>
      <c r="G31">
        <f t="shared" ref="G31:G36" si="38">+E31-B31</f>
        <v>47000</v>
      </c>
      <c r="H31" t="s">
        <v>336</v>
      </c>
      <c r="I31">
        <v>94000</v>
      </c>
      <c r="J31">
        <f t="shared" si="28"/>
        <v>122200</v>
      </c>
      <c r="K31" s="70">
        <v>150000</v>
      </c>
      <c r="L31" s="72">
        <v>125000</v>
      </c>
      <c r="M31">
        <f t="shared" si="29"/>
        <v>56000</v>
      </c>
      <c r="N31">
        <f t="shared" si="30"/>
        <v>31000</v>
      </c>
      <c r="P31" s="96" t="s">
        <v>421</v>
      </c>
      <c r="Q31" s="96" t="s">
        <v>218</v>
      </c>
      <c r="R31" s="97">
        <v>0.3</v>
      </c>
      <c r="S31" s="98" t="s">
        <v>2</v>
      </c>
      <c r="T31" s="99" t="s">
        <v>277</v>
      </c>
      <c r="U31" s="96" t="s">
        <v>264</v>
      </c>
      <c r="V31" s="96" t="s">
        <v>265</v>
      </c>
    </row>
    <row r="32" spans="1:22">
      <c r="A32" t="s">
        <v>294</v>
      </c>
      <c r="B32">
        <v>187000</v>
      </c>
      <c r="C32">
        <f t="shared" si="36"/>
        <v>243100</v>
      </c>
      <c r="D32" s="70">
        <v>250000</v>
      </c>
      <c r="E32" s="72">
        <v>230000</v>
      </c>
      <c r="F32">
        <f t="shared" si="37"/>
        <v>63000</v>
      </c>
      <c r="G32">
        <f t="shared" si="38"/>
        <v>43000</v>
      </c>
      <c r="H32" t="s">
        <v>325</v>
      </c>
      <c r="I32">
        <v>117000</v>
      </c>
      <c r="J32">
        <f t="shared" si="28"/>
        <v>152100</v>
      </c>
      <c r="K32" s="70">
        <v>200000</v>
      </c>
      <c r="L32" s="72">
        <v>160000</v>
      </c>
      <c r="M32">
        <f t="shared" si="29"/>
        <v>83000</v>
      </c>
      <c r="N32">
        <f t="shared" si="30"/>
        <v>43000</v>
      </c>
      <c r="P32" t="s">
        <v>422</v>
      </c>
      <c r="Q32">
        <v>56000</v>
      </c>
      <c r="R32">
        <f>+Q32*1.3</f>
        <v>72800</v>
      </c>
      <c r="S32" s="109">
        <v>90000</v>
      </c>
      <c r="T32" s="109">
        <v>80000</v>
      </c>
      <c r="U32">
        <f>+S32-Q32</f>
        <v>34000</v>
      </c>
      <c r="V32">
        <f>+T32-Q32</f>
        <v>24000</v>
      </c>
    </row>
    <row r="33" spans="1:22">
      <c r="A33" t="s">
        <v>295</v>
      </c>
      <c r="B33">
        <v>189000</v>
      </c>
      <c r="C33">
        <f t="shared" si="36"/>
        <v>245700</v>
      </c>
      <c r="D33" s="70">
        <v>250000</v>
      </c>
      <c r="E33" s="72">
        <v>235000</v>
      </c>
      <c r="F33">
        <f t="shared" si="37"/>
        <v>61000</v>
      </c>
      <c r="G33">
        <f t="shared" si="38"/>
        <v>46000</v>
      </c>
      <c r="H33" t="s">
        <v>326</v>
      </c>
      <c r="I33">
        <v>122000</v>
      </c>
      <c r="J33">
        <f t="shared" si="28"/>
        <v>158600</v>
      </c>
      <c r="K33" s="70">
        <v>200000</v>
      </c>
      <c r="L33" s="72">
        <v>160000</v>
      </c>
      <c r="M33">
        <f t="shared" si="29"/>
        <v>78000</v>
      </c>
      <c r="N33">
        <f t="shared" si="30"/>
        <v>38000</v>
      </c>
      <c r="P33" t="s">
        <v>423</v>
      </c>
      <c r="Q33">
        <v>57000</v>
      </c>
      <c r="R33">
        <f t="shared" ref="R33:R37" si="39">+Q33*1.3</f>
        <v>74100</v>
      </c>
      <c r="S33" s="109">
        <v>90000</v>
      </c>
      <c r="T33" s="109">
        <v>80000</v>
      </c>
      <c r="U33">
        <f t="shared" ref="U33:U36" si="40">+S33-Q33</f>
        <v>33000</v>
      </c>
      <c r="V33">
        <f t="shared" ref="V33:V36" si="41">+T33-Q33</f>
        <v>23000</v>
      </c>
    </row>
    <row r="34" spans="1:22">
      <c r="A34" t="s">
        <v>290</v>
      </c>
      <c r="B34">
        <v>175000</v>
      </c>
      <c r="C34">
        <f t="shared" si="36"/>
        <v>227500</v>
      </c>
      <c r="D34" s="70">
        <v>250000</v>
      </c>
      <c r="E34" s="72">
        <v>220000</v>
      </c>
      <c r="F34">
        <f t="shared" si="37"/>
        <v>75000</v>
      </c>
      <c r="G34">
        <f t="shared" si="38"/>
        <v>45000</v>
      </c>
      <c r="H34" t="s">
        <v>337</v>
      </c>
      <c r="I34">
        <v>124000</v>
      </c>
      <c r="J34">
        <f t="shared" si="28"/>
        <v>161200</v>
      </c>
      <c r="K34" s="70">
        <v>200000</v>
      </c>
      <c r="L34" s="72">
        <v>170000</v>
      </c>
      <c r="M34">
        <f t="shared" si="29"/>
        <v>76000</v>
      </c>
      <c r="N34">
        <f t="shared" si="30"/>
        <v>46000</v>
      </c>
      <c r="P34" t="s">
        <v>424</v>
      </c>
      <c r="Q34">
        <v>63000</v>
      </c>
      <c r="R34">
        <f t="shared" si="39"/>
        <v>81900</v>
      </c>
      <c r="S34" s="109">
        <v>100000</v>
      </c>
      <c r="T34" s="109">
        <v>85000</v>
      </c>
      <c r="U34">
        <f t="shared" si="40"/>
        <v>37000</v>
      </c>
      <c r="V34">
        <f t="shared" si="41"/>
        <v>22000</v>
      </c>
    </row>
    <row r="35" spans="1:22">
      <c r="A35" t="s">
        <v>291</v>
      </c>
      <c r="B35">
        <v>178000</v>
      </c>
      <c r="C35">
        <f t="shared" si="36"/>
        <v>231400</v>
      </c>
      <c r="D35" s="70">
        <v>250000</v>
      </c>
      <c r="E35" s="72">
        <v>220000</v>
      </c>
      <c r="F35">
        <f t="shared" si="37"/>
        <v>72000</v>
      </c>
      <c r="G35">
        <f t="shared" si="38"/>
        <v>42000</v>
      </c>
      <c r="H35" t="s">
        <v>328</v>
      </c>
      <c r="I35">
        <v>134000</v>
      </c>
      <c r="J35">
        <f t="shared" si="28"/>
        <v>174200</v>
      </c>
      <c r="K35" s="70">
        <v>220000</v>
      </c>
      <c r="L35" s="72">
        <v>190000</v>
      </c>
      <c r="M35">
        <f t="shared" si="29"/>
        <v>86000</v>
      </c>
      <c r="N35">
        <f t="shared" si="30"/>
        <v>56000</v>
      </c>
      <c r="P35" t="s">
        <v>425</v>
      </c>
      <c r="Q35">
        <v>64000</v>
      </c>
      <c r="R35">
        <f t="shared" si="39"/>
        <v>83200</v>
      </c>
      <c r="S35" s="109">
        <v>105000</v>
      </c>
      <c r="T35" s="109">
        <v>90000</v>
      </c>
      <c r="U35">
        <f t="shared" si="40"/>
        <v>41000</v>
      </c>
      <c r="V35">
        <f t="shared" si="41"/>
        <v>26000</v>
      </c>
    </row>
    <row r="36" spans="1:22" ht="15.75" thickBot="1">
      <c r="A36" t="s">
        <v>292</v>
      </c>
      <c r="B36">
        <v>182000</v>
      </c>
      <c r="C36">
        <f t="shared" si="36"/>
        <v>236600</v>
      </c>
      <c r="D36" s="90">
        <v>260000</v>
      </c>
      <c r="E36" s="91">
        <v>230000</v>
      </c>
      <c r="F36">
        <f t="shared" si="37"/>
        <v>78000</v>
      </c>
      <c r="G36">
        <f t="shared" si="38"/>
        <v>48000</v>
      </c>
      <c r="H36" t="s">
        <v>329</v>
      </c>
      <c r="I36">
        <v>140000</v>
      </c>
      <c r="J36">
        <f t="shared" si="28"/>
        <v>182000</v>
      </c>
      <c r="K36" s="70">
        <v>220000</v>
      </c>
      <c r="L36" s="72">
        <v>190000</v>
      </c>
      <c r="M36">
        <f t="shared" si="29"/>
        <v>80000</v>
      </c>
      <c r="N36">
        <f t="shared" si="30"/>
        <v>50000</v>
      </c>
      <c r="P36" t="s">
        <v>416</v>
      </c>
      <c r="Q36">
        <v>63000</v>
      </c>
      <c r="R36">
        <f t="shared" si="39"/>
        <v>81900</v>
      </c>
      <c r="S36" s="109">
        <v>100000</v>
      </c>
      <c r="T36" s="109">
        <v>85000</v>
      </c>
      <c r="U36">
        <f t="shared" si="40"/>
        <v>37000</v>
      </c>
      <c r="V36">
        <f t="shared" si="41"/>
        <v>22000</v>
      </c>
    </row>
    <row r="37" spans="1:22" ht="15.75" thickBot="1">
      <c r="A37" t="s">
        <v>391</v>
      </c>
      <c r="D37" s="8"/>
      <c r="E37" s="8"/>
      <c r="H37" t="s">
        <v>338</v>
      </c>
      <c r="I37">
        <v>141000</v>
      </c>
      <c r="J37">
        <f t="shared" si="28"/>
        <v>183300</v>
      </c>
      <c r="K37" s="90">
        <v>220000</v>
      </c>
      <c r="L37" s="91">
        <v>200000</v>
      </c>
      <c r="M37">
        <f t="shared" si="29"/>
        <v>79000</v>
      </c>
      <c r="N37">
        <f t="shared" si="30"/>
        <v>59000</v>
      </c>
      <c r="P37" t="s">
        <v>426</v>
      </c>
      <c r="Q37">
        <v>81000</v>
      </c>
      <c r="R37">
        <f t="shared" si="39"/>
        <v>105300</v>
      </c>
      <c r="S37" s="109">
        <v>115000</v>
      </c>
      <c r="T37" s="109">
        <v>105000</v>
      </c>
      <c r="U37">
        <f t="shared" ref="U37" si="42">+S37-Q37</f>
        <v>34000</v>
      </c>
      <c r="V37">
        <f t="shared" ref="V37" si="43">+T37-Q37</f>
        <v>24000</v>
      </c>
    </row>
    <row r="38" spans="1:22">
      <c r="D38" s="8"/>
      <c r="E38" s="8"/>
      <c r="P38" t="s">
        <v>427</v>
      </c>
      <c r="S38" s="109">
        <v>15000</v>
      </c>
      <c r="T38" s="109">
        <v>12000</v>
      </c>
    </row>
    <row r="39" spans="1:22" ht="30.75" thickBot="1">
      <c r="A39" s="99" t="s">
        <v>285</v>
      </c>
      <c r="B39" s="96" t="s">
        <v>218</v>
      </c>
      <c r="C39" s="97">
        <v>0.3</v>
      </c>
      <c r="D39" s="98" t="s">
        <v>2</v>
      </c>
      <c r="E39" s="99" t="s">
        <v>277</v>
      </c>
      <c r="F39" s="96" t="s">
        <v>264</v>
      </c>
      <c r="G39" s="96" t="s">
        <v>265</v>
      </c>
      <c r="H39" s="96" t="s">
        <v>342</v>
      </c>
      <c r="I39" s="96" t="s">
        <v>218</v>
      </c>
      <c r="J39" s="97">
        <v>0.3</v>
      </c>
      <c r="K39" s="98" t="s">
        <v>2</v>
      </c>
      <c r="L39" s="99" t="s">
        <v>277</v>
      </c>
      <c r="M39" s="96" t="s">
        <v>264</v>
      </c>
      <c r="N39" s="96" t="s">
        <v>265</v>
      </c>
    </row>
    <row r="40" spans="1:22">
      <c r="A40" t="s">
        <v>287</v>
      </c>
      <c r="B40">
        <v>190000</v>
      </c>
      <c r="C40">
        <f>+B40*1.3</f>
        <v>247000</v>
      </c>
      <c r="D40" s="88">
        <v>260000</v>
      </c>
      <c r="E40" s="89">
        <v>240000</v>
      </c>
      <c r="F40">
        <f t="shared" ref="F40" si="44">+D40-B40</f>
        <v>70000</v>
      </c>
      <c r="G40">
        <f t="shared" ref="G40" si="45">+E40-B40</f>
        <v>50000</v>
      </c>
      <c r="H40" t="s">
        <v>333</v>
      </c>
      <c r="I40">
        <v>60000</v>
      </c>
      <c r="J40">
        <f>+I40*1.3</f>
        <v>78000</v>
      </c>
      <c r="K40" s="101">
        <v>80000</v>
      </c>
      <c r="L40" s="102">
        <v>75000</v>
      </c>
      <c r="M40">
        <f t="shared" ref="M40:M45" si="46">+K40-I40</f>
        <v>20000</v>
      </c>
      <c r="N40">
        <f t="shared" ref="N40:N45" si="47">+L40-I40</f>
        <v>15000</v>
      </c>
    </row>
    <row r="41" spans="1:22">
      <c r="A41" t="s">
        <v>288</v>
      </c>
      <c r="B41">
        <v>194000</v>
      </c>
      <c r="C41">
        <f t="shared" ref="C41:C52" si="48">+B41*1.3</f>
        <v>252200</v>
      </c>
      <c r="D41" s="70">
        <v>260000</v>
      </c>
      <c r="E41" s="72">
        <v>240000</v>
      </c>
      <c r="F41">
        <f t="shared" ref="F41:F52" si="49">+D41-B41</f>
        <v>66000</v>
      </c>
      <c r="G41">
        <f t="shared" ref="G41:G52" si="50">+E41-B41</f>
        <v>46000</v>
      </c>
      <c r="H41" t="s">
        <v>319</v>
      </c>
      <c r="I41">
        <v>68000</v>
      </c>
      <c r="J41">
        <f t="shared" ref="J41:J45" si="51">+I41*1.3</f>
        <v>88400</v>
      </c>
      <c r="K41" s="103">
        <v>96000</v>
      </c>
      <c r="L41" s="104">
        <v>85000</v>
      </c>
      <c r="M41">
        <f t="shared" si="46"/>
        <v>28000</v>
      </c>
      <c r="N41">
        <f t="shared" si="47"/>
        <v>17000</v>
      </c>
    </row>
    <row r="42" spans="1:22">
      <c r="A42" t="s">
        <v>289</v>
      </c>
      <c r="B42">
        <v>198000</v>
      </c>
      <c r="C42">
        <f t="shared" si="48"/>
        <v>257400</v>
      </c>
      <c r="D42" s="70">
        <v>260000</v>
      </c>
      <c r="E42" s="72">
        <v>240000</v>
      </c>
      <c r="F42">
        <f t="shared" si="49"/>
        <v>62000</v>
      </c>
      <c r="G42">
        <f t="shared" si="50"/>
        <v>42000</v>
      </c>
      <c r="H42" t="s">
        <v>322</v>
      </c>
      <c r="I42">
        <v>90000</v>
      </c>
      <c r="J42">
        <f t="shared" si="51"/>
        <v>117000</v>
      </c>
      <c r="K42" s="103">
        <v>120000</v>
      </c>
      <c r="L42" s="104">
        <v>110000</v>
      </c>
      <c r="M42">
        <f t="shared" si="46"/>
        <v>30000</v>
      </c>
      <c r="N42">
        <f t="shared" si="47"/>
        <v>20000</v>
      </c>
    </row>
    <row r="43" spans="1:22">
      <c r="A43" t="s">
        <v>290</v>
      </c>
      <c r="B43">
        <v>188000</v>
      </c>
      <c r="C43">
        <f t="shared" si="48"/>
        <v>244400</v>
      </c>
      <c r="D43" s="70">
        <v>260000</v>
      </c>
      <c r="E43" s="72">
        <v>230000</v>
      </c>
      <c r="F43">
        <f t="shared" si="49"/>
        <v>72000</v>
      </c>
      <c r="G43">
        <f t="shared" si="50"/>
        <v>42000</v>
      </c>
      <c r="H43" t="s">
        <v>325</v>
      </c>
      <c r="I43">
        <v>108000</v>
      </c>
      <c r="J43">
        <f t="shared" si="51"/>
        <v>140400</v>
      </c>
      <c r="K43" s="103">
        <v>160000</v>
      </c>
      <c r="L43" s="104">
        <v>140000</v>
      </c>
      <c r="M43">
        <f t="shared" si="46"/>
        <v>52000</v>
      </c>
      <c r="N43">
        <f t="shared" si="47"/>
        <v>32000</v>
      </c>
    </row>
    <row r="44" spans="1:22">
      <c r="A44" t="s">
        <v>291</v>
      </c>
      <c r="B44">
        <v>191000</v>
      </c>
      <c r="C44">
        <f t="shared" si="48"/>
        <v>248300</v>
      </c>
      <c r="D44" s="70">
        <v>260000</v>
      </c>
      <c r="E44" s="72">
        <v>240000</v>
      </c>
      <c r="F44">
        <f t="shared" si="49"/>
        <v>69000</v>
      </c>
      <c r="G44">
        <f t="shared" si="50"/>
        <v>49000</v>
      </c>
      <c r="H44" t="s">
        <v>328</v>
      </c>
      <c r="I44">
        <v>123000</v>
      </c>
      <c r="J44">
        <f t="shared" si="51"/>
        <v>159900</v>
      </c>
      <c r="K44" s="103">
        <v>190000</v>
      </c>
      <c r="L44" s="104">
        <v>160000</v>
      </c>
      <c r="M44">
        <f t="shared" si="46"/>
        <v>67000</v>
      </c>
      <c r="N44">
        <f t="shared" si="47"/>
        <v>37000</v>
      </c>
    </row>
    <row r="45" spans="1:22" ht="15.75" thickBot="1">
      <c r="A45" t="s">
        <v>292</v>
      </c>
      <c r="B45">
        <v>195000</v>
      </c>
      <c r="C45">
        <f t="shared" si="48"/>
        <v>253500</v>
      </c>
      <c r="D45" s="90">
        <v>260000</v>
      </c>
      <c r="E45" s="91">
        <v>240000</v>
      </c>
      <c r="F45">
        <f t="shared" si="49"/>
        <v>65000</v>
      </c>
      <c r="G45">
        <f t="shared" si="50"/>
        <v>45000</v>
      </c>
      <c r="H45" t="s">
        <v>343</v>
      </c>
      <c r="I45">
        <v>128000</v>
      </c>
      <c r="J45">
        <f t="shared" si="51"/>
        <v>166400</v>
      </c>
      <c r="K45" s="105">
        <v>195000</v>
      </c>
      <c r="L45" s="106">
        <v>170000</v>
      </c>
      <c r="M45">
        <f t="shared" si="46"/>
        <v>67000</v>
      </c>
      <c r="N45">
        <f t="shared" si="47"/>
        <v>42000</v>
      </c>
    </row>
    <row r="46" spans="1:22" ht="30.75" thickBot="1">
      <c r="A46" s="99" t="s">
        <v>286</v>
      </c>
      <c r="B46" s="96" t="s">
        <v>218</v>
      </c>
      <c r="C46" s="97">
        <v>0.3</v>
      </c>
      <c r="D46" s="98" t="s">
        <v>2</v>
      </c>
      <c r="E46" s="99" t="s">
        <v>277</v>
      </c>
      <c r="F46" s="96" t="s">
        <v>264</v>
      </c>
      <c r="G46" s="96" t="s">
        <v>265</v>
      </c>
    </row>
    <row r="47" spans="1:22">
      <c r="A47" t="s">
        <v>287</v>
      </c>
      <c r="B47">
        <v>205000</v>
      </c>
      <c r="C47">
        <f t="shared" si="48"/>
        <v>266500</v>
      </c>
      <c r="D47" s="88">
        <v>290000</v>
      </c>
      <c r="E47" s="89">
        <v>270000</v>
      </c>
      <c r="F47">
        <f t="shared" si="49"/>
        <v>85000</v>
      </c>
      <c r="G47">
        <f t="shared" si="50"/>
        <v>65000</v>
      </c>
    </row>
    <row r="48" spans="1:22">
      <c r="A48" t="s">
        <v>288</v>
      </c>
      <c r="B48">
        <v>209000</v>
      </c>
      <c r="C48">
        <f t="shared" si="48"/>
        <v>271700</v>
      </c>
      <c r="D48" s="70">
        <v>280000</v>
      </c>
      <c r="E48" s="72">
        <v>270000</v>
      </c>
      <c r="F48">
        <f t="shared" si="49"/>
        <v>71000</v>
      </c>
      <c r="G48">
        <f t="shared" si="50"/>
        <v>61000</v>
      </c>
    </row>
    <row r="49" spans="1:7">
      <c r="A49" t="s">
        <v>289</v>
      </c>
      <c r="B49">
        <v>213000</v>
      </c>
      <c r="C49">
        <f t="shared" si="48"/>
        <v>276900</v>
      </c>
      <c r="D49" s="70">
        <v>280000</v>
      </c>
      <c r="E49" s="72">
        <v>270000</v>
      </c>
      <c r="F49">
        <f t="shared" si="49"/>
        <v>67000</v>
      </c>
      <c r="G49">
        <f t="shared" si="50"/>
        <v>57000</v>
      </c>
    </row>
    <row r="50" spans="1:7">
      <c r="A50" t="s">
        <v>290</v>
      </c>
      <c r="B50">
        <v>203000</v>
      </c>
      <c r="C50">
        <f t="shared" si="48"/>
        <v>263900</v>
      </c>
      <c r="D50" s="70">
        <v>280000</v>
      </c>
      <c r="E50" s="72">
        <v>260000</v>
      </c>
      <c r="F50">
        <f t="shared" si="49"/>
        <v>77000</v>
      </c>
      <c r="G50">
        <f t="shared" si="50"/>
        <v>57000</v>
      </c>
    </row>
    <row r="51" spans="1:7">
      <c r="A51" t="s">
        <v>291</v>
      </c>
      <c r="B51">
        <v>206000</v>
      </c>
      <c r="C51">
        <f t="shared" si="48"/>
        <v>267800</v>
      </c>
      <c r="D51" s="70">
        <v>280000</v>
      </c>
      <c r="E51" s="72">
        <v>270000</v>
      </c>
      <c r="F51">
        <f t="shared" si="49"/>
        <v>74000</v>
      </c>
      <c r="G51">
        <f t="shared" si="50"/>
        <v>64000</v>
      </c>
    </row>
    <row r="52" spans="1:7" ht="15.75" thickBot="1">
      <c r="A52" t="s">
        <v>292</v>
      </c>
      <c r="B52">
        <v>210000</v>
      </c>
      <c r="C52">
        <f t="shared" si="48"/>
        <v>273000</v>
      </c>
      <c r="D52" s="90">
        <v>280000</v>
      </c>
      <c r="E52" s="91">
        <v>270000</v>
      </c>
      <c r="F52">
        <f t="shared" si="49"/>
        <v>70000</v>
      </c>
      <c r="G52">
        <f t="shared" si="50"/>
        <v>60000</v>
      </c>
    </row>
    <row r="53" spans="1:7" s="5" customFormat="1">
      <c r="A53" s="5" t="s">
        <v>391</v>
      </c>
      <c r="D53" s="8"/>
      <c r="E53" s="8"/>
    </row>
    <row r="54" spans="1:7" s="5" customFormat="1">
      <c r="D54" s="8"/>
      <c r="E54" s="8"/>
    </row>
    <row r="55" spans="1:7" ht="30.75" thickBot="1">
      <c r="A55" s="99" t="s">
        <v>431</v>
      </c>
      <c r="B55" s="96" t="s">
        <v>218</v>
      </c>
      <c r="C55" s="97">
        <v>0.3</v>
      </c>
      <c r="D55" s="98" t="s">
        <v>2</v>
      </c>
      <c r="E55" s="99" t="s">
        <v>277</v>
      </c>
      <c r="F55" s="96" t="s">
        <v>264</v>
      </c>
      <c r="G55" s="96" t="s">
        <v>265</v>
      </c>
    </row>
    <row r="56" spans="1:7">
      <c r="A56" t="s">
        <v>287</v>
      </c>
      <c r="B56">
        <v>169000</v>
      </c>
      <c r="C56">
        <f>+B56*1.3</f>
        <v>219700</v>
      </c>
      <c r="D56" s="88">
        <v>230000</v>
      </c>
      <c r="E56" s="89">
        <v>200000</v>
      </c>
      <c r="F56">
        <f>+D56-B56</f>
        <v>61000</v>
      </c>
      <c r="G56" s="55">
        <f>+E56-B56</f>
        <v>31000</v>
      </c>
    </row>
    <row r="57" spans="1:7">
      <c r="A57" t="s">
        <v>288</v>
      </c>
      <c r="B57">
        <v>172000</v>
      </c>
      <c r="C57">
        <f>+B57*1.3</f>
        <v>223600</v>
      </c>
      <c r="D57" s="70">
        <v>230000</v>
      </c>
      <c r="E57" s="72">
        <v>210000</v>
      </c>
      <c r="F57">
        <f t="shared" ref="F57:F64" si="52">+D57-B57</f>
        <v>58000</v>
      </c>
      <c r="G57">
        <f t="shared" ref="G57:G64" si="53">+E57-B57</f>
        <v>38000</v>
      </c>
    </row>
    <row r="58" spans="1:7">
      <c r="A58" t="s">
        <v>289</v>
      </c>
      <c r="B58">
        <v>176000</v>
      </c>
      <c r="C58">
        <f>+B58*1.3</f>
        <v>228800</v>
      </c>
      <c r="D58" s="70">
        <v>230000</v>
      </c>
      <c r="E58" s="72">
        <v>210000</v>
      </c>
      <c r="F58">
        <f t="shared" si="52"/>
        <v>54000</v>
      </c>
      <c r="G58">
        <f t="shared" si="53"/>
        <v>34000</v>
      </c>
    </row>
    <row r="59" spans="1:7">
      <c r="A59" t="s">
        <v>293</v>
      </c>
      <c r="B59">
        <v>165000</v>
      </c>
      <c r="C59">
        <f t="shared" ref="C59:C64" si="54">+B59*1.3</f>
        <v>214500</v>
      </c>
      <c r="D59" s="70">
        <v>230000</v>
      </c>
      <c r="E59" s="72">
        <v>200000</v>
      </c>
      <c r="F59">
        <f t="shared" si="52"/>
        <v>65000</v>
      </c>
      <c r="G59">
        <f t="shared" si="53"/>
        <v>35000</v>
      </c>
    </row>
    <row r="60" spans="1:7">
      <c r="A60" t="s">
        <v>294</v>
      </c>
      <c r="B60">
        <v>168000</v>
      </c>
      <c r="C60">
        <f t="shared" si="54"/>
        <v>218400</v>
      </c>
      <c r="D60" s="70">
        <v>230000</v>
      </c>
      <c r="E60" s="72">
        <v>200000</v>
      </c>
      <c r="F60">
        <f t="shared" si="52"/>
        <v>62000</v>
      </c>
      <c r="G60">
        <f t="shared" si="53"/>
        <v>32000</v>
      </c>
    </row>
    <row r="61" spans="1:7">
      <c r="A61" t="s">
        <v>295</v>
      </c>
      <c r="B61">
        <v>170000</v>
      </c>
      <c r="C61">
        <f t="shared" si="54"/>
        <v>221000</v>
      </c>
      <c r="D61" s="70">
        <v>230000</v>
      </c>
      <c r="E61" s="72">
        <v>200000</v>
      </c>
      <c r="F61">
        <f t="shared" si="52"/>
        <v>60000</v>
      </c>
      <c r="G61">
        <f t="shared" si="53"/>
        <v>30000</v>
      </c>
    </row>
    <row r="62" spans="1:7">
      <c r="A62" t="s">
        <v>290</v>
      </c>
      <c r="B62">
        <v>158000</v>
      </c>
      <c r="C62">
        <f t="shared" si="54"/>
        <v>205400</v>
      </c>
      <c r="D62" s="70">
        <v>220000</v>
      </c>
      <c r="E62" s="72">
        <v>200000</v>
      </c>
      <c r="F62">
        <f t="shared" si="52"/>
        <v>62000</v>
      </c>
      <c r="G62">
        <f t="shared" si="53"/>
        <v>42000</v>
      </c>
    </row>
    <row r="63" spans="1:7">
      <c r="A63" t="s">
        <v>291</v>
      </c>
      <c r="B63">
        <v>161000</v>
      </c>
      <c r="C63">
        <f t="shared" si="54"/>
        <v>209300</v>
      </c>
      <c r="D63" s="70">
        <v>220000</v>
      </c>
      <c r="E63" s="72">
        <v>200000</v>
      </c>
      <c r="F63">
        <f t="shared" si="52"/>
        <v>59000</v>
      </c>
      <c r="G63">
        <f t="shared" si="53"/>
        <v>39000</v>
      </c>
    </row>
    <row r="64" spans="1:7" ht="15.75" thickBot="1">
      <c r="A64" t="s">
        <v>292</v>
      </c>
      <c r="B64">
        <v>165000</v>
      </c>
      <c r="C64">
        <f t="shared" si="54"/>
        <v>214500</v>
      </c>
      <c r="D64" s="90">
        <v>220000</v>
      </c>
      <c r="E64" s="91">
        <v>200000</v>
      </c>
      <c r="F64">
        <f t="shared" si="52"/>
        <v>55000</v>
      </c>
      <c r="G64">
        <f t="shared" si="53"/>
        <v>35000</v>
      </c>
    </row>
    <row r="65" spans="1:7" ht="30.75" thickBot="1">
      <c r="A65" s="99" t="s">
        <v>432</v>
      </c>
      <c r="B65" s="96" t="s">
        <v>218</v>
      </c>
      <c r="C65" s="97">
        <v>0.3</v>
      </c>
      <c r="D65" s="98" t="s">
        <v>2</v>
      </c>
      <c r="E65" s="99" t="s">
        <v>277</v>
      </c>
      <c r="F65" s="96" t="s">
        <v>264</v>
      </c>
      <c r="G65" s="96" t="s">
        <v>265</v>
      </c>
    </row>
    <row r="66" spans="1:7">
      <c r="A66" t="s">
        <v>287</v>
      </c>
      <c r="B66">
        <f>168000+14000</f>
        <v>182000</v>
      </c>
      <c r="C66">
        <f>+B66*1.3</f>
        <v>236600</v>
      </c>
      <c r="D66" s="88">
        <v>250000</v>
      </c>
      <c r="E66" s="89">
        <v>230000</v>
      </c>
      <c r="F66">
        <f>+D66-B66</f>
        <v>68000</v>
      </c>
      <c r="G66" s="55">
        <f>+E66-B66</f>
        <v>48000</v>
      </c>
    </row>
    <row r="67" spans="1:7">
      <c r="A67" t="s">
        <v>288</v>
      </c>
      <c r="B67">
        <f>171000+14000</f>
        <v>185000</v>
      </c>
      <c r="C67">
        <f>+B67*1.3</f>
        <v>240500</v>
      </c>
      <c r="D67" s="70">
        <v>250000</v>
      </c>
      <c r="E67" s="72">
        <v>230000</v>
      </c>
      <c r="F67">
        <f t="shared" ref="F67:F74" si="55">+D67-B67</f>
        <v>65000</v>
      </c>
      <c r="G67">
        <f t="shared" ref="G67:G74" si="56">+E67-B67</f>
        <v>45000</v>
      </c>
    </row>
    <row r="68" spans="1:7">
      <c r="A68" t="s">
        <v>289</v>
      </c>
      <c r="B68">
        <f>175000+14000</f>
        <v>189000</v>
      </c>
      <c r="C68">
        <f>+B68*1.3</f>
        <v>245700</v>
      </c>
      <c r="D68" s="70">
        <v>250000</v>
      </c>
      <c r="E68" s="72">
        <v>230000</v>
      </c>
      <c r="F68">
        <f t="shared" si="55"/>
        <v>61000</v>
      </c>
      <c r="G68">
        <f t="shared" si="56"/>
        <v>41000</v>
      </c>
    </row>
    <row r="69" spans="1:7">
      <c r="A69" t="s">
        <v>293</v>
      </c>
      <c r="B69">
        <f>164000+14000</f>
        <v>178000</v>
      </c>
      <c r="C69">
        <f t="shared" ref="C69:C74" si="57">+B69*1.3</f>
        <v>231400</v>
      </c>
      <c r="D69" s="70">
        <v>240000</v>
      </c>
      <c r="E69" s="72">
        <v>220000</v>
      </c>
      <c r="F69">
        <f t="shared" si="55"/>
        <v>62000</v>
      </c>
      <c r="G69">
        <f t="shared" si="56"/>
        <v>42000</v>
      </c>
    </row>
    <row r="70" spans="1:7">
      <c r="A70" t="s">
        <v>294</v>
      </c>
      <c r="B70">
        <f>167000+14000</f>
        <v>181000</v>
      </c>
      <c r="C70">
        <f t="shared" si="57"/>
        <v>235300</v>
      </c>
      <c r="D70" s="70">
        <v>240000</v>
      </c>
      <c r="E70" s="72">
        <v>220000</v>
      </c>
      <c r="F70">
        <f t="shared" si="55"/>
        <v>59000</v>
      </c>
      <c r="G70">
        <f t="shared" si="56"/>
        <v>39000</v>
      </c>
    </row>
    <row r="71" spans="1:7">
      <c r="A71" t="s">
        <v>295</v>
      </c>
      <c r="B71">
        <f>169000+14000</f>
        <v>183000</v>
      </c>
      <c r="C71">
        <f t="shared" si="57"/>
        <v>237900</v>
      </c>
      <c r="D71" s="70">
        <v>240000</v>
      </c>
      <c r="E71" s="72">
        <v>220000</v>
      </c>
      <c r="F71">
        <f t="shared" si="55"/>
        <v>57000</v>
      </c>
      <c r="G71">
        <f t="shared" si="56"/>
        <v>37000</v>
      </c>
    </row>
    <row r="72" spans="1:7">
      <c r="A72" t="s">
        <v>290</v>
      </c>
      <c r="B72">
        <f>157000+14000</f>
        <v>171000</v>
      </c>
      <c r="C72">
        <f t="shared" si="57"/>
        <v>222300</v>
      </c>
      <c r="D72" s="70">
        <v>230000</v>
      </c>
      <c r="E72" s="72">
        <v>210000</v>
      </c>
      <c r="F72">
        <f t="shared" si="55"/>
        <v>59000</v>
      </c>
      <c r="G72">
        <f t="shared" si="56"/>
        <v>39000</v>
      </c>
    </row>
    <row r="73" spans="1:7">
      <c r="A73" t="s">
        <v>291</v>
      </c>
      <c r="B73">
        <f>160000+14000</f>
        <v>174000</v>
      </c>
      <c r="C73">
        <f t="shared" si="57"/>
        <v>226200</v>
      </c>
      <c r="D73" s="70">
        <v>230000</v>
      </c>
      <c r="E73" s="72">
        <v>210000</v>
      </c>
      <c r="F73">
        <f t="shared" si="55"/>
        <v>56000</v>
      </c>
      <c r="G73">
        <f t="shared" si="56"/>
        <v>36000</v>
      </c>
    </row>
    <row r="74" spans="1:7" ht="15.75" thickBot="1">
      <c r="A74" t="s">
        <v>292</v>
      </c>
      <c r="B74">
        <f>164000+14000</f>
        <v>178000</v>
      </c>
      <c r="C74">
        <f t="shared" si="57"/>
        <v>231400</v>
      </c>
      <c r="D74" s="90">
        <v>230000</v>
      </c>
      <c r="E74" s="91">
        <v>210000</v>
      </c>
      <c r="F74">
        <f t="shared" si="55"/>
        <v>52000</v>
      </c>
      <c r="G74">
        <f t="shared" si="56"/>
        <v>32000</v>
      </c>
    </row>
    <row r="75" spans="1:7">
      <c r="A75" t="s">
        <v>391</v>
      </c>
      <c r="D75" s="8"/>
      <c r="E75" s="8"/>
    </row>
    <row r="76" spans="1:7" ht="52.5" customHeight="1"/>
    <row r="77" spans="1:7" ht="30.75" thickBot="1">
      <c r="A77" s="99" t="s">
        <v>296</v>
      </c>
      <c r="B77" s="96" t="s">
        <v>218</v>
      </c>
      <c r="C77" s="97">
        <v>0.3</v>
      </c>
      <c r="D77" s="98" t="s">
        <v>2</v>
      </c>
      <c r="E77" s="99" t="s">
        <v>277</v>
      </c>
      <c r="F77" s="96" t="s">
        <v>264</v>
      </c>
      <c r="G77" s="96" t="s">
        <v>265</v>
      </c>
    </row>
    <row r="78" spans="1:7">
      <c r="A78" t="s">
        <v>287</v>
      </c>
      <c r="B78">
        <v>192000</v>
      </c>
      <c r="C78">
        <f>+B78*1.3</f>
        <v>249600</v>
      </c>
      <c r="D78" s="88">
        <v>260000</v>
      </c>
      <c r="E78" s="89">
        <v>240000</v>
      </c>
      <c r="F78">
        <f>+D78-B78</f>
        <v>68000</v>
      </c>
      <c r="G78" s="55">
        <f>+E78-B78</f>
        <v>48000</v>
      </c>
    </row>
    <row r="79" spans="1:7">
      <c r="A79" t="s">
        <v>288</v>
      </c>
      <c r="B79">
        <v>196000</v>
      </c>
      <c r="C79">
        <f>+B79*1.3</f>
        <v>254800</v>
      </c>
      <c r="D79" s="70">
        <v>260000</v>
      </c>
      <c r="E79" s="72">
        <v>240000</v>
      </c>
      <c r="F79">
        <f t="shared" ref="F79:F80" si="58">+D79-B79</f>
        <v>64000</v>
      </c>
      <c r="G79">
        <f t="shared" ref="G79:G80" si="59">+E79-B79</f>
        <v>44000</v>
      </c>
    </row>
    <row r="80" spans="1:7" ht="15.75" thickBot="1">
      <c r="A80" t="s">
        <v>289</v>
      </c>
      <c r="B80">
        <v>200000</v>
      </c>
      <c r="C80">
        <f>+B80*1.3</f>
        <v>260000</v>
      </c>
      <c r="D80" s="90">
        <v>270000</v>
      </c>
      <c r="E80" s="91">
        <v>250000</v>
      </c>
      <c r="F80">
        <f t="shared" si="58"/>
        <v>70000</v>
      </c>
      <c r="G80">
        <f t="shared" si="59"/>
        <v>50000</v>
      </c>
    </row>
    <row r="81" spans="1:7" ht="30.75" thickBot="1">
      <c r="A81" s="99" t="s">
        <v>297</v>
      </c>
      <c r="B81" s="96" t="s">
        <v>218</v>
      </c>
      <c r="C81" s="97">
        <v>0.3</v>
      </c>
      <c r="D81" s="98" t="s">
        <v>2</v>
      </c>
      <c r="E81" s="99" t="s">
        <v>277</v>
      </c>
      <c r="F81" s="96" t="s">
        <v>264</v>
      </c>
      <c r="G81" s="96" t="s">
        <v>265</v>
      </c>
    </row>
    <row r="82" spans="1:7">
      <c r="A82" t="s">
        <v>287</v>
      </c>
      <c r="B82">
        <f>192000+24000</f>
        <v>216000</v>
      </c>
      <c r="C82">
        <f>+B82*1.3</f>
        <v>280800</v>
      </c>
      <c r="D82" s="88">
        <v>280000</v>
      </c>
      <c r="E82" s="89">
        <v>270000</v>
      </c>
      <c r="F82">
        <f>+D82-B82</f>
        <v>64000</v>
      </c>
      <c r="G82" s="55">
        <f>+E82-B82</f>
        <v>54000</v>
      </c>
    </row>
    <row r="83" spans="1:7">
      <c r="A83" t="s">
        <v>288</v>
      </c>
      <c r="B83">
        <f>196000+24000</f>
        <v>220000</v>
      </c>
      <c r="C83">
        <f>+B83*1.3</f>
        <v>286000</v>
      </c>
      <c r="D83" s="70">
        <v>290000</v>
      </c>
      <c r="E83" s="72">
        <v>270000</v>
      </c>
      <c r="F83">
        <f t="shared" ref="F83:F84" si="60">+D83-B83</f>
        <v>70000</v>
      </c>
      <c r="G83">
        <f t="shared" ref="G83:G84" si="61">+E83-B83</f>
        <v>50000</v>
      </c>
    </row>
    <row r="84" spans="1:7" ht="15.75" thickBot="1">
      <c r="A84" t="s">
        <v>289</v>
      </c>
      <c r="B84">
        <f>200000+24000</f>
        <v>224000</v>
      </c>
      <c r="C84">
        <f>+B84*1.3</f>
        <v>291200</v>
      </c>
      <c r="D84" s="90">
        <v>300000</v>
      </c>
      <c r="E84" s="91">
        <v>280000</v>
      </c>
      <c r="F84">
        <f t="shared" si="60"/>
        <v>76000</v>
      </c>
      <c r="G84">
        <f t="shared" si="61"/>
        <v>56000</v>
      </c>
    </row>
    <row r="85" spans="1:7" ht="30.75" thickBot="1">
      <c r="A85" s="99" t="s">
        <v>298</v>
      </c>
      <c r="B85" s="96" t="s">
        <v>218</v>
      </c>
      <c r="C85" s="97">
        <v>0.3</v>
      </c>
      <c r="D85" s="98" t="s">
        <v>2</v>
      </c>
      <c r="E85" s="99" t="s">
        <v>277</v>
      </c>
      <c r="F85" s="96" t="s">
        <v>264</v>
      </c>
      <c r="G85" s="96" t="s">
        <v>265</v>
      </c>
    </row>
    <row r="86" spans="1:7">
      <c r="A86" t="s">
        <v>287</v>
      </c>
      <c r="B86">
        <v>200000</v>
      </c>
      <c r="C86">
        <f>+B86*1.3</f>
        <v>260000</v>
      </c>
      <c r="D86" s="88">
        <v>270000</v>
      </c>
      <c r="E86" s="89">
        <v>250000</v>
      </c>
      <c r="F86">
        <f>+D86-B86</f>
        <v>70000</v>
      </c>
      <c r="G86" s="55">
        <f>+E86-B86</f>
        <v>50000</v>
      </c>
    </row>
    <row r="87" spans="1:7">
      <c r="A87" t="s">
        <v>288</v>
      </c>
      <c r="B87">
        <v>204000</v>
      </c>
      <c r="C87">
        <f>+B87*1.3</f>
        <v>265200</v>
      </c>
      <c r="D87" s="70">
        <v>270000</v>
      </c>
      <c r="E87" s="72">
        <v>250000</v>
      </c>
      <c r="F87">
        <f t="shared" ref="F87:F88" si="62">+D87-B87</f>
        <v>66000</v>
      </c>
      <c r="G87">
        <f t="shared" ref="G87:G88" si="63">+E87-B87</f>
        <v>46000</v>
      </c>
    </row>
    <row r="88" spans="1:7" ht="15.75" thickBot="1">
      <c r="A88" t="s">
        <v>289</v>
      </c>
      <c r="B88">
        <v>208000</v>
      </c>
      <c r="C88">
        <f>+B88*1.3</f>
        <v>270400</v>
      </c>
      <c r="D88" s="90">
        <v>270000</v>
      </c>
      <c r="E88" s="91">
        <v>260000</v>
      </c>
      <c r="F88">
        <f t="shared" si="62"/>
        <v>62000</v>
      </c>
      <c r="G88">
        <f t="shared" si="63"/>
        <v>52000</v>
      </c>
    </row>
    <row r="89" spans="1:7" ht="30.75" thickBot="1">
      <c r="A89" s="99" t="s">
        <v>299</v>
      </c>
      <c r="B89" s="96" t="s">
        <v>218</v>
      </c>
      <c r="C89" s="97">
        <v>0.3</v>
      </c>
      <c r="D89" s="98" t="s">
        <v>2</v>
      </c>
      <c r="E89" s="99" t="s">
        <v>277</v>
      </c>
      <c r="F89" s="96" t="s">
        <v>264</v>
      </c>
      <c r="G89" s="96" t="s">
        <v>265</v>
      </c>
    </row>
    <row r="90" spans="1:7">
      <c r="A90" t="s">
        <v>287</v>
      </c>
      <c r="B90">
        <f>192000+24000</f>
        <v>216000</v>
      </c>
      <c r="C90">
        <f>+B90*1.3</f>
        <v>280800</v>
      </c>
      <c r="D90" s="88">
        <v>280000</v>
      </c>
      <c r="E90" s="89">
        <v>270000</v>
      </c>
      <c r="F90">
        <f>+D90-B90</f>
        <v>64000</v>
      </c>
      <c r="G90" s="55">
        <f>+E90-B90</f>
        <v>54000</v>
      </c>
    </row>
    <row r="91" spans="1:7">
      <c r="A91" t="s">
        <v>288</v>
      </c>
      <c r="B91">
        <f>196000+24000</f>
        <v>220000</v>
      </c>
      <c r="C91">
        <f>+B91*1.3</f>
        <v>286000</v>
      </c>
      <c r="D91" s="70">
        <v>300000</v>
      </c>
      <c r="E91" s="72">
        <v>270000</v>
      </c>
      <c r="F91">
        <f t="shared" ref="F91:F92" si="64">+D91-B91</f>
        <v>80000</v>
      </c>
      <c r="G91">
        <f t="shared" ref="G91:G92" si="65">+E91-B91</f>
        <v>50000</v>
      </c>
    </row>
    <row r="92" spans="1:7" ht="15.75" thickBot="1">
      <c r="A92" t="s">
        <v>289</v>
      </c>
      <c r="B92">
        <f>200000+24000</f>
        <v>224000</v>
      </c>
      <c r="C92">
        <f>+B92*1.3</f>
        <v>291200</v>
      </c>
      <c r="D92" s="90">
        <v>300000</v>
      </c>
      <c r="E92" s="91">
        <v>280000</v>
      </c>
      <c r="F92">
        <f t="shared" si="64"/>
        <v>76000</v>
      </c>
      <c r="G92">
        <f t="shared" si="65"/>
        <v>56000</v>
      </c>
    </row>
    <row r="93" spans="1:7" s="5" customFormat="1">
      <c r="A93" s="5" t="s">
        <v>391</v>
      </c>
      <c r="D93" s="8"/>
      <c r="E93" s="8"/>
    </row>
    <row r="95" spans="1:7" ht="30.75" thickBot="1">
      <c r="A95" s="99" t="s">
        <v>300</v>
      </c>
      <c r="B95" s="96" t="s">
        <v>218</v>
      </c>
      <c r="C95" s="97">
        <v>0.3</v>
      </c>
      <c r="D95" s="98" t="s">
        <v>2</v>
      </c>
      <c r="E95" s="99" t="s">
        <v>277</v>
      </c>
      <c r="F95" s="96" t="s">
        <v>264</v>
      </c>
      <c r="G95" s="96" t="s">
        <v>265</v>
      </c>
    </row>
    <row r="96" spans="1:7" ht="15.75" thickBot="1">
      <c r="A96" t="s">
        <v>289</v>
      </c>
      <c r="B96">
        <v>400000</v>
      </c>
      <c r="C96">
        <f>+B96*1.3</f>
        <v>520000</v>
      </c>
      <c r="D96" s="92">
        <v>550000</v>
      </c>
      <c r="E96" s="93">
        <v>500000</v>
      </c>
      <c r="F96">
        <f>+D96-B96</f>
        <v>150000</v>
      </c>
      <c r="G96" s="55">
        <f>+E96-B96</f>
        <v>100000</v>
      </c>
    </row>
    <row r="98" spans="1:7" ht="30.75" thickBot="1">
      <c r="A98" s="99" t="s">
        <v>301</v>
      </c>
      <c r="B98" s="96" t="s">
        <v>218</v>
      </c>
      <c r="C98" s="97">
        <v>0.3</v>
      </c>
      <c r="D98" s="98" t="s">
        <v>2</v>
      </c>
      <c r="E98" s="99" t="s">
        <v>277</v>
      </c>
      <c r="F98" s="96" t="s">
        <v>264</v>
      </c>
      <c r="G98" s="96" t="s">
        <v>265</v>
      </c>
    </row>
    <row r="99" spans="1:7" ht="15.75" thickBot="1">
      <c r="A99" t="s">
        <v>289</v>
      </c>
      <c r="B99">
        <v>200000</v>
      </c>
      <c r="C99">
        <f>+B99*1.3</f>
        <v>260000</v>
      </c>
      <c r="D99" s="92">
        <v>280000</v>
      </c>
      <c r="E99" s="93">
        <v>250000</v>
      </c>
      <c r="F99">
        <f>+D99-B99</f>
        <v>80000</v>
      </c>
      <c r="G99" s="55">
        <f>+E99-B99</f>
        <v>50000</v>
      </c>
    </row>
    <row r="101" spans="1:7" ht="30.75" thickBot="1">
      <c r="A101" s="99" t="s">
        <v>302</v>
      </c>
      <c r="B101" s="96" t="s">
        <v>218</v>
      </c>
      <c r="C101" s="97">
        <v>0.3</v>
      </c>
      <c r="D101" s="98" t="s">
        <v>2</v>
      </c>
      <c r="E101" s="99" t="s">
        <v>277</v>
      </c>
      <c r="F101" s="96" t="s">
        <v>264</v>
      </c>
      <c r="G101" s="96" t="s">
        <v>265</v>
      </c>
    </row>
    <row r="102" spans="1:7" ht="15.75" thickBot="1">
      <c r="A102" t="s">
        <v>289</v>
      </c>
      <c r="B102">
        <v>320000</v>
      </c>
      <c r="C102">
        <f>+B102*1.3</f>
        <v>416000</v>
      </c>
      <c r="D102" s="92">
        <v>450000</v>
      </c>
      <c r="E102" s="93">
        <v>400000</v>
      </c>
      <c r="F102">
        <f>+D102-B102</f>
        <v>130000</v>
      </c>
      <c r="G102" s="55">
        <f>+E102-B102</f>
        <v>80000</v>
      </c>
    </row>
    <row r="104" spans="1:7" ht="30.75" thickBot="1">
      <c r="A104" s="99" t="s">
        <v>270</v>
      </c>
      <c r="B104" s="96" t="s">
        <v>218</v>
      </c>
      <c r="C104" s="97">
        <v>0.3</v>
      </c>
      <c r="D104" s="98" t="s">
        <v>2</v>
      </c>
      <c r="E104" s="99" t="s">
        <v>277</v>
      </c>
      <c r="F104" s="96" t="s">
        <v>264</v>
      </c>
      <c r="G104" s="96" t="s">
        <v>265</v>
      </c>
    </row>
    <row r="105" spans="1:7" ht="15.75" thickBot="1">
      <c r="A105" t="s">
        <v>271</v>
      </c>
      <c r="B105">
        <v>767000</v>
      </c>
      <c r="C105">
        <f>+B105*1.3</f>
        <v>997100</v>
      </c>
      <c r="D105" s="92">
        <v>1100000</v>
      </c>
      <c r="E105" s="93">
        <v>950000</v>
      </c>
      <c r="F105">
        <f>+D105-B105</f>
        <v>333000</v>
      </c>
      <c r="G105" s="55">
        <f>+E105-B105</f>
        <v>183000</v>
      </c>
    </row>
  </sheetData>
  <mergeCells count="7">
    <mergeCell ref="P9:S9"/>
    <mergeCell ref="A1:G1"/>
    <mergeCell ref="A2:G2"/>
    <mergeCell ref="H1:N1"/>
    <mergeCell ref="H2:N2"/>
    <mergeCell ref="P1:V1"/>
    <mergeCell ref="P2:V2"/>
  </mergeCells>
  <pageMargins left="0.25" right="0.25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263"/>
  <sheetViews>
    <sheetView topLeftCell="A141" workbookViewId="0">
      <pane xSplit="1" topLeftCell="B1" activePane="topRight" state="frozen"/>
      <selection pane="topRight" activeCell="C154" sqref="C154"/>
    </sheetView>
  </sheetViews>
  <sheetFormatPr baseColWidth="10" defaultRowHeight="15"/>
  <cols>
    <col min="1" max="1" width="32.7109375" bestFit="1" customWidth="1"/>
    <col min="2" max="2" width="13" customWidth="1"/>
    <col min="3" max="3" width="14" bestFit="1" customWidth="1"/>
  </cols>
  <sheetData>
    <row r="1" spans="1:20" ht="15.75" thickBot="1">
      <c r="A1" t="s">
        <v>193</v>
      </c>
    </row>
    <row r="2" spans="1:20">
      <c r="B2" s="213" t="s">
        <v>121</v>
      </c>
      <c r="C2" s="214"/>
      <c r="D2" s="211" t="s">
        <v>206</v>
      </c>
      <c r="E2" s="211"/>
      <c r="F2" s="213" t="s">
        <v>191</v>
      </c>
      <c r="G2" s="214"/>
      <c r="H2" s="211" t="s">
        <v>206</v>
      </c>
      <c r="I2" s="212"/>
      <c r="J2" s="60" t="s">
        <v>524</v>
      </c>
      <c r="K2" s="60"/>
      <c r="L2" s="59" t="s">
        <v>216</v>
      </c>
      <c r="M2" s="60"/>
      <c r="N2" s="60"/>
      <c r="O2" s="60"/>
      <c r="P2" s="59" t="s">
        <v>217</v>
      </c>
      <c r="Q2" s="60"/>
      <c r="R2" s="60"/>
      <c r="S2" s="61"/>
    </row>
    <row r="3" spans="1:20">
      <c r="A3" s="56" t="s">
        <v>194</v>
      </c>
      <c r="B3" s="76" t="s">
        <v>203</v>
      </c>
      <c r="C3" s="77" t="s">
        <v>204</v>
      </c>
      <c r="D3" s="77" t="s">
        <v>205</v>
      </c>
      <c r="E3" s="77" t="s">
        <v>190</v>
      </c>
      <c r="F3" s="76" t="s">
        <v>203</v>
      </c>
      <c r="G3" s="77" t="s">
        <v>204</v>
      </c>
      <c r="H3" s="77" t="s">
        <v>207</v>
      </c>
      <c r="I3" s="78" t="s">
        <v>190</v>
      </c>
      <c r="J3" s="77" t="s">
        <v>207</v>
      </c>
      <c r="K3" s="77" t="s">
        <v>190</v>
      </c>
      <c r="L3" s="62" t="s">
        <v>203</v>
      </c>
      <c r="M3" s="4" t="s">
        <v>204</v>
      </c>
      <c r="N3" s="4" t="s">
        <v>205</v>
      </c>
      <c r="O3" s="4" t="s">
        <v>190</v>
      </c>
      <c r="P3" s="62" t="s">
        <v>203</v>
      </c>
      <c r="Q3" s="4" t="s">
        <v>204</v>
      </c>
      <c r="R3" s="4" t="s">
        <v>205</v>
      </c>
      <c r="S3" s="63" t="s">
        <v>190</v>
      </c>
    </row>
    <row r="4" spans="1:20">
      <c r="A4" t="s">
        <v>195</v>
      </c>
      <c r="B4" s="79">
        <f>3100*5</f>
        <v>15500</v>
      </c>
      <c r="C4" s="8">
        <f>3100*5</f>
        <v>15500</v>
      </c>
      <c r="D4" s="8">
        <f>3100*5</f>
        <v>15500</v>
      </c>
      <c r="E4" s="65">
        <f>3100*4.5</f>
        <v>13950</v>
      </c>
      <c r="F4" s="64">
        <f>3100*5</f>
        <v>15500</v>
      </c>
      <c r="G4" s="65">
        <f>3100*5</f>
        <v>15500</v>
      </c>
      <c r="H4" s="65">
        <f>3100*5</f>
        <v>15500</v>
      </c>
      <c r="I4" s="66">
        <f>3100*4.5</f>
        <v>13950</v>
      </c>
      <c r="J4" s="65">
        <f>3100*5</f>
        <v>15500</v>
      </c>
      <c r="K4" s="65">
        <f>3100*4.5</f>
        <v>13950</v>
      </c>
      <c r="L4" s="64">
        <f>3000*5</f>
        <v>15000</v>
      </c>
      <c r="M4" s="65">
        <f t="shared" ref="M4:N4" si="0">3000*5</f>
        <v>15000</v>
      </c>
      <c r="N4" s="65">
        <f t="shared" si="0"/>
        <v>15000</v>
      </c>
      <c r="O4" s="65">
        <f>3000*4.5</f>
        <v>13500</v>
      </c>
      <c r="P4" s="64">
        <f>3000*5</f>
        <v>15000</v>
      </c>
      <c r="Q4" s="65">
        <f>3000*5</f>
        <v>15000</v>
      </c>
      <c r="R4" s="65">
        <v>15000</v>
      </c>
      <c r="S4" s="66">
        <f>3000*4.5</f>
        <v>13500</v>
      </c>
    </row>
    <row r="5" spans="1:20">
      <c r="A5" t="s">
        <v>196</v>
      </c>
      <c r="B5" s="79">
        <f>2250*7</f>
        <v>15750</v>
      </c>
      <c r="C5" s="8">
        <f>2250*7</f>
        <v>15750</v>
      </c>
      <c r="D5" s="65">
        <f>2250*6</f>
        <v>13500</v>
      </c>
      <c r="E5" s="65">
        <f>2250*6</f>
        <v>13500</v>
      </c>
      <c r="F5" s="64">
        <f>2250*7</f>
        <v>15750</v>
      </c>
      <c r="G5" s="65">
        <f>2250*7</f>
        <v>15750</v>
      </c>
      <c r="H5" s="65">
        <f>2250*6</f>
        <v>13500</v>
      </c>
      <c r="I5" s="66">
        <f>2250*6</f>
        <v>13500</v>
      </c>
      <c r="J5" s="65">
        <f>2250*6</f>
        <v>13500</v>
      </c>
      <c r="K5" s="65">
        <f>2250*6</f>
        <v>13500</v>
      </c>
      <c r="L5" s="64">
        <f>2000*6</f>
        <v>12000</v>
      </c>
      <c r="M5" s="65">
        <f t="shared" ref="M5:N5" si="1">2000*6</f>
        <v>12000</v>
      </c>
      <c r="N5" s="65">
        <f t="shared" si="1"/>
        <v>12000</v>
      </c>
      <c r="O5" s="65">
        <v>12000</v>
      </c>
      <c r="P5" s="64">
        <f>2000*6</f>
        <v>12000</v>
      </c>
      <c r="Q5" s="65">
        <f>2000*6</f>
        <v>12000</v>
      </c>
      <c r="R5" s="65">
        <f>2000*6</f>
        <v>12000</v>
      </c>
      <c r="S5" s="66">
        <v>12000</v>
      </c>
    </row>
    <row r="6" spans="1:20">
      <c r="A6" t="s">
        <v>197</v>
      </c>
      <c r="B6" s="79">
        <f>2600*3</f>
        <v>7800</v>
      </c>
      <c r="C6" s="65">
        <f>2600*2.5</f>
        <v>6500</v>
      </c>
      <c r="D6" s="65">
        <f>2600*2</f>
        <v>5200</v>
      </c>
      <c r="E6" s="65">
        <f>2600*1.5</f>
        <v>3900</v>
      </c>
      <c r="F6" s="64">
        <f>2600*5.5</f>
        <v>14300</v>
      </c>
      <c r="G6" s="65">
        <f>2600*4</f>
        <v>10400</v>
      </c>
      <c r="H6" s="65">
        <f>2600*2</f>
        <v>5200</v>
      </c>
      <c r="I6" s="66">
        <f>2600*1.5</f>
        <v>3900</v>
      </c>
      <c r="J6" s="65">
        <f>2600*2</f>
        <v>5200</v>
      </c>
      <c r="K6" s="65">
        <f>2600*1.5</f>
        <v>3900</v>
      </c>
      <c r="L6" s="64">
        <f>2300*2</f>
        <v>4600</v>
      </c>
      <c r="M6" s="65">
        <f t="shared" ref="M6" si="2">2300*2</f>
        <v>4600</v>
      </c>
      <c r="N6" s="65">
        <f>2300*1</f>
        <v>2300</v>
      </c>
      <c r="O6" s="65">
        <f>2300*1</f>
        <v>2300</v>
      </c>
      <c r="P6" s="64">
        <f>2300*2</f>
        <v>4600</v>
      </c>
      <c r="Q6" s="65">
        <f>2300*2</f>
        <v>4600</v>
      </c>
      <c r="R6" s="65">
        <f>2300*1</f>
        <v>2300</v>
      </c>
      <c r="S6" s="66">
        <f>2300*1</f>
        <v>2300</v>
      </c>
    </row>
    <row r="7" spans="1:20">
      <c r="A7" t="s">
        <v>237</v>
      </c>
      <c r="B7" s="79">
        <v>27000</v>
      </c>
      <c r="C7" s="65">
        <v>20000</v>
      </c>
      <c r="D7" s="65">
        <v>19000</v>
      </c>
      <c r="E7" s="65">
        <v>17000</v>
      </c>
      <c r="F7" s="64">
        <v>31000</v>
      </c>
      <c r="G7" s="65">
        <v>25000</v>
      </c>
      <c r="H7" s="65">
        <v>23000</v>
      </c>
      <c r="I7" s="66">
        <v>21000</v>
      </c>
      <c r="J7" s="65">
        <v>26000</v>
      </c>
      <c r="K7" s="65">
        <v>23000</v>
      </c>
      <c r="L7" s="64">
        <v>54000</v>
      </c>
      <c r="M7" s="65">
        <v>45000</v>
      </c>
      <c r="N7" s="65">
        <v>41000</v>
      </c>
      <c r="O7" s="65">
        <v>27000</v>
      </c>
      <c r="P7" s="64">
        <v>65000</v>
      </c>
      <c r="Q7" s="65">
        <v>65000</v>
      </c>
      <c r="R7" s="65">
        <v>45000</v>
      </c>
      <c r="S7" s="66">
        <v>45000</v>
      </c>
    </row>
    <row r="8" spans="1:20">
      <c r="A8" t="s">
        <v>199</v>
      </c>
      <c r="B8" s="79">
        <f>22000+1800+1500+2500</f>
        <v>27800</v>
      </c>
      <c r="C8" s="8">
        <f>22000+1800+1500+2500</f>
        <v>27800</v>
      </c>
      <c r="D8" s="65">
        <f>1800+500+2500</f>
        <v>4800</v>
      </c>
      <c r="E8" s="65">
        <f>1800+500+2500</f>
        <v>4800</v>
      </c>
      <c r="F8" s="79">
        <f>22000+1800+1500+2500</f>
        <v>27800</v>
      </c>
      <c r="G8" s="8">
        <f>22000+1800+1500+2500</f>
        <v>27800</v>
      </c>
      <c r="H8" s="65">
        <f>1800+500+2500</f>
        <v>4800</v>
      </c>
      <c r="I8" s="66">
        <f>1800+500+2500</f>
        <v>4800</v>
      </c>
      <c r="J8" s="65">
        <f>1800+500+2500</f>
        <v>4800</v>
      </c>
      <c r="K8" s="65">
        <f>1800+500+2500</f>
        <v>4800</v>
      </c>
      <c r="L8" s="79">
        <f>22000+1800+1500+2500</f>
        <v>27800</v>
      </c>
      <c r="M8" s="8">
        <f>22000+1800+1500+2500</f>
        <v>27800</v>
      </c>
      <c r="N8" s="65">
        <f>1800+500+2500</f>
        <v>4800</v>
      </c>
      <c r="O8" s="65">
        <f>1800+500+2500</f>
        <v>4800</v>
      </c>
      <c r="P8" s="79">
        <f>22000+1800+1500+2500</f>
        <v>27800</v>
      </c>
      <c r="Q8" s="8">
        <f>22000+1800+1500+2500</f>
        <v>27800</v>
      </c>
      <c r="R8" s="65">
        <f>1800+500+2500</f>
        <v>4800</v>
      </c>
      <c r="S8" s="66">
        <f>1800+500+2500</f>
        <v>4800</v>
      </c>
    </row>
    <row r="9" spans="1:20">
      <c r="A9" t="s">
        <v>200</v>
      </c>
      <c r="B9" s="64">
        <v>20000</v>
      </c>
      <c r="C9" s="65">
        <v>20000</v>
      </c>
      <c r="D9" s="65">
        <v>20000</v>
      </c>
      <c r="E9" s="65">
        <v>20000</v>
      </c>
      <c r="F9" s="64">
        <v>20000</v>
      </c>
      <c r="G9" s="65">
        <v>20000</v>
      </c>
      <c r="H9" s="65">
        <v>20000</v>
      </c>
      <c r="I9" s="66">
        <v>20000</v>
      </c>
      <c r="J9" s="65">
        <v>20000</v>
      </c>
      <c r="K9" s="65">
        <v>20000</v>
      </c>
      <c r="L9" s="64">
        <v>20000</v>
      </c>
      <c r="M9" s="65">
        <v>20000</v>
      </c>
      <c r="N9" s="65">
        <v>20000</v>
      </c>
      <c r="O9" s="65">
        <v>20000</v>
      </c>
      <c r="P9" s="64">
        <v>20000</v>
      </c>
      <c r="Q9" s="65">
        <v>20000</v>
      </c>
      <c r="R9" s="65">
        <v>20000</v>
      </c>
      <c r="S9" s="66">
        <v>20000</v>
      </c>
    </row>
    <row r="10" spans="1:20">
      <c r="A10" t="s">
        <v>201</v>
      </c>
      <c r="B10" s="67">
        <v>15000</v>
      </c>
      <c r="C10" s="68">
        <v>15000</v>
      </c>
      <c r="D10" s="68">
        <v>15000</v>
      </c>
      <c r="E10" s="68">
        <v>15000</v>
      </c>
      <c r="F10" s="67">
        <v>15000</v>
      </c>
      <c r="G10" s="68">
        <v>15000</v>
      </c>
      <c r="H10" s="68">
        <v>15000</v>
      </c>
      <c r="I10" s="69">
        <v>15000</v>
      </c>
      <c r="J10" s="68">
        <v>15000</v>
      </c>
      <c r="K10" s="68">
        <v>15000</v>
      </c>
      <c r="L10" s="67">
        <v>15000</v>
      </c>
      <c r="M10" s="68">
        <v>15000</v>
      </c>
      <c r="N10" s="68">
        <v>15000</v>
      </c>
      <c r="O10" s="68">
        <v>15000</v>
      </c>
      <c r="P10" s="67">
        <v>15000</v>
      </c>
      <c r="Q10" s="68">
        <v>15000</v>
      </c>
      <c r="R10" s="68">
        <v>15000</v>
      </c>
      <c r="S10" s="69">
        <v>15000</v>
      </c>
    </row>
    <row r="11" spans="1:20">
      <c r="A11" t="s">
        <v>202</v>
      </c>
      <c r="B11" s="67">
        <v>5000</v>
      </c>
      <c r="C11" s="68">
        <v>5000</v>
      </c>
      <c r="D11" s="68">
        <v>5000</v>
      </c>
      <c r="E11" s="68">
        <v>5000</v>
      </c>
      <c r="F11" s="67">
        <v>5000</v>
      </c>
      <c r="G11" s="68">
        <v>5000</v>
      </c>
      <c r="H11" s="68">
        <v>5000</v>
      </c>
      <c r="I11" s="69">
        <v>5000</v>
      </c>
      <c r="J11" s="68">
        <v>5000</v>
      </c>
      <c r="K11" s="68">
        <v>5000</v>
      </c>
      <c r="L11" s="67">
        <v>5000</v>
      </c>
      <c r="M11" s="68">
        <v>5000</v>
      </c>
      <c r="N11" s="68">
        <v>5000</v>
      </c>
      <c r="O11" s="68">
        <v>5000</v>
      </c>
      <c r="P11" s="67">
        <v>5000</v>
      </c>
      <c r="Q11" s="68">
        <v>5000</v>
      </c>
      <c r="R11" s="68">
        <v>5000</v>
      </c>
      <c r="S11" s="69">
        <v>5000</v>
      </c>
    </row>
    <row r="12" spans="1:20">
      <c r="A12" s="3" t="s">
        <v>215</v>
      </c>
      <c r="B12" s="70">
        <f>SUM(B4:B11)</f>
        <v>133850</v>
      </c>
      <c r="C12" s="71">
        <f t="shared" ref="C12:I12" si="3">SUM(C4:C11)</f>
        <v>125550</v>
      </c>
      <c r="D12" s="71">
        <f t="shared" si="3"/>
        <v>98000</v>
      </c>
      <c r="E12" s="71">
        <f t="shared" si="3"/>
        <v>93150</v>
      </c>
      <c r="F12" s="70">
        <f t="shared" si="3"/>
        <v>144350</v>
      </c>
      <c r="G12" s="71">
        <f t="shared" si="3"/>
        <v>134450</v>
      </c>
      <c r="H12" s="71">
        <f t="shared" si="3"/>
        <v>102000</v>
      </c>
      <c r="I12" s="72">
        <f t="shared" si="3"/>
        <v>97150</v>
      </c>
      <c r="J12" s="71">
        <f t="shared" ref="J12:K12" si="4">SUM(J4:J11)</f>
        <v>105000</v>
      </c>
      <c r="K12" s="71">
        <f t="shared" si="4"/>
        <v>99150</v>
      </c>
      <c r="L12" s="70">
        <f t="shared" ref="L12:S12" si="5">SUM(L4:L11)</f>
        <v>153400</v>
      </c>
      <c r="M12" s="71">
        <f t="shared" si="5"/>
        <v>144400</v>
      </c>
      <c r="N12" s="71">
        <f t="shared" si="5"/>
        <v>115100</v>
      </c>
      <c r="O12" s="71">
        <f t="shared" si="5"/>
        <v>99600</v>
      </c>
      <c r="P12" s="70">
        <f t="shared" si="5"/>
        <v>164400</v>
      </c>
      <c r="Q12" s="71">
        <f t="shared" si="5"/>
        <v>164400</v>
      </c>
      <c r="R12" s="71">
        <f t="shared" si="5"/>
        <v>119100</v>
      </c>
      <c r="S12" s="72">
        <f t="shared" si="5"/>
        <v>117600</v>
      </c>
    </row>
    <row r="13" spans="1:20">
      <c r="A13" s="50">
        <v>0.2</v>
      </c>
      <c r="B13" s="64">
        <f t="shared" ref="B13:I13" si="6">+B12*1.2</f>
        <v>160620</v>
      </c>
      <c r="C13" s="65">
        <f t="shared" si="6"/>
        <v>150660</v>
      </c>
      <c r="D13" s="65">
        <f t="shared" si="6"/>
        <v>117600</v>
      </c>
      <c r="E13" s="65">
        <f t="shared" si="6"/>
        <v>111780</v>
      </c>
      <c r="F13" s="64">
        <f t="shared" si="6"/>
        <v>173220</v>
      </c>
      <c r="G13" s="65">
        <f t="shared" si="6"/>
        <v>161340</v>
      </c>
      <c r="H13" s="65">
        <f t="shared" si="6"/>
        <v>122400</v>
      </c>
      <c r="I13" s="66">
        <f t="shared" si="6"/>
        <v>116580</v>
      </c>
      <c r="J13" s="65">
        <f t="shared" ref="J13:K13" si="7">+J12*1.2</f>
        <v>126000</v>
      </c>
      <c r="K13" s="65">
        <f t="shared" si="7"/>
        <v>118980</v>
      </c>
      <c r="L13" s="64">
        <f t="shared" ref="L13:S13" si="8">+L12*1.2</f>
        <v>184080</v>
      </c>
      <c r="M13" s="65">
        <f t="shared" si="8"/>
        <v>173280</v>
      </c>
      <c r="N13" s="65">
        <f t="shared" si="8"/>
        <v>138120</v>
      </c>
      <c r="O13" s="65">
        <f t="shared" si="8"/>
        <v>119520</v>
      </c>
      <c r="P13" s="64">
        <f t="shared" si="8"/>
        <v>197280</v>
      </c>
      <c r="Q13" s="65">
        <f t="shared" si="8"/>
        <v>197280</v>
      </c>
      <c r="R13" s="65">
        <f t="shared" si="8"/>
        <v>142920</v>
      </c>
      <c r="S13" s="66">
        <f t="shared" si="8"/>
        <v>141120</v>
      </c>
    </row>
    <row r="14" spans="1:20" ht="15.75" thickBot="1">
      <c r="A14" s="50">
        <v>0.3</v>
      </c>
      <c r="B14" s="73">
        <f t="shared" ref="B14:I14" si="9">+B12*1.3</f>
        <v>174005</v>
      </c>
      <c r="C14" s="74">
        <f t="shared" si="9"/>
        <v>163215</v>
      </c>
      <c r="D14" s="74">
        <f t="shared" si="9"/>
        <v>127400</v>
      </c>
      <c r="E14" s="74">
        <f t="shared" si="9"/>
        <v>121095</v>
      </c>
      <c r="F14" s="73">
        <f t="shared" si="9"/>
        <v>187655</v>
      </c>
      <c r="G14" s="74">
        <f t="shared" si="9"/>
        <v>174785</v>
      </c>
      <c r="H14" s="74">
        <f t="shared" si="9"/>
        <v>132600</v>
      </c>
      <c r="I14" s="75">
        <f t="shared" si="9"/>
        <v>126295</v>
      </c>
      <c r="J14" s="74">
        <f t="shared" ref="J14:K14" si="10">+J12*1.3</f>
        <v>136500</v>
      </c>
      <c r="K14" s="74">
        <f t="shared" si="10"/>
        <v>128895</v>
      </c>
      <c r="L14" s="73">
        <f t="shared" ref="L14:S14" si="11">+L12*1.3</f>
        <v>199420</v>
      </c>
      <c r="M14" s="74">
        <f t="shared" si="11"/>
        <v>187720</v>
      </c>
      <c r="N14" s="74">
        <f t="shared" si="11"/>
        <v>149630</v>
      </c>
      <c r="O14" s="74">
        <f t="shared" si="11"/>
        <v>129480</v>
      </c>
      <c r="P14" s="73">
        <f t="shared" si="11"/>
        <v>213720</v>
      </c>
      <c r="Q14" s="74">
        <f t="shared" si="11"/>
        <v>213720</v>
      </c>
      <c r="R14" s="74">
        <f t="shared" si="11"/>
        <v>154830</v>
      </c>
      <c r="S14" s="75">
        <f t="shared" si="11"/>
        <v>152880</v>
      </c>
    </row>
    <row r="15" spans="1:20">
      <c r="A15" s="50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1:20" ht="15.75" thickBot="1">
      <c r="E16" s="56" t="s">
        <v>540</v>
      </c>
    </row>
    <row r="17" spans="1:25">
      <c r="A17" s="56" t="s">
        <v>230</v>
      </c>
      <c r="B17" s="80" t="s">
        <v>203</v>
      </c>
      <c r="C17" s="81" t="s">
        <v>204</v>
      </c>
      <c r="E17" s="80" t="s">
        <v>203</v>
      </c>
      <c r="F17" s="82" t="s">
        <v>204</v>
      </c>
      <c r="G17" s="82" t="s">
        <v>205</v>
      </c>
      <c r="H17" s="81" t="s">
        <v>190</v>
      </c>
    </row>
    <row r="18" spans="1:25">
      <c r="A18" t="s">
        <v>195</v>
      </c>
      <c r="B18" s="79">
        <f>3100*5</f>
        <v>15500</v>
      </c>
      <c r="C18" s="66">
        <f>3100*5</f>
        <v>15500</v>
      </c>
      <c r="E18" s="79">
        <f>3100*5</f>
        <v>15500</v>
      </c>
      <c r="F18" s="8">
        <f>3100*5</f>
        <v>15500</v>
      </c>
      <c r="G18" s="8">
        <f>3100*5</f>
        <v>15500</v>
      </c>
      <c r="H18" s="66">
        <f>3100*4.5</f>
        <v>13950</v>
      </c>
    </row>
    <row r="19" spans="1:25">
      <c r="A19" t="s">
        <v>196</v>
      </c>
      <c r="B19" s="79">
        <f>2250*7</f>
        <v>15750</v>
      </c>
      <c r="C19" s="66">
        <f>2250*6.5</f>
        <v>14625</v>
      </c>
      <c r="E19" s="79">
        <f>2250*6</f>
        <v>13500</v>
      </c>
      <c r="F19" s="8">
        <f>2250*6</f>
        <v>13500</v>
      </c>
      <c r="G19" s="65">
        <f>2250*6</f>
        <v>13500</v>
      </c>
      <c r="H19" s="66">
        <f>2250*5</f>
        <v>11250</v>
      </c>
    </row>
    <row r="20" spans="1:25">
      <c r="A20" t="s">
        <v>197</v>
      </c>
      <c r="B20" s="79">
        <f>2600*4</f>
        <v>10400</v>
      </c>
      <c r="C20" s="66">
        <f>2600*3.5</f>
        <v>9100</v>
      </c>
      <c r="E20" s="79">
        <f>(2600*12)+(3400*1)</f>
        <v>34600</v>
      </c>
      <c r="F20" s="8">
        <f>(2600*9.5)+(3400*1)</f>
        <v>28100</v>
      </c>
      <c r="G20" s="65">
        <f>2600*7+(3400*1)</f>
        <v>21600</v>
      </c>
      <c r="H20" s="66">
        <f>2600*4+(3400*1)</f>
        <v>13800</v>
      </c>
    </row>
    <row r="21" spans="1:25">
      <c r="A21" t="s">
        <v>229</v>
      </c>
      <c r="B21" s="79">
        <v>10000</v>
      </c>
      <c r="C21" s="66">
        <v>10000</v>
      </c>
      <c r="E21" s="62"/>
      <c r="F21" s="4"/>
      <c r="G21" s="4"/>
      <c r="H21" s="63"/>
    </row>
    <row r="22" spans="1:25">
      <c r="A22" t="s">
        <v>198</v>
      </c>
      <c r="B22" s="64">
        <v>31000</v>
      </c>
      <c r="C22" s="66">
        <v>25000</v>
      </c>
      <c r="E22" s="79"/>
      <c r="F22" s="65"/>
      <c r="G22" s="65"/>
      <c r="H22" s="66"/>
    </row>
    <row r="23" spans="1:25">
      <c r="A23" t="s">
        <v>199</v>
      </c>
      <c r="B23" s="79">
        <f>22000+1800+1500+2500</f>
        <v>27800</v>
      </c>
      <c r="C23" s="83">
        <f>22000+1800+1500+2500</f>
        <v>27800</v>
      </c>
      <c r="E23" s="79">
        <f>24000+1800+1500+2500</f>
        <v>29800</v>
      </c>
      <c r="F23" s="8">
        <f>24000+1800+1500+2500</f>
        <v>29800</v>
      </c>
      <c r="G23" s="65">
        <f>1800+500+4500</f>
        <v>6800</v>
      </c>
      <c r="H23" s="66">
        <f>1800+500+4500</f>
        <v>6800</v>
      </c>
    </row>
    <row r="24" spans="1:25">
      <c r="A24" t="s">
        <v>200</v>
      </c>
      <c r="B24" s="64">
        <v>22000</v>
      </c>
      <c r="C24" s="66">
        <v>22000</v>
      </c>
      <c r="E24" s="64">
        <v>30000</v>
      </c>
      <c r="F24" s="65">
        <v>30000</v>
      </c>
      <c r="G24" s="65">
        <v>30000</v>
      </c>
      <c r="H24" s="66">
        <v>30000</v>
      </c>
    </row>
    <row r="25" spans="1:25">
      <c r="A25" t="s">
        <v>201</v>
      </c>
      <c r="B25" s="67">
        <v>15000</v>
      </c>
      <c r="C25" s="69">
        <v>15000</v>
      </c>
      <c r="E25" s="67">
        <v>15000</v>
      </c>
      <c r="F25" s="68">
        <v>15000</v>
      </c>
      <c r="G25" s="68">
        <v>15000</v>
      </c>
      <c r="H25" s="69">
        <v>15000</v>
      </c>
    </row>
    <row r="26" spans="1:25">
      <c r="A26" t="s">
        <v>202</v>
      </c>
      <c r="B26" s="67">
        <v>5000</v>
      </c>
      <c r="C26" s="69">
        <v>5000</v>
      </c>
      <c r="E26" s="67">
        <v>5000</v>
      </c>
      <c r="F26" s="68">
        <v>5000</v>
      </c>
      <c r="G26" s="68">
        <v>5000</v>
      </c>
      <c r="H26" s="69">
        <v>5000</v>
      </c>
    </row>
    <row r="27" spans="1:25">
      <c r="A27" s="3" t="s">
        <v>215</v>
      </c>
      <c r="B27" s="70">
        <f>SUM(B18:B26)</f>
        <v>152450</v>
      </c>
      <c r="C27" s="72">
        <f t="shared" ref="C27" si="12">SUM(C18:C26)</f>
        <v>144025</v>
      </c>
      <c r="E27" s="70">
        <f>SUM(E18:E26)</f>
        <v>143400</v>
      </c>
      <c r="F27" s="71">
        <f>SUM(F18:F26)</f>
        <v>136900</v>
      </c>
      <c r="G27" s="71">
        <f>SUM(G18:G26)</f>
        <v>107400</v>
      </c>
      <c r="H27" s="72">
        <f>SUM(H18:H26)</f>
        <v>95800</v>
      </c>
    </row>
    <row r="28" spans="1:25">
      <c r="A28" s="50">
        <v>0.2</v>
      </c>
      <c r="B28" s="64">
        <f t="shared" ref="B28:C28" si="13">+B27*1.2</f>
        <v>182940</v>
      </c>
      <c r="C28" s="66">
        <f t="shared" si="13"/>
        <v>172830</v>
      </c>
      <c r="E28" s="64">
        <f t="shared" ref="E28:H28" si="14">+E27*1.2</f>
        <v>172080</v>
      </c>
      <c r="F28" s="65">
        <f t="shared" si="14"/>
        <v>164280</v>
      </c>
      <c r="G28" s="65">
        <f t="shared" si="14"/>
        <v>128880</v>
      </c>
      <c r="H28" s="66">
        <f t="shared" si="14"/>
        <v>114960</v>
      </c>
    </row>
    <row r="29" spans="1:25" ht="15.75" thickBot="1">
      <c r="A29" s="50">
        <v>0.3</v>
      </c>
      <c r="B29" s="73">
        <f t="shared" ref="B29:C29" si="15">+B27*1.3</f>
        <v>198185</v>
      </c>
      <c r="C29" s="75">
        <f t="shared" si="15"/>
        <v>187232.5</v>
      </c>
      <c r="E29" s="73">
        <f t="shared" ref="E29:H29" si="16">+E27*1.3</f>
        <v>186420</v>
      </c>
      <c r="F29" s="74">
        <f t="shared" si="16"/>
        <v>177970</v>
      </c>
      <c r="G29" s="74">
        <f t="shared" si="16"/>
        <v>139620</v>
      </c>
      <c r="H29" s="75">
        <f t="shared" si="16"/>
        <v>124540</v>
      </c>
    </row>
    <row r="31" spans="1:25" ht="15.75" thickBot="1">
      <c r="K31" s="56" t="s">
        <v>228</v>
      </c>
      <c r="V31" t="s">
        <v>537</v>
      </c>
    </row>
    <row r="32" spans="1:25">
      <c r="A32" s="56" t="s">
        <v>219</v>
      </c>
      <c r="B32" s="80" t="s">
        <v>203</v>
      </c>
      <c r="C32" s="82" t="s">
        <v>203</v>
      </c>
      <c r="D32" s="82" t="s">
        <v>203</v>
      </c>
      <c r="E32" s="82" t="s">
        <v>227</v>
      </c>
      <c r="F32" s="82" t="s">
        <v>227</v>
      </c>
      <c r="G32" s="82" t="s">
        <v>227</v>
      </c>
      <c r="H32" s="82" t="s">
        <v>204</v>
      </c>
      <c r="I32" s="82" t="s">
        <v>204</v>
      </c>
      <c r="J32" s="81" t="s">
        <v>204</v>
      </c>
      <c r="K32" s="82" t="s">
        <v>203</v>
      </c>
      <c r="L32" s="82" t="s">
        <v>203</v>
      </c>
      <c r="M32" s="82" t="s">
        <v>203</v>
      </c>
      <c r="N32" s="82" t="s">
        <v>227</v>
      </c>
      <c r="O32" s="82" t="s">
        <v>227</v>
      </c>
      <c r="P32" s="82" t="s">
        <v>227</v>
      </c>
      <c r="Q32" s="82" t="s">
        <v>204</v>
      </c>
      <c r="R32" s="82" t="s">
        <v>204</v>
      </c>
      <c r="S32" s="81" t="s">
        <v>204</v>
      </c>
      <c r="T32" s="119" t="s">
        <v>478</v>
      </c>
      <c r="V32" s="137" t="s">
        <v>203</v>
      </c>
      <c r="W32" s="138" t="s">
        <v>203</v>
      </c>
      <c r="X32" s="139" t="s">
        <v>538</v>
      </c>
      <c r="Y32" s="138" t="s">
        <v>538</v>
      </c>
    </row>
    <row r="33" spans="1:25">
      <c r="A33" t="s">
        <v>220</v>
      </c>
      <c r="B33" s="79">
        <f>3750*5</f>
        <v>18750</v>
      </c>
      <c r="C33" s="65"/>
      <c r="D33" s="4"/>
      <c r="E33" s="8">
        <f>3750*5</f>
        <v>18750</v>
      </c>
      <c r="F33" s="65"/>
      <c r="G33" s="4"/>
      <c r="H33" s="8">
        <f>3750*5</f>
        <v>18750</v>
      </c>
      <c r="I33" s="65"/>
      <c r="J33" s="63"/>
      <c r="K33" s="8">
        <f>3750*5</f>
        <v>18750</v>
      </c>
      <c r="L33" s="65"/>
      <c r="M33" s="4"/>
      <c r="N33" s="8">
        <f>3750*5</f>
        <v>18750</v>
      </c>
      <c r="O33" s="65"/>
      <c r="P33" s="4"/>
      <c r="Q33" s="8">
        <f>3750*5</f>
        <v>18750</v>
      </c>
      <c r="R33" s="65"/>
      <c r="S33" s="63"/>
      <c r="T33" s="8">
        <f>6000*6</f>
        <v>36000</v>
      </c>
      <c r="V33" s="79">
        <f>3750*5</f>
        <v>18750</v>
      </c>
      <c r="W33" s="63"/>
      <c r="X33" s="8">
        <f>3750*5</f>
        <v>18750</v>
      </c>
      <c r="Y33" s="63"/>
    </row>
    <row r="34" spans="1:25">
      <c r="A34" t="s">
        <v>221</v>
      </c>
      <c r="B34" s="79"/>
      <c r="C34" s="65">
        <f>4600*5</f>
        <v>23000</v>
      </c>
      <c r="D34" s="4"/>
      <c r="E34" s="8"/>
      <c r="F34" s="65">
        <f>4600*5</f>
        <v>23000</v>
      </c>
      <c r="G34" s="4"/>
      <c r="H34" s="8"/>
      <c r="I34" s="65">
        <f>4600*5</f>
        <v>23000</v>
      </c>
      <c r="J34" s="63"/>
      <c r="K34" s="8"/>
      <c r="L34" s="65">
        <f>4600*5</f>
        <v>23000</v>
      </c>
      <c r="M34" s="4"/>
      <c r="N34" s="8"/>
      <c r="O34" s="65">
        <f>4600*5</f>
        <v>23000</v>
      </c>
      <c r="P34" s="4"/>
      <c r="Q34" s="8"/>
      <c r="R34" s="65">
        <f>4600*5</f>
        <v>23000</v>
      </c>
      <c r="S34" s="63"/>
      <c r="T34" s="8"/>
      <c r="V34" s="79"/>
      <c r="W34" s="63"/>
      <c r="X34" s="8"/>
      <c r="Y34" s="63"/>
    </row>
    <row r="35" spans="1:25">
      <c r="A35" t="s">
        <v>222</v>
      </c>
      <c r="B35" s="79"/>
      <c r="C35" s="65"/>
      <c r="D35" s="4">
        <f>5200*5</f>
        <v>26000</v>
      </c>
      <c r="E35" s="8"/>
      <c r="F35" s="65"/>
      <c r="G35" s="4">
        <f>5200*5</f>
        <v>26000</v>
      </c>
      <c r="H35" s="8"/>
      <c r="I35" s="65"/>
      <c r="J35" s="63">
        <f>5200*5</f>
        <v>26000</v>
      </c>
      <c r="K35" s="8"/>
      <c r="L35" s="65"/>
      <c r="M35" s="4">
        <f>5200*5</f>
        <v>26000</v>
      </c>
      <c r="N35" s="8"/>
      <c r="O35" s="65"/>
      <c r="P35" s="4">
        <f>5200*5</f>
        <v>26000</v>
      </c>
      <c r="Q35" s="8"/>
      <c r="R35" s="65"/>
      <c r="S35" s="63">
        <f>5200*5</f>
        <v>26000</v>
      </c>
      <c r="T35" s="8">
        <f>2000*2</f>
        <v>4000</v>
      </c>
      <c r="V35" s="79"/>
      <c r="W35" s="63">
        <f>5200*5</f>
        <v>26000</v>
      </c>
      <c r="X35" s="8"/>
      <c r="Y35" s="63">
        <f>5200*5</f>
        <v>26000</v>
      </c>
    </row>
    <row r="36" spans="1:25">
      <c r="A36" t="s">
        <v>209</v>
      </c>
      <c r="B36" s="79">
        <f t="shared" ref="B36:G36" si="17">5500*7</f>
        <v>38500</v>
      </c>
      <c r="C36" s="8">
        <f t="shared" si="17"/>
        <v>38500</v>
      </c>
      <c r="D36" s="8">
        <f t="shared" si="17"/>
        <v>38500</v>
      </c>
      <c r="E36" s="8">
        <f t="shared" si="17"/>
        <v>38500</v>
      </c>
      <c r="F36" s="8">
        <f t="shared" si="17"/>
        <v>38500</v>
      </c>
      <c r="G36" s="8">
        <f t="shared" si="17"/>
        <v>38500</v>
      </c>
      <c r="H36" s="8">
        <f>5500*6.5</f>
        <v>35750</v>
      </c>
      <c r="I36" s="8">
        <f>5500*6.5</f>
        <v>35750</v>
      </c>
      <c r="J36" s="83">
        <f>5500*6.5</f>
        <v>35750</v>
      </c>
      <c r="K36" s="8">
        <f t="shared" ref="K36:P36" si="18">5500*7</f>
        <v>38500</v>
      </c>
      <c r="L36" s="8">
        <f t="shared" si="18"/>
        <v>38500</v>
      </c>
      <c r="M36" s="8">
        <f t="shared" si="18"/>
        <v>38500</v>
      </c>
      <c r="N36" s="8">
        <f t="shared" si="18"/>
        <v>38500</v>
      </c>
      <c r="O36" s="8">
        <f t="shared" si="18"/>
        <v>38500</v>
      </c>
      <c r="P36" s="8">
        <f t="shared" si="18"/>
        <v>38500</v>
      </c>
      <c r="Q36" s="8">
        <f>5500*6.5</f>
        <v>35750</v>
      </c>
      <c r="R36" s="8">
        <f>5500*6.5</f>
        <v>35750</v>
      </c>
      <c r="S36" s="83">
        <f>5500*6.5</f>
        <v>35750</v>
      </c>
      <c r="T36" s="8">
        <f>5500*12</f>
        <v>66000</v>
      </c>
      <c r="V36" s="79">
        <f>5500*6</f>
        <v>33000</v>
      </c>
      <c r="W36" s="83">
        <f>5500*6</f>
        <v>33000</v>
      </c>
      <c r="X36" s="8">
        <f>5500*6</f>
        <v>33000</v>
      </c>
      <c r="Y36" s="83">
        <f>5500*6</f>
        <v>33000</v>
      </c>
    </row>
    <row r="37" spans="1:25">
      <c r="A37" t="s">
        <v>197</v>
      </c>
      <c r="B37" s="79">
        <f>2600*4</f>
        <v>10400</v>
      </c>
      <c r="C37" s="8">
        <f>2600*4</f>
        <v>10400</v>
      </c>
      <c r="D37" s="8">
        <f>2600*4</f>
        <v>10400</v>
      </c>
      <c r="E37" s="8">
        <f>2600*4</f>
        <v>10400</v>
      </c>
      <c r="F37" s="8">
        <f>2600*4</f>
        <v>10400</v>
      </c>
      <c r="G37" s="8">
        <f>2600*3</f>
        <v>7800</v>
      </c>
      <c r="H37" s="8">
        <f>2600*3</f>
        <v>7800</v>
      </c>
      <c r="I37" s="8">
        <f>2600*3</f>
        <v>7800</v>
      </c>
      <c r="J37" s="83">
        <f>2600*3</f>
        <v>7800</v>
      </c>
      <c r="K37" s="8"/>
      <c r="L37" s="8"/>
      <c r="M37" s="8"/>
      <c r="N37" s="8"/>
      <c r="O37" s="8"/>
      <c r="P37" s="8"/>
      <c r="Q37" s="8"/>
      <c r="R37" s="8"/>
      <c r="S37" s="83"/>
      <c r="T37" s="8">
        <f>9200*2</f>
        <v>18400</v>
      </c>
      <c r="V37" s="79">
        <f>2600*12+(4300*1)</f>
        <v>35500</v>
      </c>
      <c r="W37" s="83">
        <f>2600*12+(4300*1)</f>
        <v>35500</v>
      </c>
      <c r="X37" s="8">
        <f>2600*9+(4300*1)</f>
        <v>27700</v>
      </c>
      <c r="Y37" s="83">
        <f>2600*9+(4300*1)</f>
        <v>27700</v>
      </c>
    </row>
    <row r="38" spans="1:25">
      <c r="A38" t="s">
        <v>223</v>
      </c>
      <c r="B38" s="79">
        <v>10000</v>
      </c>
      <c r="C38" s="8">
        <v>10000</v>
      </c>
      <c r="D38" s="8">
        <v>10000</v>
      </c>
      <c r="E38" s="8">
        <v>10000</v>
      </c>
      <c r="F38" s="8">
        <v>10000</v>
      </c>
      <c r="G38" s="8">
        <v>10000</v>
      </c>
      <c r="H38" s="8">
        <v>10000</v>
      </c>
      <c r="I38" s="8">
        <v>10000</v>
      </c>
      <c r="J38" s="83">
        <v>10000</v>
      </c>
      <c r="K38" s="8"/>
      <c r="L38" s="8"/>
      <c r="M38" s="8"/>
      <c r="N38" s="8"/>
      <c r="O38" s="8"/>
      <c r="P38" s="8"/>
      <c r="Q38" s="8"/>
      <c r="R38" s="8"/>
      <c r="S38" s="83"/>
      <c r="T38" s="8">
        <f>10000*2</f>
        <v>20000</v>
      </c>
      <c r="V38" s="79"/>
      <c r="W38" s="83"/>
      <c r="X38" s="8"/>
      <c r="Y38" s="83"/>
    </row>
    <row r="39" spans="1:25">
      <c r="A39" t="s">
        <v>224</v>
      </c>
      <c r="B39" s="79">
        <v>31000</v>
      </c>
      <c r="C39" s="65">
        <v>31000</v>
      </c>
      <c r="D39" s="4">
        <v>31000</v>
      </c>
      <c r="E39" s="8">
        <v>28000</v>
      </c>
      <c r="F39" s="8">
        <v>29000</v>
      </c>
      <c r="G39" s="8">
        <v>29000</v>
      </c>
      <c r="H39" s="8">
        <v>25000</v>
      </c>
      <c r="I39" s="8">
        <v>25000</v>
      </c>
      <c r="J39" s="83">
        <v>25000</v>
      </c>
      <c r="K39" s="8">
        <v>66000</v>
      </c>
      <c r="L39" s="8">
        <v>66000</v>
      </c>
      <c r="M39" s="8">
        <v>66000</v>
      </c>
      <c r="N39" s="8">
        <v>66000</v>
      </c>
      <c r="O39" s="8">
        <v>66000</v>
      </c>
      <c r="P39" s="8">
        <v>66000</v>
      </c>
      <c r="Q39" s="8">
        <v>66000</v>
      </c>
      <c r="R39" s="8">
        <v>66000</v>
      </c>
      <c r="S39" s="83">
        <v>66000</v>
      </c>
      <c r="T39" s="8">
        <v>72000</v>
      </c>
      <c r="V39" s="79"/>
      <c r="W39" s="63"/>
      <c r="X39" s="8"/>
      <c r="Y39" s="63"/>
    </row>
    <row r="40" spans="1:25">
      <c r="A40" t="s">
        <v>199</v>
      </c>
      <c r="B40" s="79">
        <f>22000+2500+2500+2500</f>
        <v>29500</v>
      </c>
      <c r="C40" s="8">
        <f t="shared" ref="C40:R40" si="19">22000+2500+2500+2500</f>
        <v>29500</v>
      </c>
      <c r="D40" s="8">
        <f t="shared" si="19"/>
        <v>29500</v>
      </c>
      <c r="E40" s="8">
        <f t="shared" si="19"/>
        <v>29500</v>
      </c>
      <c r="F40" s="8">
        <f t="shared" si="19"/>
        <v>29500</v>
      </c>
      <c r="G40" s="8">
        <f t="shared" si="19"/>
        <v>29500</v>
      </c>
      <c r="H40" s="8">
        <f t="shared" si="19"/>
        <v>29500</v>
      </c>
      <c r="I40" s="8">
        <f t="shared" si="19"/>
        <v>29500</v>
      </c>
      <c r="J40" s="83">
        <f t="shared" si="19"/>
        <v>29500</v>
      </c>
      <c r="K40" s="79">
        <f>22000+2500+2500+2500</f>
        <v>29500</v>
      </c>
      <c r="L40" s="8">
        <f t="shared" si="19"/>
        <v>29500</v>
      </c>
      <c r="M40" s="8">
        <f t="shared" si="19"/>
        <v>29500</v>
      </c>
      <c r="N40" s="8">
        <f t="shared" si="19"/>
        <v>29500</v>
      </c>
      <c r="O40" s="8">
        <f t="shared" si="19"/>
        <v>29500</v>
      </c>
      <c r="P40" s="8">
        <f t="shared" si="19"/>
        <v>29500</v>
      </c>
      <c r="Q40" s="8">
        <f t="shared" si="19"/>
        <v>29500</v>
      </c>
      <c r="R40" s="8">
        <f t="shared" si="19"/>
        <v>29500</v>
      </c>
      <c r="S40" s="83">
        <f t="shared" ref="S40" si="20">22000+2500+2500+2500</f>
        <v>29500</v>
      </c>
      <c r="T40" s="8">
        <f>21000+2200+5100+12000</f>
        <v>40300</v>
      </c>
      <c r="V40" s="79">
        <f>24000+2600+3000+2500</f>
        <v>32100</v>
      </c>
      <c r="W40" s="83">
        <f>24000+2600+3000+2500</f>
        <v>32100</v>
      </c>
      <c r="X40" s="8">
        <f>24000+2600+3000+2500</f>
        <v>32100</v>
      </c>
      <c r="Y40" s="83">
        <f>24000+2600+3000+2500</f>
        <v>32100</v>
      </c>
    </row>
    <row r="41" spans="1:25">
      <c r="A41" t="s">
        <v>200</v>
      </c>
      <c r="B41" s="64">
        <v>30000</v>
      </c>
      <c r="C41" s="65">
        <v>30000</v>
      </c>
      <c r="D41" s="65">
        <v>30000</v>
      </c>
      <c r="E41" s="65">
        <v>30000</v>
      </c>
      <c r="F41" s="65">
        <v>30000</v>
      </c>
      <c r="G41" s="65">
        <v>30000</v>
      </c>
      <c r="H41" s="65">
        <v>30000</v>
      </c>
      <c r="I41" s="65">
        <v>30000</v>
      </c>
      <c r="J41" s="66">
        <v>30000</v>
      </c>
      <c r="K41" s="65">
        <v>30000</v>
      </c>
      <c r="L41" s="65">
        <v>30000</v>
      </c>
      <c r="M41" s="65">
        <v>30000</v>
      </c>
      <c r="N41" s="65">
        <v>30000</v>
      </c>
      <c r="O41" s="65">
        <v>30000</v>
      </c>
      <c r="P41" s="65">
        <v>30000</v>
      </c>
      <c r="Q41" s="65">
        <v>30000</v>
      </c>
      <c r="R41" s="65">
        <v>30000</v>
      </c>
      <c r="S41" s="66">
        <v>30000</v>
      </c>
      <c r="T41" s="65">
        <v>50000</v>
      </c>
      <c r="V41" s="64">
        <v>40000</v>
      </c>
      <c r="W41" s="66">
        <v>40000</v>
      </c>
      <c r="X41" s="65">
        <v>40000</v>
      </c>
      <c r="Y41" s="66">
        <v>40000</v>
      </c>
    </row>
    <row r="42" spans="1:25">
      <c r="A42" t="s">
        <v>225</v>
      </c>
      <c r="B42" s="67">
        <v>20000</v>
      </c>
      <c r="C42" s="68">
        <v>20000</v>
      </c>
      <c r="D42" s="68">
        <v>20000</v>
      </c>
      <c r="E42" s="68">
        <v>20000</v>
      </c>
      <c r="F42" s="68">
        <v>20000</v>
      </c>
      <c r="G42" s="68">
        <v>20000</v>
      </c>
      <c r="H42" s="68">
        <v>20000</v>
      </c>
      <c r="I42" s="68">
        <v>20000</v>
      </c>
      <c r="J42" s="69">
        <v>20000</v>
      </c>
      <c r="K42" s="68">
        <v>20000</v>
      </c>
      <c r="L42" s="68">
        <v>20000</v>
      </c>
      <c r="M42" s="68">
        <v>20000</v>
      </c>
      <c r="N42" s="68">
        <v>20000</v>
      </c>
      <c r="O42" s="68">
        <v>20000</v>
      </c>
      <c r="P42" s="68">
        <v>20000</v>
      </c>
      <c r="Q42" s="68">
        <v>20000</v>
      </c>
      <c r="R42" s="68">
        <v>20000</v>
      </c>
      <c r="S42" s="69">
        <v>20000</v>
      </c>
      <c r="T42" s="68">
        <v>40000</v>
      </c>
      <c r="V42" s="67">
        <v>20000</v>
      </c>
      <c r="W42" s="69">
        <v>20000</v>
      </c>
      <c r="X42" s="68">
        <v>20000</v>
      </c>
      <c r="Y42" s="69">
        <v>20000</v>
      </c>
    </row>
    <row r="43" spans="1:25">
      <c r="A43" s="3" t="s">
        <v>215</v>
      </c>
      <c r="B43" s="70">
        <f>SUM(B33:B42)</f>
        <v>188150</v>
      </c>
      <c r="C43" s="71">
        <f t="shared" ref="C43:D43" si="21">SUM(C33:C42)</f>
        <v>192400</v>
      </c>
      <c r="D43" s="71">
        <f t="shared" si="21"/>
        <v>195400</v>
      </c>
      <c r="E43" s="71">
        <f>SUM(E33:E42)</f>
        <v>185150</v>
      </c>
      <c r="F43" s="71">
        <f t="shared" ref="F43:G43" si="22">SUM(F33:F42)</f>
        <v>190400</v>
      </c>
      <c r="G43" s="71">
        <f t="shared" si="22"/>
        <v>190800</v>
      </c>
      <c r="H43" s="71">
        <f>SUM(H33:H42)</f>
        <v>176800</v>
      </c>
      <c r="I43" s="71">
        <f t="shared" ref="I43:J43" si="23">SUM(I33:I42)</f>
        <v>181050</v>
      </c>
      <c r="J43" s="72">
        <f t="shared" si="23"/>
        <v>184050</v>
      </c>
      <c r="K43" s="71">
        <f>SUM(K33:K42)</f>
        <v>202750</v>
      </c>
      <c r="L43" s="71">
        <f t="shared" ref="L43:M43" si="24">SUM(L33:L42)</f>
        <v>207000</v>
      </c>
      <c r="M43" s="71">
        <f t="shared" si="24"/>
        <v>210000</v>
      </c>
      <c r="N43" s="71">
        <f>SUM(N33:N42)</f>
        <v>202750</v>
      </c>
      <c r="O43" s="71">
        <f t="shared" ref="O43:P43" si="25">SUM(O33:O42)</f>
        <v>207000</v>
      </c>
      <c r="P43" s="71">
        <f t="shared" si="25"/>
        <v>210000</v>
      </c>
      <c r="Q43" s="71">
        <f>SUM(Q33:Q42)</f>
        <v>200000</v>
      </c>
      <c r="R43" s="71">
        <f t="shared" ref="R43:S43" si="26">SUM(R33:R42)</f>
        <v>204250</v>
      </c>
      <c r="S43" s="72">
        <f t="shared" si="26"/>
        <v>207250</v>
      </c>
      <c r="T43" s="71">
        <f>SUM(T33:T42)</f>
        <v>346700</v>
      </c>
      <c r="V43" s="70">
        <f>SUM(V33:V42)</f>
        <v>179350</v>
      </c>
      <c r="W43" s="72">
        <f t="shared" ref="W43:Y43" si="27">SUM(W33:W42)</f>
        <v>186600</v>
      </c>
      <c r="X43" s="71">
        <f>SUM(X33:X42)</f>
        <v>171550</v>
      </c>
      <c r="Y43" s="72">
        <f t="shared" si="27"/>
        <v>178800</v>
      </c>
    </row>
    <row r="44" spans="1:25">
      <c r="A44" s="50">
        <v>0.2</v>
      </c>
      <c r="B44" s="64">
        <f t="shared" ref="B44:T44" si="28">+B43*1.2</f>
        <v>225780</v>
      </c>
      <c r="C44" s="65">
        <f t="shared" si="28"/>
        <v>230880</v>
      </c>
      <c r="D44" s="65">
        <f t="shared" si="28"/>
        <v>234480</v>
      </c>
      <c r="E44" s="65">
        <f t="shared" si="28"/>
        <v>222180</v>
      </c>
      <c r="F44" s="65">
        <f t="shared" si="28"/>
        <v>228480</v>
      </c>
      <c r="G44" s="65">
        <f t="shared" si="28"/>
        <v>228960</v>
      </c>
      <c r="H44" s="65">
        <f t="shared" si="28"/>
        <v>212160</v>
      </c>
      <c r="I44" s="65">
        <f t="shared" si="28"/>
        <v>217260</v>
      </c>
      <c r="J44" s="66">
        <f t="shared" si="28"/>
        <v>220860</v>
      </c>
      <c r="K44" s="65">
        <f t="shared" si="28"/>
        <v>243300</v>
      </c>
      <c r="L44" s="65">
        <f t="shared" si="28"/>
        <v>248400</v>
      </c>
      <c r="M44" s="65">
        <f t="shared" si="28"/>
        <v>252000</v>
      </c>
      <c r="N44" s="65">
        <f t="shared" si="28"/>
        <v>243300</v>
      </c>
      <c r="O44" s="65">
        <f t="shared" si="28"/>
        <v>248400</v>
      </c>
      <c r="P44" s="65">
        <f t="shared" si="28"/>
        <v>252000</v>
      </c>
      <c r="Q44" s="65">
        <f t="shared" si="28"/>
        <v>240000</v>
      </c>
      <c r="R44" s="65">
        <f t="shared" si="28"/>
        <v>245100</v>
      </c>
      <c r="S44" s="66">
        <f t="shared" si="28"/>
        <v>248700</v>
      </c>
      <c r="T44" s="65">
        <f t="shared" si="28"/>
        <v>416040</v>
      </c>
      <c r="V44" s="64">
        <f t="shared" ref="V44:W44" si="29">+V43*1.2</f>
        <v>215220</v>
      </c>
      <c r="W44" s="66">
        <f t="shared" si="29"/>
        <v>223920</v>
      </c>
      <c r="X44" s="65">
        <f t="shared" ref="X44:Y44" si="30">+X43*1.2</f>
        <v>205860</v>
      </c>
      <c r="Y44" s="66">
        <f t="shared" si="30"/>
        <v>214560</v>
      </c>
    </row>
    <row r="45" spans="1:25" ht="15.75" thickBot="1">
      <c r="A45" s="50">
        <v>0.3</v>
      </c>
      <c r="B45" s="64">
        <f t="shared" ref="B45:T45" si="31">+B43*1.3</f>
        <v>244595</v>
      </c>
      <c r="C45" s="65">
        <f t="shared" si="31"/>
        <v>250120</v>
      </c>
      <c r="D45" s="65">
        <f t="shared" si="31"/>
        <v>254020</v>
      </c>
      <c r="E45" s="65">
        <f t="shared" si="31"/>
        <v>240695</v>
      </c>
      <c r="F45" s="65">
        <f t="shared" si="31"/>
        <v>247520</v>
      </c>
      <c r="G45" s="65">
        <f t="shared" si="31"/>
        <v>248040</v>
      </c>
      <c r="H45" s="65">
        <f t="shared" si="31"/>
        <v>229840</v>
      </c>
      <c r="I45" s="65">
        <f t="shared" si="31"/>
        <v>235365</v>
      </c>
      <c r="J45" s="66">
        <f t="shared" si="31"/>
        <v>239265</v>
      </c>
      <c r="K45" s="65">
        <f t="shared" si="31"/>
        <v>263575</v>
      </c>
      <c r="L45" s="65">
        <f t="shared" si="31"/>
        <v>269100</v>
      </c>
      <c r="M45" s="65">
        <f t="shared" si="31"/>
        <v>273000</v>
      </c>
      <c r="N45" s="65">
        <f t="shared" si="31"/>
        <v>263575</v>
      </c>
      <c r="O45" s="65">
        <f t="shared" si="31"/>
        <v>269100</v>
      </c>
      <c r="P45" s="65">
        <f t="shared" si="31"/>
        <v>273000</v>
      </c>
      <c r="Q45" s="65">
        <f t="shared" si="31"/>
        <v>260000</v>
      </c>
      <c r="R45" s="65">
        <f t="shared" si="31"/>
        <v>265525</v>
      </c>
      <c r="S45" s="66">
        <f t="shared" si="31"/>
        <v>269425</v>
      </c>
      <c r="T45" s="65">
        <f t="shared" si="31"/>
        <v>450710</v>
      </c>
      <c r="V45" s="73">
        <f t="shared" ref="V45:W45" si="32">+V43*1.3</f>
        <v>233155</v>
      </c>
      <c r="W45" s="75">
        <f t="shared" si="32"/>
        <v>242580</v>
      </c>
      <c r="X45" s="74">
        <f t="shared" ref="X45:Y45" si="33">+X43*1.3</f>
        <v>223015</v>
      </c>
      <c r="Y45" s="75">
        <f t="shared" si="33"/>
        <v>232440</v>
      </c>
    </row>
    <row r="46" spans="1:25">
      <c r="A46" t="s">
        <v>226</v>
      </c>
      <c r="B46" s="125">
        <f>+B43+12000</f>
        <v>200150</v>
      </c>
      <c r="C46" s="126">
        <f t="shared" ref="C46:J46" si="34">+C43+12000</f>
        <v>204400</v>
      </c>
      <c r="D46" s="126">
        <f t="shared" si="34"/>
        <v>207400</v>
      </c>
      <c r="E46" s="126">
        <f t="shared" si="34"/>
        <v>197150</v>
      </c>
      <c r="F46" s="126">
        <f t="shared" si="34"/>
        <v>202400</v>
      </c>
      <c r="G46" s="126">
        <f t="shared" si="34"/>
        <v>202800</v>
      </c>
      <c r="H46" s="126">
        <f t="shared" si="34"/>
        <v>188800</v>
      </c>
      <c r="I46" s="126">
        <f t="shared" si="34"/>
        <v>193050</v>
      </c>
      <c r="J46" s="127">
        <f t="shared" si="34"/>
        <v>196050</v>
      </c>
      <c r="K46" s="126">
        <f>+K43+14000</f>
        <v>216750</v>
      </c>
      <c r="L46" s="126">
        <f>+L43+14000</f>
        <v>221000</v>
      </c>
      <c r="M46" s="126">
        <f t="shared" ref="M46:R46" si="35">+M43+14000</f>
        <v>224000</v>
      </c>
      <c r="N46" s="126">
        <f t="shared" si="35"/>
        <v>216750</v>
      </c>
      <c r="O46" s="126">
        <f t="shared" si="35"/>
        <v>221000</v>
      </c>
      <c r="P46" s="126">
        <f t="shared" si="35"/>
        <v>224000</v>
      </c>
      <c r="Q46" s="126">
        <f t="shared" si="35"/>
        <v>214000</v>
      </c>
      <c r="R46" s="126">
        <f t="shared" si="35"/>
        <v>218250</v>
      </c>
      <c r="S46" s="127">
        <f>+S43+14000</f>
        <v>221250</v>
      </c>
      <c r="T46" s="126">
        <f>+T43+30000</f>
        <v>376700</v>
      </c>
    </row>
    <row r="47" spans="1:25">
      <c r="A47" s="50">
        <v>0.2</v>
      </c>
      <c r="B47" s="64">
        <f>+B46*1.2</f>
        <v>240180</v>
      </c>
      <c r="C47" s="65">
        <f t="shared" ref="C47:D47" si="36">+C46*1.2</f>
        <v>245280</v>
      </c>
      <c r="D47" s="65">
        <f t="shared" si="36"/>
        <v>248880</v>
      </c>
      <c r="E47" s="65">
        <f>+E46*1.2</f>
        <v>236580</v>
      </c>
      <c r="F47" s="65">
        <f t="shared" ref="F47:G47" si="37">+F46*1.2</f>
        <v>242880</v>
      </c>
      <c r="G47" s="65">
        <f t="shared" si="37"/>
        <v>243360</v>
      </c>
      <c r="H47" s="65">
        <f>+H46*1.2</f>
        <v>226560</v>
      </c>
      <c r="I47" s="65">
        <f t="shared" ref="I47:J47" si="38">+I46*1.2</f>
        <v>231660</v>
      </c>
      <c r="J47" s="66">
        <f t="shared" si="38"/>
        <v>235260</v>
      </c>
      <c r="K47" s="65">
        <f>+K46*1.2</f>
        <v>260100</v>
      </c>
      <c r="L47" s="65">
        <f t="shared" ref="L47:M47" si="39">+L46*1.2</f>
        <v>265200</v>
      </c>
      <c r="M47" s="65">
        <f t="shared" si="39"/>
        <v>268800</v>
      </c>
      <c r="N47" s="65">
        <f>+N46*1.2</f>
        <v>260100</v>
      </c>
      <c r="O47" s="65">
        <f t="shared" ref="O47:P47" si="40">+O46*1.2</f>
        <v>265200</v>
      </c>
      <c r="P47" s="65">
        <f t="shared" si="40"/>
        <v>268800</v>
      </c>
      <c r="Q47" s="65">
        <f>+Q46*1.2</f>
        <v>256800</v>
      </c>
      <c r="R47" s="65">
        <f t="shared" ref="R47:S47" si="41">+R46*1.2</f>
        <v>261900</v>
      </c>
      <c r="S47" s="66">
        <f t="shared" si="41"/>
        <v>265500</v>
      </c>
      <c r="T47" s="65">
        <f>+T46*1.2</f>
        <v>452040</v>
      </c>
    </row>
    <row r="48" spans="1:25" ht="15.75" thickBot="1">
      <c r="A48" s="50">
        <v>0.3</v>
      </c>
      <c r="B48" s="73">
        <f>+B46*1.3</f>
        <v>260195</v>
      </c>
      <c r="C48" s="74">
        <f t="shared" ref="C48:D48" si="42">+C46*1.3</f>
        <v>265720</v>
      </c>
      <c r="D48" s="74">
        <f t="shared" si="42"/>
        <v>269620</v>
      </c>
      <c r="E48" s="74">
        <f>+E46*1.3</f>
        <v>256295</v>
      </c>
      <c r="F48" s="74">
        <f t="shared" ref="F48:G48" si="43">+F46*1.3</f>
        <v>263120</v>
      </c>
      <c r="G48" s="74">
        <f t="shared" si="43"/>
        <v>263640</v>
      </c>
      <c r="H48" s="74">
        <f>+H46*1.3</f>
        <v>245440</v>
      </c>
      <c r="I48" s="74">
        <f t="shared" ref="I48:J48" si="44">+I46*1.3</f>
        <v>250965</v>
      </c>
      <c r="J48" s="75">
        <f t="shared" si="44"/>
        <v>254865</v>
      </c>
      <c r="K48" s="74">
        <f>+K46*1.3</f>
        <v>281775</v>
      </c>
      <c r="L48" s="74">
        <f t="shared" ref="L48:M48" si="45">+L46*1.3</f>
        <v>287300</v>
      </c>
      <c r="M48" s="74">
        <f t="shared" si="45"/>
        <v>291200</v>
      </c>
      <c r="N48" s="74">
        <f>+N46*1.3</f>
        <v>281775</v>
      </c>
      <c r="O48" s="74">
        <f t="shared" ref="O48:P48" si="46">+O46*1.3</f>
        <v>287300</v>
      </c>
      <c r="P48" s="74">
        <f t="shared" si="46"/>
        <v>291200</v>
      </c>
      <c r="Q48" s="74">
        <f>+Q46*1.3</f>
        <v>278200</v>
      </c>
      <c r="R48" s="74">
        <f t="shared" ref="R48:S48" si="47">+R46*1.3</f>
        <v>283725</v>
      </c>
      <c r="S48" s="75">
        <f t="shared" si="47"/>
        <v>287625</v>
      </c>
      <c r="T48" s="74">
        <f>+T46*1.3</f>
        <v>489710</v>
      </c>
    </row>
    <row r="50" spans="1:14" ht="15.75" thickBot="1">
      <c r="K50" t="s">
        <v>430</v>
      </c>
      <c r="N50" s="56" t="s">
        <v>539</v>
      </c>
    </row>
    <row r="51" spans="1:14">
      <c r="A51" s="56" t="s">
        <v>231</v>
      </c>
      <c r="B51" s="80" t="s">
        <v>203</v>
      </c>
      <c r="C51" s="82" t="s">
        <v>203</v>
      </c>
      <c r="D51" s="82" t="s">
        <v>203</v>
      </c>
      <c r="E51" s="82" t="s">
        <v>227</v>
      </c>
      <c r="F51" s="82" t="s">
        <v>227</v>
      </c>
      <c r="G51" s="82" t="s">
        <v>227</v>
      </c>
      <c r="H51" s="82" t="s">
        <v>204</v>
      </c>
      <c r="I51" s="82" t="s">
        <v>204</v>
      </c>
      <c r="J51" s="81" t="s">
        <v>204</v>
      </c>
      <c r="K51" s="80" t="s">
        <v>429</v>
      </c>
      <c r="L51" s="81" t="s">
        <v>204</v>
      </c>
      <c r="N51" s="140" t="s">
        <v>410</v>
      </c>
    </row>
    <row r="52" spans="1:14">
      <c r="A52" t="s">
        <v>411</v>
      </c>
      <c r="B52" s="79">
        <f>3750*5</f>
        <v>18750</v>
      </c>
      <c r="C52" s="65"/>
      <c r="D52" s="4"/>
      <c r="E52" s="8">
        <f>3750*5</f>
        <v>18750</v>
      </c>
      <c r="F52" s="65"/>
      <c r="G52" s="4"/>
      <c r="H52" s="8">
        <f>3750*5</f>
        <v>18750</v>
      </c>
      <c r="I52" s="65"/>
      <c r="J52" s="63"/>
      <c r="K52" s="62"/>
      <c r="L52" s="63"/>
      <c r="N52" s="141" t="s">
        <v>203</v>
      </c>
    </row>
    <row r="53" spans="1:14">
      <c r="A53" t="s">
        <v>221</v>
      </c>
      <c r="B53" s="79"/>
      <c r="C53" s="65">
        <f>4600*5</f>
        <v>23000</v>
      </c>
      <c r="D53" s="4"/>
      <c r="E53" s="8"/>
      <c r="F53" s="65">
        <f>4600*5</f>
        <v>23000</v>
      </c>
      <c r="G53" s="4"/>
      <c r="H53" s="8"/>
      <c r="I53" s="65">
        <f>4600*5</f>
        <v>23000</v>
      </c>
      <c r="J53" s="63"/>
      <c r="K53" s="62"/>
      <c r="L53" s="63"/>
      <c r="N53" s="142">
        <f>5200*5</f>
        <v>26000</v>
      </c>
    </row>
    <row r="54" spans="1:14">
      <c r="A54" t="s">
        <v>222</v>
      </c>
      <c r="B54" s="79"/>
      <c r="C54" s="65"/>
      <c r="D54" s="4">
        <f>5200*5</f>
        <v>26000</v>
      </c>
      <c r="E54" s="8"/>
      <c r="F54" s="65"/>
      <c r="G54" s="4">
        <f>5200*5</f>
        <v>26000</v>
      </c>
      <c r="H54" s="8"/>
      <c r="I54" s="65"/>
      <c r="J54" s="63">
        <f>5200*5</f>
        <v>26000</v>
      </c>
      <c r="K54" s="62"/>
      <c r="L54" s="63"/>
      <c r="N54" s="149"/>
    </row>
    <row r="55" spans="1:14">
      <c r="A55" t="s">
        <v>232</v>
      </c>
      <c r="B55" s="79">
        <f>3450*7</f>
        <v>24150</v>
      </c>
      <c r="C55" s="8">
        <f>3450*7</f>
        <v>24150</v>
      </c>
      <c r="D55" s="8">
        <f t="shared" ref="D55:G55" si="48">3450*7</f>
        <v>24150</v>
      </c>
      <c r="E55" s="8">
        <f t="shared" si="48"/>
        <v>24150</v>
      </c>
      <c r="F55" s="8">
        <f t="shared" si="48"/>
        <v>24150</v>
      </c>
      <c r="G55" s="8">
        <f t="shared" si="48"/>
        <v>24150</v>
      </c>
      <c r="H55" s="8">
        <f>3450*6.5</f>
        <v>22425</v>
      </c>
      <c r="I55" s="8">
        <f>3450*6.5</f>
        <v>22425</v>
      </c>
      <c r="J55" s="83">
        <f>3450*6.5</f>
        <v>22425</v>
      </c>
      <c r="K55" s="79">
        <f>3450*7</f>
        <v>24150</v>
      </c>
      <c r="L55" s="83">
        <f>3450*6.5</f>
        <v>22425</v>
      </c>
      <c r="N55" s="142">
        <f>3450*7</f>
        <v>24150</v>
      </c>
    </row>
    <row r="56" spans="1:14">
      <c r="A56" t="s">
        <v>197</v>
      </c>
      <c r="B56" s="79">
        <f>2600*4</f>
        <v>10400</v>
      </c>
      <c r="C56" s="8">
        <f>2600*4</f>
        <v>10400</v>
      </c>
      <c r="D56" s="8">
        <f t="shared" ref="D56:G56" si="49">2600*4</f>
        <v>10400</v>
      </c>
      <c r="E56" s="8">
        <f t="shared" si="49"/>
        <v>10400</v>
      </c>
      <c r="F56" s="8">
        <f t="shared" si="49"/>
        <v>10400</v>
      </c>
      <c r="G56" s="8">
        <f t="shared" si="49"/>
        <v>10400</v>
      </c>
      <c r="H56" s="8">
        <f>2600*3</f>
        <v>7800</v>
      </c>
      <c r="I56" s="8">
        <f>2600*3</f>
        <v>7800</v>
      </c>
      <c r="J56" s="83">
        <f>2600*3</f>
        <v>7800</v>
      </c>
      <c r="K56" s="79">
        <f>2600*4</f>
        <v>10400</v>
      </c>
      <c r="L56" s="83">
        <f>2600*3</f>
        <v>7800</v>
      </c>
      <c r="N56" s="142">
        <f>2300*4</f>
        <v>9200</v>
      </c>
    </row>
    <row r="57" spans="1:14">
      <c r="A57" t="s">
        <v>223</v>
      </c>
      <c r="B57" s="79">
        <v>10000</v>
      </c>
      <c r="C57" s="8">
        <v>10000</v>
      </c>
      <c r="D57" s="8">
        <v>10000</v>
      </c>
      <c r="E57" s="8">
        <v>10000</v>
      </c>
      <c r="F57" s="8">
        <v>10000</v>
      </c>
      <c r="G57" s="8">
        <v>10000</v>
      </c>
      <c r="H57" s="8">
        <v>10000</v>
      </c>
      <c r="I57" s="8">
        <v>10000</v>
      </c>
      <c r="J57" s="83">
        <v>10000</v>
      </c>
      <c r="K57" s="79"/>
      <c r="L57" s="63"/>
      <c r="N57" s="149"/>
    </row>
    <row r="58" spans="1:14">
      <c r="A58" t="s">
        <v>224</v>
      </c>
      <c r="B58" s="79">
        <v>31000</v>
      </c>
      <c r="C58" s="65">
        <v>31000</v>
      </c>
      <c r="D58" s="4">
        <v>31000</v>
      </c>
      <c r="E58" s="8">
        <v>28000</v>
      </c>
      <c r="F58" s="8">
        <v>28000</v>
      </c>
      <c r="G58" s="8">
        <v>28000</v>
      </c>
      <c r="H58" s="8">
        <v>24000</v>
      </c>
      <c r="I58" s="8">
        <v>24000</v>
      </c>
      <c r="J58" s="83">
        <v>24000</v>
      </c>
      <c r="K58" s="79">
        <v>27000</v>
      </c>
      <c r="L58" s="83">
        <v>20000</v>
      </c>
      <c r="N58" s="142">
        <v>27000</v>
      </c>
    </row>
    <row r="59" spans="1:14">
      <c r="A59" t="s">
        <v>199</v>
      </c>
      <c r="B59" s="79">
        <f>22000+2500+2500+2500</f>
        <v>29500</v>
      </c>
      <c r="C59" s="8">
        <f t="shared" ref="C59:I59" si="50">22000+2500+2500+2500</f>
        <v>29500</v>
      </c>
      <c r="D59" s="8">
        <f t="shared" si="50"/>
        <v>29500</v>
      </c>
      <c r="E59" s="8">
        <f t="shared" si="50"/>
        <v>29500</v>
      </c>
      <c r="F59" s="8">
        <f t="shared" si="50"/>
        <v>29500</v>
      </c>
      <c r="G59" s="8">
        <f t="shared" si="50"/>
        <v>29500</v>
      </c>
      <c r="H59" s="8">
        <f t="shared" si="50"/>
        <v>29500</v>
      </c>
      <c r="I59" s="8">
        <f t="shared" si="50"/>
        <v>29500</v>
      </c>
      <c r="J59" s="83">
        <f t="shared" ref="J59:L59" si="51">22000+2500+2500+2500</f>
        <v>29500</v>
      </c>
      <c r="K59" s="79">
        <f>22000+2500+2500+2500</f>
        <v>29500</v>
      </c>
      <c r="L59" s="83">
        <f t="shared" si="51"/>
        <v>29500</v>
      </c>
      <c r="N59" s="79">
        <f>22000+2500+2500+2500</f>
        <v>29500</v>
      </c>
    </row>
    <row r="60" spans="1:14">
      <c r="A60" t="s">
        <v>200</v>
      </c>
      <c r="B60" s="64">
        <v>30000</v>
      </c>
      <c r="C60" s="65">
        <v>30000</v>
      </c>
      <c r="D60" s="65">
        <v>30000</v>
      </c>
      <c r="E60" s="65">
        <v>30000</v>
      </c>
      <c r="F60" s="65">
        <v>30000</v>
      </c>
      <c r="G60" s="65">
        <v>30000</v>
      </c>
      <c r="H60" s="65">
        <v>30000</v>
      </c>
      <c r="I60" s="65">
        <v>30000</v>
      </c>
      <c r="J60" s="66">
        <v>30000</v>
      </c>
      <c r="K60" s="64">
        <v>25000</v>
      </c>
      <c r="L60" s="66">
        <v>25000</v>
      </c>
      <c r="N60" s="143">
        <v>25000</v>
      </c>
    </row>
    <row r="61" spans="1:14">
      <c r="A61" t="s">
        <v>225</v>
      </c>
      <c r="B61" s="67">
        <v>20000</v>
      </c>
      <c r="C61" s="68">
        <v>20000</v>
      </c>
      <c r="D61" s="68">
        <v>20000</v>
      </c>
      <c r="E61" s="68">
        <v>20000</v>
      </c>
      <c r="F61" s="68">
        <v>20000</v>
      </c>
      <c r="G61" s="68">
        <v>20000</v>
      </c>
      <c r="H61" s="68">
        <v>20000</v>
      </c>
      <c r="I61" s="68">
        <v>20000</v>
      </c>
      <c r="J61" s="69">
        <v>20000</v>
      </c>
      <c r="K61" s="67">
        <v>20000</v>
      </c>
      <c r="L61" s="69">
        <v>20000</v>
      </c>
      <c r="N61" s="144">
        <v>20000</v>
      </c>
    </row>
    <row r="62" spans="1:14">
      <c r="A62" s="3" t="s">
        <v>215</v>
      </c>
      <c r="B62" s="70">
        <f>SUM(B52:B61)</f>
        <v>173800</v>
      </c>
      <c r="C62" s="71">
        <f t="shared" ref="C62:D62" si="52">SUM(C52:C61)</f>
        <v>178050</v>
      </c>
      <c r="D62" s="71">
        <f t="shared" si="52"/>
        <v>181050</v>
      </c>
      <c r="E62" s="71">
        <f>SUM(E52:E61)</f>
        <v>170800</v>
      </c>
      <c r="F62" s="71">
        <f t="shared" ref="F62:G62" si="53">SUM(F52:F61)</f>
        <v>175050</v>
      </c>
      <c r="G62" s="71">
        <f t="shared" si="53"/>
        <v>178050</v>
      </c>
      <c r="H62" s="71">
        <f>SUM(H52:H61)</f>
        <v>162475</v>
      </c>
      <c r="I62" s="71">
        <f t="shared" ref="I62:J62" si="54">SUM(I52:I61)</f>
        <v>166725</v>
      </c>
      <c r="J62" s="72">
        <f t="shared" si="54"/>
        <v>169725</v>
      </c>
      <c r="K62" s="70">
        <f>SUM(K52:K61)</f>
        <v>136050</v>
      </c>
      <c r="L62" s="72">
        <f>SUM(L52:L61)</f>
        <v>124725</v>
      </c>
      <c r="N62" s="145">
        <f>SUM(N53:N61)</f>
        <v>160850</v>
      </c>
    </row>
    <row r="63" spans="1:14">
      <c r="A63" s="50">
        <v>0.2</v>
      </c>
      <c r="B63" s="64">
        <f t="shared" ref="B63:L63" si="55">+B62*1.2</f>
        <v>208560</v>
      </c>
      <c r="C63" s="65">
        <f t="shared" si="55"/>
        <v>213660</v>
      </c>
      <c r="D63" s="65">
        <f t="shared" si="55"/>
        <v>217260</v>
      </c>
      <c r="E63" s="65">
        <f t="shared" si="55"/>
        <v>204960</v>
      </c>
      <c r="F63" s="65">
        <f t="shared" si="55"/>
        <v>210060</v>
      </c>
      <c r="G63" s="65">
        <f t="shared" si="55"/>
        <v>213660</v>
      </c>
      <c r="H63" s="65">
        <f t="shared" si="55"/>
        <v>194970</v>
      </c>
      <c r="I63" s="65">
        <f t="shared" si="55"/>
        <v>200070</v>
      </c>
      <c r="J63" s="66">
        <f t="shared" si="55"/>
        <v>203670</v>
      </c>
      <c r="K63" s="64">
        <f t="shared" si="55"/>
        <v>163260</v>
      </c>
      <c r="L63" s="66">
        <f t="shared" si="55"/>
        <v>149670</v>
      </c>
      <c r="N63" s="143">
        <f>+N62*1.2</f>
        <v>193020</v>
      </c>
    </row>
    <row r="64" spans="1:14" ht="15.75" thickBot="1">
      <c r="A64" s="50">
        <v>0.3</v>
      </c>
      <c r="B64" s="64">
        <f t="shared" ref="B64:L64" si="56">+B62*1.3</f>
        <v>225940</v>
      </c>
      <c r="C64" s="65">
        <f t="shared" si="56"/>
        <v>231465</v>
      </c>
      <c r="D64" s="65">
        <f t="shared" si="56"/>
        <v>235365</v>
      </c>
      <c r="E64" s="65">
        <f t="shared" si="56"/>
        <v>222040</v>
      </c>
      <c r="F64" s="65">
        <f t="shared" si="56"/>
        <v>227565</v>
      </c>
      <c r="G64" s="65">
        <f t="shared" si="56"/>
        <v>231465</v>
      </c>
      <c r="H64" s="65">
        <f t="shared" si="56"/>
        <v>211217.5</v>
      </c>
      <c r="I64" s="65">
        <f t="shared" si="56"/>
        <v>216742.5</v>
      </c>
      <c r="J64" s="66">
        <f t="shared" si="56"/>
        <v>220642.5</v>
      </c>
      <c r="K64" s="64">
        <f t="shared" si="56"/>
        <v>176865</v>
      </c>
      <c r="L64" s="66">
        <f t="shared" si="56"/>
        <v>162142.5</v>
      </c>
      <c r="N64" s="146">
        <f>+N62*1.3</f>
        <v>209105</v>
      </c>
    </row>
    <row r="65" spans="1:12" ht="15.75" thickBot="1">
      <c r="A65" t="s">
        <v>226</v>
      </c>
      <c r="B65" s="125">
        <f>+B62+12000</f>
        <v>185800</v>
      </c>
      <c r="C65" s="126">
        <f>+C62+12000</f>
        <v>190050</v>
      </c>
      <c r="D65" s="126">
        <f t="shared" ref="D65:I65" si="57">+D62+12000</f>
        <v>193050</v>
      </c>
      <c r="E65" s="126">
        <f t="shared" si="57"/>
        <v>182800</v>
      </c>
      <c r="F65" s="126">
        <f t="shared" si="57"/>
        <v>187050</v>
      </c>
      <c r="G65" s="126">
        <f t="shared" si="57"/>
        <v>190050</v>
      </c>
      <c r="H65" s="126">
        <f t="shared" si="57"/>
        <v>174475</v>
      </c>
      <c r="I65" s="126">
        <f t="shared" si="57"/>
        <v>178725</v>
      </c>
      <c r="J65" s="127">
        <f>+J62+12000</f>
        <v>181725</v>
      </c>
      <c r="K65" s="147">
        <f>+K62+20000</f>
        <v>156050</v>
      </c>
      <c r="L65" s="148">
        <f>+L62+15000</f>
        <v>139725</v>
      </c>
    </row>
    <row r="66" spans="1:12">
      <c r="A66" s="50">
        <v>0.2</v>
      </c>
      <c r="B66" s="64">
        <f>+B65*1.2</f>
        <v>222960</v>
      </c>
      <c r="C66" s="65">
        <f t="shared" ref="C66:D66" si="58">+C65*1.2</f>
        <v>228060</v>
      </c>
      <c r="D66" s="65">
        <f t="shared" si="58"/>
        <v>231660</v>
      </c>
      <c r="E66" s="65">
        <f>+E65*1.2</f>
        <v>219360</v>
      </c>
      <c r="F66" s="65">
        <f t="shared" ref="F66:G66" si="59">+F65*1.2</f>
        <v>224460</v>
      </c>
      <c r="G66" s="65">
        <f t="shared" si="59"/>
        <v>228060</v>
      </c>
      <c r="H66" s="65">
        <f>+H65*1.2</f>
        <v>209370</v>
      </c>
      <c r="I66" s="65">
        <f t="shared" ref="I66:J66" si="60">+I65*1.2</f>
        <v>214470</v>
      </c>
      <c r="J66" s="66">
        <f t="shared" si="60"/>
        <v>218070</v>
      </c>
      <c r="K66" s="62"/>
      <c r="L66" s="63"/>
    </row>
    <row r="67" spans="1:12">
      <c r="A67" s="50">
        <v>0.3</v>
      </c>
      <c r="B67" s="64">
        <f>+B65*1.3</f>
        <v>241540</v>
      </c>
      <c r="C67" s="65">
        <f t="shared" ref="C67:D67" si="61">+C65*1.3</f>
        <v>247065</v>
      </c>
      <c r="D67" s="65">
        <f t="shared" si="61"/>
        <v>250965</v>
      </c>
      <c r="E67" s="65">
        <f>+E65*1.3</f>
        <v>237640</v>
      </c>
      <c r="F67" s="65">
        <f t="shared" ref="F67:G67" si="62">+F65*1.3</f>
        <v>243165</v>
      </c>
      <c r="G67" s="65">
        <f t="shared" si="62"/>
        <v>247065</v>
      </c>
      <c r="H67" s="65">
        <f>+H65*1.3</f>
        <v>226817.5</v>
      </c>
      <c r="I67" s="65">
        <f t="shared" ref="I67:J67" si="63">+I65*1.3</f>
        <v>232342.5</v>
      </c>
      <c r="J67" s="66">
        <f t="shared" si="63"/>
        <v>236242.5</v>
      </c>
      <c r="K67" s="62"/>
      <c r="L67" s="63"/>
    </row>
    <row r="68" spans="1:12">
      <c r="A68" t="s">
        <v>233</v>
      </c>
      <c r="B68" s="62">
        <f t="shared" ref="B68:G68" si="64">4500*7</f>
        <v>31500</v>
      </c>
      <c r="C68" s="4">
        <f t="shared" si="64"/>
        <v>31500</v>
      </c>
      <c r="D68" s="4">
        <f t="shared" si="64"/>
        <v>31500</v>
      </c>
      <c r="E68" s="8">
        <f t="shared" si="64"/>
        <v>31500</v>
      </c>
      <c r="F68" s="8">
        <f t="shared" si="64"/>
        <v>31500</v>
      </c>
      <c r="G68" s="8">
        <f t="shared" si="64"/>
        <v>31500</v>
      </c>
      <c r="H68" s="8">
        <f>4500*6.5</f>
        <v>29250</v>
      </c>
      <c r="I68" s="8">
        <f>4500*6.5</f>
        <v>29250</v>
      </c>
      <c r="J68" s="83">
        <f>4500*6.5</f>
        <v>29250</v>
      </c>
      <c r="K68" s="79">
        <f>4500*7</f>
        <v>31500</v>
      </c>
      <c r="L68" s="83">
        <f>4500*6.5</f>
        <v>29250</v>
      </c>
    </row>
    <row r="69" spans="1:12" ht="15.75" thickBot="1">
      <c r="A69" t="s">
        <v>234</v>
      </c>
      <c r="B69" s="128">
        <f>+B68-B55</f>
        <v>7350</v>
      </c>
      <c r="C69" s="129">
        <f t="shared" ref="C69:L69" si="65">+C68-C55</f>
        <v>7350</v>
      </c>
      <c r="D69" s="129">
        <f t="shared" si="65"/>
        <v>7350</v>
      </c>
      <c r="E69" s="129">
        <f t="shared" si="65"/>
        <v>7350</v>
      </c>
      <c r="F69" s="129">
        <f t="shared" si="65"/>
        <v>7350</v>
      </c>
      <c r="G69" s="129">
        <f t="shared" si="65"/>
        <v>7350</v>
      </c>
      <c r="H69" s="129">
        <f t="shared" si="65"/>
        <v>6825</v>
      </c>
      <c r="I69" s="129">
        <f t="shared" si="65"/>
        <v>6825</v>
      </c>
      <c r="J69" s="130">
        <f t="shared" si="65"/>
        <v>6825</v>
      </c>
      <c r="K69" s="128">
        <f>+K68-K55</f>
        <v>7350</v>
      </c>
      <c r="L69" s="130">
        <f t="shared" si="65"/>
        <v>6825</v>
      </c>
    </row>
    <row r="70" spans="1:12">
      <c r="B70" s="55"/>
      <c r="C70" s="55"/>
      <c r="D70" s="55"/>
      <c r="E70" s="55"/>
      <c r="F70" s="55"/>
      <c r="G70" s="55"/>
      <c r="H70" s="55"/>
      <c r="I70" s="55"/>
      <c r="J70" s="55"/>
    </row>
    <row r="71" spans="1:12" ht="15.75" thickBot="1">
      <c r="B71" s="56" t="s">
        <v>191</v>
      </c>
      <c r="E71" s="56" t="s">
        <v>121</v>
      </c>
    </row>
    <row r="72" spans="1:12">
      <c r="A72" s="56" t="s">
        <v>235</v>
      </c>
      <c r="B72" s="80" t="s">
        <v>203</v>
      </c>
      <c r="C72" s="82" t="s">
        <v>203</v>
      </c>
      <c r="D72" s="81" t="s">
        <v>203</v>
      </c>
      <c r="E72" s="80" t="s">
        <v>203</v>
      </c>
      <c r="F72" s="82" t="s">
        <v>203</v>
      </c>
      <c r="G72" s="81" t="s">
        <v>203</v>
      </c>
      <c r="H72" s="54"/>
      <c r="I72" s="54"/>
      <c r="J72" s="54"/>
    </row>
    <row r="73" spans="1:12">
      <c r="A73" t="s">
        <v>220</v>
      </c>
      <c r="B73" s="79">
        <f>3750*5</f>
        <v>18750</v>
      </c>
      <c r="C73" s="65"/>
      <c r="D73" s="63"/>
      <c r="E73" s="79">
        <f>3750*5</f>
        <v>18750</v>
      </c>
      <c r="F73" s="65"/>
      <c r="G73" s="63"/>
      <c r="H73" s="53"/>
      <c r="I73" s="10"/>
    </row>
    <row r="74" spans="1:12">
      <c r="A74" t="s">
        <v>221</v>
      </c>
      <c r="B74" s="79"/>
      <c r="C74" s="65">
        <f>4600*5</f>
        <v>23000</v>
      </c>
      <c r="D74" s="63"/>
      <c r="E74" s="79"/>
      <c r="F74" s="65">
        <f>4600*5</f>
        <v>23000</v>
      </c>
      <c r="G74" s="63"/>
      <c r="H74" s="53"/>
      <c r="I74" s="10"/>
    </row>
    <row r="75" spans="1:12">
      <c r="A75" t="s">
        <v>222</v>
      </c>
      <c r="B75" s="79"/>
      <c r="C75" s="65"/>
      <c r="D75" s="63">
        <f>5200*5</f>
        <v>26000</v>
      </c>
      <c r="E75" s="79"/>
      <c r="F75" s="65"/>
      <c r="G75" s="63">
        <f>5200*5</f>
        <v>26000</v>
      </c>
      <c r="H75" s="53"/>
      <c r="I75" s="10"/>
    </row>
    <row r="76" spans="1:12">
      <c r="A76" t="s">
        <v>236</v>
      </c>
      <c r="B76" s="79">
        <f>5500*7</f>
        <v>38500</v>
      </c>
      <c r="C76" s="8">
        <f t="shared" ref="C76:G76" si="66">5500*7</f>
        <v>38500</v>
      </c>
      <c r="D76" s="83">
        <f t="shared" si="66"/>
        <v>38500</v>
      </c>
      <c r="E76" s="79">
        <f t="shared" si="66"/>
        <v>38500</v>
      </c>
      <c r="F76" s="8">
        <f t="shared" si="66"/>
        <v>38500</v>
      </c>
      <c r="G76" s="83">
        <f t="shared" si="66"/>
        <v>38500</v>
      </c>
      <c r="H76" s="53"/>
      <c r="I76" s="53"/>
      <c r="J76" s="53"/>
    </row>
    <row r="77" spans="1:12">
      <c r="A77" t="s">
        <v>224</v>
      </c>
      <c r="B77" s="64">
        <v>62000</v>
      </c>
      <c r="C77" s="65">
        <v>62000</v>
      </c>
      <c r="D77" s="66">
        <v>62000</v>
      </c>
      <c r="E77" s="79">
        <v>52000</v>
      </c>
      <c r="F77" s="8">
        <v>52000</v>
      </c>
      <c r="G77" s="83">
        <v>52000</v>
      </c>
    </row>
    <row r="78" spans="1:12">
      <c r="A78" t="s">
        <v>199</v>
      </c>
      <c r="B78" s="79">
        <f>22000+3800+2500+2500</f>
        <v>30800</v>
      </c>
      <c r="C78" s="8">
        <f t="shared" ref="C78:G78" si="67">22000+3800+2500+2500</f>
        <v>30800</v>
      </c>
      <c r="D78" s="83">
        <f t="shared" si="67"/>
        <v>30800</v>
      </c>
      <c r="E78" s="79">
        <f t="shared" si="67"/>
        <v>30800</v>
      </c>
      <c r="F78" s="8">
        <f t="shared" si="67"/>
        <v>30800</v>
      </c>
      <c r="G78" s="83">
        <f t="shared" si="67"/>
        <v>30800</v>
      </c>
    </row>
    <row r="79" spans="1:12">
      <c r="A79" t="s">
        <v>200</v>
      </c>
      <c r="B79" s="64">
        <v>60000</v>
      </c>
      <c r="C79" s="65">
        <v>60000</v>
      </c>
      <c r="D79" s="66">
        <v>60000</v>
      </c>
      <c r="E79" s="64">
        <v>60000</v>
      </c>
      <c r="F79" s="65">
        <v>60000</v>
      </c>
      <c r="G79" s="66">
        <v>60000</v>
      </c>
    </row>
    <row r="80" spans="1:12">
      <c r="A80" t="s">
        <v>225</v>
      </c>
      <c r="B80" s="64">
        <v>25000</v>
      </c>
      <c r="C80" s="65">
        <v>25000</v>
      </c>
      <c r="D80" s="66">
        <v>25000</v>
      </c>
      <c r="E80" s="64">
        <v>25000</v>
      </c>
      <c r="F80" s="65">
        <v>25000</v>
      </c>
      <c r="G80" s="66">
        <v>25000</v>
      </c>
    </row>
    <row r="81" spans="1:7">
      <c r="A81" s="3" t="s">
        <v>215</v>
      </c>
      <c r="B81" s="125">
        <f>SUM(B73:B80)</f>
        <v>235050</v>
      </c>
      <c r="C81" s="126">
        <f t="shared" ref="C81:D81" si="68">SUM(C73:C80)</f>
        <v>239300</v>
      </c>
      <c r="D81" s="127">
        <f t="shared" si="68"/>
        <v>242300</v>
      </c>
      <c r="E81" s="125">
        <f>SUM(E73:E80)</f>
        <v>225050</v>
      </c>
      <c r="F81" s="126">
        <f t="shared" ref="F81:G81" si="69">SUM(F73:F80)</f>
        <v>229300</v>
      </c>
      <c r="G81" s="127">
        <f t="shared" si="69"/>
        <v>232300</v>
      </c>
    </row>
    <row r="82" spans="1:7">
      <c r="A82" s="50">
        <v>0.2</v>
      </c>
      <c r="B82" s="64">
        <f>+B81*1.2</f>
        <v>282060</v>
      </c>
      <c r="C82" s="65">
        <f t="shared" ref="C82:D82" si="70">+C81*1.2</f>
        <v>287160</v>
      </c>
      <c r="D82" s="66">
        <f t="shared" si="70"/>
        <v>290760</v>
      </c>
      <c r="E82" s="64">
        <f>+E81*1.2</f>
        <v>270060</v>
      </c>
      <c r="F82" s="65">
        <f t="shared" ref="F82:G82" si="71">+F81*1.2</f>
        <v>275160</v>
      </c>
      <c r="G82" s="66">
        <f t="shared" si="71"/>
        <v>278760</v>
      </c>
    </row>
    <row r="83" spans="1:7">
      <c r="A83" s="50">
        <v>0.3</v>
      </c>
      <c r="B83" s="64">
        <f t="shared" ref="B83:G83" si="72">+B81*1.3</f>
        <v>305565</v>
      </c>
      <c r="C83" s="65">
        <f t="shared" si="72"/>
        <v>311090</v>
      </c>
      <c r="D83" s="66">
        <f t="shared" si="72"/>
        <v>314990</v>
      </c>
      <c r="E83" s="64">
        <f t="shared" si="72"/>
        <v>292565</v>
      </c>
      <c r="F83" s="65">
        <f t="shared" si="72"/>
        <v>298090</v>
      </c>
      <c r="G83" s="66">
        <f t="shared" si="72"/>
        <v>301990</v>
      </c>
    </row>
    <row r="84" spans="1:7">
      <c r="A84" t="s">
        <v>238</v>
      </c>
      <c r="B84" s="125">
        <f t="shared" ref="B84:G84" si="73">+B81+15000</f>
        <v>250050</v>
      </c>
      <c r="C84" s="126">
        <f t="shared" si="73"/>
        <v>254300</v>
      </c>
      <c r="D84" s="127">
        <f t="shared" si="73"/>
        <v>257300</v>
      </c>
      <c r="E84" s="125">
        <f>+E81+15000</f>
        <v>240050</v>
      </c>
      <c r="F84" s="126">
        <f t="shared" si="73"/>
        <v>244300</v>
      </c>
      <c r="G84" s="127">
        <f t="shared" si="73"/>
        <v>247300</v>
      </c>
    </row>
    <row r="85" spans="1:7">
      <c r="A85" s="50">
        <v>0.2</v>
      </c>
      <c r="B85" s="64">
        <f>+B84*1.2</f>
        <v>300060</v>
      </c>
      <c r="C85" s="65">
        <f t="shared" ref="C85:D85" si="74">+C84*1.2</f>
        <v>305160</v>
      </c>
      <c r="D85" s="66">
        <f t="shared" si="74"/>
        <v>308760</v>
      </c>
      <c r="E85" s="64">
        <f>+E84*1.2</f>
        <v>288060</v>
      </c>
      <c r="F85" s="65">
        <f t="shared" ref="F85:G85" si="75">+F84*1.2</f>
        <v>293160</v>
      </c>
      <c r="G85" s="66">
        <f t="shared" si="75"/>
        <v>296760</v>
      </c>
    </row>
    <row r="86" spans="1:7">
      <c r="A86" s="50">
        <v>0.3</v>
      </c>
      <c r="B86" s="64">
        <f>+B84*1.3</f>
        <v>325065</v>
      </c>
      <c r="C86" s="65">
        <f t="shared" ref="C86:D86" si="76">+C84*1.3</f>
        <v>330590</v>
      </c>
      <c r="D86" s="66">
        <f t="shared" si="76"/>
        <v>334490</v>
      </c>
      <c r="E86" s="64">
        <f>+E84*1.3</f>
        <v>312065</v>
      </c>
      <c r="F86" s="65">
        <f t="shared" ref="F86:G86" si="77">+F84*1.3</f>
        <v>317590</v>
      </c>
      <c r="G86" s="66">
        <f t="shared" si="77"/>
        <v>321490</v>
      </c>
    </row>
    <row r="87" spans="1:7">
      <c r="A87" t="s">
        <v>239</v>
      </c>
      <c r="B87" s="70">
        <f>6900*7</f>
        <v>48300</v>
      </c>
      <c r="C87" s="71">
        <f t="shared" ref="C87:G87" si="78">6900*7</f>
        <v>48300</v>
      </c>
      <c r="D87" s="72">
        <f t="shared" si="78"/>
        <v>48300</v>
      </c>
      <c r="E87" s="70">
        <f t="shared" si="78"/>
        <v>48300</v>
      </c>
      <c r="F87" s="71">
        <f t="shared" si="78"/>
        <v>48300</v>
      </c>
      <c r="G87" s="72">
        <f t="shared" si="78"/>
        <v>48300</v>
      </c>
    </row>
    <row r="88" spans="1:7" ht="15.75" thickBot="1">
      <c r="B88" s="147">
        <f>+B87-B76</f>
        <v>9800</v>
      </c>
      <c r="C88" s="152">
        <f t="shared" ref="C88:D88" si="79">+C87-C76</f>
        <v>9800</v>
      </c>
      <c r="D88" s="148">
        <f t="shared" si="79"/>
        <v>9800</v>
      </c>
      <c r="E88" s="147">
        <f>+E87-E76</f>
        <v>9800</v>
      </c>
      <c r="F88" s="152">
        <f t="shared" ref="F88:G88" si="80">+F87-F76</f>
        <v>9800</v>
      </c>
      <c r="G88" s="148">
        <f t="shared" si="80"/>
        <v>9800</v>
      </c>
    </row>
    <row r="89" spans="1:7">
      <c r="B89" s="55"/>
      <c r="C89" s="55"/>
      <c r="D89" s="55"/>
    </row>
    <row r="90" spans="1:7" ht="15.75" thickBot="1">
      <c r="A90" s="56" t="s">
        <v>240</v>
      </c>
      <c r="B90" s="131" t="s">
        <v>523</v>
      </c>
      <c r="C90" s="131" t="s">
        <v>244</v>
      </c>
    </row>
    <row r="91" spans="1:7">
      <c r="A91" t="s">
        <v>241</v>
      </c>
      <c r="B91" s="153">
        <f>5200*5</f>
        <v>26000</v>
      </c>
      <c r="C91" s="154">
        <f>5200*5</f>
        <v>26000</v>
      </c>
    </row>
    <row r="92" spans="1:7">
      <c r="A92" t="s">
        <v>522</v>
      </c>
      <c r="B92" s="64">
        <f>80000*2</f>
        <v>160000</v>
      </c>
      <c r="C92" s="66">
        <v>80000</v>
      </c>
    </row>
    <row r="93" spans="1:7">
      <c r="A93" t="s">
        <v>245</v>
      </c>
      <c r="B93" s="79">
        <f>56000+3800+2500+2600</f>
        <v>64900</v>
      </c>
      <c r="C93" s="83">
        <f>22000+3800+2500+2600</f>
        <v>30900</v>
      </c>
    </row>
    <row r="94" spans="1:7">
      <c r="A94" t="s">
        <v>86</v>
      </c>
      <c r="B94" s="79">
        <f>23000+7000</f>
        <v>30000</v>
      </c>
      <c r="C94" s="83"/>
    </row>
    <row r="95" spans="1:7">
      <c r="A95" t="s">
        <v>200</v>
      </c>
      <c r="B95" s="64">
        <v>70000</v>
      </c>
      <c r="C95" s="66">
        <v>50000</v>
      </c>
    </row>
    <row r="96" spans="1:7">
      <c r="A96" t="s">
        <v>243</v>
      </c>
      <c r="B96" s="64">
        <v>65000</v>
      </c>
      <c r="C96" s="66">
        <v>25000</v>
      </c>
    </row>
    <row r="97" spans="1:7">
      <c r="A97" s="3" t="s">
        <v>215</v>
      </c>
      <c r="B97" s="125">
        <f>SUM(B91:B96)</f>
        <v>415900</v>
      </c>
      <c r="C97" s="127">
        <f>SUM(C91:C96)</f>
        <v>211900</v>
      </c>
    </row>
    <row r="98" spans="1:7">
      <c r="A98" s="50">
        <v>0.2</v>
      </c>
      <c r="B98" s="64">
        <f>+B97*1.2</f>
        <v>499080</v>
      </c>
      <c r="C98" s="66">
        <f>+C97*1.2</f>
        <v>254280</v>
      </c>
    </row>
    <row r="99" spans="1:7" ht="15.75" thickBot="1">
      <c r="A99" s="50">
        <v>0.3</v>
      </c>
      <c r="B99" s="73">
        <f>+B97*1.3</f>
        <v>540670</v>
      </c>
      <c r="C99" s="75">
        <f>+C97*1.3</f>
        <v>275470</v>
      </c>
    </row>
    <row r="101" spans="1:7" ht="15.75" thickBot="1">
      <c r="A101" s="56" t="s">
        <v>246</v>
      </c>
      <c r="C101" s="150" t="s">
        <v>249</v>
      </c>
      <c r="E101" t="s">
        <v>478</v>
      </c>
    </row>
    <row r="102" spans="1:7">
      <c r="A102" t="s">
        <v>241</v>
      </c>
      <c r="B102" s="155">
        <f>5200*5</f>
        <v>26000</v>
      </c>
      <c r="C102" s="154">
        <f>5200*5</f>
        <v>26000</v>
      </c>
      <c r="E102" s="10">
        <f>5200*6</f>
        <v>31200</v>
      </c>
    </row>
    <row r="103" spans="1:7">
      <c r="A103" t="s">
        <v>247</v>
      </c>
      <c r="B103" s="143">
        <f>7700*7</f>
        <v>53900</v>
      </c>
      <c r="C103" s="66">
        <f>7700*7</f>
        <v>53900</v>
      </c>
      <c r="E103" s="10">
        <f>7700*12</f>
        <v>92400</v>
      </c>
    </row>
    <row r="104" spans="1:7">
      <c r="A104" t="s">
        <v>248</v>
      </c>
      <c r="B104" s="142">
        <v>45000</v>
      </c>
      <c r="C104" s="83">
        <v>78000</v>
      </c>
      <c r="E104" s="53">
        <v>78000</v>
      </c>
    </row>
    <row r="105" spans="1:7">
      <c r="A105" t="s">
        <v>197</v>
      </c>
      <c r="B105" s="142">
        <f>2600*4</f>
        <v>10400</v>
      </c>
      <c r="C105" s="83"/>
      <c r="E105" s="53">
        <f>2300*8</f>
        <v>18400</v>
      </c>
    </row>
    <row r="106" spans="1:7">
      <c r="A106" t="s">
        <v>269</v>
      </c>
      <c r="B106" s="142">
        <v>30000</v>
      </c>
      <c r="C106" s="83"/>
      <c r="E106" s="53">
        <v>60000</v>
      </c>
    </row>
    <row r="107" spans="1:7">
      <c r="A107" t="s">
        <v>245</v>
      </c>
      <c r="B107" s="142">
        <f>56000+3800+2500+2600</f>
        <v>64900</v>
      </c>
      <c r="C107" s="83">
        <f>56000+3800+2500+2600</f>
        <v>64900</v>
      </c>
      <c r="E107" s="53">
        <f>22000+6000</f>
        <v>28000</v>
      </c>
      <c r="G107" s="8"/>
    </row>
    <row r="108" spans="1:7">
      <c r="A108" t="s">
        <v>86</v>
      </c>
      <c r="B108" s="142">
        <f>23000+7000</f>
        <v>30000</v>
      </c>
      <c r="C108" s="83">
        <f>23000+7000</f>
        <v>30000</v>
      </c>
      <c r="E108" s="53">
        <f>22000+6000</f>
        <v>28000</v>
      </c>
    </row>
    <row r="109" spans="1:7">
      <c r="A109" t="s">
        <v>200</v>
      </c>
      <c r="B109" s="143">
        <v>70000</v>
      </c>
      <c r="C109" s="66">
        <v>70000</v>
      </c>
      <c r="E109" s="10">
        <v>140000</v>
      </c>
    </row>
    <row r="110" spans="1:7">
      <c r="A110" t="s">
        <v>225</v>
      </c>
      <c r="B110" s="143">
        <v>25000</v>
      </c>
      <c r="C110" s="66">
        <v>25000</v>
      </c>
      <c r="E110" s="10">
        <v>50000</v>
      </c>
    </row>
    <row r="111" spans="1:7">
      <c r="A111" s="3" t="s">
        <v>215</v>
      </c>
      <c r="B111" s="156">
        <f>SUM(B102:B110)</f>
        <v>355200</v>
      </c>
      <c r="C111" s="127">
        <f>SUM(C102:C110)</f>
        <v>347800</v>
      </c>
      <c r="E111" s="58">
        <f>SUM(E102:E110)</f>
        <v>526000</v>
      </c>
    </row>
    <row r="112" spans="1:7">
      <c r="A112" s="50">
        <v>0.2</v>
      </c>
      <c r="B112" s="143">
        <f>+B111*1.2</f>
        <v>426240</v>
      </c>
      <c r="C112" s="66">
        <f>+C111*1.2</f>
        <v>417360</v>
      </c>
      <c r="E112" s="10">
        <f>+E111*1.2</f>
        <v>631200</v>
      </c>
    </row>
    <row r="113" spans="1:5" ht="15.75" thickBot="1">
      <c r="A113" s="50">
        <v>0.3</v>
      </c>
      <c r="B113" s="146">
        <f>+B111*1.3</f>
        <v>461760</v>
      </c>
      <c r="C113" s="75">
        <f>+C111*1.3</f>
        <v>452140</v>
      </c>
      <c r="E113" s="10">
        <f>+E111*1.3</f>
        <v>683800</v>
      </c>
    </row>
    <row r="115" spans="1:5">
      <c r="A115" s="56" t="s">
        <v>250</v>
      </c>
      <c r="B115" t="s">
        <v>256</v>
      </c>
      <c r="C115" t="s">
        <v>477</v>
      </c>
      <c r="D115" t="s">
        <v>478</v>
      </c>
    </row>
    <row r="116" spans="1:5">
      <c r="A116" t="s">
        <v>257</v>
      </c>
      <c r="B116">
        <f>6000*5</f>
        <v>30000</v>
      </c>
      <c r="C116">
        <f>6000*6</f>
        <v>36000</v>
      </c>
      <c r="D116">
        <f>6000*4</f>
        <v>24000</v>
      </c>
    </row>
    <row r="117" spans="1:5">
      <c r="A117" t="s">
        <v>258</v>
      </c>
      <c r="B117">
        <f>6900*2.5</f>
        <v>17250</v>
      </c>
      <c r="C117">
        <f>6900*3</f>
        <v>20700</v>
      </c>
      <c r="D117">
        <f>6900*2</f>
        <v>13800</v>
      </c>
    </row>
    <row r="118" spans="1:5">
      <c r="A118" t="s">
        <v>253</v>
      </c>
      <c r="B118">
        <f>21*7700</f>
        <v>161700</v>
      </c>
      <c r="C118">
        <f>27*7700</f>
        <v>207900</v>
      </c>
      <c r="D118">
        <f>12*7700</f>
        <v>92400</v>
      </c>
    </row>
    <row r="119" spans="1:5">
      <c r="A119" t="s">
        <v>254</v>
      </c>
      <c r="B119">
        <f>2200*2.5</f>
        <v>5500</v>
      </c>
      <c r="C119">
        <f>2200*3</f>
        <v>6600</v>
      </c>
      <c r="D119">
        <f>2200*2</f>
        <v>4400</v>
      </c>
    </row>
    <row r="120" spans="1:5">
      <c r="A120" t="s">
        <v>251</v>
      </c>
      <c r="B120">
        <f>45000*3</f>
        <v>135000</v>
      </c>
      <c r="C120">
        <f>45000*3</f>
        <v>135000</v>
      </c>
      <c r="D120">
        <f>45000*2</f>
        <v>90000</v>
      </c>
    </row>
    <row r="121" spans="1:5">
      <c r="A121" t="s">
        <v>252</v>
      </c>
      <c r="B121">
        <f>2600*14</f>
        <v>36400</v>
      </c>
      <c r="C121">
        <f>2600*15</f>
        <v>39000</v>
      </c>
      <c r="D121">
        <f>2600*8</f>
        <v>20800</v>
      </c>
    </row>
    <row r="122" spans="1:5">
      <c r="A122" t="s">
        <v>255</v>
      </c>
      <c r="B122">
        <f>30000*3</f>
        <v>90000</v>
      </c>
      <c r="C122">
        <f>30000*3</f>
        <v>90000</v>
      </c>
      <c r="D122">
        <f>30000*2</f>
        <v>60000</v>
      </c>
    </row>
    <row r="123" spans="1:5">
      <c r="A123" t="s">
        <v>259</v>
      </c>
      <c r="B123" s="53">
        <f>56000+10000+3000+31000</f>
        <v>100000</v>
      </c>
      <c r="C123" s="53">
        <f>56000+10000+3000+31000</f>
        <v>100000</v>
      </c>
      <c r="D123" s="8">
        <f>56000+2500+5100+12000</f>
        <v>75600</v>
      </c>
    </row>
    <row r="124" spans="1:5">
      <c r="A124" t="s">
        <v>86</v>
      </c>
      <c r="B124" s="53">
        <f>23000+7000</f>
        <v>30000</v>
      </c>
      <c r="C124" s="53">
        <f t="shared" ref="C124:D124" si="81">23000+7000</f>
        <v>30000</v>
      </c>
      <c r="D124" s="53">
        <f t="shared" si="81"/>
        <v>30000</v>
      </c>
    </row>
    <row r="125" spans="1:5">
      <c r="A125" t="s">
        <v>200</v>
      </c>
      <c r="B125" s="10">
        <v>150000</v>
      </c>
      <c r="C125" s="10">
        <v>150000</v>
      </c>
      <c r="D125" s="10">
        <v>120000</v>
      </c>
    </row>
    <row r="126" spans="1:5">
      <c r="A126" t="s">
        <v>225</v>
      </c>
      <c r="B126" s="10">
        <f>25000*3</f>
        <v>75000</v>
      </c>
      <c r="C126" s="10">
        <f t="shared" ref="C126" si="82">25000*3</f>
        <v>75000</v>
      </c>
      <c r="D126" s="10">
        <f>25000*2</f>
        <v>50000</v>
      </c>
    </row>
    <row r="127" spans="1:5">
      <c r="A127" s="3" t="s">
        <v>215</v>
      </c>
      <c r="B127" s="94">
        <f>SUM(B116:B126)</f>
        <v>830850</v>
      </c>
      <c r="C127" s="94">
        <f>SUM(C116:C126)</f>
        <v>890200</v>
      </c>
      <c r="D127" s="94">
        <f>SUM(D116:D126)</f>
        <v>581000</v>
      </c>
    </row>
    <row r="128" spans="1:5">
      <c r="A128" s="50">
        <v>0.2</v>
      </c>
      <c r="B128" s="10">
        <f>+B127*1.2</f>
        <v>997020</v>
      </c>
      <c r="C128" s="10">
        <f>+C127*1.2</f>
        <v>1068240</v>
      </c>
      <c r="D128" s="10">
        <f>+D127*1.2</f>
        <v>697200</v>
      </c>
    </row>
    <row r="129" spans="1:20">
      <c r="A129" s="50">
        <v>0.3</v>
      </c>
      <c r="B129" s="10">
        <f>+B127*1.3</f>
        <v>1080105</v>
      </c>
      <c r="C129" s="10">
        <f>+C127*1.3</f>
        <v>1157260</v>
      </c>
      <c r="D129" s="10">
        <f>+D127*1.3</f>
        <v>755300</v>
      </c>
    </row>
    <row r="130" spans="1:20">
      <c r="A130" s="50"/>
      <c r="B130" s="10"/>
    </row>
    <row r="131" spans="1:20">
      <c r="A131" s="107" t="s">
        <v>399</v>
      </c>
      <c r="B131" s="10" t="s">
        <v>400</v>
      </c>
      <c r="C131" t="s">
        <v>405</v>
      </c>
      <c r="D131" t="s">
        <v>406</v>
      </c>
      <c r="E131" t="s">
        <v>407</v>
      </c>
      <c r="F131" t="s">
        <v>408</v>
      </c>
      <c r="G131" t="s">
        <v>409</v>
      </c>
      <c r="H131" t="s">
        <v>428</v>
      </c>
    </row>
    <row r="132" spans="1:20">
      <c r="A132" s="107" t="s">
        <v>401</v>
      </c>
      <c r="B132" s="10">
        <f>(2.5*3100)+2000+2000</f>
        <v>11750</v>
      </c>
      <c r="C132" s="10">
        <f>(2.5*3100)+2000+2000</f>
        <v>11750</v>
      </c>
      <c r="D132" s="10">
        <f>(2.5*3100)+(1*2600)+3000+2000</f>
        <v>15350</v>
      </c>
      <c r="E132" s="10">
        <f>(2.6*3100)+3000+2000</f>
        <v>13060</v>
      </c>
      <c r="F132" s="10">
        <f>(2.6*3100)+(1*2600)+4000+3000</f>
        <v>17660</v>
      </c>
      <c r="G132" s="10">
        <f>(3*3100)+(1.2*2350)+6000+4000</f>
        <v>22120</v>
      </c>
      <c r="H132" s="10">
        <f>(3*3100)+(1.5*2600)+7000+4000</f>
        <v>24200</v>
      </c>
    </row>
    <row r="133" spans="1:20">
      <c r="A133" s="107" t="s">
        <v>402</v>
      </c>
      <c r="B133" s="10">
        <f>(2.5*3750)+2000+2000</f>
        <v>13375</v>
      </c>
      <c r="C133" s="10">
        <f>(2.5*3750)+2000+2000</f>
        <v>13375</v>
      </c>
      <c r="D133" s="10">
        <f>(2.5*3750)+(1*2600)+3000+2000</f>
        <v>16975</v>
      </c>
      <c r="E133" s="10">
        <f>(2.6*3750)+3000+2000</f>
        <v>14750</v>
      </c>
      <c r="F133" s="10">
        <f>(2.6*3750)+(1*2600)+4000+3000</f>
        <v>19350</v>
      </c>
      <c r="G133" s="10">
        <f>(3*3750)+(1.2*2600)+6000+4000</f>
        <v>24370</v>
      </c>
      <c r="H133" s="10">
        <f>(3*3750)+(1.5*2600)+7000+4000</f>
        <v>26150</v>
      </c>
    </row>
    <row r="134" spans="1:20">
      <c r="A134" s="107" t="s">
        <v>403</v>
      </c>
      <c r="B134" s="10">
        <f>(2.5*4600)+2000+2000</f>
        <v>15500</v>
      </c>
      <c r="C134" s="10">
        <f>(2.5*4600)+2000+2000</f>
        <v>15500</v>
      </c>
      <c r="D134" s="10">
        <f>(2.5*4600)+(1*2600)+3000+2000</f>
        <v>19100</v>
      </c>
      <c r="E134" s="10">
        <f>(2.6*4600)+3000+2000</f>
        <v>16960</v>
      </c>
      <c r="F134" s="10">
        <f>(2.6*4600)+(1*2600)+4000+3000</f>
        <v>21560</v>
      </c>
      <c r="G134" s="10">
        <f>(3*4600)+(1.2*2600)+6000+4000</f>
        <v>26920</v>
      </c>
      <c r="H134" s="10">
        <f>(3*4600)+(1.5*2600)+7000+4000</f>
        <v>28700</v>
      </c>
    </row>
    <row r="135" spans="1:20">
      <c r="A135" s="107" t="s">
        <v>404</v>
      </c>
      <c r="B135" s="10">
        <f>(2.5*5200)+2000+2000</f>
        <v>17000</v>
      </c>
      <c r="C135" s="10">
        <f>(2.5*5200)+2000+2000</f>
        <v>17000</v>
      </c>
      <c r="D135" s="10">
        <f>(2.5*5200)+(1*2600)+3000+2000</f>
        <v>20600</v>
      </c>
      <c r="E135" s="10">
        <f>(2.6*5200)+3000+2000</f>
        <v>18520</v>
      </c>
      <c r="F135" s="10">
        <f>(2.6*5200)+(1*2600)+4000+3000</f>
        <v>23120</v>
      </c>
      <c r="G135" s="10">
        <f>(3*5200)+(1.2*2600)+6000+4000</f>
        <v>28720</v>
      </c>
      <c r="H135" s="10">
        <f>(3*5200)+(1.5*2600)+7000+4000</f>
        <v>30500</v>
      </c>
    </row>
    <row r="136" spans="1:20">
      <c r="A136" s="107"/>
      <c r="B136" s="10"/>
    </row>
    <row r="138" spans="1:20" s="87" customFormat="1"/>
    <row r="139" spans="1:20">
      <c r="A139" t="s">
        <v>260</v>
      </c>
    </row>
    <row r="140" spans="1:20">
      <c r="B140" t="s">
        <v>391</v>
      </c>
    </row>
    <row r="141" spans="1:20">
      <c r="A141" s="56" t="s">
        <v>305</v>
      </c>
      <c r="B141" t="s">
        <v>307</v>
      </c>
      <c r="C141" s="54" t="s">
        <v>307</v>
      </c>
      <c r="D141" s="54" t="s">
        <v>307</v>
      </c>
      <c r="E141" s="124" t="s">
        <v>307</v>
      </c>
      <c r="F141" s="124" t="s">
        <v>311</v>
      </c>
      <c r="G141" s="124" t="s">
        <v>311</v>
      </c>
      <c r="H141" s="124" t="s">
        <v>311</v>
      </c>
      <c r="I141" s="124" t="s">
        <v>312</v>
      </c>
      <c r="J141" s="124" t="s">
        <v>312</v>
      </c>
      <c r="K141" s="124" t="s">
        <v>312</v>
      </c>
      <c r="L141" s="124" t="s">
        <v>203</v>
      </c>
      <c r="M141" s="124" t="s">
        <v>203</v>
      </c>
      <c r="N141" s="124" t="s">
        <v>203</v>
      </c>
      <c r="O141" t="s">
        <v>310</v>
      </c>
      <c r="P141" t="s">
        <v>310</v>
      </c>
      <c r="Q141" t="s">
        <v>310</v>
      </c>
      <c r="S141" t="s">
        <v>390</v>
      </c>
    </row>
    <row r="142" spans="1:20">
      <c r="A142" t="s">
        <v>304</v>
      </c>
      <c r="B142" s="5">
        <f>3100*4</f>
        <v>12400</v>
      </c>
      <c r="C142">
        <f t="shared" ref="C142:D142" si="83">3100*4</f>
        <v>12400</v>
      </c>
      <c r="D142">
        <f t="shared" si="83"/>
        <v>12400</v>
      </c>
      <c r="F142">
        <f>3100*4.5</f>
        <v>13950</v>
      </c>
      <c r="G142">
        <f>3100*4.5</f>
        <v>13950</v>
      </c>
      <c r="I142">
        <f>3100*5</f>
        <v>15500</v>
      </c>
      <c r="J142">
        <f>3100*5</f>
        <v>15500</v>
      </c>
      <c r="L142">
        <f>3100*6</f>
        <v>18600</v>
      </c>
      <c r="M142">
        <f>3100*6</f>
        <v>18600</v>
      </c>
      <c r="O142">
        <f>3100*6.5</f>
        <v>20150</v>
      </c>
      <c r="P142">
        <f>3100*6.5</f>
        <v>20150</v>
      </c>
      <c r="S142">
        <f>3100*2</f>
        <v>6200</v>
      </c>
    </row>
    <row r="143" spans="1:20">
      <c r="A143" t="s">
        <v>308</v>
      </c>
      <c r="B143" s="5"/>
      <c r="E143">
        <f>4250*4</f>
        <v>17000</v>
      </c>
      <c r="H143">
        <f>4250*4.5</f>
        <v>19125</v>
      </c>
      <c r="K143">
        <f>4250*5</f>
        <v>21250</v>
      </c>
      <c r="N143">
        <f>4250*6</f>
        <v>25500</v>
      </c>
      <c r="Q143">
        <f>4250*6.5</f>
        <v>27625</v>
      </c>
      <c r="T143">
        <f>4250*2</f>
        <v>8500</v>
      </c>
    </row>
    <row r="144" spans="1:20">
      <c r="A144" t="s">
        <v>309</v>
      </c>
      <c r="B144" s="5">
        <f>(1700*2)+(3500*1)</f>
        <v>6900</v>
      </c>
      <c r="C144">
        <f t="shared" ref="C144:D144" si="84">3500*1</f>
        <v>3500</v>
      </c>
      <c r="D144">
        <f t="shared" si="84"/>
        <v>3500</v>
      </c>
      <c r="E144">
        <f>5000*1</f>
        <v>5000</v>
      </c>
      <c r="F144">
        <f>3500*1</f>
        <v>3500</v>
      </c>
      <c r="G144">
        <f>3500*1</f>
        <v>3500</v>
      </c>
      <c r="H144">
        <f>5000*1</f>
        <v>5000</v>
      </c>
      <c r="I144">
        <f>3500*2</f>
        <v>7000</v>
      </c>
      <c r="J144">
        <f>3500*2</f>
        <v>7000</v>
      </c>
      <c r="K144">
        <f>5000*2</f>
        <v>10000</v>
      </c>
      <c r="L144">
        <f>3500*2</f>
        <v>7000</v>
      </c>
      <c r="M144">
        <f>3500*2</f>
        <v>7000</v>
      </c>
      <c r="N144">
        <f>5000*2</f>
        <v>10000</v>
      </c>
      <c r="O144">
        <f>3500*2.5</f>
        <v>8750</v>
      </c>
      <c r="P144">
        <f>3500*2.5</f>
        <v>8750</v>
      </c>
      <c r="Q144">
        <f>5000*2.5</f>
        <v>12500</v>
      </c>
      <c r="S144">
        <f>3200*0.5</f>
        <v>1600</v>
      </c>
      <c r="T144">
        <f>4700*0.5</f>
        <v>2350</v>
      </c>
    </row>
    <row r="145" spans="1:20">
      <c r="A145" t="s">
        <v>315</v>
      </c>
      <c r="B145" s="5">
        <f>2300*3</f>
        <v>6900</v>
      </c>
      <c r="C145">
        <f>2300*3</f>
        <v>6900</v>
      </c>
      <c r="E145">
        <f>2300*3</f>
        <v>6900</v>
      </c>
      <c r="F145">
        <f>2300*3</f>
        <v>6900</v>
      </c>
      <c r="H145">
        <f>2300*3</f>
        <v>6900</v>
      </c>
      <c r="I145">
        <f>2300*3</f>
        <v>6900</v>
      </c>
      <c r="K145">
        <f>2300*3</f>
        <v>6900</v>
      </c>
      <c r="L145">
        <f>2300*6</f>
        <v>13800</v>
      </c>
      <c r="N145">
        <f>3000*6</f>
        <v>18000</v>
      </c>
      <c r="O145">
        <f>2300*6.5</f>
        <v>14950</v>
      </c>
      <c r="Q145">
        <f>3000*6.5</f>
        <v>19500</v>
      </c>
      <c r="S145">
        <f>2300*1.5</f>
        <v>3450</v>
      </c>
      <c r="T145">
        <f>2300*1.5</f>
        <v>3450</v>
      </c>
    </row>
    <row r="146" spans="1:20">
      <c r="A146" t="s">
        <v>138</v>
      </c>
      <c r="B146" s="5"/>
      <c r="D146">
        <f>3400*3</f>
        <v>10200</v>
      </c>
      <c r="G146">
        <f>3400*3</f>
        <v>10200</v>
      </c>
      <c r="J146">
        <f>3400*3</f>
        <v>10200</v>
      </c>
      <c r="M146">
        <f>3400*6</f>
        <v>20400</v>
      </c>
      <c r="P146">
        <f>3400*6.5</f>
        <v>22100</v>
      </c>
    </row>
    <row r="147" spans="1:20">
      <c r="A147" t="s">
        <v>306</v>
      </c>
      <c r="B147" s="5">
        <f>1000+1800</f>
        <v>2800</v>
      </c>
      <c r="C147">
        <v>1900</v>
      </c>
      <c r="D147">
        <v>1900</v>
      </c>
      <c r="E147">
        <v>1900</v>
      </c>
      <c r="F147">
        <v>1900</v>
      </c>
      <c r="G147">
        <v>1900</v>
      </c>
      <c r="H147">
        <v>1900</v>
      </c>
      <c r="I147">
        <v>1900</v>
      </c>
      <c r="J147">
        <v>1900</v>
      </c>
      <c r="K147">
        <v>1900</v>
      </c>
      <c r="L147">
        <f>2400+1500</f>
        <v>3900</v>
      </c>
      <c r="M147">
        <f t="shared" ref="M147:Q147" si="85">2400+1500</f>
        <v>3900</v>
      </c>
      <c r="N147">
        <f t="shared" si="85"/>
        <v>3900</v>
      </c>
      <c r="O147">
        <f t="shared" si="85"/>
        <v>3900</v>
      </c>
      <c r="P147">
        <f t="shared" si="85"/>
        <v>3900</v>
      </c>
      <c r="Q147">
        <f t="shared" si="85"/>
        <v>3900</v>
      </c>
      <c r="S147">
        <v>1900</v>
      </c>
      <c r="T147">
        <v>1900</v>
      </c>
    </row>
    <row r="148" spans="1:20">
      <c r="A148" t="s">
        <v>200</v>
      </c>
      <c r="B148" s="5">
        <v>12000</v>
      </c>
      <c r="C148">
        <v>10000</v>
      </c>
      <c r="D148">
        <v>10000</v>
      </c>
      <c r="E148">
        <v>10000</v>
      </c>
      <c r="F148">
        <v>12000</v>
      </c>
      <c r="G148">
        <v>12000</v>
      </c>
      <c r="H148">
        <v>12000</v>
      </c>
      <c r="I148">
        <v>15000</v>
      </c>
      <c r="J148">
        <v>15000</v>
      </c>
      <c r="K148">
        <v>15000</v>
      </c>
      <c r="L148">
        <v>20000</v>
      </c>
      <c r="M148">
        <v>20000</v>
      </c>
      <c r="N148">
        <v>20000</v>
      </c>
      <c r="O148">
        <v>24000</v>
      </c>
      <c r="P148">
        <v>24000</v>
      </c>
      <c r="Q148">
        <v>24000</v>
      </c>
      <c r="S148">
        <v>10000</v>
      </c>
      <c r="T148">
        <v>10000</v>
      </c>
    </row>
    <row r="149" spans="1:20">
      <c r="A149" t="s">
        <v>201</v>
      </c>
      <c r="B149" s="5">
        <v>5000</v>
      </c>
      <c r="C149">
        <v>5000</v>
      </c>
      <c r="D149">
        <v>5000</v>
      </c>
      <c r="E149">
        <v>5000</v>
      </c>
      <c r="F149">
        <v>6000</v>
      </c>
      <c r="G149">
        <v>6000</v>
      </c>
      <c r="H149">
        <v>6000</v>
      </c>
      <c r="I149">
        <v>7500</v>
      </c>
      <c r="J149">
        <v>7500</v>
      </c>
      <c r="K149">
        <v>7500</v>
      </c>
      <c r="L149">
        <v>10000</v>
      </c>
      <c r="M149">
        <v>10000</v>
      </c>
      <c r="N149">
        <v>10000</v>
      </c>
      <c r="O149">
        <v>12000</v>
      </c>
      <c r="P149">
        <v>12000</v>
      </c>
      <c r="Q149">
        <v>12000</v>
      </c>
      <c r="S149">
        <v>3000</v>
      </c>
      <c r="T149">
        <v>3000</v>
      </c>
    </row>
    <row r="150" spans="1:20">
      <c r="A150" t="s">
        <v>202</v>
      </c>
      <c r="B150" s="5">
        <v>5000</v>
      </c>
      <c r="C150">
        <v>5000</v>
      </c>
      <c r="D150">
        <v>5000</v>
      </c>
      <c r="E150">
        <v>5000</v>
      </c>
      <c r="F150">
        <v>5000</v>
      </c>
      <c r="G150">
        <v>5000</v>
      </c>
      <c r="H150">
        <v>5000</v>
      </c>
      <c r="I150">
        <v>5000</v>
      </c>
      <c r="J150">
        <v>5000</v>
      </c>
      <c r="K150">
        <v>5000</v>
      </c>
      <c r="L150">
        <v>5000</v>
      </c>
      <c r="M150">
        <v>5000</v>
      </c>
      <c r="N150">
        <v>5000</v>
      </c>
      <c r="O150">
        <v>5000</v>
      </c>
      <c r="P150">
        <v>5000</v>
      </c>
      <c r="Q150">
        <v>5000</v>
      </c>
      <c r="S150">
        <v>2000</v>
      </c>
      <c r="T150">
        <v>2000</v>
      </c>
    </row>
    <row r="151" spans="1:20">
      <c r="A151" s="3" t="s">
        <v>215</v>
      </c>
      <c r="B151" s="94">
        <f t="shared" ref="B151" si="86">SUM(B142:B150)</f>
        <v>51000</v>
      </c>
      <c r="C151" s="94">
        <f t="shared" ref="C151:Q151" si="87">SUM(C142:C150)</f>
        <v>44700</v>
      </c>
      <c r="D151" s="94">
        <f t="shared" si="87"/>
        <v>48000</v>
      </c>
      <c r="E151" s="94">
        <f t="shared" si="87"/>
        <v>50800</v>
      </c>
      <c r="F151" s="94">
        <f t="shared" si="87"/>
        <v>49250</v>
      </c>
      <c r="G151" s="94">
        <f t="shared" si="87"/>
        <v>52550</v>
      </c>
      <c r="H151" s="94">
        <f t="shared" si="87"/>
        <v>55925</v>
      </c>
      <c r="I151" s="94">
        <f t="shared" si="87"/>
        <v>58800</v>
      </c>
      <c r="J151" s="94">
        <f t="shared" si="87"/>
        <v>62100</v>
      </c>
      <c r="K151" s="94">
        <f t="shared" si="87"/>
        <v>67550</v>
      </c>
      <c r="L151" s="94">
        <f t="shared" si="87"/>
        <v>78300</v>
      </c>
      <c r="M151" s="94">
        <f t="shared" si="87"/>
        <v>84900</v>
      </c>
      <c r="N151" s="94">
        <f t="shared" si="87"/>
        <v>92400</v>
      </c>
      <c r="O151" s="94">
        <f t="shared" si="87"/>
        <v>88750</v>
      </c>
      <c r="P151" s="94">
        <f t="shared" si="87"/>
        <v>95900</v>
      </c>
      <c r="Q151" s="94">
        <f t="shared" si="87"/>
        <v>104525</v>
      </c>
      <c r="S151" s="94">
        <f>SUM(S142:S150)</f>
        <v>28150</v>
      </c>
      <c r="T151" s="94">
        <f t="shared" ref="T151" si="88">SUM(T142:T150)</f>
        <v>31200</v>
      </c>
    </row>
    <row r="152" spans="1:20">
      <c r="A152" s="50">
        <v>0.2</v>
      </c>
      <c r="B152" s="10">
        <f t="shared" ref="B152:Q152" si="89">+B151*1.2</f>
        <v>61200</v>
      </c>
      <c r="C152" s="10">
        <f t="shared" si="89"/>
        <v>53640</v>
      </c>
      <c r="D152" s="10">
        <f t="shared" si="89"/>
        <v>57600</v>
      </c>
      <c r="E152" s="10">
        <f t="shared" si="89"/>
        <v>60960</v>
      </c>
      <c r="F152" s="10">
        <f t="shared" si="89"/>
        <v>59100</v>
      </c>
      <c r="G152" s="10">
        <f t="shared" si="89"/>
        <v>63060</v>
      </c>
      <c r="H152" s="10">
        <f t="shared" si="89"/>
        <v>67110</v>
      </c>
      <c r="I152" s="10">
        <f t="shared" si="89"/>
        <v>70560</v>
      </c>
      <c r="J152" s="10">
        <f t="shared" si="89"/>
        <v>74520</v>
      </c>
      <c r="K152" s="10">
        <f t="shared" si="89"/>
        <v>81060</v>
      </c>
      <c r="L152" s="10">
        <f t="shared" si="89"/>
        <v>93960</v>
      </c>
      <c r="M152" s="10">
        <f t="shared" si="89"/>
        <v>101880</v>
      </c>
      <c r="N152" s="10">
        <f t="shared" si="89"/>
        <v>110880</v>
      </c>
      <c r="O152" s="10">
        <f t="shared" si="89"/>
        <v>106500</v>
      </c>
      <c r="P152" s="10">
        <f t="shared" si="89"/>
        <v>115080</v>
      </c>
      <c r="Q152" s="10">
        <f t="shared" si="89"/>
        <v>125430</v>
      </c>
      <c r="S152" s="10">
        <f>+S151*1.2</f>
        <v>33780</v>
      </c>
      <c r="T152" s="10">
        <f>+T151*1.2</f>
        <v>37440</v>
      </c>
    </row>
    <row r="153" spans="1:20">
      <c r="A153" s="50">
        <v>0.3</v>
      </c>
      <c r="B153" s="10">
        <f t="shared" ref="B153:Q153" si="90">+B151*1.3</f>
        <v>66300</v>
      </c>
      <c r="C153" s="10">
        <f t="shared" si="90"/>
        <v>58110</v>
      </c>
      <c r="D153" s="10">
        <f t="shared" si="90"/>
        <v>62400</v>
      </c>
      <c r="E153" s="10">
        <f t="shared" si="90"/>
        <v>66040</v>
      </c>
      <c r="F153" s="10">
        <f t="shared" si="90"/>
        <v>64025</v>
      </c>
      <c r="G153" s="10">
        <f t="shared" si="90"/>
        <v>68315</v>
      </c>
      <c r="H153" s="10">
        <f t="shared" si="90"/>
        <v>72702.5</v>
      </c>
      <c r="I153" s="10">
        <f t="shared" si="90"/>
        <v>76440</v>
      </c>
      <c r="J153" s="10">
        <f t="shared" si="90"/>
        <v>80730</v>
      </c>
      <c r="K153" s="10">
        <f t="shared" si="90"/>
        <v>87815</v>
      </c>
      <c r="L153" s="10">
        <f t="shared" si="90"/>
        <v>101790</v>
      </c>
      <c r="M153" s="10">
        <f t="shared" si="90"/>
        <v>110370</v>
      </c>
      <c r="N153" s="10">
        <f t="shared" si="90"/>
        <v>120120</v>
      </c>
      <c r="O153" s="10">
        <f t="shared" si="90"/>
        <v>115375</v>
      </c>
      <c r="P153" s="10">
        <f t="shared" si="90"/>
        <v>124670</v>
      </c>
      <c r="Q153" s="10">
        <f t="shared" si="90"/>
        <v>135882.5</v>
      </c>
      <c r="S153" s="10">
        <f>+S151*1.3</f>
        <v>36595</v>
      </c>
      <c r="T153" s="10">
        <f>+T151*1.3</f>
        <v>40560</v>
      </c>
    </row>
    <row r="154" spans="1:20">
      <c r="A154" s="50" t="s">
        <v>535</v>
      </c>
      <c r="B154" s="10"/>
      <c r="C154" s="10">
        <f>+C144+C145+C147+2000</f>
        <v>14300</v>
      </c>
      <c r="D154" s="10">
        <f>+D144+D146+D147+2000</f>
        <v>17600</v>
      </c>
      <c r="E154" s="10">
        <f>+E144+E145+E147+2000</f>
        <v>15800</v>
      </c>
      <c r="F154" s="10">
        <f>+F144+F145+F147+2000</f>
        <v>14300</v>
      </c>
      <c r="G154" s="10">
        <f>+G144+G146+G147+2000</f>
        <v>17600</v>
      </c>
      <c r="H154" s="10">
        <f>+H144+H145+H147+2000</f>
        <v>15800</v>
      </c>
      <c r="I154" s="10">
        <f>+I145+I147+2000</f>
        <v>10800</v>
      </c>
      <c r="J154" s="10">
        <f>+J146+J147+2000</f>
        <v>14100</v>
      </c>
      <c r="K154" s="10">
        <f>+K145+K147+2000</f>
        <v>10800</v>
      </c>
      <c r="L154" s="10"/>
      <c r="M154" s="10"/>
      <c r="N154" s="10"/>
      <c r="O154" s="10"/>
      <c r="P154" s="10"/>
      <c r="Q154" s="10"/>
      <c r="S154" s="10"/>
      <c r="T154" s="10"/>
    </row>
    <row r="155" spans="1:20">
      <c r="A155" s="50"/>
      <c r="B155" s="10"/>
      <c r="C155" s="10">
        <f>+C151+C154</f>
        <v>59000</v>
      </c>
      <c r="D155" s="10">
        <f t="shared" ref="D155:K155" si="91">+D151+D154</f>
        <v>65600</v>
      </c>
      <c r="E155" s="10">
        <f t="shared" si="91"/>
        <v>66600</v>
      </c>
      <c r="F155" s="10">
        <f t="shared" si="91"/>
        <v>63550</v>
      </c>
      <c r="G155" s="10">
        <f t="shared" si="91"/>
        <v>70150</v>
      </c>
      <c r="H155" s="10">
        <f t="shared" si="91"/>
        <v>71725</v>
      </c>
      <c r="I155" s="10">
        <f t="shared" si="91"/>
        <v>69600</v>
      </c>
      <c r="J155" s="10">
        <f t="shared" si="91"/>
        <v>76200</v>
      </c>
      <c r="K155" s="10">
        <f t="shared" si="91"/>
        <v>78350</v>
      </c>
      <c r="L155" s="10"/>
      <c r="M155" s="10"/>
      <c r="N155" s="10"/>
      <c r="O155" s="10"/>
      <c r="P155" s="10"/>
      <c r="Q155" s="10"/>
      <c r="S155" s="10"/>
      <c r="T155" s="10"/>
    </row>
    <row r="156" spans="1:20">
      <c r="A156" s="50">
        <v>0.2</v>
      </c>
      <c r="B156" s="10">
        <f t="shared" ref="B156:K156" si="92">+B155*1.2</f>
        <v>0</v>
      </c>
      <c r="C156" s="10">
        <f t="shared" si="92"/>
        <v>70800</v>
      </c>
      <c r="D156" s="10">
        <f t="shared" si="92"/>
        <v>78720</v>
      </c>
      <c r="E156" s="10">
        <f t="shared" si="92"/>
        <v>79920</v>
      </c>
      <c r="F156" s="10">
        <f t="shared" si="92"/>
        <v>76260</v>
      </c>
      <c r="G156" s="10">
        <f t="shared" si="92"/>
        <v>84180</v>
      </c>
      <c r="H156" s="10">
        <f t="shared" si="92"/>
        <v>86070</v>
      </c>
      <c r="I156" s="10">
        <f t="shared" si="92"/>
        <v>83520</v>
      </c>
      <c r="J156" s="10">
        <f t="shared" si="92"/>
        <v>91440</v>
      </c>
      <c r="K156" s="10">
        <f t="shared" si="92"/>
        <v>94020</v>
      </c>
      <c r="L156" s="10"/>
      <c r="M156" s="10"/>
      <c r="N156" s="10"/>
      <c r="O156" s="10"/>
      <c r="P156" s="10"/>
      <c r="Q156" s="10"/>
      <c r="S156" s="10"/>
      <c r="T156" s="10"/>
    </row>
    <row r="157" spans="1:20">
      <c r="A157" s="50">
        <v>0.3</v>
      </c>
      <c r="B157" s="10">
        <f t="shared" ref="B157:K157" si="93">+B155*1.3</f>
        <v>0</v>
      </c>
      <c r="C157" s="10">
        <f t="shared" si="93"/>
        <v>76700</v>
      </c>
      <c r="D157" s="10">
        <f t="shared" si="93"/>
        <v>85280</v>
      </c>
      <c r="E157" s="10">
        <f t="shared" si="93"/>
        <v>86580</v>
      </c>
      <c r="F157" s="10">
        <f t="shared" si="93"/>
        <v>82615</v>
      </c>
      <c r="G157" s="10">
        <f t="shared" si="93"/>
        <v>91195</v>
      </c>
      <c r="H157" s="10">
        <f t="shared" si="93"/>
        <v>93242.5</v>
      </c>
      <c r="I157" s="10">
        <f t="shared" si="93"/>
        <v>90480</v>
      </c>
      <c r="J157" s="10">
        <f t="shared" si="93"/>
        <v>99060</v>
      </c>
      <c r="K157" s="10">
        <f t="shared" si="93"/>
        <v>101855</v>
      </c>
      <c r="L157" s="10"/>
      <c r="M157" s="10"/>
      <c r="N157" s="10"/>
      <c r="O157" s="10"/>
      <c r="P157" s="10"/>
      <c r="Q157" s="10"/>
      <c r="S157" s="10"/>
      <c r="T157" s="10"/>
    </row>
    <row r="158" spans="1:20">
      <c r="A158" s="5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S158" s="10"/>
      <c r="T158" s="10"/>
    </row>
    <row r="159" spans="1:20">
      <c r="B159" t="s">
        <v>391</v>
      </c>
    </row>
    <row r="160" spans="1:20">
      <c r="A160" s="56" t="s">
        <v>313</v>
      </c>
      <c r="B160" s="54" t="s">
        <v>307</v>
      </c>
      <c r="C160" s="54" t="s">
        <v>307</v>
      </c>
      <c r="D160" s="54" t="s">
        <v>307</v>
      </c>
      <c r="E160" s="54" t="s">
        <v>307</v>
      </c>
      <c r="F160" s="54" t="s">
        <v>311</v>
      </c>
      <c r="G160" s="54" t="s">
        <v>311</v>
      </c>
      <c r="H160" s="54" t="s">
        <v>311</v>
      </c>
      <c r="I160" s="54" t="s">
        <v>312</v>
      </c>
      <c r="J160" s="54" t="s">
        <v>312</v>
      </c>
      <c r="K160" s="54" t="s">
        <v>312</v>
      </c>
      <c r="L160" s="54" t="s">
        <v>203</v>
      </c>
      <c r="M160" s="54" t="s">
        <v>203</v>
      </c>
      <c r="N160" s="54" t="s">
        <v>203</v>
      </c>
      <c r="O160" s="54" t="s">
        <v>310</v>
      </c>
      <c r="P160" s="54" t="s">
        <v>310</v>
      </c>
      <c r="Q160" s="54" t="s">
        <v>310</v>
      </c>
      <c r="S160" s="54" t="s">
        <v>390</v>
      </c>
    </row>
    <row r="161" spans="1:19">
      <c r="A161" t="s">
        <v>304</v>
      </c>
      <c r="B161">
        <f>3000*4</f>
        <v>12000</v>
      </c>
      <c r="C161">
        <f>3100*4</f>
        <v>12400</v>
      </c>
      <c r="D161">
        <f t="shared" ref="D161:E161" si="94">3100*4</f>
        <v>12400</v>
      </c>
      <c r="E161">
        <f t="shared" si="94"/>
        <v>12400</v>
      </c>
      <c r="F161">
        <f>3100*4.5</f>
        <v>13950</v>
      </c>
      <c r="G161">
        <f t="shared" ref="G161:H161" si="95">3100*4.5</f>
        <v>13950</v>
      </c>
      <c r="H161">
        <f t="shared" si="95"/>
        <v>13950</v>
      </c>
      <c r="I161">
        <f>3100*5</f>
        <v>15500</v>
      </c>
      <c r="J161">
        <f t="shared" ref="J161:K161" si="96">3100*5</f>
        <v>15500</v>
      </c>
      <c r="K161">
        <f t="shared" si="96"/>
        <v>15500</v>
      </c>
      <c r="L161">
        <f>3100*6</f>
        <v>18600</v>
      </c>
      <c r="M161">
        <f t="shared" ref="M161:N161" si="97">3100*6</f>
        <v>18600</v>
      </c>
      <c r="N161">
        <f t="shared" si="97"/>
        <v>18600</v>
      </c>
      <c r="O161">
        <f>3100*6.5</f>
        <v>20150</v>
      </c>
      <c r="P161">
        <f t="shared" ref="P161:Q161" si="98">3100*6.5</f>
        <v>20150</v>
      </c>
      <c r="Q161">
        <f t="shared" si="98"/>
        <v>20150</v>
      </c>
      <c r="S161">
        <f>3100*2</f>
        <v>6200</v>
      </c>
    </row>
    <row r="162" spans="1:19">
      <c r="A162" t="s">
        <v>197</v>
      </c>
      <c r="B162">
        <f>2600*5</f>
        <v>13000</v>
      </c>
      <c r="C162">
        <f>2600*5</f>
        <v>13000</v>
      </c>
      <c r="D162">
        <f t="shared" ref="D162:E162" si="99">2600*5</f>
        <v>13000</v>
      </c>
      <c r="E162">
        <f t="shared" si="99"/>
        <v>13000</v>
      </c>
      <c r="F162">
        <f>2600*6</f>
        <v>15600</v>
      </c>
      <c r="G162">
        <f t="shared" ref="G162:H162" si="100">2600*6</f>
        <v>15600</v>
      </c>
      <c r="H162">
        <f t="shared" si="100"/>
        <v>15600</v>
      </c>
      <c r="I162">
        <f>2600*9</f>
        <v>23400</v>
      </c>
      <c r="J162">
        <f t="shared" ref="J162:K162" si="101">2600*9</f>
        <v>23400</v>
      </c>
      <c r="K162">
        <f t="shared" si="101"/>
        <v>23400</v>
      </c>
      <c r="L162">
        <f>2600*11</f>
        <v>28600</v>
      </c>
      <c r="M162">
        <f t="shared" ref="M162:N162" si="102">2600*11</f>
        <v>28600</v>
      </c>
      <c r="N162">
        <f t="shared" si="102"/>
        <v>28600</v>
      </c>
      <c r="O162">
        <f>2600*12.5</f>
        <v>32500</v>
      </c>
      <c r="P162">
        <f t="shared" ref="P162:Q162" si="103">2600*12.5</f>
        <v>32500</v>
      </c>
      <c r="Q162">
        <f t="shared" si="103"/>
        <v>32500</v>
      </c>
      <c r="S162">
        <f>2600*1.5</f>
        <v>3900</v>
      </c>
    </row>
    <row r="163" spans="1:19">
      <c r="A163" t="s">
        <v>314</v>
      </c>
      <c r="B163">
        <f>1700*2</f>
        <v>3400</v>
      </c>
      <c r="C163">
        <f>3500*1</f>
        <v>3500</v>
      </c>
      <c r="D163">
        <f>3200*1</f>
        <v>3200</v>
      </c>
      <c r="E163">
        <f>4200*1</f>
        <v>4200</v>
      </c>
      <c r="F163">
        <f>3200*1</f>
        <v>3200</v>
      </c>
      <c r="G163">
        <f>3200*1</f>
        <v>3200</v>
      </c>
      <c r="H163">
        <f>4200*1</f>
        <v>4200</v>
      </c>
      <c r="I163">
        <f>3200*2</f>
        <v>6400</v>
      </c>
      <c r="J163">
        <f>3200*2</f>
        <v>6400</v>
      </c>
      <c r="K163">
        <f>4200*2</f>
        <v>8400</v>
      </c>
      <c r="L163">
        <f>3200*2</f>
        <v>6400</v>
      </c>
      <c r="M163">
        <f>3200*2</f>
        <v>6400</v>
      </c>
      <c r="N163">
        <f>4200*2</f>
        <v>8400</v>
      </c>
      <c r="O163">
        <f>3200*2.5</f>
        <v>8000</v>
      </c>
      <c r="P163">
        <f>3200*2.5</f>
        <v>8000</v>
      </c>
      <c r="Q163">
        <f>4200*2.5</f>
        <v>10500</v>
      </c>
      <c r="S163">
        <f>3200*0.5</f>
        <v>1600</v>
      </c>
    </row>
    <row r="164" spans="1:19">
      <c r="A164" t="s">
        <v>332</v>
      </c>
      <c r="B164">
        <f>2300*3</f>
        <v>6900</v>
      </c>
      <c r="C164">
        <f>2300*3</f>
        <v>6900</v>
      </c>
      <c r="E164">
        <f>3000*3</f>
        <v>9000</v>
      </c>
      <c r="F164">
        <f>2300*3</f>
        <v>6900</v>
      </c>
      <c r="H164">
        <f>3000*3</f>
        <v>9000</v>
      </c>
      <c r="I164">
        <f>2300*3</f>
        <v>6900</v>
      </c>
      <c r="K164">
        <f>3000*3</f>
        <v>9000</v>
      </c>
      <c r="L164">
        <f>2300*6</f>
        <v>13800</v>
      </c>
      <c r="N164">
        <f>3000*6</f>
        <v>18000</v>
      </c>
      <c r="O164">
        <f>2300*6.5</f>
        <v>14950</v>
      </c>
      <c r="Q164">
        <f>3000*6.5</f>
        <v>19500</v>
      </c>
      <c r="S164">
        <f>2300*1.5</f>
        <v>3450</v>
      </c>
    </row>
    <row r="165" spans="1:19">
      <c r="A165" t="s">
        <v>138</v>
      </c>
      <c r="D165">
        <f>3400*3</f>
        <v>10200</v>
      </c>
      <c r="G165">
        <f>3400*3</f>
        <v>10200</v>
      </c>
      <c r="J165">
        <f>3400*3</f>
        <v>10200</v>
      </c>
      <c r="M165">
        <f>3400*6</f>
        <v>20400</v>
      </c>
      <c r="P165">
        <f>3400*6.5</f>
        <v>22100</v>
      </c>
    </row>
    <row r="166" spans="1:19">
      <c r="A166" t="s">
        <v>306</v>
      </c>
      <c r="B166">
        <f>1000+1800</f>
        <v>2800</v>
      </c>
      <c r="C166">
        <v>1900</v>
      </c>
      <c r="D166">
        <v>1900</v>
      </c>
      <c r="E166">
        <v>1900</v>
      </c>
      <c r="F166">
        <v>1900</v>
      </c>
      <c r="G166">
        <v>1900</v>
      </c>
      <c r="H166">
        <v>1900</v>
      </c>
      <c r="I166">
        <v>1900</v>
      </c>
      <c r="J166">
        <v>1900</v>
      </c>
      <c r="K166">
        <v>1900</v>
      </c>
      <c r="L166">
        <f>2400+1500</f>
        <v>3900</v>
      </c>
      <c r="M166">
        <f t="shared" ref="M166:Q166" si="104">2400+1500</f>
        <v>3900</v>
      </c>
      <c r="N166">
        <f t="shared" si="104"/>
        <v>3900</v>
      </c>
      <c r="O166">
        <f t="shared" si="104"/>
        <v>3900</v>
      </c>
      <c r="P166">
        <f t="shared" si="104"/>
        <v>3900</v>
      </c>
      <c r="Q166">
        <f t="shared" si="104"/>
        <v>3900</v>
      </c>
      <c r="S166">
        <v>1900</v>
      </c>
    </row>
    <row r="167" spans="1:19">
      <c r="A167" t="s">
        <v>200</v>
      </c>
      <c r="B167">
        <v>20000</v>
      </c>
      <c r="C167">
        <v>18000</v>
      </c>
      <c r="D167">
        <v>18000</v>
      </c>
      <c r="E167">
        <v>18000</v>
      </c>
      <c r="F167">
        <v>22000</v>
      </c>
      <c r="G167">
        <v>22000</v>
      </c>
      <c r="H167">
        <v>22000</v>
      </c>
      <c r="I167">
        <v>27000</v>
      </c>
      <c r="J167">
        <v>27000</v>
      </c>
      <c r="K167">
        <v>27000</v>
      </c>
      <c r="L167">
        <v>36000</v>
      </c>
      <c r="M167">
        <v>36000</v>
      </c>
      <c r="N167">
        <v>36000</v>
      </c>
      <c r="O167">
        <v>43000</v>
      </c>
      <c r="P167">
        <v>43000</v>
      </c>
      <c r="Q167">
        <v>43000</v>
      </c>
      <c r="S167">
        <v>12000</v>
      </c>
    </row>
    <row r="168" spans="1:19">
      <c r="A168" t="s">
        <v>201</v>
      </c>
      <c r="B168">
        <v>5000</v>
      </c>
      <c r="C168">
        <v>5000</v>
      </c>
      <c r="D168">
        <v>5000</v>
      </c>
      <c r="E168">
        <v>5000</v>
      </c>
      <c r="F168">
        <v>6000</v>
      </c>
      <c r="G168">
        <v>6000</v>
      </c>
      <c r="H168">
        <v>6000</v>
      </c>
      <c r="I168">
        <v>7500</v>
      </c>
      <c r="J168">
        <v>7500</v>
      </c>
      <c r="K168">
        <v>7500</v>
      </c>
      <c r="L168">
        <v>10000</v>
      </c>
      <c r="M168">
        <v>10000</v>
      </c>
      <c r="N168">
        <v>10000</v>
      </c>
      <c r="O168">
        <v>12000</v>
      </c>
      <c r="P168">
        <v>12000</v>
      </c>
      <c r="Q168">
        <v>12000</v>
      </c>
      <c r="S168">
        <v>2500</v>
      </c>
    </row>
    <row r="169" spans="1:19">
      <c r="A169" t="s">
        <v>202</v>
      </c>
      <c r="B169">
        <v>5000</v>
      </c>
      <c r="C169">
        <v>5000</v>
      </c>
      <c r="D169">
        <v>5000</v>
      </c>
      <c r="E169">
        <v>5000</v>
      </c>
      <c r="F169">
        <v>5000</v>
      </c>
      <c r="G169">
        <v>5000</v>
      </c>
      <c r="H169">
        <v>5000</v>
      </c>
      <c r="I169">
        <v>5000</v>
      </c>
      <c r="J169">
        <v>5000</v>
      </c>
      <c r="K169">
        <v>5000</v>
      </c>
      <c r="L169">
        <v>5000</v>
      </c>
      <c r="M169">
        <v>5000</v>
      </c>
      <c r="N169">
        <v>5000</v>
      </c>
      <c r="O169">
        <v>5000</v>
      </c>
      <c r="P169">
        <v>5000</v>
      </c>
      <c r="Q169">
        <v>5000</v>
      </c>
      <c r="S169">
        <v>2500</v>
      </c>
    </row>
    <row r="170" spans="1:19">
      <c r="A170" s="3" t="s">
        <v>215</v>
      </c>
      <c r="B170" s="94">
        <f>SUM(B161:B169)</f>
        <v>68100</v>
      </c>
      <c r="C170" s="94">
        <f>SUM(C161:C169)</f>
        <v>65700</v>
      </c>
      <c r="D170" s="94">
        <f t="shared" ref="D170:Q170" si="105">SUM(D161:D169)</f>
        <v>68700</v>
      </c>
      <c r="E170" s="94">
        <f t="shared" si="105"/>
        <v>68500</v>
      </c>
      <c r="F170" s="94">
        <f t="shared" si="105"/>
        <v>74550</v>
      </c>
      <c r="G170" s="94">
        <f t="shared" si="105"/>
        <v>77850</v>
      </c>
      <c r="H170" s="94">
        <f t="shared" si="105"/>
        <v>77650</v>
      </c>
      <c r="I170" s="94">
        <f t="shared" si="105"/>
        <v>93600</v>
      </c>
      <c r="J170" s="94">
        <f t="shared" si="105"/>
        <v>96900</v>
      </c>
      <c r="K170" s="94">
        <f t="shared" si="105"/>
        <v>97700</v>
      </c>
      <c r="L170" s="94">
        <f t="shared" si="105"/>
        <v>122300</v>
      </c>
      <c r="M170" s="94">
        <f t="shared" si="105"/>
        <v>128900</v>
      </c>
      <c r="N170" s="94">
        <f t="shared" si="105"/>
        <v>128500</v>
      </c>
      <c r="O170" s="94">
        <f t="shared" si="105"/>
        <v>139500</v>
      </c>
      <c r="P170" s="94">
        <f t="shared" si="105"/>
        <v>146650</v>
      </c>
      <c r="Q170" s="94">
        <f t="shared" si="105"/>
        <v>146550</v>
      </c>
      <c r="S170" s="94">
        <f>SUM(S161:S169)</f>
        <v>34050</v>
      </c>
    </row>
    <row r="171" spans="1:19">
      <c r="A171" s="50">
        <v>0.2</v>
      </c>
      <c r="B171" s="10">
        <f t="shared" ref="B171:Q171" si="106">+B170*1.2</f>
        <v>81720</v>
      </c>
      <c r="C171" s="10">
        <f t="shared" si="106"/>
        <v>78840</v>
      </c>
      <c r="D171" s="10">
        <f t="shared" si="106"/>
        <v>82440</v>
      </c>
      <c r="E171" s="10">
        <f t="shared" si="106"/>
        <v>82200</v>
      </c>
      <c r="F171" s="10">
        <f t="shared" si="106"/>
        <v>89460</v>
      </c>
      <c r="G171" s="10">
        <f t="shared" si="106"/>
        <v>93420</v>
      </c>
      <c r="H171" s="10">
        <f t="shared" si="106"/>
        <v>93180</v>
      </c>
      <c r="I171" s="10">
        <f t="shared" si="106"/>
        <v>112320</v>
      </c>
      <c r="J171" s="10">
        <f t="shared" si="106"/>
        <v>116280</v>
      </c>
      <c r="K171" s="10">
        <f t="shared" si="106"/>
        <v>117240</v>
      </c>
      <c r="L171" s="10">
        <f t="shared" si="106"/>
        <v>146760</v>
      </c>
      <c r="M171" s="10">
        <f t="shared" si="106"/>
        <v>154680</v>
      </c>
      <c r="N171" s="10">
        <f t="shared" si="106"/>
        <v>154200</v>
      </c>
      <c r="O171" s="10">
        <f t="shared" si="106"/>
        <v>167400</v>
      </c>
      <c r="P171" s="10">
        <f t="shared" si="106"/>
        <v>175980</v>
      </c>
      <c r="Q171" s="10">
        <f t="shared" si="106"/>
        <v>175860</v>
      </c>
      <c r="S171" s="10">
        <f t="shared" ref="S171" si="107">+S170*1.2</f>
        <v>40860</v>
      </c>
    </row>
    <row r="172" spans="1:19">
      <c r="A172" s="50">
        <v>0.3</v>
      </c>
      <c r="B172" s="10">
        <f t="shared" ref="B172:Q172" si="108">+B170*1.3</f>
        <v>88530</v>
      </c>
      <c r="C172" s="10">
        <f t="shared" si="108"/>
        <v>85410</v>
      </c>
      <c r="D172" s="10">
        <f t="shared" si="108"/>
        <v>89310</v>
      </c>
      <c r="E172" s="10">
        <f t="shared" si="108"/>
        <v>89050</v>
      </c>
      <c r="F172" s="10">
        <f t="shared" si="108"/>
        <v>96915</v>
      </c>
      <c r="G172" s="10">
        <f t="shared" si="108"/>
        <v>101205</v>
      </c>
      <c r="H172" s="10">
        <f t="shared" si="108"/>
        <v>100945</v>
      </c>
      <c r="I172" s="10">
        <f t="shared" si="108"/>
        <v>121680</v>
      </c>
      <c r="J172" s="10">
        <f t="shared" si="108"/>
        <v>125970</v>
      </c>
      <c r="K172" s="10">
        <f t="shared" si="108"/>
        <v>127010</v>
      </c>
      <c r="L172" s="10">
        <f t="shared" si="108"/>
        <v>158990</v>
      </c>
      <c r="M172" s="10">
        <f t="shared" si="108"/>
        <v>167570</v>
      </c>
      <c r="N172" s="10">
        <f t="shared" si="108"/>
        <v>167050</v>
      </c>
      <c r="O172" s="10">
        <f t="shared" si="108"/>
        <v>181350</v>
      </c>
      <c r="P172" s="10">
        <f t="shared" si="108"/>
        <v>190645</v>
      </c>
      <c r="Q172" s="10">
        <f t="shared" si="108"/>
        <v>190515</v>
      </c>
      <c r="S172" s="10">
        <f t="shared" ref="S172" si="109">+S170*1.3</f>
        <v>44265</v>
      </c>
    </row>
    <row r="173" spans="1:19">
      <c r="A173" s="50" t="s">
        <v>535</v>
      </c>
      <c r="B173" s="10"/>
      <c r="C173" s="10">
        <f>+C163+C164+C166+2000-(2600)</f>
        <v>11700</v>
      </c>
      <c r="D173" s="10">
        <f>+D163+D165+D166+2000-(2600)</f>
        <v>14700</v>
      </c>
      <c r="E173" s="10">
        <f>+E163+E164+E166+2000-2600</f>
        <v>14500</v>
      </c>
      <c r="F173" s="10">
        <f>+F163+F164+F166+2000-(2600)</f>
        <v>11400</v>
      </c>
      <c r="G173" s="10">
        <f>+G163+G165+G166+2000-(2600)</f>
        <v>14700</v>
      </c>
      <c r="H173" s="10">
        <f>+H163+H164+H166+2000-(2600)</f>
        <v>14500</v>
      </c>
      <c r="I173" s="10"/>
      <c r="J173" s="10"/>
      <c r="K173" s="10"/>
      <c r="L173" s="10"/>
      <c r="M173" s="10"/>
      <c r="N173" s="10"/>
      <c r="O173" s="10"/>
      <c r="P173" s="10"/>
      <c r="Q173" s="10"/>
      <c r="S173" s="10"/>
    </row>
    <row r="174" spans="1:19">
      <c r="A174" s="50"/>
      <c r="B174" s="10"/>
      <c r="C174" s="10">
        <f>+C170+C173</f>
        <v>77400</v>
      </c>
      <c r="D174" s="10">
        <f t="shared" ref="D174:H174" si="110">+D170+D173</f>
        <v>83400</v>
      </c>
      <c r="E174" s="10">
        <f t="shared" si="110"/>
        <v>83000</v>
      </c>
      <c r="F174" s="10">
        <f t="shared" si="110"/>
        <v>85950</v>
      </c>
      <c r="G174" s="10">
        <f t="shared" si="110"/>
        <v>92550</v>
      </c>
      <c r="H174" s="10">
        <f t="shared" si="110"/>
        <v>92150</v>
      </c>
      <c r="I174" s="108" t="s">
        <v>340</v>
      </c>
      <c r="J174" s="10"/>
      <c r="K174" s="10"/>
      <c r="L174" s="10"/>
      <c r="M174" s="10"/>
      <c r="N174" s="10"/>
      <c r="O174" s="10"/>
      <c r="P174" s="10"/>
      <c r="Q174" s="10"/>
      <c r="S174" s="10"/>
    </row>
    <row r="175" spans="1:19">
      <c r="A175" s="50">
        <v>0.2</v>
      </c>
      <c r="B175" s="10">
        <f t="shared" ref="B175:H175" si="111">+B174*1.2</f>
        <v>0</v>
      </c>
      <c r="C175" s="10">
        <f t="shared" si="111"/>
        <v>92880</v>
      </c>
      <c r="D175" s="10">
        <f t="shared" si="111"/>
        <v>100080</v>
      </c>
      <c r="E175" s="10">
        <f t="shared" si="111"/>
        <v>99600</v>
      </c>
      <c r="F175" s="10">
        <f t="shared" si="111"/>
        <v>103140</v>
      </c>
      <c r="G175" s="10">
        <f t="shared" si="111"/>
        <v>111060</v>
      </c>
      <c r="H175" s="10">
        <f t="shared" si="111"/>
        <v>110580</v>
      </c>
      <c r="I175" s="10"/>
      <c r="J175" s="10"/>
      <c r="K175" s="10"/>
      <c r="L175" s="10"/>
      <c r="M175" s="10"/>
      <c r="N175" s="10"/>
      <c r="O175" s="10"/>
      <c r="P175" s="10"/>
      <c r="Q175" s="10"/>
      <c r="S175" s="10"/>
    </row>
    <row r="176" spans="1:19">
      <c r="A176" s="50">
        <v>0.3</v>
      </c>
      <c r="B176" s="10">
        <f t="shared" ref="B176:H176" si="112">+B174*1.3</f>
        <v>0</v>
      </c>
      <c r="C176" s="10">
        <f t="shared" si="112"/>
        <v>100620</v>
      </c>
      <c r="D176" s="10">
        <f t="shared" si="112"/>
        <v>108420</v>
      </c>
      <c r="E176" s="10">
        <f t="shared" si="112"/>
        <v>107900</v>
      </c>
      <c r="F176" s="10">
        <f t="shared" si="112"/>
        <v>111735</v>
      </c>
      <c r="G176" s="10">
        <f t="shared" si="112"/>
        <v>120315</v>
      </c>
      <c r="H176" s="10">
        <f t="shared" si="112"/>
        <v>119795</v>
      </c>
      <c r="J176" s="108"/>
      <c r="K176" s="108"/>
      <c r="L176" s="10"/>
      <c r="M176" s="10"/>
      <c r="N176" s="10"/>
      <c r="O176" s="10"/>
      <c r="P176" s="10"/>
      <c r="Q176" s="10"/>
    </row>
    <row r="178" spans="1:8">
      <c r="A178" s="56" t="s">
        <v>339</v>
      </c>
      <c r="B178" s="54" t="s">
        <v>307</v>
      </c>
      <c r="C178" s="54" t="s">
        <v>311</v>
      </c>
      <c r="D178" s="54" t="s">
        <v>312</v>
      </c>
      <c r="E178" s="54" t="s">
        <v>203</v>
      </c>
      <c r="F178" s="54" t="s">
        <v>310</v>
      </c>
      <c r="G178" s="54" t="s">
        <v>310</v>
      </c>
      <c r="H178" s="54" t="s">
        <v>554</v>
      </c>
    </row>
    <row r="179" spans="1:8">
      <c r="A179" t="s">
        <v>304</v>
      </c>
      <c r="B179">
        <f>3100*4</f>
        <v>12400</v>
      </c>
      <c r="C179">
        <f>3100*4.5</f>
        <v>13950</v>
      </c>
      <c r="D179">
        <f>3100*5</f>
        <v>15500</v>
      </c>
      <c r="E179">
        <f>3100*6</f>
        <v>18600</v>
      </c>
      <c r="F179">
        <f>3100*6.5</f>
        <v>20150</v>
      </c>
      <c r="G179">
        <f>3100*6.5</f>
        <v>20150</v>
      </c>
      <c r="H179">
        <f>3100*8</f>
        <v>24800</v>
      </c>
    </row>
    <row r="180" spans="1:8">
      <c r="A180" t="s">
        <v>197</v>
      </c>
      <c r="B180">
        <f>2600*2.5</f>
        <v>6500</v>
      </c>
      <c r="C180">
        <f>2600*3</f>
        <v>7800</v>
      </c>
      <c r="D180">
        <f>2600*4</f>
        <v>10400</v>
      </c>
      <c r="E180">
        <f>2600*5</f>
        <v>13000</v>
      </c>
      <c r="F180">
        <f>2600*6</f>
        <v>15600</v>
      </c>
      <c r="G180">
        <f>2600*6</f>
        <v>15600</v>
      </c>
      <c r="H180">
        <f>2600*7</f>
        <v>18200</v>
      </c>
    </row>
    <row r="181" spans="1:8">
      <c r="A181" t="s">
        <v>314</v>
      </c>
      <c r="B181">
        <f>3500*2</f>
        <v>7000</v>
      </c>
      <c r="C181">
        <f>3500*2.5</f>
        <v>8750</v>
      </c>
      <c r="D181">
        <f>3500*3.5</f>
        <v>12250</v>
      </c>
      <c r="E181">
        <f>3500*4</f>
        <v>14000</v>
      </c>
      <c r="F181">
        <f>3500*5</f>
        <v>17500</v>
      </c>
      <c r="G181">
        <f>4500*5</f>
        <v>22500</v>
      </c>
      <c r="H181">
        <f>4500*6.5</f>
        <v>29250</v>
      </c>
    </row>
    <row r="182" spans="1:8">
      <c r="A182" t="s">
        <v>138</v>
      </c>
      <c r="B182">
        <f>3400*2.5</f>
        <v>8500</v>
      </c>
      <c r="C182">
        <f>3400*2.5</f>
        <v>8500</v>
      </c>
      <c r="D182">
        <f>3400*4.5</f>
        <v>15300</v>
      </c>
      <c r="E182">
        <f>3400*4.5</f>
        <v>15300</v>
      </c>
      <c r="F182">
        <f>3400*6</f>
        <v>20400</v>
      </c>
      <c r="G182">
        <f>3400*6</f>
        <v>20400</v>
      </c>
      <c r="H182">
        <f>3400*6.5</f>
        <v>22100</v>
      </c>
    </row>
    <row r="183" spans="1:8">
      <c r="A183" t="s">
        <v>306</v>
      </c>
      <c r="B183">
        <f>1200+700</f>
        <v>1900</v>
      </c>
      <c r="C183">
        <f>1200+700</f>
        <v>1900</v>
      </c>
      <c r="D183">
        <f>2400+1500</f>
        <v>3900</v>
      </c>
      <c r="E183">
        <f t="shared" ref="E183:H183" si="113">2400+1500</f>
        <v>3900</v>
      </c>
      <c r="F183">
        <f t="shared" si="113"/>
        <v>3900</v>
      </c>
      <c r="G183">
        <f t="shared" si="113"/>
        <v>3900</v>
      </c>
      <c r="H183">
        <f t="shared" si="113"/>
        <v>3900</v>
      </c>
    </row>
    <row r="184" spans="1:8">
      <c r="A184" t="s">
        <v>200</v>
      </c>
      <c r="B184">
        <v>15000</v>
      </c>
      <c r="C184">
        <v>18000</v>
      </c>
      <c r="D184">
        <v>22500</v>
      </c>
      <c r="E184">
        <v>30000</v>
      </c>
      <c r="F184">
        <v>36000</v>
      </c>
      <c r="G184">
        <v>36000</v>
      </c>
      <c r="H184">
        <v>56000</v>
      </c>
    </row>
    <row r="185" spans="1:8">
      <c r="A185" t="s">
        <v>201</v>
      </c>
      <c r="B185">
        <v>5000</v>
      </c>
      <c r="C185">
        <v>6000</v>
      </c>
      <c r="D185">
        <v>7500</v>
      </c>
      <c r="E185">
        <v>10000</v>
      </c>
      <c r="F185">
        <v>12000</v>
      </c>
      <c r="G185">
        <v>12000</v>
      </c>
      <c r="H185">
        <v>19000</v>
      </c>
    </row>
    <row r="186" spans="1:8">
      <c r="A186" t="s">
        <v>202</v>
      </c>
      <c r="B186">
        <v>5000</v>
      </c>
      <c r="C186">
        <v>5000</v>
      </c>
      <c r="D186">
        <v>5000</v>
      </c>
      <c r="E186">
        <v>5000</v>
      </c>
      <c r="F186">
        <v>5000</v>
      </c>
      <c r="G186">
        <v>5000</v>
      </c>
      <c r="H186">
        <v>5000</v>
      </c>
    </row>
    <row r="187" spans="1:8">
      <c r="A187" s="3" t="s">
        <v>215</v>
      </c>
      <c r="B187" s="94">
        <f>SUM(B179:B186)</f>
        <v>61300</v>
      </c>
      <c r="C187" s="94">
        <f t="shared" ref="C187:G187" si="114">SUM(C178:C186)</f>
        <v>69900</v>
      </c>
      <c r="D187" s="94">
        <f t="shared" si="114"/>
        <v>92350</v>
      </c>
      <c r="E187" s="94">
        <f t="shared" si="114"/>
        <v>109800</v>
      </c>
      <c r="F187" s="94">
        <f t="shared" si="114"/>
        <v>130550</v>
      </c>
      <c r="G187" s="94">
        <f t="shared" si="114"/>
        <v>135550</v>
      </c>
      <c r="H187" s="94">
        <f t="shared" ref="H187" si="115">SUM(H178:H186)</f>
        <v>178250</v>
      </c>
    </row>
    <row r="188" spans="1:8">
      <c r="A188" s="50">
        <v>0.2</v>
      </c>
      <c r="B188" s="10">
        <f t="shared" ref="B188:G188" si="116">+B187*1.2</f>
        <v>73560</v>
      </c>
      <c r="C188" s="10">
        <f t="shared" si="116"/>
        <v>83880</v>
      </c>
      <c r="D188" s="10">
        <f t="shared" si="116"/>
        <v>110820</v>
      </c>
      <c r="E188" s="10">
        <f t="shared" si="116"/>
        <v>131760</v>
      </c>
      <c r="F188" s="10">
        <f t="shared" si="116"/>
        <v>156660</v>
      </c>
      <c r="G188" s="10">
        <f t="shared" si="116"/>
        <v>162660</v>
      </c>
      <c r="H188" s="10">
        <f t="shared" ref="H188" si="117">+H187*1.2</f>
        <v>213900</v>
      </c>
    </row>
    <row r="189" spans="1:8">
      <c r="A189" s="50">
        <v>0.3</v>
      </c>
      <c r="B189" s="10">
        <f t="shared" ref="B189:G189" si="118">+B187*1.3</f>
        <v>79690</v>
      </c>
      <c r="C189" s="10">
        <f t="shared" si="118"/>
        <v>90870</v>
      </c>
      <c r="D189" s="10">
        <f t="shared" si="118"/>
        <v>120055</v>
      </c>
      <c r="E189" s="10">
        <f t="shared" si="118"/>
        <v>142740</v>
      </c>
      <c r="F189" s="10">
        <f t="shared" si="118"/>
        <v>169715</v>
      </c>
      <c r="G189" s="10">
        <f t="shared" si="118"/>
        <v>176215</v>
      </c>
      <c r="H189" s="10">
        <f t="shared" ref="H189" si="119">+H187*1.3</f>
        <v>231725</v>
      </c>
    </row>
    <row r="190" spans="1:8">
      <c r="A190" s="50" t="s">
        <v>535</v>
      </c>
      <c r="B190" s="10">
        <f>+B180+B181+B182+3000</f>
        <v>25000</v>
      </c>
      <c r="C190" s="10">
        <f>+C180+C181+C182+3000</f>
        <v>28050</v>
      </c>
      <c r="D190" s="10"/>
      <c r="E190" s="10"/>
      <c r="F190" s="10"/>
      <c r="G190" s="10"/>
    </row>
    <row r="191" spans="1:8">
      <c r="A191" s="50"/>
      <c r="B191" s="10">
        <f>+B187+B190</f>
        <v>86300</v>
      </c>
      <c r="C191" s="10">
        <f>+C187+C190</f>
        <v>97950</v>
      </c>
      <c r="D191" s="10"/>
      <c r="E191" s="10"/>
      <c r="F191" s="10"/>
      <c r="G191" s="10"/>
    </row>
    <row r="192" spans="1:8">
      <c r="A192" s="50">
        <v>0.2</v>
      </c>
      <c r="B192" s="10">
        <f t="shared" ref="B192" si="120">+B191*1.2</f>
        <v>103560</v>
      </c>
      <c r="C192" s="10">
        <f t="shared" ref="C192" si="121">+C191*1.2</f>
        <v>117540</v>
      </c>
      <c r="D192" s="10"/>
      <c r="E192" s="10"/>
      <c r="F192" s="10"/>
      <c r="G192" s="10"/>
    </row>
    <row r="193" spans="1:11">
      <c r="A193" s="50">
        <v>0.3</v>
      </c>
      <c r="B193" s="10">
        <f t="shared" ref="B193" si="122">+B191*1.3</f>
        <v>112190</v>
      </c>
      <c r="C193" s="10">
        <f t="shared" ref="C193" si="123">+C191*1.3</f>
        <v>127335</v>
      </c>
      <c r="D193" t="s">
        <v>341</v>
      </c>
    </row>
    <row r="195" spans="1:11" s="100" customFormat="1"/>
    <row r="196" spans="1:11">
      <c r="A196" t="s">
        <v>344</v>
      </c>
    </row>
    <row r="198" spans="1:11">
      <c r="A198" s="56" t="s">
        <v>346</v>
      </c>
      <c r="B198" t="s">
        <v>307</v>
      </c>
      <c r="C198" t="s">
        <v>307</v>
      </c>
      <c r="D198" t="s">
        <v>307</v>
      </c>
      <c r="E198" t="s">
        <v>307</v>
      </c>
      <c r="F198" t="s">
        <v>307</v>
      </c>
      <c r="G198" t="s">
        <v>353</v>
      </c>
      <c r="H198" t="s">
        <v>353</v>
      </c>
      <c r="I198" t="s">
        <v>353</v>
      </c>
      <c r="J198" t="s">
        <v>353</v>
      </c>
      <c r="K198" t="s">
        <v>353</v>
      </c>
    </row>
    <row r="199" spans="1:11">
      <c r="A199" t="s">
        <v>351</v>
      </c>
      <c r="B199">
        <f>2600*13.5</f>
        <v>35100</v>
      </c>
      <c r="G199">
        <f>2600*27</f>
        <v>70200</v>
      </c>
    </row>
    <row r="200" spans="1:11">
      <c r="A200" t="s">
        <v>350</v>
      </c>
      <c r="C200">
        <f>1900*12</f>
        <v>22800</v>
      </c>
      <c r="H200">
        <f>1900*24</f>
        <v>45600</v>
      </c>
    </row>
    <row r="201" spans="1:11">
      <c r="A201" t="s">
        <v>347</v>
      </c>
      <c r="D201">
        <f>2300*12</f>
        <v>27600</v>
      </c>
      <c r="I201">
        <f>2300*24</f>
        <v>55200</v>
      </c>
    </row>
    <row r="202" spans="1:11">
      <c r="A202" t="s">
        <v>348</v>
      </c>
      <c r="E202">
        <f>2300*12</f>
        <v>27600</v>
      </c>
      <c r="J202">
        <f>2300*24</f>
        <v>55200</v>
      </c>
    </row>
    <row r="203" spans="1:11">
      <c r="A203" t="s">
        <v>349</v>
      </c>
      <c r="F203">
        <f>3000*12</f>
        <v>36000</v>
      </c>
      <c r="K203">
        <f>3000*24</f>
        <v>72000</v>
      </c>
    </row>
    <row r="204" spans="1:11">
      <c r="A204" t="s">
        <v>354</v>
      </c>
      <c r="H204">
        <f>2300*5</f>
        <v>11500</v>
      </c>
      <c r="I204">
        <f>2300*5</f>
        <v>11500</v>
      </c>
      <c r="J204">
        <f>3000*5</f>
        <v>15000</v>
      </c>
      <c r="K204">
        <f>3000*5</f>
        <v>15000</v>
      </c>
    </row>
    <row r="205" spans="1:11">
      <c r="A205" t="s">
        <v>355</v>
      </c>
      <c r="G205">
        <f>1400+2600</f>
        <v>4000</v>
      </c>
      <c r="H205">
        <f t="shared" ref="H205:K205" si="124">1400+2600</f>
        <v>4000</v>
      </c>
      <c r="I205">
        <f t="shared" si="124"/>
        <v>4000</v>
      </c>
      <c r="J205">
        <f t="shared" si="124"/>
        <v>4000</v>
      </c>
      <c r="K205">
        <f t="shared" si="124"/>
        <v>4000</v>
      </c>
    </row>
    <row r="206" spans="1:11">
      <c r="A206" t="s">
        <v>200</v>
      </c>
      <c r="B206">
        <v>12000</v>
      </c>
      <c r="C206">
        <v>12000</v>
      </c>
      <c r="D206">
        <v>12000</v>
      </c>
      <c r="E206">
        <v>12000</v>
      </c>
      <c r="F206">
        <v>12000</v>
      </c>
      <c r="G206">
        <v>24000</v>
      </c>
      <c r="H206">
        <v>24000</v>
      </c>
      <c r="I206">
        <v>24000</v>
      </c>
      <c r="J206">
        <v>24000</v>
      </c>
      <c r="K206">
        <v>24000</v>
      </c>
    </row>
    <row r="207" spans="1:11">
      <c r="A207" t="s">
        <v>352</v>
      </c>
      <c r="B207">
        <v>10000</v>
      </c>
      <c r="C207">
        <v>10000</v>
      </c>
      <c r="D207">
        <v>10000</v>
      </c>
      <c r="E207">
        <v>10000</v>
      </c>
      <c r="F207">
        <v>10000</v>
      </c>
      <c r="G207">
        <v>20000</v>
      </c>
      <c r="H207">
        <v>20000</v>
      </c>
      <c r="I207">
        <v>20000</v>
      </c>
      <c r="J207">
        <v>20000</v>
      </c>
      <c r="K207">
        <v>20000</v>
      </c>
    </row>
    <row r="208" spans="1:11">
      <c r="A208" s="3" t="s">
        <v>215</v>
      </c>
      <c r="B208" s="94">
        <f>SUM(B199:B207)</f>
        <v>57100</v>
      </c>
      <c r="C208" s="94">
        <f t="shared" ref="C208:F208" si="125">SUM(C199:C207)</f>
        <v>44800</v>
      </c>
      <c r="D208" s="94">
        <f t="shared" si="125"/>
        <v>49600</v>
      </c>
      <c r="E208" s="94">
        <f t="shared" si="125"/>
        <v>49600</v>
      </c>
      <c r="F208" s="94">
        <f t="shared" si="125"/>
        <v>58000</v>
      </c>
      <c r="G208" s="94">
        <f>SUM(G197:G207)</f>
        <v>118200</v>
      </c>
      <c r="H208" s="94">
        <f t="shared" ref="H208:K208" si="126">SUM(H197:H207)</f>
        <v>105100</v>
      </c>
      <c r="I208" s="94">
        <f t="shared" si="126"/>
        <v>114700</v>
      </c>
      <c r="J208" s="94">
        <f t="shared" si="126"/>
        <v>118200</v>
      </c>
      <c r="K208" s="94">
        <f t="shared" si="126"/>
        <v>135000</v>
      </c>
    </row>
    <row r="209" spans="1:11">
      <c r="A209" s="50">
        <v>0.2</v>
      </c>
      <c r="B209" s="10">
        <f t="shared" ref="B209:K209" si="127">+B208*1.2</f>
        <v>68520</v>
      </c>
      <c r="C209" s="10">
        <f t="shared" si="127"/>
        <v>53760</v>
      </c>
      <c r="D209" s="10">
        <f t="shared" si="127"/>
        <v>59520</v>
      </c>
      <c r="E209" s="10">
        <f t="shared" si="127"/>
        <v>59520</v>
      </c>
      <c r="F209" s="10">
        <f t="shared" si="127"/>
        <v>69600</v>
      </c>
      <c r="G209" s="10">
        <f t="shared" si="127"/>
        <v>141840</v>
      </c>
      <c r="H209" s="10">
        <f t="shared" si="127"/>
        <v>126120</v>
      </c>
      <c r="I209" s="10">
        <f t="shared" si="127"/>
        <v>137640</v>
      </c>
      <c r="J209" s="10">
        <f t="shared" si="127"/>
        <v>141840</v>
      </c>
      <c r="K209" s="10">
        <f t="shared" si="127"/>
        <v>162000</v>
      </c>
    </row>
    <row r="210" spans="1:11">
      <c r="A210" s="50">
        <v>0.3</v>
      </c>
      <c r="B210" s="10">
        <f t="shared" ref="B210:K210" si="128">+B208*1.3</f>
        <v>74230</v>
      </c>
      <c r="C210" s="10">
        <f t="shared" si="128"/>
        <v>58240</v>
      </c>
      <c r="D210" s="10">
        <f t="shared" si="128"/>
        <v>64480</v>
      </c>
      <c r="E210" s="10">
        <f t="shared" si="128"/>
        <v>64480</v>
      </c>
      <c r="F210" s="10">
        <f t="shared" si="128"/>
        <v>75400</v>
      </c>
      <c r="G210" s="10">
        <f t="shared" si="128"/>
        <v>153660</v>
      </c>
      <c r="H210" s="10">
        <f t="shared" si="128"/>
        <v>136630</v>
      </c>
      <c r="I210" s="10">
        <f t="shared" si="128"/>
        <v>149110</v>
      </c>
      <c r="J210" s="10">
        <f t="shared" si="128"/>
        <v>153660</v>
      </c>
      <c r="K210" s="10">
        <f t="shared" si="128"/>
        <v>175500</v>
      </c>
    </row>
    <row r="211" spans="1:11">
      <c r="A211" t="s">
        <v>356</v>
      </c>
      <c r="B211">
        <f>+(B208)+(2300*3)+4000</f>
        <v>68000</v>
      </c>
      <c r="C211">
        <f>+(C208)+(2200*3)+4000</f>
        <v>55400</v>
      </c>
      <c r="D211">
        <f>+(D208)+(2200*3)+4000</f>
        <v>60200</v>
      </c>
      <c r="E211">
        <f>+(E208)+(3000*3)+4000</f>
        <v>62600</v>
      </c>
      <c r="F211">
        <f>+(F208)+(3000*3)+4000</f>
        <v>71000</v>
      </c>
    </row>
    <row r="212" spans="1:11">
      <c r="A212" s="50">
        <v>0.2</v>
      </c>
      <c r="B212" s="10">
        <f t="shared" ref="B212:F212" si="129">+B211*1.2</f>
        <v>81600</v>
      </c>
      <c r="C212" s="10">
        <f t="shared" si="129"/>
        <v>66480</v>
      </c>
      <c r="D212" s="10">
        <f t="shared" si="129"/>
        <v>72240</v>
      </c>
      <c r="E212" s="10">
        <f t="shared" si="129"/>
        <v>75120</v>
      </c>
      <c r="F212" s="10">
        <f t="shared" si="129"/>
        <v>85200</v>
      </c>
    </row>
    <row r="213" spans="1:11">
      <c r="A213" s="50">
        <v>0.3</v>
      </c>
      <c r="B213" s="10">
        <f t="shared" ref="B213:F213" si="130">+B211*1.3</f>
        <v>88400</v>
      </c>
      <c r="C213" s="10">
        <f t="shared" si="130"/>
        <v>72020</v>
      </c>
      <c r="D213" s="10">
        <f t="shared" si="130"/>
        <v>78260</v>
      </c>
      <c r="E213" s="10">
        <f t="shared" si="130"/>
        <v>81380</v>
      </c>
      <c r="F213" s="10">
        <f t="shared" si="130"/>
        <v>92300</v>
      </c>
    </row>
    <row r="215" spans="1:11">
      <c r="A215" s="56" t="s">
        <v>357</v>
      </c>
      <c r="B215" s="54" t="s">
        <v>307</v>
      </c>
      <c r="C215" s="54" t="s">
        <v>362</v>
      </c>
      <c r="D215" s="54">
        <v>1.5</v>
      </c>
      <c r="E215" s="54" t="s">
        <v>363</v>
      </c>
    </row>
    <row r="216" spans="1:11">
      <c r="A216" t="s">
        <v>358</v>
      </c>
      <c r="B216">
        <f>2600*5</f>
        <v>13000</v>
      </c>
      <c r="C216">
        <f>2600*4</f>
        <v>10400</v>
      </c>
      <c r="D216">
        <f>2600*6.5</f>
        <v>16900</v>
      </c>
      <c r="E216">
        <f>2600*5</f>
        <v>13000</v>
      </c>
    </row>
    <row r="217" spans="1:11">
      <c r="A217" t="s">
        <v>359</v>
      </c>
      <c r="B217">
        <f>2700*7</f>
        <v>18900</v>
      </c>
      <c r="C217">
        <f>2700*7</f>
        <v>18900</v>
      </c>
      <c r="D217">
        <f>2700*10</f>
        <v>27000</v>
      </c>
      <c r="E217">
        <f>2700*10</f>
        <v>27000</v>
      </c>
    </row>
    <row r="218" spans="1:11">
      <c r="A218" t="s">
        <v>360</v>
      </c>
      <c r="B218">
        <f>2600*8.5</f>
        <v>22100</v>
      </c>
      <c r="C218">
        <f>2600*4.5</f>
        <v>11700</v>
      </c>
      <c r="D218">
        <f>2600*13.5</f>
        <v>35100</v>
      </c>
      <c r="E218">
        <f>2600*7</f>
        <v>18200</v>
      </c>
    </row>
    <row r="219" spans="1:11">
      <c r="A219" t="s">
        <v>200</v>
      </c>
      <c r="B219">
        <v>22000</v>
      </c>
      <c r="C219">
        <v>22000</v>
      </c>
      <c r="D219">
        <v>33000</v>
      </c>
      <c r="E219">
        <v>33000</v>
      </c>
    </row>
    <row r="220" spans="1:11">
      <c r="A220" t="s">
        <v>361</v>
      </c>
      <c r="B220">
        <v>10000</v>
      </c>
      <c r="C220">
        <v>10000</v>
      </c>
      <c r="D220">
        <v>15000</v>
      </c>
      <c r="E220">
        <v>15000</v>
      </c>
    </row>
    <row r="221" spans="1:11">
      <c r="A221" s="3" t="s">
        <v>215</v>
      </c>
      <c r="B221" s="94">
        <f>SUM(B216:B220)</f>
        <v>86000</v>
      </c>
      <c r="C221" s="94">
        <f>SUM(C216:C220)</f>
        <v>73000</v>
      </c>
      <c r="D221" s="94">
        <f>SUM(D216:D220)</f>
        <v>127000</v>
      </c>
      <c r="E221" s="94">
        <f>SUM(E216:E220)</f>
        <v>106200</v>
      </c>
    </row>
    <row r="222" spans="1:11">
      <c r="A222" s="50">
        <v>0.2</v>
      </c>
      <c r="B222" s="10">
        <f t="shared" ref="B222:E222" si="131">+B221*1.2</f>
        <v>103200</v>
      </c>
      <c r="C222" s="10">
        <f t="shared" si="131"/>
        <v>87600</v>
      </c>
      <c r="D222" s="10">
        <f t="shared" si="131"/>
        <v>152400</v>
      </c>
      <c r="E222" s="10">
        <f t="shared" si="131"/>
        <v>127440</v>
      </c>
    </row>
    <row r="223" spans="1:11">
      <c r="A223" s="50">
        <v>0.3</v>
      </c>
      <c r="B223" s="10">
        <f t="shared" ref="B223:E223" si="132">+B221*1.3</f>
        <v>111800</v>
      </c>
      <c r="C223" s="10">
        <f t="shared" si="132"/>
        <v>94900</v>
      </c>
      <c r="D223" s="10">
        <f t="shared" si="132"/>
        <v>165100</v>
      </c>
      <c r="E223" s="10">
        <f t="shared" si="132"/>
        <v>138060</v>
      </c>
    </row>
    <row r="225" spans="1:5">
      <c r="A225" s="56" t="s">
        <v>364</v>
      </c>
      <c r="B225" s="54" t="s">
        <v>307</v>
      </c>
      <c r="C225" s="54" t="s">
        <v>307</v>
      </c>
      <c r="D225" s="54">
        <v>1.5</v>
      </c>
      <c r="E225" s="54">
        <v>1.5</v>
      </c>
    </row>
    <row r="226" spans="1:5">
      <c r="A226" t="s">
        <v>365</v>
      </c>
      <c r="B226">
        <f>3000*6</f>
        <v>18000</v>
      </c>
      <c r="D226">
        <f>3000*9</f>
        <v>27000</v>
      </c>
    </row>
    <row r="227" spans="1:5">
      <c r="A227" t="s">
        <v>366</v>
      </c>
      <c r="C227">
        <f>4100*6</f>
        <v>24600</v>
      </c>
      <c r="E227">
        <f>4100*9</f>
        <v>36900</v>
      </c>
    </row>
    <row r="228" spans="1:5">
      <c r="A228" t="s">
        <v>367</v>
      </c>
      <c r="B228">
        <f>1900*4</f>
        <v>7600</v>
      </c>
      <c r="C228">
        <f>2300*4</f>
        <v>9200</v>
      </c>
      <c r="D228">
        <f>1900*5</f>
        <v>9500</v>
      </c>
      <c r="E228">
        <f>2300*5</f>
        <v>11500</v>
      </c>
    </row>
    <row r="229" spans="1:5">
      <c r="A229" t="s">
        <v>200</v>
      </c>
      <c r="B229">
        <v>10000</v>
      </c>
      <c r="C229">
        <v>10000</v>
      </c>
      <c r="D229">
        <v>15000</v>
      </c>
      <c r="E229">
        <v>15000</v>
      </c>
    </row>
    <row r="230" spans="1:5">
      <c r="A230" t="s">
        <v>361</v>
      </c>
      <c r="B230">
        <v>10000</v>
      </c>
      <c r="C230">
        <v>10000</v>
      </c>
      <c r="D230">
        <v>15000</v>
      </c>
      <c r="E230">
        <v>15000</v>
      </c>
    </row>
    <row r="231" spans="1:5">
      <c r="A231" s="3" t="s">
        <v>215</v>
      </c>
      <c r="B231" s="94">
        <f>SUM(B226:B230)</f>
        <v>45600</v>
      </c>
      <c r="C231" s="94">
        <f>SUM(C226:C230)</f>
        <v>53800</v>
      </c>
      <c r="D231" s="94">
        <f>SUM(D226:D230)</f>
        <v>66500</v>
      </c>
      <c r="E231" s="94">
        <f>SUM(E226:E230)</f>
        <v>78400</v>
      </c>
    </row>
    <row r="232" spans="1:5">
      <c r="A232" s="50">
        <v>0.2</v>
      </c>
      <c r="B232" s="10">
        <f t="shared" ref="B232:E232" si="133">+B231*1.2</f>
        <v>54720</v>
      </c>
      <c r="C232" s="10">
        <f t="shared" si="133"/>
        <v>64560</v>
      </c>
      <c r="D232" s="10">
        <f t="shared" si="133"/>
        <v>79800</v>
      </c>
      <c r="E232" s="10">
        <f t="shared" si="133"/>
        <v>94080</v>
      </c>
    </row>
    <row r="233" spans="1:5">
      <c r="A233" s="50">
        <v>0.3</v>
      </c>
      <c r="B233" s="10">
        <f t="shared" ref="B233:E233" si="134">+B231*1.3</f>
        <v>59280</v>
      </c>
      <c r="C233" s="10">
        <f t="shared" si="134"/>
        <v>69940</v>
      </c>
      <c r="D233" s="10">
        <f t="shared" si="134"/>
        <v>86450</v>
      </c>
      <c r="E233" s="10">
        <f t="shared" si="134"/>
        <v>101920</v>
      </c>
    </row>
    <row r="235" spans="1:5">
      <c r="A235" s="56" t="s">
        <v>368</v>
      </c>
      <c r="B235" s="54" t="s">
        <v>307</v>
      </c>
      <c r="C235" s="54" t="s">
        <v>312</v>
      </c>
    </row>
    <row r="236" spans="1:5">
      <c r="A236" t="s">
        <v>369</v>
      </c>
      <c r="B236">
        <f>2600*4</f>
        <v>10400</v>
      </c>
      <c r="C236">
        <f>2600*5</f>
        <v>13000</v>
      </c>
    </row>
    <row r="237" spans="1:5">
      <c r="A237" t="s">
        <v>370</v>
      </c>
      <c r="B237">
        <f>2700*7</f>
        <v>18900</v>
      </c>
      <c r="C237">
        <f>2700*10</f>
        <v>27000</v>
      </c>
    </row>
    <row r="238" spans="1:5">
      <c r="A238" t="s">
        <v>200</v>
      </c>
      <c r="B238">
        <v>12000</v>
      </c>
      <c r="C238">
        <v>18000</v>
      </c>
    </row>
    <row r="239" spans="1:5">
      <c r="A239" t="s">
        <v>361</v>
      </c>
      <c r="B239">
        <v>10000</v>
      </c>
      <c r="C239">
        <v>15000</v>
      </c>
    </row>
    <row r="240" spans="1:5">
      <c r="A240" s="3" t="s">
        <v>215</v>
      </c>
      <c r="B240" s="94">
        <f>SUM(B236:B239)</f>
        <v>51300</v>
      </c>
      <c r="C240" s="94">
        <f>SUM(C236:C239)</f>
        <v>73000</v>
      </c>
    </row>
    <row r="241" spans="1:12">
      <c r="A241" s="50">
        <v>0.2</v>
      </c>
      <c r="B241" s="10">
        <f t="shared" ref="B241:C241" si="135">+B240*1.2</f>
        <v>61560</v>
      </c>
      <c r="C241" s="10">
        <f t="shared" si="135"/>
        <v>87600</v>
      </c>
    </row>
    <row r="242" spans="1:12">
      <c r="A242" s="50">
        <v>0.3</v>
      </c>
      <c r="B242" s="10">
        <f t="shared" ref="B242:C242" si="136">+B240*1.3</f>
        <v>66690</v>
      </c>
      <c r="C242" s="10">
        <f t="shared" si="136"/>
        <v>94900</v>
      </c>
    </row>
    <row r="243" spans="1:12">
      <c r="A243" t="s">
        <v>371</v>
      </c>
      <c r="B243">
        <f>4200+1200+2000</f>
        <v>7400</v>
      </c>
    </row>
    <row r="245" spans="1:12" s="100" customFormat="1"/>
    <row r="247" spans="1:12">
      <c r="A247" s="56" t="s">
        <v>372</v>
      </c>
    </row>
    <row r="248" spans="1:12">
      <c r="H248" t="s">
        <v>420</v>
      </c>
    </row>
    <row r="249" spans="1:12">
      <c r="A249" t="s">
        <v>412</v>
      </c>
      <c r="B249">
        <f>5500*2</f>
        <v>11000</v>
      </c>
      <c r="C249">
        <f>5500*2</f>
        <v>11000</v>
      </c>
      <c r="D249">
        <f t="shared" ref="D249:G249" si="137">5500*2</f>
        <v>11000</v>
      </c>
      <c r="E249">
        <f t="shared" si="137"/>
        <v>11000</v>
      </c>
      <c r="F249">
        <f t="shared" si="137"/>
        <v>11000</v>
      </c>
      <c r="G249">
        <f t="shared" si="137"/>
        <v>11000</v>
      </c>
      <c r="H249">
        <f>5500*2</f>
        <v>11000</v>
      </c>
      <c r="I249">
        <f t="shared" ref="I249:L249" si="138">5500*2</f>
        <v>11000</v>
      </c>
      <c r="J249">
        <f t="shared" si="138"/>
        <v>11000</v>
      </c>
      <c r="K249">
        <f t="shared" si="138"/>
        <v>11000</v>
      </c>
      <c r="L249">
        <f t="shared" si="138"/>
        <v>11000</v>
      </c>
    </row>
    <row r="250" spans="1:12">
      <c r="A250" t="s">
        <v>197</v>
      </c>
      <c r="B250">
        <v>6000</v>
      </c>
      <c r="C250">
        <v>6000</v>
      </c>
      <c r="D250">
        <v>6000</v>
      </c>
      <c r="E250">
        <v>6000</v>
      </c>
      <c r="F250">
        <v>6000</v>
      </c>
      <c r="G250">
        <v>6000</v>
      </c>
      <c r="H250">
        <v>12000</v>
      </c>
      <c r="I250">
        <v>12000</v>
      </c>
      <c r="J250">
        <v>12000</v>
      </c>
      <c r="K250">
        <v>12000</v>
      </c>
      <c r="L250">
        <v>12000</v>
      </c>
    </row>
    <row r="251" spans="1:12">
      <c r="A251" t="s">
        <v>413</v>
      </c>
      <c r="B251">
        <v>3700</v>
      </c>
      <c r="C251">
        <v>3700</v>
      </c>
      <c r="D251">
        <v>3700</v>
      </c>
      <c r="E251">
        <v>3700</v>
      </c>
      <c r="F251">
        <v>3700</v>
      </c>
      <c r="G251">
        <v>3700</v>
      </c>
      <c r="H251">
        <f>3700*2</f>
        <v>7400</v>
      </c>
      <c r="I251">
        <f t="shared" ref="I251:L251" si="139">3700*2</f>
        <v>7400</v>
      </c>
      <c r="J251">
        <f t="shared" si="139"/>
        <v>7400</v>
      </c>
      <c r="K251">
        <f t="shared" si="139"/>
        <v>7400</v>
      </c>
      <c r="L251">
        <f t="shared" si="139"/>
        <v>7400</v>
      </c>
    </row>
    <row r="252" spans="1:12">
      <c r="A252" t="s">
        <v>417</v>
      </c>
      <c r="B252">
        <f>1900*6</f>
        <v>11400</v>
      </c>
      <c r="H252">
        <f>1900*13</f>
        <v>24700</v>
      </c>
    </row>
    <row r="253" spans="1:12">
      <c r="A253" t="s">
        <v>414</v>
      </c>
      <c r="C253">
        <f>2300*6</f>
        <v>13800</v>
      </c>
      <c r="I253">
        <f>2300*13</f>
        <v>29900</v>
      </c>
    </row>
    <row r="254" spans="1:12">
      <c r="A254" t="s">
        <v>170</v>
      </c>
      <c r="D254">
        <f>3000*6</f>
        <v>18000</v>
      </c>
      <c r="J254">
        <f>3000*13</f>
        <v>39000</v>
      </c>
    </row>
    <row r="255" spans="1:12">
      <c r="A255" t="s">
        <v>415</v>
      </c>
      <c r="E255">
        <f>3200*6</f>
        <v>19200</v>
      </c>
      <c r="K255">
        <f>3200*13</f>
        <v>41600</v>
      </c>
    </row>
    <row r="256" spans="1:12">
      <c r="A256" t="s">
        <v>416</v>
      </c>
      <c r="F256">
        <f>2700*7</f>
        <v>18900</v>
      </c>
      <c r="G256">
        <f>2700*7</f>
        <v>18900</v>
      </c>
      <c r="L256">
        <f>2700*14</f>
        <v>37800</v>
      </c>
    </row>
    <row r="257" spans="1:12">
      <c r="A257" t="s">
        <v>360</v>
      </c>
      <c r="G257">
        <f>2600*5</f>
        <v>13000</v>
      </c>
      <c r="L257">
        <f>2600*10</f>
        <v>26000</v>
      </c>
    </row>
    <row r="258" spans="1:12">
      <c r="A258" t="s">
        <v>418</v>
      </c>
      <c r="B258">
        <v>15000</v>
      </c>
      <c r="C258">
        <v>15000</v>
      </c>
      <c r="D258">
        <v>15000</v>
      </c>
      <c r="E258">
        <v>15000</v>
      </c>
      <c r="F258">
        <v>15000</v>
      </c>
      <c r="G258">
        <v>22000</v>
      </c>
      <c r="H258">
        <v>30000</v>
      </c>
      <c r="I258">
        <v>30000</v>
      </c>
      <c r="J258">
        <v>30000</v>
      </c>
      <c r="K258">
        <v>30000</v>
      </c>
      <c r="L258">
        <v>30000</v>
      </c>
    </row>
    <row r="259" spans="1:12">
      <c r="A259" t="s">
        <v>419</v>
      </c>
      <c r="B259">
        <v>10000</v>
      </c>
      <c r="C259">
        <v>10000</v>
      </c>
      <c r="D259">
        <v>10000</v>
      </c>
      <c r="E259">
        <v>10000</v>
      </c>
      <c r="F259">
        <v>10000</v>
      </c>
      <c r="G259">
        <v>10000</v>
      </c>
      <c r="H259">
        <v>20000</v>
      </c>
      <c r="I259">
        <v>20000</v>
      </c>
      <c r="J259">
        <v>20000</v>
      </c>
      <c r="K259">
        <v>20000</v>
      </c>
      <c r="L259">
        <v>20000</v>
      </c>
    </row>
    <row r="260" spans="1:12">
      <c r="B260" s="94">
        <f>SUM(B249:B259)</f>
        <v>57100</v>
      </c>
      <c r="C260" s="94">
        <f t="shared" ref="C260:G260" si="140">SUM(C249:C259)</f>
        <v>59500</v>
      </c>
      <c r="D260" s="94">
        <f t="shared" si="140"/>
        <v>63700</v>
      </c>
      <c r="E260" s="94">
        <f t="shared" si="140"/>
        <v>64900</v>
      </c>
      <c r="F260" s="94">
        <f t="shared" si="140"/>
        <v>64600</v>
      </c>
      <c r="G260" s="94">
        <f t="shared" si="140"/>
        <v>84600</v>
      </c>
      <c r="H260" s="94">
        <f>SUM(H249:H259)</f>
        <v>105100</v>
      </c>
      <c r="I260" s="94">
        <f t="shared" ref="I260:L260" si="141">SUM(I249:I259)</f>
        <v>110300</v>
      </c>
      <c r="J260" s="94">
        <f t="shared" si="141"/>
        <v>119400</v>
      </c>
      <c r="K260" s="94">
        <f t="shared" si="141"/>
        <v>122000</v>
      </c>
      <c r="L260" s="94">
        <f t="shared" si="141"/>
        <v>144200</v>
      </c>
    </row>
    <row r="261" spans="1:12">
      <c r="A261" s="50">
        <v>0.2</v>
      </c>
      <c r="B261" s="10">
        <f>+B260*1.2</f>
        <v>68520</v>
      </c>
      <c r="C261" s="10">
        <f t="shared" ref="C261:G261" si="142">+C260*1.2</f>
        <v>71400</v>
      </c>
      <c r="D261" s="10">
        <f t="shared" si="142"/>
        <v>76440</v>
      </c>
      <c r="E261" s="10">
        <f t="shared" si="142"/>
        <v>77880</v>
      </c>
      <c r="F261" s="10">
        <f t="shared" si="142"/>
        <v>77520</v>
      </c>
      <c r="G261" s="10">
        <f t="shared" si="142"/>
        <v>101520</v>
      </c>
      <c r="H261" s="10">
        <f>+H260*1.2</f>
        <v>126120</v>
      </c>
      <c r="I261" s="10">
        <f t="shared" ref="I261:L261" si="143">+I260*1.2</f>
        <v>132360</v>
      </c>
      <c r="J261" s="10">
        <f t="shared" si="143"/>
        <v>143280</v>
      </c>
      <c r="K261" s="10">
        <f t="shared" si="143"/>
        <v>146400</v>
      </c>
      <c r="L261" s="10">
        <f t="shared" si="143"/>
        <v>173040</v>
      </c>
    </row>
    <row r="262" spans="1:12">
      <c r="A262" s="50">
        <v>0.3</v>
      </c>
      <c r="B262" s="10">
        <f t="shared" ref="B262:L262" si="144">+B260*1.3</f>
        <v>74230</v>
      </c>
      <c r="C262" s="10">
        <f t="shared" si="144"/>
        <v>77350</v>
      </c>
      <c r="D262" s="10">
        <f t="shared" si="144"/>
        <v>82810</v>
      </c>
      <c r="E262" s="10">
        <f t="shared" si="144"/>
        <v>84370</v>
      </c>
      <c r="F262" s="10">
        <f t="shared" si="144"/>
        <v>83980</v>
      </c>
      <c r="G262" s="10">
        <f t="shared" si="144"/>
        <v>109980</v>
      </c>
      <c r="H262" s="10">
        <f t="shared" si="144"/>
        <v>136630</v>
      </c>
      <c r="I262" s="10">
        <f t="shared" si="144"/>
        <v>143390</v>
      </c>
      <c r="J262" s="10">
        <f t="shared" si="144"/>
        <v>155220</v>
      </c>
      <c r="K262" s="10">
        <f t="shared" si="144"/>
        <v>158600</v>
      </c>
      <c r="L262" s="10">
        <f t="shared" si="144"/>
        <v>187460</v>
      </c>
    </row>
    <row r="263" spans="1:12">
      <c r="A263" t="s">
        <v>229</v>
      </c>
      <c r="B263">
        <v>10000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156"/>
  <sheetViews>
    <sheetView zoomScaleNormal="100" workbookViewId="0">
      <selection activeCell="G30" sqref="G30"/>
    </sheetView>
  </sheetViews>
  <sheetFormatPr baseColWidth="10" defaultRowHeight="15.75" customHeight="1"/>
  <cols>
    <col min="1" max="1" width="33.28515625" bestFit="1" customWidth="1"/>
  </cols>
  <sheetData>
    <row r="1" spans="1:7" ht="36.75" customHeight="1">
      <c r="A1" s="218" t="s">
        <v>208</v>
      </c>
      <c r="B1" s="218"/>
      <c r="C1" s="218"/>
      <c r="D1" s="218"/>
      <c r="E1" s="218"/>
      <c r="F1" s="218"/>
      <c r="G1" s="218"/>
    </row>
    <row r="2" spans="1:7" ht="27" customHeight="1">
      <c r="A2" s="217" t="s">
        <v>189</v>
      </c>
      <c r="B2" s="217"/>
      <c r="C2" s="217"/>
      <c r="D2" s="217"/>
      <c r="E2" s="217"/>
      <c r="F2" s="217"/>
      <c r="G2" s="217"/>
    </row>
    <row r="3" spans="1:7" ht="30.75" thickBot="1">
      <c r="A3" s="110" t="s">
        <v>440</v>
      </c>
      <c r="B3" s="96" t="s">
        <v>218</v>
      </c>
      <c r="C3" s="97">
        <v>0.3</v>
      </c>
      <c r="D3" s="98" t="s">
        <v>2</v>
      </c>
      <c r="E3" s="99" t="s">
        <v>277</v>
      </c>
      <c r="F3" s="96" t="s">
        <v>264</v>
      </c>
      <c r="G3" s="96" t="s">
        <v>265</v>
      </c>
    </row>
    <row r="4" spans="1:7" ht="15.75" customHeight="1">
      <c r="A4" t="s">
        <v>433</v>
      </c>
      <c r="B4">
        <v>98000</v>
      </c>
      <c r="C4">
        <f>+B4*1.3</f>
        <v>127400</v>
      </c>
      <c r="D4" s="88">
        <v>130000</v>
      </c>
      <c r="E4" s="89">
        <v>120000</v>
      </c>
      <c r="F4">
        <f t="shared" ref="F4:F5" si="0">+D4-B4</f>
        <v>32000</v>
      </c>
      <c r="G4">
        <f t="shared" ref="G4:G5" si="1">+E4-B4</f>
        <v>22000</v>
      </c>
    </row>
    <row r="5" spans="1:7" ht="15.75" customHeight="1" thickBot="1">
      <c r="A5" t="s">
        <v>434</v>
      </c>
      <c r="B5">
        <v>93000</v>
      </c>
      <c r="C5">
        <f>+B5*1.3</f>
        <v>120900</v>
      </c>
      <c r="D5" s="90">
        <v>130000</v>
      </c>
      <c r="E5" s="91">
        <v>115000</v>
      </c>
      <c r="F5">
        <f t="shared" si="0"/>
        <v>37000</v>
      </c>
      <c r="G5">
        <f t="shared" si="1"/>
        <v>22000</v>
      </c>
    </row>
    <row r="6" spans="1:7" ht="12" customHeight="1" thickBot="1"/>
    <row r="7" spans="1:7" ht="15.75" customHeight="1">
      <c r="A7" t="s">
        <v>436</v>
      </c>
      <c r="B7">
        <v>100500</v>
      </c>
      <c r="C7">
        <f>+B7*1.3</f>
        <v>130650</v>
      </c>
      <c r="D7" s="88">
        <v>130000</v>
      </c>
      <c r="E7" s="89">
        <v>120000</v>
      </c>
      <c r="F7">
        <f>+D7-B7</f>
        <v>29500</v>
      </c>
      <c r="G7">
        <f>+E7-B7</f>
        <v>19500</v>
      </c>
    </row>
    <row r="8" spans="1:7" ht="15.75" customHeight="1" thickBot="1">
      <c r="A8" t="s">
        <v>437</v>
      </c>
      <c r="B8">
        <v>96000</v>
      </c>
      <c r="C8">
        <f>+B8*1.3</f>
        <v>124800</v>
      </c>
      <c r="D8" s="90">
        <v>130000</v>
      </c>
      <c r="E8" s="91">
        <v>115000</v>
      </c>
      <c r="F8">
        <f>+D8-B8</f>
        <v>34000</v>
      </c>
      <c r="G8">
        <f>+E8-B8</f>
        <v>19000</v>
      </c>
    </row>
    <row r="9" spans="1:7" ht="12" customHeight="1" thickBot="1">
      <c r="D9" s="111"/>
      <c r="E9" s="111"/>
    </row>
    <row r="10" spans="1:7" ht="15.75" customHeight="1">
      <c r="A10" t="s">
        <v>525</v>
      </c>
      <c r="B10">
        <v>105000</v>
      </c>
      <c r="C10">
        <f>+B10*1.3</f>
        <v>136500</v>
      </c>
      <c r="D10" s="88">
        <v>135000</v>
      </c>
      <c r="E10" s="89">
        <v>125000</v>
      </c>
      <c r="F10">
        <f>+D10-B10</f>
        <v>30000</v>
      </c>
      <c r="G10">
        <f>+E10-B10</f>
        <v>20000</v>
      </c>
    </row>
    <row r="11" spans="1:7" ht="15.75" customHeight="1" thickBot="1">
      <c r="A11" t="s">
        <v>526</v>
      </c>
      <c r="B11">
        <v>99000</v>
      </c>
      <c r="C11">
        <f>+B11*1.3</f>
        <v>128700</v>
      </c>
      <c r="D11" s="90">
        <v>130000</v>
      </c>
      <c r="E11" s="91">
        <v>120000</v>
      </c>
      <c r="F11">
        <f>+D11-B11</f>
        <v>31000</v>
      </c>
      <c r="G11">
        <f>+E11-B11</f>
        <v>21000</v>
      </c>
    </row>
    <row r="12" spans="1:7" ht="12" customHeight="1" thickBot="1">
      <c r="D12" s="8"/>
      <c r="E12" s="8"/>
    </row>
    <row r="13" spans="1:7" ht="15.75" customHeight="1">
      <c r="A13" s="151" t="s">
        <v>541</v>
      </c>
      <c r="B13">
        <v>107000</v>
      </c>
      <c r="C13">
        <f>+B13*1.3</f>
        <v>139100</v>
      </c>
      <c r="D13" s="88">
        <v>140000</v>
      </c>
      <c r="E13" s="89">
        <v>130000</v>
      </c>
      <c r="F13">
        <f>+D13-B13</f>
        <v>33000</v>
      </c>
      <c r="G13">
        <f>+E13-B13</f>
        <v>23000</v>
      </c>
    </row>
    <row r="14" spans="1:7" ht="15.75" customHeight="1" thickBot="1">
      <c r="A14" s="151" t="s">
        <v>542</v>
      </c>
      <c r="B14">
        <v>96000</v>
      </c>
      <c r="C14">
        <f>+B14*1.3</f>
        <v>124800</v>
      </c>
      <c r="D14" s="90">
        <v>130000</v>
      </c>
      <c r="E14" s="91">
        <v>120000</v>
      </c>
      <c r="F14">
        <f>+D14-B14</f>
        <v>34000</v>
      </c>
      <c r="G14">
        <f>+E14-B14</f>
        <v>24000</v>
      </c>
    </row>
    <row r="15" spans="1:7" ht="12" customHeight="1"/>
    <row r="16" spans="1:7" ht="15.75" customHeight="1">
      <c r="A16" s="114" t="s">
        <v>438</v>
      </c>
      <c r="B16" t="s">
        <v>435</v>
      </c>
      <c r="C16">
        <v>20000</v>
      </c>
      <c r="D16" t="s">
        <v>449</v>
      </c>
      <c r="E16" s="111"/>
    </row>
    <row r="17" spans="1:7" ht="15.75" customHeight="1">
      <c r="A17" s="114" t="s">
        <v>439</v>
      </c>
      <c r="B17" t="s">
        <v>435</v>
      </c>
      <c r="C17">
        <v>20000</v>
      </c>
      <c r="D17" t="s">
        <v>449</v>
      </c>
    </row>
    <row r="18" spans="1:7" ht="15.75" customHeight="1">
      <c r="A18" s="114" t="s">
        <v>441</v>
      </c>
      <c r="B18" t="s">
        <v>435</v>
      </c>
      <c r="C18" s="112">
        <v>10000</v>
      </c>
      <c r="D18" t="s">
        <v>449</v>
      </c>
    </row>
    <row r="19" spans="1:7" ht="15.75" customHeight="1">
      <c r="A19" s="114" t="s">
        <v>548</v>
      </c>
      <c r="B19" t="s">
        <v>549</v>
      </c>
      <c r="C19" s="112">
        <v>15000</v>
      </c>
      <c r="D19" t="s">
        <v>449</v>
      </c>
    </row>
    <row r="20" spans="1:7" ht="12" customHeight="1"/>
    <row r="21" spans="1:7" ht="30.75" thickBot="1">
      <c r="A21" s="110" t="s">
        <v>442</v>
      </c>
      <c r="B21" s="96" t="s">
        <v>218</v>
      </c>
      <c r="C21" s="97">
        <v>0.3</v>
      </c>
      <c r="D21" s="98" t="s">
        <v>2</v>
      </c>
      <c r="E21" s="99" t="s">
        <v>277</v>
      </c>
      <c r="F21" s="96" t="s">
        <v>264</v>
      </c>
      <c r="G21" s="96" t="s">
        <v>265</v>
      </c>
    </row>
    <row r="22" spans="1:7" ht="15.75" customHeight="1">
      <c r="A22" t="s">
        <v>445</v>
      </c>
      <c r="B22">
        <v>134000</v>
      </c>
      <c r="C22">
        <f>+B22*1.3</f>
        <v>174200</v>
      </c>
      <c r="D22" s="88">
        <v>165000</v>
      </c>
      <c r="E22" s="89">
        <v>155000</v>
      </c>
      <c r="F22">
        <f>+D22-B22</f>
        <v>31000</v>
      </c>
      <c r="G22">
        <f>+E22-B22</f>
        <v>21000</v>
      </c>
    </row>
    <row r="23" spans="1:7" ht="15.75" customHeight="1" thickBot="1">
      <c r="A23" t="s">
        <v>446</v>
      </c>
      <c r="B23">
        <v>126000</v>
      </c>
      <c r="C23">
        <f>+B23*1.3</f>
        <v>163800</v>
      </c>
      <c r="D23" s="90">
        <v>165000</v>
      </c>
      <c r="E23" s="91">
        <v>150000</v>
      </c>
      <c r="F23">
        <f t="shared" ref="F23" si="2">+D23-B23</f>
        <v>39000</v>
      </c>
      <c r="G23">
        <f t="shared" ref="G23" si="3">+E23-B23</f>
        <v>24000</v>
      </c>
    </row>
    <row r="24" spans="1:7" ht="12" customHeight="1" thickBot="1"/>
    <row r="25" spans="1:7" ht="15.75" customHeight="1">
      <c r="A25" t="s">
        <v>443</v>
      </c>
      <c r="B25">
        <v>144000</v>
      </c>
      <c r="C25">
        <f>+B25*1.3</f>
        <v>187200</v>
      </c>
      <c r="D25" s="88">
        <v>175000</v>
      </c>
      <c r="E25" s="89">
        <v>165000</v>
      </c>
      <c r="F25">
        <f>+D25-B25</f>
        <v>31000</v>
      </c>
      <c r="G25">
        <f>+E25-B25</f>
        <v>21000</v>
      </c>
    </row>
    <row r="26" spans="1:7" ht="15.75" customHeight="1" thickBot="1">
      <c r="A26" t="s">
        <v>444</v>
      </c>
      <c r="B26">
        <v>134000</v>
      </c>
      <c r="C26">
        <f>+B26*1.3</f>
        <v>174200</v>
      </c>
      <c r="D26" s="90">
        <v>175000</v>
      </c>
      <c r="E26" s="91">
        <v>155000</v>
      </c>
      <c r="F26">
        <f>+D26-B26</f>
        <v>41000</v>
      </c>
      <c r="G26">
        <f>+E26-B26</f>
        <v>21000</v>
      </c>
    </row>
    <row r="27" spans="1:7" ht="12" customHeight="1" thickBot="1"/>
    <row r="28" spans="1:7" ht="15.75" customHeight="1">
      <c r="A28" t="s">
        <v>447</v>
      </c>
      <c r="B28">
        <v>152000</v>
      </c>
      <c r="C28">
        <f>+B28*1.3</f>
        <v>197600</v>
      </c>
      <c r="D28" s="88">
        <v>185000</v>
      </c>
      <c r="E28" s="89">
        <v>170000</v>
      </c>
      <c r="F28">
        <f t="shared" ref="F28:F29" si="4">+D28-B28</f>
        <v>33000</v>
      </c>
      <c r="G28">
        <f t="shared" ref="G28:G29" si="5">+E28-B28</f>
        <v>18000</v>
      </c>
    </row>
    <row r="29" spans="1:7" ht="15.75" customHeight="1" thickBot="1">
      <c r="A29" t="s">
        <v>448</v>
      </c>
      <c r="B29">
        <v>144000</v>
      </c>
      <c r="C29" s="6">
        <f>+B29*1.3</f>
        <v>187200</v>
      </c>
      <c r="D29" s="90">
        <v>185000</v>
      </c>
      <c r="E29" s="91">
        <v>165000</v>
      </c>
      <c r="F29">
        <f t="shared" si="4"/>
        <v>41000</v>
      </c>
      <c r="G29">
        <f t="shared" si="5"/>
        <v>21000</v>
      </c>
    </row>
    <row r="30" spans="1:7" ht="12" customHeight="1" thickBot="1">
      <c r="B30" s="5"/>
      <c r="D30" s="8"/>
      <c r="E30" s="8"/>
    </row>
    <row r="31" spans="1:7" ht="15.75" customHeight="1">
      <c r="A31" t="s">
        <v>527</v>
      </c>
      <c r="B31">
        <v>153000</v>
      </c>
      <c r="C31">
        <f>+B31*1.3</f>
        <v>198900</v>
      </c>
      <c r="D31" s="88">
        <v>190000</v>
      </c>
      <c r="E31" s="89">
        <v>175000</v>
      </c>
      <c r="F31">
        <f>+D31-B31</f>
        <v>37000</v>
      </c>
      <c r="G31">
        <f>+E31-B31</f>
        <v>22000</v>
      </c>
    </row>
    <row r="32" spans="1:7" ht="15.75" customHeight="1">
      <c r="A32" t="s">
        <v>528</v>
      </c>
      <c r="B32">
        <v>145000</v>
      </c>
      <c r="C32">
        <f>+B32*1.3</f>
        <v>188500</v>
      </c>
      <c r="D32" s="70">
        <v>180000</v>
      </c>
      <c r="E32" s="72">
        <v>170000</v>
      </c>
      <c r="F32">
        <f>+D32-B32</f>
        <v>35000</v>
      </c>
      <c r="G32">
        <f>+E32-B32</f>
        <v>25000</v>
      </c>
    </row>
    <row r="33" spans="1:7" ht="15.75" customHeight="1" thickBot="1">
      <c r="A33" t="s">
        <v>453</v>
      </c>
      <c r="B33">
        <v>164000</v>
      </c>
      <c r="C33">
        <f t="shared" ref="C33" si="6">+B33*1.3</f>
        <v>213200</v>
      </c>
      <c r="D33" s="90">
        <v>200000</v>
      </c>
      <c r="E33" s="91">
        <v>190000</v>
      </c>
      <c r="F33">
        <f>+D33-B33</f>
        <v>36000</v>
      </c>
      <c r="G33">
        <f>+E33-B33</f>
        <v>26000</v>
      </c>
    </row>
    <row r="34" spans="1:7" ht="12" customHeight="1" thickBot="1"/>
    <row r="35" spans="1:7" ht="15.75" customHeight="1" thickBot="1">
      <c r="A35" s="151" t="s">
        <v>543</v>
      </c>
      <c r="B35">
        <v>143000</v>
      </c>
      <c r="C35">
        <f>+B35*1.3</f>
        <v>185900</v>
      </c>
      <c r="D35" s="92">
        <v>180000</v>
      </c>
      <c r="E35" s="93">
        <v>170000</v>
      </c>
      <c r="F35">
        <f>+D35-B35</f>
        <v>37000</v>
      </c>
      <c r="G35">
        <f>+E35-B35</f>
        <v>27000</v>
      </c>
    </row>
    <row r="36" spans="1:7" ht="12" customHeight="1"/>
    <row r="37" spans="1:7" ht="15.75" customHeight="1">
      <c r="A37" s="114" t="s">
        <v>450</v>
      </c>
      <c r="B37" t="s">
        <v>452</v>
      </c>
      <c r="C37" s="10">
        <v>10000</v>
      </c>
      <c r="D37" t="s">
        <v>449</v>
      </c>
    </row>
    <row r="38" spans="1:7" ht="15.75" customHeight="1">
      <c r="A38" s="114" t="s">
        <v>451</v>
      </c>
      <c r="B38" t="s">
        <v>435</v>
      </c>
      <c r="C38" s="10">
        <v>35000</v>
      </c>
      <c r="D38" t="s">
        <v>449</v>
      </c>
    </row>
    <row r="39" spans="1:7" ht="15.75" customHeight="1">
      <c r="A39" s="114" t="s">
        <v>486</v>
      </c>
      <c r="B39" t="s">
        <v>488</v>
      </c>
      <c r="C39" s="10">
        <v>10000</v>
      </c>
    </row>
    <row r="40" spans="1:7" ht="15.75" customHeight="1">
      <c r="A40" s="114" t="s">
        <v>487</v>
      </c>
      <c r="B40" t="s">
        <v>488</v>
      </c>
      <c r="C40" s="10">
        <v>30000</v>
      </c>
    </row>
    <row r="41" spans="1:7" ht="15.75" customHeight="1">
      <c r="A41" s="114" t="s">
        <v>548</v>
      </c>
      <c r="B41" t="s">
        <v>549</v>
      </c>
      <c r="C41" s="10">
        <v>15000</v>
      </c>
      <c r="D41" t="s">
        <v>449</v>
      </c>
    </row>
    <row r="42" spans="1:7" ht="12" customHeight="1"/>
    <row r="43" spans="1:7" ht="28.5" customHeight="1" thickBot="1">
      <c r="A43" s="113" t="s">
        <v>470</v>
      </c>
      <c r="B43" s="96" t="s">
        <v>218</v>
      </c>
      <c r="C43" s="97">
        <v>0.3</v>
      </c>
      <c r="D43" s="98" t="s">
        <v>2</v>
      </c>
      <c r="E43" s="99" t="s">
        <v>277</v>
      </c>
      <c r="F43" s="96" t="s">
        <v>264</v>
      </c>
      <c r="G43" s="96" t="s">
        <v>265</v>
      </c>
    </row>
    <row r="44" spans="1:7" ht="15.75" customHeight="1">
      <c r="A44" t="s">
        <v>471</v>
      </c>
      <c r="B44">
        <v>136000</v>
      </c>
      <c r="C44">
        <f t="shared" ref="C44:C47" si="7">+B44*1.3</f>
        <v>176800</v>
      </c>
      <c r="D44" s="88">
        <v>180000</v>
      </c>
      <c r="E44" s="89">
        <v>160000</v>
      </c>
      <c r="F44">
        <f>+D44-B44</f>
        <v>44000</v>
      </c>
      <c r="G44">
        <f>+E44-B44</f>
        <v>24000</v>
      </c>
    </row>
    <row r="45" spans="1:7" ht="15.75" customHeight="1">
      <c r="A45" t="s">
        <v>472</v>
      </c>
      <c r="B45">
        <v>125000</v>
      </c>
      <c r="C45">
        <f t="shared" si="7"/>
        <v>162500</v>
      </c>
      <c r="D45" s="70">
        <v>170000</v>
      </c>
      <c r="E45" s="72">
        <v>150000</v>
      </c>
      <c r="F45">
        <f>+D45-B45</f>
        <v>45000</v>
      </c>
      <c r="G45">
        <f>+E45-B45</f>
        <v>25000</v>
      </c>
    </row>
    <row r="46" spans="1:7" ht="15.75" customHeight="1">
      <c r="A46" t="s">
        <v>473</v>
      </c>
      <c r="B46">
        <v>155000</v>
      </c>
      <c r="C46">
        <f t="shared" si="7"/>
        <v>201500</v>
      </c>
      <c r="D46" s="70">
        <v>200000</v>
      </c>
      <c r="E46" s="72">
        <v>180000</v>
      </c>
      <c r="F46">
        <f t="shared" ref="F46:F47" si="8">+D46-B46</f>
        <v>45000</v>
      </c>
      <c r="G46">
        <f t="shared" ref="G46:G47" si="9">+E46-B46</f>
        <v>25000</v>
      </c>
    </row>
    <row r="47" spans="1:7" ht="15.75" customHeight="1" thickBot="1">
      <c r="A47" t="s">
        <v>474</v>
      </c>
      <c r="B47">
        <v>144000</v>
      </c>
      <c r="C47">
        <f t="shared" si="7"/>
        <v>187200</v>
      </c>
      <c r="D47" s="90">
        <v>190000</v>
      </c>
      <c r="E47" s="91">
        <v>170000</v>
      </c>
      <c r="F47">
        <f t="shared" si="8"/>
        <v>46000</v>
      </c>
      <c r="G47">
        <f t="shared" si="9"/>
        <v>26000</v>
      </c>
    </row>
    <row r="48" spans="1:7" ht="12" customHeight="1">
      <c r="D48" s="8"/>
      <c r="E48" s="8"/>
    </row>
    <row r="49" spans="1:7" ht="33.75" customHeight="1" thickBot="1">
      <c r="A49" s="113" t="s">
        <v>529</v>
      </c>
      <c r="B49" s="96" t="s">
        <v>218</v>
      </c>
      <c r="C49" s="97">
        <v>0.3</v>
      </c>
      <c r="D49" s="98" t="s">
        <v>2</v>
      </c>
      <c r="E49" s="99" t="s">
        <v>277</v>
      </c>
      <c r="F49" s="96" t="s">
        <v>264</v>
      </c>
      <c r="G49" s="96" t="s">
        <v>265</v>
      </c>
    </row>
    <row r="50" spans="1:7" ht="15.75" customHeight="1">
      <c r="A50" t="s">
        <v>471</v>
      </c>
      <c r="B50">
        <v>163000</v>
      </c>
      <c r="C50">
        <f t="shared" ref="C50:C53" si="10">+B50*1.3</f>
        <v>211900</v>
      </c>
      <c r="D50" s="88">
        <v>210000</v>
      </c>
      <c r="E50" s="89">
        <v>190000</v>
      </c>
      <c r="F50">
        <f>+D50-B50</f>
        <v>47000</v>
      </c>
      <c r="G50">
        <f>+E50-B50</f>
        <v>27000</v>
      </c>
    </row>
    <row r="51" spans="1:7" ht="15.75" customHeight="1">
      <c r="A51" t="s">
        <v>472</v>
      </c>
      <c r="B51">
        <v>147000</v>
      </c>
      <c r="C51">
        <f t="shared" si="10"/>
        <v>191100</v>
      </c>
      <c r="D51" s="70">
        <v>190000</v>
      </c>
      <c r="E51" s="72">
        <v>175000</v>
      </c>
      <c r="F51">
        <f>+D51-B51</f>
        <v>43000</v>
      </c>
      <c r="G51">
        <f>+E51-B51</f>
        <v>28000</v>
      </c>
    </row>
    <row r="52" spans="1:7" ht="15.75" customHeight="1">
      <c r="A52" t="s">
        <v>473</v>
      </c>
      <c r="B52">
        <v>174000</v>
      </c>
      <c r="C52">
        <f t="shared" si="10"/>
        <v>226200</v>
      </c>
      <c r="D52" s="70">
        <v>230000</v>
      </c>
      <c r="E52" s="72">
        <v>210000</v>
      </c>
      <c r="F52">
        <f t="shared" ref="F52:F53" si="11">+D52-B52</f>
        <v>56000</v>
      </c>
      <c r="G52">
        <f t="shared" ref="G52:G53" si="12">+E52-B52</f>
        <v>36000</v>
      </c>
    </row>
    <row r="53" spans="1:7" ht="15.75" customHeight="1" thickBot="1">
      <c r="A53" t="s">
        <v>474</v>
      </c>
      <c r="B53">
        <v>163000</v>
      </c>
      <c r="C53">
        <f t="shared" si="10"/>
        <v>211900</v>
      </c>
      <c r="D53" s="90">
        <v>210000</v>
      </c>
      <c r="E53" s="91">
        <v>190000</v>
      </c>
      <c r="F53">
        <f t="shared" si="11"/>
        <v>47000</v>
      </c>
      <c r="G53">
        <f t="shared" si="12"/>
        <v>27000</v>
      </c>
    </row>
    <row r="54" spans="1:7" ht="12" customHeight="1"/>
    <row r="55" spans="1:7" ht="30.75" thickBot="1">
      <c r="A55" s="133" t="s">
        <v>454</v>
      </c>
      <c r="B55" s="96" t="s">
        <v>218</v>
      </c>
      <c r="C55" s="97">
        <v>0.3</v>
      </c>
      <c r="D55" s="98" t="s">
        <v>2</v>
      </c>
      <c r="E55" s="99" t="s">
        <v>277</v>
      </c>
      <c r="F55" s="96" t="s">
        <v>264</v>
      </c>
      <c r="G55" s="96" t="s">
        <v>265</v>
      </c>
    </row>
    <row r="56" spans="1:7" ht="15.75" customHeight="1">
      <c r="A56" t="s">
        <v>287</v>
      </c>
      <c r="B56">
        <v>200000</v>
      </c>
      <c r="C56">
        <f>+B56*1.3</f>
        <v>260000</v>
      </c>
      <c r="D56" s="88">
        <v>260000</v>
      </c>
      <c r="E56" s="89">
        <v>240000</v>
      </c>
      <c r="F56">
        <f>+D56-B56</f>
        <v>60000</v>
      </c>
      <c r="G56">
        <f>+E56-B56</f>
        <v>40000</v>
      </c>
    </row>
    <row r="57" spans="1:7" ht="15.75" customHeight="1">
      <c r="A57" t="s">
        <v>455</v>
      </c>
      <c r="B57">
        <v>207000</v>
      </c>
      <c r="C57">
        <f>+B57*1.3</f>
        <v>269100</v>
      </c>
      <c r="D57" s="70">
        <v>270000</v>
      </c>
      <c r="E57" s="72">
        <v>260000</v>
      </c>
      <c r="F57">
        <f>+D57-B57</f>
        <v>63000</v>
      </c>
      <c r="G57">
        <f>+E57-B57</f>
        <v>53000</v>
      </c>
    </row>
    <row r="58" spans="1:7" ht="15.75" customHeight="1">
      <c r="A58" t="s">
        <v>290</v>
      </c>
      <c r="B58">
        <v>189000</v>
      </c>
      <c r="C58">
        <f>+B58*1.3</f>
        <v>245700</v>
      </c>
      <c r="D58" s="70">
        <v>250000</v>
      </c>
      <c r="E58" s="72">
        <v>230000</v>
      </c>
      <c r="F58">
        <f>+D58-B58</f>
        <v>61000</v>
      </c>
      <c r="G58">
        <f>+E58-B58</f>
        <v>41000</v>
      </c>
    </row>
    <row r="59" spans="1:7" ht="15.75" customHeight="1" thickBot="1">
      <c r="A59" t="s">
        <v>292</v>
      </c>
      <c r="B59">
        <v>196000</v>
      </c>
      <c r="C59">
        <f>+B59*1.3</f>
        <v>254800</v>
      </c>
      <c r="D59" s="90">
        <v>260000</v>
      </c>
      <c r="E59" s="91">
        <v>240000</v>
      </c>
      <c r="F59">
        <f>+D59-B59</f>
        <v>64000</v>
      </c>
      <c r="G59">
        <f>+E59-B59</f>
        <v>44000</v>
      </c>
    </row>
    <row r="60" spans="1:7" ht="12" customHeight="1" thickBot="1"/>
    <row r="61" spans="1:7" ht="15.75" customHeight="1">
      <c r="A61" t="s">
        <v>460</v>
      </c>
      <c r="B61">
        <v>217000</v>
      </c>
      <c r="C61">
        <f t="shared" ref="C61" si="13">+B61*1.3</f>
        <v>282100</v>
      </c>
      <c r="D61" s="88">
        <v>280000</v>
      </c>
      <c r="E61" s="89">
        <v>260000</v>
      </c>
      <c r="F61">
        <f t="shared" ref="F61" si="14">+D61-B61</f>
        <v>63000</v>
      </c>
      <c r="G61">
        <f t="shared" ref="G61" si="15">+E61-B61</f>
        <v>43000</v>
      </c>
    </row>
    <row r="62" spans="1:7" ht="15.75" customHeight="1">
      <c r="A62" t="s">
        <v>461</v>
      </c>
      <c r="B62">
        <v>224000</v>
      </c>
      <c r="C62">
        <f>+B62*1.3</f>
        <v>291200</v>
      </c>
      <c r="D62" s="70">
        <v>290000</v>
      </c>
      <c r="E62" s="72">
        <v>270000</v>
      </c>
      <c r="F62">
        <f>+D62-B62</f>
        <v>66000</v>
      </c>
      <c r="G62">
        <f>+E62-B62</f>
        <v>46000</v>
      </c>
    </row>
    <row r="63" spans="1:7" ht="15.75" customHeight="1">
      <c r="A63" t="s">
        <v>462</v>
      </c>
      <c r="B63">
        <v>214000</v>
      </c>
      <c r="C63">
        <f>+B63*1.3</f>
        <v>278200</v>
      </c>
      <c r="D63" s="70">
        <v>280000</v>
      </c>
      <c r="E63" s="72">
        <v>260000</v>
      </c>
      <c r="F63">
        <f>+D63-B63</f>
        <v>66000</v>
      </c>
      <c r="G63">
        <f>+E63-B63</f>
        <v>46000</v>
      </c>
    </row>
    <row r="64" spans="1:7" ht="15.75" customHeight="1" thickBot="1">
      <c r="A64" t="s">
        <v>463</v>
      </c>
      <c r="B64">
        <v>221000</v>
      </c>
      <c r="C64">
        <f>+B64*1.3</f>
        <v>287300</v>
      </c>
      <c r="D64" s="90">
        <v>285000</v>
      </c>
      <c r="E64" s="91">
        <v>265000</v>
      </c>
      <c r="F64">
        <f>+D64-B64</f>
        <v>64000</v>
      </c>
      <c r="G64">
        <f>+E64-B64</f>
        <v>44000</v>
      </c>
    </row>
    <row r="65" spans="1:7" ht="12" customHeight="1" thickBot="1">
      <c r="D65" s="8"/>
      <c r="E65" s="8"/>
    </row>
    <row r="66" spans="1:7" ht="15.75" customHeight="1">
      <c r="A66" s="151" t="s">
        <v>544</v>
      </c>
      <c r="B66">
        <v>180000</v>
      </c>
      <c r="C66">
        <f t="shared" ref="C66" si="16">+B66*1.3</f>
        <v>234000</v>
      </c>
      <c r="D66" s="88">
        <v>250000</v>
      </c>
      <c r="E66" s="89">
        <v>240000</v>
      </c>
      <c r="F66">
        <f t="shared" ref="F66" si="17">+D66-B66</f>
        <v>70000</v>
      </c>
      <c r="G66">
        <f t="shared" ref="G66" si="18">+E66-B66</f>
        <v>60000</v>
      </c>
    </row>
    <row r="67" spans="1:7" ht="15.75" customHeight="1">
      <c r="A67" s="151" t="s">
        <v>545</v>
      </c>
      <c r="B67">
        <v>187000</v>
      </c>
      <c r="C67">
        <f>+B67*1.3</f>
        <v>243100</v>
      </c>
      <c r="D67" s="70">
        <v>250000</v>
      </c>
      <c r="E67" s="72">
        <v>240000</v>
      </c>
      <c r="F67">
        <f>+D67-B67</f>
        <v>63000</v>
      </c>
      <c r="G67">
        <f>+E67-B67</f>
        <v>53000</v>
      </c>
    </row>
    <row r="68" spans="1:7" ht="15.75" customHeight="1">
      <c r="A68" s="151" t="s">
        <v>546</v>
      </c>
      <c r="B68">
        <v>172000</v>
      </c>
      <c r="C68">
        <f>+B68*1.3</f>
        <v>223600</v>
      </c>
      <c r="D68" s="70">
        <v>240000</v>
      </c>
      <c r="E68" s="72">
        <v>230000</v>
      </c>
      <c r="F68">
        <f>+D68-B68</f>
        <v>68000</v>
      </c>
      <c r="G68">
        <f>+E68-B68</f>
        <v>58000</v>
      </c>
    </row>
    <row r="69" spans="1:7" ht="15.75" customHeight="1" thickBot="1">
      <c r="A69" s="151" t="s">
        <v>547</v>
      </c>
      <c r="B69">
        <v>179000</v>
      </c>
      <c r="C69">
        <f>+B69*1.3</f>
        <v>232700</v>
      </c>
      <c r="D69" s="90">
        <v>240000</v>
      </c>
      <c r="E69" s="91">
        <v>230000</v>
      </c>
      <c r="F69">
        <f>+D69-B69</f>
        <v>61000</v>
      </c>
      <c r="G69">
        <f>+E69-B69</f>
        <v>51000</v>
      </c>
    </row>
    <row r="70" spans="1:7" ht="12" customHeight="1">
      <c r="D70" s="8"/>
      <c r="E70" s="8"/>
    </row>
    <row r="71" spans="1:7" ht="15.75" customHeight="1">
      <c r="A71" s="114" t="s">
        <v>457</v>
      </c>
      <c r="B71" t="s">
        <v>456</v>
      </c>
      <c r="C71" s="10">
        <v>15000</v>
      </c>
      <c r="D71" t="s">
        <v>458</v>
      </c>
    </row>
    <row r="72" spans="1:7" ht="15.75" customHeight="1">
      <c r="A72" s="114" t="s">
        <v>451</v>
      </c>
      <c r="B72" t="s">
        <v>459</v>
      </c>
      <c r="C72" s="10">
        <v>40000</v>
      </c>
      <c r="D72" t="s">
        <v>458</v>
      </c>
    </row>
    <row r="73" spans="1:7" ht="12" customHeight="1"/>
    <row r="74" spans="1:7" ht="30.75" thickBot="1">
      <c r="A74" s="132" t="s">
        <v>466</v>
      </c>
      <c r="B74" s="96" t="s">
        <v>218</v>
      </c>
      <c r="C74" s="97">
        <v>0.3</v>
      </c>
      <c r="D74" s="98" t="s">
        <v>2</v>
      </c>
      <c r="E74" s="99" t="s">
        <v>277</v>
      </c>
      <c r="F74" s="96" t="s">
        <v>264</v>
      </c>
      <c r="G74" s="96" t="s">
        <v>265</v>
      </c>
    </row>
    <row r="75" spans="1:7" ht="15.75" customHeight="1">
      <c r="A75" t="s">
        <v>468</v>
      </c>
      <c r="B75">
        <v>260000</v>
      </c>
      <c r="C75">
        <f>+B75*1.3</f>
        <v>338000</v>
      </c>
      <c r="D75" s="88">
        <v>340000</v>
      </c>
      <c r="E75" s="89">
        <v>315000</v>
      </c>
      <c r="F75">
        <f>+D75-B75</f>
        <v>80000</v>
      </c>
      <c r="G75" s="55">
        <f>+E75-B75</f>
        <v>55000</v>
      </c>
    </row>
    <row r="76" spans="1:7" ht="15.75" customHeight="1" thickBot="1">
      <c r="A76" t="s">
        <v>467</v>
      </c>
      <c r="B76">
        <v>267000</v>
      </c>
      <c r="C76">
        <f>+B76*1.3</f>
        <v>347100</v>
      </c>
      <c r="D76" s="90">
        <v>350000</v>
      </c>
      <c r="E76" s="91">
        <v>325000</v>
      </c>
      <c r="F76">
        <f t="shared" ref="F76" si="19">+D76-B76</f>
        <v>83000</v>
      </c>
      <c r="G76">
        <f t="shared" ref="G76" si="20">+E76-B76</f>
        <v>58000</v>
      </c>
    </row>
    <row r="77" spans="1:7" ht="12" customHeight="1">
      <c r="D77" s="8"/>
      <c r="E77" s="8"/>
    </row>
    <row r="78" spans="1:7" ht="15.75" customHeight="1">
      <c r="A78" s="115" t="s">
        <v>464</v>
      </c>
      <c r="B78" s="5" t="s">
        <v>465</v>
      </c>
      <c r="C78" s="53">
        <v>15000</v>
      </c>
      <c r="D78" s="8" t="s">
        <v>458</v>
      </c>
      <c r="F78" s="5"/>
      <c r="G78" s="5"/>
    </row>
    <row r="79" spans="1:7" ht="15.75" customHeight="1">
      <c r="A79" s="114" t="s">
        <v>469</v>
      </c>
      <c r="B79" t="s">
        <v>465</v>
      </c>
      <c r="C79" s="10">
        <v>10000</v>
      </c>
      <c r="D79" s="8" t="s">
        <v>458</v>
      </c>
      <c r="E79" s="8"/>
    </row>
    <row r="80" spans="1:7" ht="15.75" customHeight="1">
      <c r="A80" s="114" t="s">
        <v>475</v>
      </c>
      <c r="B80" t="s">
        <v>476</v>
      </c>
      <c r="C80" s="10">
        <v>40000</v>
      </c>
      <c r="D80" s="8" t="s">
        <v>458</v>
      </c>
    </row>
    <row r="81" spans="1:7" ht="12" customHeight="1"/>
    <row r="82" spans="1:7" ht="32.25" customHeight="1" thickBot="1">
      <c r="A82" s="132" t="s">
        <v>300</v>
      </c>
      <c r="B82" s="96" t="s">
        <v>218</v>
      </c>
      <c r="C82" s="97">
        <v>0.3</v>
      </c>
      <c r="D82" s="98" t="s">
        <v>2</v>
      </c>
      <c r="E82" s="99" t="s">
        <v>277</v>
      </c>
      <c r="F82" s="96" t="s">
        <v>264</v>
      </c>
      <c r="G82" s="96" t="s">
        <v>265</v>
      </c>
    </row>
    <row r="83" spans="1:7" ht="15.75" customHeight="1" thickBot="1">
      <c r="A83" t="s">
        <v>289</v>
      </c>
      <c r="B83">
        <v>416000</v>
      </c>
      <c r="C83" s="116">
        <f>+B83*1.3</f>
        <v>540800</v>
      </c>
      <c r="D83" s="92">
        <v>550000</v>
      </c>
      <c r="E83" s="93">
        <v>500000</v>
      </c>
      <c r="F83">
        <f>+D83-B83</f>
        <v>134000</v>
      </c>
      <c r="G83" s="55">
        <f>+E83-B83</f>
        <v>84000</v>
      </c>
    </row>
    <row r="84" spans="1:7" ht="12" customHeight="1">
      <c r="C84" s="117"/>
    </row>
    <row r="85" spans="1:7" ht="28.5" customHeight="1" thickBot="1">
      <c r="A85" s="132" t="s">
        <v>301</v>
      </c>
      <c r="B85" s="96" t="s">
        <v>218</v>
      </c>
      <c r="C85" s="118">
        <v>0.3</v>
      </c>
      <c r="D85" s="98" t="s">
        <v>2</v>
      </c>
      <c r="E85" s="99" t="s">
        <v>277</v>
      </c>
      <c r="F85" s="96" t="s">
        <v>264</v>
      </c>
      <c r="G85" s="96" t="s">
        <v>265</v>
      </c>
    </row>
    <row r="86" spans="1:7" ht="15.75" customHeight="1" thickBot="1">
      <c r="A86" t="s">
        <v>289</v>
      </c>
      <c r="B86">
        <v>212000</v>
      </c>
      <c r="C86" s="116">
        <f>+B86*1.3</f>
        <v>275600</v>
      </c>
      <c r="D86" s="92">
        <v>280000</v>
      </c>
      <c r="E86" s="93">
        <v>260000</v>
      </c>
      <c r="F86">
        <f>+D86-B86</f>
        <v>68000</v>
      </c>
      <c r="G86" s="55">
        <f>+E86-B86</f>
        <v>48000</v>
      </c>
    </row>
    <row r="87" spans="1:7" ht="12" customHeight="1">
      <c r="C87" s="117"/>
    </row>
    <row r="88" spans="1:7" ht="28.5" customHeight="1" thickBot="1">
      <c r="A88" s="113" t="s">
        <v>302</v>
      </c>
      <c r="B88" s="96" t="s">
        <v>218</v>
      </c>
      <c r="C88" s="118">
        <v>0.3</v>
      </c>
      <c r="D88" s="98" t="s">
        <v>2</v>
      </c>
      <c r="E88" s="99" t="s">
        <v>277</v>
      </c>
      <c r="F88" s="96" t="s">
        <v>264</v>
      </c>
      <c r="G88" s="96" t="s">
        <v>265</v>
      </c>
    </row>
    <row r="89" spans="1:7" ht="15.75" customHeight="1" thickBot="1">
      <c r="A89" t="s">
        <v>289</v>
      </c>
      <c r="B89">
        <v>355000</v>
      </c>
      <c r="C89" s="116">
        <f>+B89*1.3</f>
        <v>461500</v>
      </c>
      <c r="D89" s="92">
        <v>460000</v>
      </c>
      <c r="E89" s="93">
        <v>450000</v>
      </c>
      <c r="F89">
        <f>+D89-B89</f>
        <v>105000</v>
      </c>
      <c r="G89" s="55">
        <f>+E89-B89</f>
        <v>95000</v>
      </c>
    </row>
    <row r="90" spans="1:7" ht="12" customHeight="1">
      <c r="C90" s="117"/>
    </row>
    <row r="91" spans="1:7" ht="28.5" customHeight="1" thickBot="1">
      <c r="A91" s="132" t="s">
        <v>270</v>
      </c>
      <c r="B91" s="96" t="s">
        <v>218</v>
      </c>
      <c r="C91" s="118">
        <v>0.3</v>
      </c>
      <c r="D91" s="98" t="s">
        <v>2</v>
      </c>
      <c r="E91" s="99" t="s">
        <v>277</v>
      </c>
      <c r="F91" s="96" t="s">
        <v>264</v>
      </c>
      <c r="G91" s="96" t="s">
        <v>265</v>
      </c>
    </row>
    <row r="92" spans="1:7" ht="15.75" customHeight="1">
      <c r="A92" t="s">
        <v>271</v>
      </c>
      <c r="B92">
        <v>831000</v>
      </c>
      <c r="C92" s="116">
        <f>+B92*1.3</f>
        <v>1080300</v>
      </c>
      <c r="D92" s="88">
        <v>1100000</v>
      </c>
      <c r="E92" s="89">
        <v>1000000</v>
      </c>
      <c r="F92">
        <f>+D92-B92</f>
        <v>269000</v>
      </c>
      <c r="G92" s="55">
        <f>+E92-B92</f>
        <v>169000</v>
      </c>
    </row>
    <row r="93" spans="1:7" ht="15.75" customHeight="1" thickBot="1">
      <c r="A93" t="s">
        <v>477</v>
      </c>
      <c r="B93">
        <v>890000</v>
      </c>
      <c r="C93" s="116">
        <f>+B93*1.3</f>
        <v>1157000</v>
      </c>
      <c r="D93" s="90">
        <v>1300000</v>
      </c>
      <c r="E93" s="91">
        <v>1200000</v>
      </c>
      <c r="F93">
        <f>+D93-B93</f>
        <v>410000</v>
      </c>
      <c r="G93" s="55">
        <f>+E93-B93</f>
        <v>310000</v>
      </c>
    </row>
    <row r="94" spans="1:7" ht="12" customHeight="1">
      <c r="C94" s="116"/>
      <c r="D94" s="8"/>
      <c r="E94" s="8"/>
      <c r="G94" s="55"/>
    </row>
    <row r="95" spans="1:7" ht="15.75" customHeight="1">
      <c r="A95" s="114" t="s">
        <v>486</v>
      </c>
      <c r="B95" t="s">
        <v>488</v>
      </c>
      <c r="C95" s="10">
        <v>25000</v>
      </c>
      <c r="D95" s="8"/>
      <c r="E95" s="8"/>
      <c r="G95" s="55"/>
    </row>
    <row r="96" spans="1:7" ht="15.75" customHeight="1">
      <c r="A96" s="114" t="s">
        <v>487</v>
      </c>
      <c r="B96" t="s">
        <v>488</v>
      </c>
      <c r="C96" s="10">
        <v>35000</v>
      </c>
      <c r="D96" s="8"/>
      <c r="E96" s="8"/>
      <c r="G96" s="55"/>
    </row>
    <row r="97" spans="1:7" ht="12" customHeight="1"/>
    <row r="98" spans="1:7" ht="31.5">
      <c r="A98" s="219" t="s">
        <v>260</v>
      </c>
      <c r="B98" s="219"/>
      <c r="C98" s="219"/>
      <c r="D98" s="219"/>
      <c r="E98" s="219"/>
      <c r="F98" s="219"/>
      <c r="G98" s="219"/>
    </row>
    <row r="99" spans="1:7" ht="28.5" customHeight="1" thickBot="1">
      <c r="A99" s="110" t="s">
        <v>303</v>
      </c>
      <c r="B99" s="96" t="s">
        <v>218</v>
      </c>
      <c r="C99" s="97">
        <v>0.3</v>
      </c>
      <c r="D99" s="98" t="s">
        <v>2</v>
      </c>
      <c r="E99" s="99" t="s">
        <v>277</v>
      </c>
      <c r="F99" s="96" t="s">
        <v>264</v>
      </c>
      <c r="G99" s="96" t="s">
        <v>265</v>
      </c>
    </row>
    <row r="100" spans="1:7" ht="15.75" customHeight="1">
      <c r="A100" t="s">
        <v>479</v>
      </c>
      <c r="B100">
        <v>28000</v>
      </c>
      <c r="C100">
        <f>+B100*1.3</f>
        <v>36400</v>
      </c>
      <c r="D100" s="88">
        <v>40000</v>
      </c>
      <c r="E100" s="89">
        <v>35000</v>
      </c>
      <c r="F100">
        <f>+D100-B100</f>
        <v>12000</v>
      </c>
      <c r="G100">
        <f>+E100-B100</f>
        <v>7000</v>
      </c>
    </row>
    <row r="101" spans="1:7" ht="15.75" customHeight="1">
      <c r="A101" t="s">
        <v>480</v>
      </c>
      <c r="B101">
        <v>31000</v>
      </c>
      <c r="C101">
        <f>+B101*1.3</f>
        <v>40300</v>
      </c>
      <c r="D101" s="70">
        <v>40000</v>
      </c>
      <c r="E101" s="72">
        <v>38000</v>
      </c>
      <c r="F101">
        <f>+D101-B101</f>
        <v>9000</v>
      </c>
      <c r="G101">
        <f>+E101-B101</f>
        <v>7000</v>
      </c>
    </row>
    <row r="102" spans="1:7" ht="15.75" customHeight="1">
      <c r="A102" t="s">
        <v>316</v>
      </c>
      <c r="B102">
        <v>45000</v>
      </c>
      <c r="C102">
        <f>+B102*1.3</f>
        <v>58500</v>
      </c>
      <c r="D102" s="70">
        <v>60000</v>
      </c>
      <c r="E102" s="72">
        <v>55000</v>
      </c>
      <c r="F102">
        <f>+D102-B102</f>
        <v>15000</v>
      </c>
      <c r="G102">
        <f>+E102-B102</f>
        <v>10000</v>
      </c>
    </row>
    <row r="103" spans="1:7" ht="15.75" customHeight="1" thickBot="1">
      <c r="A103" t="s">
        <v>551</v>
      </c>
      <c r="B103">
        <v>51000</v>
      </c>
      <c r="C103">
        <f t="shared" ref="C103" si="21">+B103*1.3</f>
        <v>66300</v>
      </c>
      <c r="D103" s="90">
        <v>65000</v>
      </c>
      <c r="E103" s="91">
        <v>60000</v>
      </c>
      <c r="F103">
        <f t="shared" ref="F103" si="22">+D103-B103</f>
        <v>14000</v>
      </c>
      <c r="G103">
        <f t="shared" ref="G103" si="23">+E103-B103</f>
        <v>9000</v>
      </c>
    </row>
    <row r="104" spans="1:7" ht="15.75" customHeight="1">
      <c r="A104" t="s">
        <v>536</v>
      </c>
      <c r="B104">
        <v>59000</v>
      </c>
      <c r="C104">
        <f>+B104*1.3</f>
        <v>76700</v>
      </c>
      <c r="D104" s="70">
        <v>77000</v>
      </c>
      <c r="E104" s="72">
        <v>70000</v>
      </c>
      <c r="F104">
        <f>+D104-B104</f>
        <v>18000</v>
      </c>
      <c r="G104">
        <f>+E104-B104</f>
        <v>11000</v>
      </c>
    </row>
    <row r="105" spans="1:7" ht="15.75" customHeight="1" thickBot="1">
      <c r="A105" t="s">
        <v>550</v>
      </c>
      <c r="B105">
        <v>67000</v>
      </c>
      <c r="C105">
        <f t="shared" ref="C105" si="24">+B105*1.3</f>
        <v>87100</v>
      </c>
      <c r="D105" s="90">
        <v>87000</v>
      </c>
      <c r="E105" s="91">
        <v>80000</v>
      </c>
      <c r="F105">
        <f t="shared" ref="F105" si="25">+D105-B105</f>
        <v>20000</v>
      </c>
      <c r="G105">
        <f t="shared" ref="G105" si="26">+E105-B105</f>
        <v>13000</v>
      </c>
    </row>
    <row r="106" spans="1:7" ht="12" customHeight="1" thickBot="1"/>
    <row r="107" spans="1:7" ht="12" customHeight="1">
      <c r="A107" s="114" t="s">
        <v>391</v>
      </c>
      <c r="B107">
        <v>48000</v>
      </c>
      <c r="C107">
        <f t="shared" ref="C107:C108" si="27">+B107*1.3</f>
        <v>62400</v>
      </c>
      <c r="D107" s="88">
        <v>65000</v>
      </c>
      <c r="E107" s="89">
        <v>60000</v>
      </c>
      <c r="F107">
        <f t="shared" ref="F107:F108" si="28">+D107-B107</f>
        <v>17000</v>
      </c>
      <c r="G107">
        <f t="shared" ref="G107:G108" si="29">+E107-B107</f>
        <v>12000</v>
      </c>
    </row>
    <row r="108" spans="1:7" ht="15.75" customHeight="1" thickBot="1">
      <c r="A108" s="114" t="s">
        <v>481</v>
      </c>
      <c r="B108">
        <v>38000</v>
      </c>
      <c r="C108" s="6">
        <f t="shared" si="27"/>
        <v>49400</v>
      </c>
      <c r="D108" s="90">
        <v>50000</v>
      </c>
      <c r="E108" s="91">
        <v>48000</v>
      </c>
      <c r="F108">
        <f t="shared" si="28"/>
        <v>12000</v>
      </c>
      <c r="G108">
        <f t="shared" si="29"/>
        <v>10000</v>
      </c>
    </row>
    <row r="109" spans="1:7" ht="12" customHeight="1"/>
    <row r="110" spans="1:7" ht="28.5" customHeight="1" thickBot="1">
      <c r="A110" s="110" t="s">
        <v>331</v>
      </c>
      <c r="B110" s="96" t="s">
        <v>218</v>
      </c>
      <c r="C110" s="97">
        <v>0.3</v>
      </c>
      <c r="D110" s="98" t="s">
        <v>2</v>
      </c>
      <c r="E110" s="99" t="s">
        <v>277</v>
      </c>
      <c r="F110" s="96" t="s">
        <v>264</v>
      </c>
      <c r="G110" s="96" t="s">
        <v>265</v>
      </c>
    </row>
    <row r="111" spans="1:7" ht="15.75" customHeight="1">
      <c r="A111" t="s">
        <v>390</v>
      </c>
      <c r="B111">
        <v>34000</v>
      </c>
      <c r="C111">
        <f>+B111*1.3</f>
        <v>44200</v>
      </c>
      <c r="D111" s="88">
        <v>60000</v>
      </c>
      <c r="E111" s="89">
        <v>43000</v>
      </c>
      <c r="F111">
        <f>+D111-B111</f>
        <v>26000</v>
      </c>
      <c r="G111">
        <f>+E111-B111</f>
        <v>9000</v>
      </c>
    </row>
    <row r="112" spans="1:7" ht="15.75" customHeight="1">
      <c r="A112" t="s">
        <v>333</v>
      </c>
      <c r="B112">
        <v>66000</v>
      </c>
      <c r="C112">
        <f>+B112*1.3</f>
        <v>85800</v>
      </c>
      <c r="D112" s="70">
        <v>100000</v>
      </c>
      <c r="E112" s="72">
        <v>85000</v>
      </c>
      <c r="F112">
        <f>+D112-B112</f>
        <v>34000</v>
      </c>
      <c r="G112">
        <f>+E112-B112</f>
        <v>19000</v>
      </c>
    </row>
    <row r="113" spans="1:7" ht="15.75" customHeight="1" thickBot="1">
      <c r="A113" t="s">
        <v>553</v>
      </c>
      <c r="B113">
        <v>69000</v>
      </c>
      <c r="C113">
        <f t="shared" ref="C113:C115" si="30">+B113*1.3</f>
        <v>89700</v>
      </c>
      <c r="D113" s="70">
        <v>100000</v>
      </c>
      <c r="E113" s="72">
        <v>90000</v>
      </c>
      <c r="F113">
        <f t="shared" ref="F113" si="31">+D113-B113</f>
        <v>31000</v>
      </c>
      <c r="G113">
        <f t="shared" ref="G113" si="32">+E113-B113</f>
        <v>21000</v>
      </c>
    </row>
    <row r="114" spans="1:7" ht="15.75" customHeight="1">
      <c r="A114" t="s">
        <v>536</v>
      </c>
      <c r="B114">
        <v>77000</v>
      </c>
      <c r="C114" s="6">
        <f t="shared" si="30"/>
        <v>100100</v>
      </c>
      <c r="D114" s="88">
        <v>110000</v>
      </c>
      <c r="E114" s="89">
        <v>95000</v>
      </c>
      <c r="F114">
        <f t="shared" ref="F114:F115" si="33">+D114-B114</f>
        <v>33000</v>
      </c>
      <c r="G114">
        <f t="shared" ref="G114:G115" si="34">+E114-B114</f>
        <v>18000</v>
      </c>
    </row>
    <row r="115" spans="1:7" ht="15.75" customHeight="1" thickBot="1">
      <c r="A115" t="s">
        <v>552</v>
      </c>
      <c r="B115">
        <v>83000</v>
      </c>
      <c r="C115" s="6">
        <f t="shared" si="30"/>
        <v>107900</v>
      </c>
      <c r="D115" s="90">
        <v>115000</v>
      </c>
      <c r="E115" s="91">
        <v>100000</v>
      </c>
      <c r="F115">
        <f t="shared" si="33"/>
        <v>32000</v>
      </c>
      <c r="G115">
        <f t="shared" si="34"/>
        <v>17000</v>
      </c>
    </row>
    <row r="116" spans="1:7" ht="12" customHeight="1" thickBot="1">
      <c r="D116" s="8"/>
      <c r="E116" s="8"/>
    </row>
    <row r="117" spans="1:7" ht="12" customHeight="1">
      <c r="A117" s="114" t="s">
        <v>391</v>
      </c>
      <c r="B117">
        <v>68000</v>
      </c>
      <c r="C117">
        <f t="shared" ref="C117" si="35">+B117*1.3</f>
        <v>88400</v>
      </c>
      <c r="D117" s="88">
        <v>100000</v>
      </c>
      <c r="E117" s="89">
        <v>90000</v>
      </c>
      <c r="F117">
        <f t="shared" ref="F117" si="36">+D117-B117</f>
        <v>32000</v>
      </c>
      <c r="G117">
        <f t="shared" ref="G117" si="37">+E117-B117</f>
        <v>22000</v>
      </c>
    </row>
    <row r="118" spans="1:7" ht="15.75" customHeight="1" thickBot="1">
      <c r="A118" s="114" t="s">
        <v>481</v>
      </c>
      <c r="B118">
        <v>58000</v>
      </c>
      <c r="C118">
        <f>+B118*1.3</f>
        <v>75400</v>
      </c>
      <c r="D118" s="90">
        <v>80000</v>
      </c>
      <c r="E118" s="91">
        <v>75000</v>
      </c>
      <c r="F118">
        <f>+D118-B118</f>
        <v>22000</v>
      </c>
      <c r="G118">
        <f>+E118-B118</f>
        <v>17000</v>
      </c>
    </row>
    <row r="119" spans="1:7" ht="12" customHeight="1">
      <c r="D119" s="5"/>
      <c r="E119" s="5"/>
    </row>
    <row r="120" spans="1:7" ht="28.5" customHeight="1" thickBot="1">
      <c r="A120" s="110" t="s">
        <v>342</v>
      </c>
      <c r="B120" s="96" t="s">
        <v>218</v>
      </c>
      <c r="C120" s="97">
        <v>0.3</v>
      </c>
      <c r="D120" s="98" t="s">
        <v>2</v>
      </c>
      <c r="E120" s="99" t="s">
        <v>277</v>
      </c>
      <c r="F120" s="96" t="s">
        <v>264</v>
      </c>
      <c r="G120" s="96" t="s">
        <v>265</v>
      </c>
    </row>
    <row r="121" spans="1:7" thickBot="1">
      <c r="A121" t="s">
        <v>333</v>
      </c>
      <c r="B121">
        <v>62000</v>
      </c>
      <c r="C121">
        <f>+B121*1.3</f>
        <v>80600</v>
      </c>
      <c r="D121" s="120">
        <v>85000</v>
      </c>
      <c r="E121" s="121">
        <v>78000</v>
      </c>
      <c r="F121">
        <f t="shared" ref="F121" si="38">+D121-B121</f>
        <v>23000</v>
      </c>
      <c r="G121">
        <f t="shared" ref="G121" si="39">+E121-B121</f>
        <v>16000</v>
      </c>
    </row>
    <row r="122" spans="1:7" ht="12" customHeight="1">
      <c r="A122" s="5"/>
      <c r="B122" s="5"/>
      <c r="C122" s="5"/>
      <c r="D122" s="6"/>
      <c r="E122" s="6"/>
      <c r="F122" s="5"/>
      <c r="G122" s="5"/>
    </row>
    <row r="123" spans="1:7" ht="28.5" customHeight="1">
      <c r="A123" s="136" t="s">
        <v>344</v>
      </c>
      <c r="B123" s="136"/>
      <c r="C123" s="136"/>
      <c r="D123" s="136"/>
      <c r="E123" s="136"/>
      <c r="F123" s="136"/>
      <c r="G123" s="136"/>
    </row>
    <row r="124" spans="1:7" ht="28.5" customHeight="1">
      <c r="A124" s="110" t="s">
        <v>345</v>
      </c>
      <c r="B124" s="96" t="s">
        <v>218</v>
      </c>
      <c r="C124" s="97">
        <v>0.3</v>
      </c>
      <c r="D124" s="98" t="s">
        <v>2</v>
      </c>
      <c r="E124" s="99" t="s">
        <v>277</v>
      </c>
      <c r="F124" s="96" t="s">
        <v>264</v>
      </c>
      <c r="G124" s="96" t="s">
        <v>265</v>
      </c>
    </row>
    <row r="125" spans="1:7" ht="15.75" customHeight="1" thickBot="1">
      <c r="A125" s="122" t="s">
        <v>483</v>
      </c>
    </row>
    <row r="126" spans="1:7" ht="15.75" customHeight="1">
      <c r="A126" t="s">
        <v>373</v>
      </c>
      <c r="B126">
        <v>57000</v>
      </c>
      <c r="C126">
        <f>+B126*1.3</f>
        <v>74100</v>
      </c>
      <c r="D126" s="88">
        <v>90000</v>
      </c>
      <c r="E126" s="89">
        <v>75000</v>
      </c>
      <c r="F126">
        <f>+D126-B126</f>
        <v>33000</v>
      </c>
      <c r="G126">
        <f>+E126-B126</f>
        <v>18000</v>
      </c>
    </row>
    <row r="127" spans="1:7" ht="15.75" customHeight="1">
      <c r="A127" t="s">
        <v>374</v>
      </c>
      <c r="B127">
        <v>45000</v>
      </c>
      <c r="C127">
        <f t="shared" ref="C127:C130" si="40">+B127*1.3</f>
        <v>58500</v>
      </c>
      <c r="D127" s="70">
        <v>80000</v>
      </c>
      <c r="E127" s="72">
        <v>60000</v>
      </c>
      <c r="F127">
        <f t="shared" ref="F127:F130" si="41">+D127-B127</f>
        <v>35000</v>
      </c>
      <c r="G127">
        <f t="shared" ref="G127:G130" si="42">+E127-B127</f>
        <v>15000</v>
      </c>
    </row>
    <row r="128" spans="1:7" ht="15.75" customHeight="1">
      <c r="A128" t="s">
        <v>375</v>
      </c>
      <c r="B128">
        <v>50000</v>
      </c>
      <c r="C128">
        <f t="shared" si="40"/>
        <v>65000</v>
      </c>
      <c r="D128" s="70">
        <v>80000</v>
      </c>
      <c r="E128" s="72">
        <v>70000</v>
      </c>
      <c r="F128">
        <f t="shared" si="41"/>
        <v>30000</v>
      </c>
      <c r="G128">
        <f t="shared" si="42"/>
        <v>20000</v>
      </c>
    </row>
    <row r="129" spans="1:7" ht="12" customHeight="1">
      <c r="A129" t="s">
        <v>376</v>
      </c>
      <c r="B129">
        <v>50000</v>
      </c>
      <c r="C129">
        <f t="shared" si="40"/>
        <v>65000</v>
      </c>
      <c r="D129" s="70">
        <v>80000</v>
      </c>
      <c r="E129" s="72">
        <v>70000</v>
      </c>
      <c r="F129">
        <f t="shared" si="41"/>
        <v>30000</v>
      </c>
      <c r="G129">
        <f t="shared" si="42"/>
        <v>20000</v>
      </c>
    </row>
    <row r="130" spans="1:7" ht="15.75" customHeight="1" thickBot="1">
      <c r="A130" t="s">
        <v>377</v>
      </c>
      <c r="B130">
        <v>58000</v>
      </c>
      <c r="C130">
        <f t="shared" si="40"/>
        <v>75400</v>
      </c>
      <c r="D130" s="90">
        <v>90000</v>
      </c>
      <c r="E130" s="91">
        <v>80000</v>
      </c>
      <c r="F130">
        <f t="shared" si="41"/>
        <v>32000</v>
      </c>
      <c r="G130">
        <f t="shared" si="42"/>
        <v>22000</v>
      </c>
    </row>
    <row r="131" spans="1:7" ht="12" customHeight="1">
      <c r="A131" s="135"/>
      <c r="B131" s="135"/>
      <c r="C131" s="135"/>
      <c r="D131" s="135"/>
    </row>
    <row r="132" spans="1:7" ht="15.75" customHeight="1" thickBot="1">
      <c r="A132" s="122" t="s">
        <v>482</v>
      </c>
      <c r="B132" s="5"/>
      <c r="C132" s="5"/>
      <c r="D132" s="8"/>
      <c r="E132" s="8"/>
      <c r="F132" s="5"/>
      <c r="G132" s="5"/>
    </row>
    <row r="133" spans="1:7" ht="15.75" customHeight="1">
      <c r="A133" t="s">
        <v>373</v>
      </c>
      <c r="B133" s="5"/>
      <c r="D133" s="88">
        <v>90000</v>
      </c>
      <c r="E133" s="89">
        <v>80000</v>
      </c>
    </row>
    <row r="134" spans="1:7" ht="15.75" customHeight="1">
      <c r="A134" t="s">
        <v>374</v>
      </c>
      <c r="B134" s="5"/>
      <c r="D134" s="70">
        <v>80000</v>
      </c>
      <c r="E134" s="72">
        <v>70000</v>
      </c>
    </row>
    <row r="135" spans="1:7" ht="15.75" customHeight="1">
      <c r="A135" t="s">
        <v>375</v>
      </c>
      <c r="B135" s="5"/>
      <c r="D135" s="70">
        <v>90000</v>
      </c>
      <c r="E135" s="72">
        <v>80000</v>
      </c>
    </row>
    <row r="136" spans="1:7" ht="12" customHeight="1">
      <c r="A136" t="s">
        <v>376</v>
      </c>
      <c r="B136" s="5"/>
      <c r="D136" s="70">
        <v>90000</v>
      </c>
      <c r="E136" s="72">
        <v>80000</v>
      </c>
    </row>
    <row r="137" spans="1:7" ht="15.75" customHeight="1" thickBot="1">
      <c r="A137" t="s">
        <v>377</v>
      </c>
      <c r="B137" s="5"/>
      <c r="D137" s="90">
        <v>95000</v>
      </c>
      <c r="E137" s="91">
        <v>90000</v>
      </c>
    </row>
    <row r="138" spans="1:7" ht="12" customHeight="1"/>
    <row r="139" spans="1:7" ht="28.5" customHeight="1" thickBot="1">
      <c r="A139" s="110" t="s">
        <v>384</v>
      </c>
      <c r="B139" s="96" t="s">
        <v>218</v>
      </c>
      <c r="C139" s="97">
        <v>0.3</v>
      </c>
      <c r="D139" s="98" t="s">
        <v>2</v>
      </c>
      <c r="E139" s="99" t="s">
        <v>277</v>
      </c>
      <c r="F139" s="96" t="s">
        <v>264</v>
      </c>
      <c r="G139" s="96" t="s">
        <v>265</v>
      </c>
    </row>
    <row r="140" spans="1:7" ht="12" customHeight="1">
      <c r="A140" s="54" t="s">
        <v>307</v>
      </c>
      <c r="B140">
        <v>86000</v>
      </c>
      <c r="C140">
        <f>+B140*1.3</f>
        <v>111800</v>
      </c>
      <c r="D140" s="88">
        <v>120000</v>
      </c>
      <c r="E140" s="89">
        <v>110000</v>
      </c>
      <c r="F140">
        <f>+D140-B140</f>
        <v>34000</v>
      </c>
      <c r="G140">
        <f>+E140-B140</f>
        <v>24000</v>
      </c>
    </row>
    <row r="141" spans="1:7" ht="15.75" customHeight="1" thickBot="1">
      <c r="A141" s="54" t="s">
        <v>362</v>
      </c>
      <c r="B141">
        <v>73000</v>
      </c>
      <c r="C141">
        <f t="shared" ref="C141" si="43">+B141*1.3</f>
        <v>94900</v>
      </c>
      <c r="D141" s="90">
        <v>100000</v>
      </c>
      <c r="E141" s="91">
        <v>95000</v>
      </c>
      <c r="F141">
        <f t="shared" ref="F141" si="44">+D141-B141</f>
        <v>27000</v>
      </c>
      <c r="G141">
        <f t="shared" ref="G141" si="45">+E141-B141</f>
        <v>22000</v>
      </c>
    </row>
    <row r="142" spans="1:7" ht="12" customHeight="1">
      <c r="A142" s="54"/>
      <c r="D142" s="8"/>
      <c r="E142" s="8"/>
    </row>
    <row r="143" spans="1:7" ht="28.5" customHeight="1" thickBot="1">
      <c r="A143" s="113" t="s">
        <v>385</v>
      </c>
      <c r="B143" s="96" t="s">
        <v>218</v>
      </c>
      <c r="C143" s="97">
        <v>0.3</v>
      </c>
      <c r="D143" s="98" t="s">
        <v>2</v>
      </c>
      <c r="E143" s="99" t="s">
        <v>277</v>
      </c>
      <c r="F143" s="96" t="s">
        <v>264</v>
      </c>
      <c r="G143" s="96" t="s">
        <v>265</v>
      </c>
    </row>
    <row r="144" spans="1:7" ht="12" customHeight="1">
      <c r="A144" t="s">
        <v>386</v>
      </c>
      <c r="B144">
        <v>46000</v>
      </c>
      <c r="C144">
        <f>+B144*1.3</f>
        <v>59800</v>
      </c>
      <c r="D144" s="101">
        <v>70000</v>
      </c>
      <c r="E144" s="102">
        <v>60000</v>
      </c>
      <c r="F144">
        <f>+D144-B144</f>
        <v>24000</v>
      </c>
      <c r="G144">
        <f>+E144-B144</f>
        <v>14000</v>
      </c>
    </row>
    <row r="145" spans="1:7" ht="15.75" customHeight="1" thickBot="1">
      <c r="A145" t="s">
        <v>387</v>
      </c>
      <c r="B145">
        <v>54000</v>
      </c>
      <c r="C145">
        <f t="shared" ref="C145" si="46">+B145*1.3</f>
        <v>70200</v>
      </c>
      <c r="D145" s="105">
        <v>80000</v>
      </c>
      <c r="E145" s="106">
        <v>70000</v>
      </c>
      <c r="F145">
        <f t="shared" ref="F145" si="47">+D145-B145</f>
        <v>26000</v>
      </c>
      <c r="G145">
        <f t="shared" ref="G145" si="48">+E145-B145</f>
        <v>16000</v>
      </c>
    </row>
    <row r="146" spans="1:7" ht="12" customHeight="1">
      <c r="A146" s="6"/>
      <c r="B146" s="6"/>
      <c r="C146" s="6"/>
      <c r="D146" s="6"/>
      <c r="E146" s="6"/>
      <c r="F146" s="6"/>
      <c r="G146" s="6"/>
    </row>
    <row r="147" spans="1:7" ht="28.5" customHeight="1" thickBot="1">
      <c r="A147" s="113" t="s">
        <v>530</v>
      </c>
      <c r="B147" s="96" t="s">
        <v>218</v>
      </c>
      <c r="C147" s="97">
        <v>0.3</v>
      </c>
      <c r="D147" s="98" t="s">
        <v>2</v>
      </c>
      <c r="E147" s="99" t="s">
        <v>277</v>
      </c>
      <c r="F147" s="96" t="s">
        <v>264</v>
      </c>
      <c r="G147" s="96" t="s">
        <v>265</v>
      </c>
    </row>
    <row r="148" spans="1:7" ht="15.75" customHeight="1" thickBot="1">
      <c r="A148" t="s">
        <v>333</v>
      </c>
      <c r="B148">
        <v>51000</v>
      </c>
      <c r="C148">
        <f>+B148*1.3</f>
        <v>66300</v>
      </c>
      <c r="D148" s="120">
        <v>70000</v>
      </c>
      <c r="E148" s="121">
        <v>60000</v>
      </c>
      <c r="F148">
        <f>+D148-B148</f>
        <v>19000</v>
      </c>
      <c r="G148">
        <f>+E148-B148</f>
        <v>9000</v>
      </c>
    </row>
    <row r="149" spans="1:7" ht="12" customHeight="1"/>
    <row r="150" spans="1:7" ht="28.5" customHeight="1" thickBot="1">
      <c r="A150" s="110" t="s">
        <v>421</v>
      </c>
      <c r="B150" s="96" t="s">
        <v>218</v>
      </c>
      <c r="C150" s="97">
        <v>0.3</v>
      </c>
      <c r="D150" s="98" t="s">
        <v>2</v>
      </c>
      <c r="E150" s="99" t="s">
        <v>277</v>
      </c>
      <c r="F150" s="96" t="s">
        <v>264</v>
      </c>
      <c r="G150" s="96" t="s">
        <v>265</v>
      </c>
    </row>
    <row r="151" spans="1:7" ht="15.75" customHeight="1">
      <c r="A151" t="s">
        <v>485</v>
      </c>
      <c r="B151">
        <v>59000</v>
      </c>
      <c r="C151">
        <f>+B151*1.3</f>
        <v>76700</v>
      </c>
      <c r="D151" s="101">
        <v>90000</v>
      </c>
      <c r="E151" s="102">
        <v>80000</v>
      </c>
      <c r="F151">
        <f>+D151-B151</f>
        <v>31000</v>
      </c>
      <c r="G151">
        <f>+E151-B151</f>
        <v>21000</v>
      </c>
    </row>
    <row r="152" spans="1:7" ht="15.75" customHeight="1">
      <c r="A152" t="s">
        <v>424</v>
      </c>
      <c r="B152">
        <v>63000</v>
      </c>
      <c r="C152">
        <f t="shared" ref="C152:C155" si="49">+B152*1.3</f>
        <v>81900</v>
      </c>
      <c r="D152" s="103">
        <v>100000</v>
      </c>
      <c r="E152" s="104">
        <v>85000</v>
      </c>
      <c r="F152">
        <f t="shared" ref="F152:F155" si="50">+D152-B152</f>
        <v>37000</v>
      </c>
      <c r="G152">
        <f t="shared" ref="G152:G155" si="51">+E152-B152</f>
        <v>22000</v>
      </c>
    </row>
    <row r="153" spans="1:7" ht="15.75" customHeight="1">
      <c r="A153" t="s">
        <v>425</v>
      </c>
      <c r="B153">
        <v>64000</v>
      </c>
      <c r="C153">
        <f t="shared" si="49"/>
        <v>83200</v>
      </c>
      <c r="D153" s="103">
        <v>105000</v>
      </c>
      <c r="E153" s="104">
        <v>85000</v>
      </c>
      <c r="F153">
        <f t="shared" si="50"/>
        <v>41000</v>
      </c>
      <c r="G153">
        <f t="shared" si="51"/>
        <v>21000</v>
      </c>
    </row>
    <row r="154" spans="1:7" ht="15.75" customHeight="1">
      <c r="A154" t="s">
        <v>416</v>
      </c>
      <c r="B154">
        <v>65000</v>
      </c>
      <c r="C154">
        <f t="shared" si="49"/>
        <v>84500</v>
      </c>
      <c r="D154" s="103">
        <v>100000</v>
      </c>
      <c r="E154" s="104">
        <v>85000</v>
      </c>
      <c r="F154">
        <f t="shared" si="50"/>
        <v>35000</v>
      </c>
      <c r="G154">
        <f t="shared" si="51"/>
        <v>20000</v>
      </c>
    </row>
    <row r="155" spans="1:7" ht="15.75" customHeight="1">
      <c r="A155" t="s">
        <v>426</v>
      </c>
      <c r="B155">
        <v>85000</v>
      </c>
      <c r="C155">
        <f t="shared" si="49"/>
        <v>110500</v>
      </c>
      <c r="D155" s="103">
        <v>120000</v>
      </c>
      <c r="E155" s="104">
        <v>110000</v>
      </c>
      <c r="F155">
        <f t="shared" si="50"/>
        <v>35000</v>
      </c>
      <c r="G155">
        <f t="shared" si="51"/>
        <v>25000</v>
      </c>
    </row>
    <row r="156" spans="1:7" ht="15.75" customHeight="1" thickBot="1">
      <c r="A156" s="114" t="s">
        <v>427</v>
      </c>
      <c r="B156" t="s">
        <v>484</v>
      </c>
      <c r="D156" s="105">
        <v>15000</v>
      </c>
      <c r="E156" s="106">
        <v>12000</v>
      </c>
    </row>
  </sheetData>
  <mergeCells count="3">
    <mergeCell ref="A1:G1"/>
    <mergeCell ref="A2:G2"/>
    <mergeCell ref="A98:G98"/>
  </mergeCells>
  <phoneticPr fontId="21" type="noConversion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IMP</vt:lpstr>
      <vt:lpstr>ORNA</vt:lpstr>
      <vt:lpstr>PERF</vt:lpstr>
      <vt:lpstr>FERRETERIA</vt:lpstr>
      <vt:lpstr>LISTA</vt:lpstr>
      <vt:lpstr>REAL</vt:lpstr>
      <vt:lpstr>Hoja2</vt:lpstr>
      <vt:lpstr>FINAL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Yency</dc:creator>
  <cp:lastModifiedBy>medina</cp:lastModifiedBy>
  <cp:lastPrinted>2020-07-01T20:10:46Z</cp:lastPrinted>
  <dcterms:created xsi:type="dcterms:W3CDTF">2016-07-20T17:43:07Z</dcterms:created>
  <dcterms:modified xsi:type="dcterms:W3CDTF">2020-08-26T04:15:32Z</dcterms:modified>
</cp:coreProperties>
</file>