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yan\Documents\Davi\Disciplinas\T.E.-Decisão Multicritério\Trabalhos\Pitch 2\"/>
    </mc:Choice>
  </mc:AlternateContent>
  <xr:revisionPtr revIDLastSave="0" documentId="13_ncr:1_{5B05B34D-646B-468A-980F-7BADA86CAF1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lan1" sheetId="1" r:id="rId1"/>
    <sheet name="Plan2" sheetId="2" r:id="rId2"/>
    <sheet name="Plan3" sheetId="3" r:id="rId3"/>
    <sheet name="Planilh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8" i="4" l="1"/>
  <c r="Q23" i="4"/>
  <c r="Q22" i="4"/>
  <c r="Q20" i="4"/>
  <c r="Q19" i="4"/>
  <c r="Q18" i="4"/>
  <c r="Q17" i="4"/>
  <c r="Q16" i="4"/>
  <c r="Q15" i="4"/>
  <c r="Q14" i="4"/>
  <c r="Q13" i="4"/>
  <c r="Q12" i="4"/>
  <c r="Q11" i="4"/>
  <c r="Q10" i="4"/>
  <c r="Q25" i="4" s="1"/>
  <c r="Q9" i="4"/>
  <c r="Q8" i="4"/>
  <c r="Q7" i="4"/>
  <c r="Q6" i="4"/>
  <c r="Q24" i="4" s="1"/>
  <c r="O6" i="4"/>
  <c r="O23" i="4"/>
  <c r="O22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26" i="4" s="1"/>
  <c r="L20" i="4"/>
  <c r="L19" i="4"/>
  <c r="L18" i="4"/>
  <c r="L17" i="4"/>
  <c r="L16" i="4"/>
  <c r="L15" i="4"/>
  <c r="L14" i="4"/>
  <c r="L13" i="4"/>
  <c r="L12" i="4"/>
  <c r="L11" i="4"/>
  <c r="L10" i="4"/>
  <c r="L9" i="4"/>
  <c r="L26" i="4"/>
  <c r="L8" i="4"/>
  <c r="L23" i="4"/>
  <c r="L22" i="4"/>
  <c r="L7" i="4"/>
  <c r="L6" i="4"/>
  <c r="O24" i="4" l="1"/>
  <c r="O25" i="4"/>
  <c r="Q26" i="4"/>
  <c r="L25" i="4"/>
  <c r="L24" i="4"/>
</calcChain>
</file>

<file path=xl/sharedStrings.xml><?xml version="1.0" encoding="utf-8"?>
<sst xmlns="http://schemas.openxmlformats.org/spreadsheetml/2006/main" count="246" uniqueCount="98">
  <si>
    <t>Número de usuários</t>
  </si>
  <si>
    <t>Latência</t>
  </si>
  <si>
    <t>Taxa de Download</t>
  </si>
  <si>
    <t>Taxa de Upload</t>
  </si>
  <si>
    <t>Jitter</t>
  </si>
  <si>
    <t>Qualidade do sinal (dBm)</t>
  </si>
  <si>
    <t>Cluster 1</t>
  </si>
  <si>
    <t>Cluster 2</t>
  </si>
  <si>
    <t>Cluster 3</t>
  </si>
  <si>
    <t>Cluster 4</t>
  </si>
  <si>
    <t>Cluster 5</t>
  </si>
  <si>
    <t>Cluster 6</t>
  </si>
  <si>
    <t>Cluster 7</t>
  </si>
  <si>
    <t>Cluster 8</t>
  </si>
  <si>
    <t>Cluster 9</t>
  </si>
  <si>
    <t>Cluster 10</t>
  </si>
  <si>
    <t>Cluster 11</t>
  </si>
  <si>
    <t>Cluster 12</t>
  </si>
  <si>
    <t>Cluster 13</t>
  </si>
  <si>
    <t>Cluster 14</t>
  </si>
  <si>
    <t>Cluster 15</t>
  </si>
  <si>
    <t>Data set</t>
  </si>
  <si>
    <t>CRITÉRIO</t>
  </si>
  <si>
    <t>CÓDIGO</t>
  </si>
  <si>
    <t>DEFINIÇÃO</t>
  </si>
  <si>
    <t>Número de usuários em terra conectados no cluster</t>
  </si>
  <si>
    <t>C1</t>
  </si>
  <si>
    <t>C2</t>
  </si>
  <si>
    <t>C3</t>
  </si>
  <si>
    <t>C4</t>
  </si>
  <si>
    <t>C5</t>
  </si>
  <si>
    <t>C6</t>
  </si>
  <si>
    <t>C7</t>
  </si>
  <si>
    <t>A latência mede o atraso na chegada de um pacote ao destino. Ela é medido em unidades de tempo, como milissegundos.</t>
  </si>
  <si>
    <t>Taxa na qual os dados são transferidos da Internet para o computador de um usuário. Ela é medida em em megabits por segundo (Mbps).</t>
  </si>
  <si>
    <t>Taxa que mede a velocidade em que os arquivos e dados estão sendo enviados do computador para a internet</t>
  </si>
  <si>
    <t xml:space="preserve">É a variação da latência (atraso) na transmissão sequencial das mensagens. </t>
  </si>
  <si>
    <t>Perda de pacote</t>
  </si>
  <si>
    <t>Percentual de mensagens enviadas pela rede que não consegue chegar ao destino.</t>
  </si>
  <si>
    <t>É a notação usada para a razão de energia em decibéis (dB) para um miliwatt (mW), utilizada para medir a qualidade do sinal do usuário.</t>
  </si>
  <si>
    <t>Perda de Pacote</t>
  </si>
  <si>
    <t>LIMITES</t>
  </si>
  <si>
    <t>CRITÉRIOS</t>
  </si>
  <si>
    <t>B1</t>
  </si>
  <si>
    <t>B2</t>
  </si>
  <si>
    <t>b2</t>
  </si>
  <si>
    <t>b1</t>
  </si>
  <si>
    <t>Q</t>
  </si>
  <si>
    <t>P</t>
  </si>
  <si>
    <t>V</t>
  </si>
  <si>
    <t>W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</si>
  <si>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</si>
  <si>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</si>
  <si>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</si>
  <si>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</si>
  <si>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</si>
  <si>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</si>
  <si>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</si>
  <si>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</si>
  <si>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</si>
  <si>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</si>
  <si>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</si>
  <si>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</si>
  <si>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</si>
  <si>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</si>
  <si>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</si>
  <si>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[7]</t>
  </si>
  <si>
    <t>Objetivo</t>
  </si>
  <si>
    <t>Maximiza a qualidade da experiência dos usuários usando o mínimo de potência de transmissão do UAV</t>
  </si>
  <si>
    <t>A SOLUÇÕES PROPOSTAS E TRABALHOS EXISTENTES EM UAV</t>
  </si>
  <si>
    <t>Maximiza o número de usuários cobertos com o mínimo de UAVs.</t>
  </si>
  <si>
    <t>[5]</t>
  </si>
  <si>
    <t>Implementação de forma otimizada o número determinado de UAVs para cobrir o maior número possível de usuários desconhecidos.</t>
  </si>
  <si>
    <t>Mobilidade dos alvos</t>
  </si>
  <si>
    <t>Conectividade UAV/EU</t>
  </si>
  <si>
    <t>QoS Eficiencia para EU</t>
  </si>
  <si>
    <t>Algoritmo de clustering não supervisionado k-means</t>
  </si>
  <si>
    <t>Modelo analítico de decisão multicritério -MCDA</t>
  </si>
  <si>
    <t>KEAT*</t>
  </si>
  <si>
    <t>Otimização do número de UAVs para cobertura dos Equipamentos dos Usuários (EU) com MCDA</t>
  </si>
  <si>
    <t>[6]</t>
  </si>
  <si>
    <t>[4]</t>
  </si>
  <si>
    <t>Clusters</t>
  </si>
  <si>
    <t>Usuários</t>
  </si>
  <si>
    <t>Vazão</t>
  </si>
  <si>
    <t>PSNR</t>
  </si>
  <si>
    <t>Sinal</t>
  </si>
  <si>
    <t>Pacote</t>
  </si>
  <si>
    <t>Base de Dados</t>
  </si>
  <si>
    <t>Base de Dados Normalizada</t>
  </si>
  <si>
    <t>máx</t>
  </si>
  <si>
    <t>mín</t>
  </si>
  <si>
    <t>25ms</t>
  </si>
  <si>
    <t>15ms</t>
  </si>
  <si>
    <t>3ms</t>
  </si>
  <si>
    <t>2ms</t>
  </si>
  <si>
    <t>5ms</t>
  </si>
  <si>
    <t>Desligamento de n-cluster usando método KEAT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</si>
</sst>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"/>
    <numFmt numFmtId="171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170" fontId="0" fillId="0" borderId="1" xfId="0" applyNumberFormat="1" applyBorder="1"/>
    <xf numFmtId="2" fontId="0" fillId="0" borderId="1" xfId="0" applyNumberFormat="1" applyBorder="1"/>
    <xf numFmtId="171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504827</xdr:colOff>
      <xdr:row>8</xdr:row>
      <xdr:rowOff>95250</xdr:rowOff>
    </xdr:from>
    <xdr:to>
      <xdr:col>3</xdr:col>
      <xdr:colOff>740595</xdr:colOff>
      <xdr:row>8</xdr:row>
      <xdr:rowOff>331018</xdr:rowOff>
    </xdr:to>
    <xdr:pic>
      <xdr:nvPicPr>
        <xdr:cNvPr id="6" name="Imagem 5" descr="60731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91027" y="2381250"/>
          <a:ext cx="235768" cy="235768"/>
        </a:xfrm>
        <a:prstGeom prst="rect">
          <a:avLst/>
        </a:prstGeom>
      </xdr:spPr>
    </xdr:pic>
    <xdr:clientData/>
  </xdr:twoCellAnchor>
  <xdr:twoCellAnchor editAs="oneCell">
    <xdr:from>
      <xdr:col>4</xdr:col>
      <xdr:colOff>504827</xdr:colOff>
      <xdr:row>8</xdr:row>
      <xdr:rowOff>95250</xdr:rowOff>
    </xdr:from>
    <xdr:to>
      <xdr:col>4</xdr:col>
      <xdr:colOff>740595</xdr:colOff>
      <xdr:row>8</xdr:row>
      <xdr:rowOff>331018</xdr:rowOff>
    </xdr:to>
    <xdr:pic>
      <xdr:nvPicPr>
        <xdr:cNvPr id="7" name="Imagem 6" descr="60731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91027" y="2381250"/>
          <a:ext cx="235768" cy="235768"/>
        </a:xfrm>
        <a:prstGeom prst="rect">
          <a:avLst/>
        </a:prstGeom>
      </xdr:spPr>
    </xdr:pic>
    <xdr:clientData/>
  </xdr:twoCellAnchor>
  <xdr:twoCellAnchor editAs="oneCell">
    <xdr:from>
      <xdr:col>5</xdr:col>
      <xdr:colOff>504827</xdr:colOff>
      <xdr:row>8</xdr:row>
      <xdr:rowOff>95250</xdr:rowOff>
    </xdr:from>
    <xdr:to>
      <xdr:col>5</xdr:col>
      <xdr:colOff>740595</xdr:colOff>
      <xdr:row>8</xdr:row>
      <xdr:rowOff>331018</xdr:rowOff>
    </xdr:to>
    <xdr:pic>
      <xdr:nvPicPr>
        <xdr:cNvPr id="8" name="Imagem 7" descr="60731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00852" y="2381250"/>
          <a:ext cx="235768" cy="235768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504827</xdr:colOff>
      <xdr:row>8</xdr:row>
      <xdr:rowOff>95250</xdr:rowOff>
    </xdr:from>
    <xdr:to>
      <xdr:col>6</xdr:col>
      <xdr:colOff>740595</xdr:colOff>
      <xdr:row>8</xdr:row>
      <xdr:rowOff>331018</xdr:rowOff>
    </xdr:to>
    <xdr:pic>
      <xdr:nvPicPr>
        <xdr:cNvPr id="9" name="Imagem 8" descr="60731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53352" y="2381250"/>
          <a:ext cx="235768" cy="235768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504827</xdr:colOff>
      <xdr:row>7</xdr:row>
      <xdr:rowOff>152400</xdr:rowOff>
    </xdr:from>
    <xdr:to>
      <xdr:col>3</xdr:col>
      <xdr:colOff>740595</xdr:colOff>
      <xdr:row>7</xdr:row>
      <xdr:rowOff>388168</xdr:rowOff>
    </xdr:to>
    <xdr:pic>
      <xdr:nvPicPr>
        <xdr:cNvPr id="10" name="Imagem 9" descr="60731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91027" y="1866900"/>
          <a:ext cx="235768" cy="235768"/>
        </a:xfrm>
        <a:prstGeom prst="rect">
          <a:avLst/>
        </a:prstGeom>
      </xdr:spPr>
    </xdr:pic>
    <xdr:clientData/>
  </xdr:twoCellAnchor>
  <xdr:twoCellAnchor editAs="oneCell">
    <xdr:from>
      <xdr:col>4</xdr:col>
      <xdr:colOff>504827</xdr:colOff>
      <xdr:row>7</xdr:row>
      <xdr:rowOff>152400</xdr:rowOff>
    </xdr:from>
    <xdr:to>
      <xdr:col>4</xdr:col>
      <xdr:colOff>740595</xdr:colOff>
      <xdr:row>7</xdr:row>
      <xdr:rowOff>388168</xdr:rowOff>
    </xdr:to>
    <xdr:pic>
      <xdr:nvPicPr>
        <xdr:cNvPr id="11" name="Imagem 10" descr="60731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91027" y="1866900"/>
          <a:ext cx="235768" cy="235768"/>
        </a:xfrm>
        <a:prstGeom prst="rect">
          <a:avLst/>
        </a:prstGeom>
      </xdr:spPr>
    </xdr:pic>
    <xdr:clientData/>
  </xdr:twoCellAnchor>
  <xdr:twoCellAnchor editAs="oneCell">
    <xdr:from>
      <xdr:col>5</xdr:col>
      <xdr:colOff>504827</xdr:colOff>
      <xdr:row>7</xdr:row>
      <xdr:rowOff>152400</xdr:rowOff>
    </xdr:from>
    <xdr:to>
      <xdr:col>5</xdr:col>
      <xdr:colOff>740595</xdr:colOff>
      <xdr:row>7</xdr:row>
      <xdr:rowOff>388168</xdr:rowOff>
    </xdr:to>
    <xdr:pic>
      <xdr:nvPicPr>
        <xdr:cNvPr id="12" name="Imagem 11" descr="60731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91027" y="1866900"/>
          <a:ext cx="235768" cy="235768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6</xdr:row>
      <xdr:rowOff>30027</xdr:rowOff>
    </xdr:from>
    <xdr:to>
      <xdr:col>3</xdr:col>
      <xdr:colOff>704850</xdr:colOff>
      <xdr:row>6</xdr:row>
      <xdr:rowOff>203382</xdr:rowOff>
    </xdr:to>
    <xdr:pic>
      <xdr:nvPicPr>
        <xdr:cNvPr id="14" name="Imagem 13" descr="60731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111115" y="1927407"/>
          <a:ext cx="180975" cy="173355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5</xdr:row>
      <xdr:rowOff>7167</xdr:rowOff>
    </xdr:from>
    <xdr:to>
      <xdr:col>3</xdr:col>
      <xdr:colOff>704850</xdr:colOff>
      <xdr:row>5</xdr:row>
      <xdr:rowOff>180522</xdr:rowOff>
    </xdr:to>
    <xdr:pic>
      <xdr:nvPicPr>
        <xdr:cNvPr id="15" name="Imagem 14" descr="60731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410075" y="1531167"/>
          <a:ext cx="180975" cy="180975"/>
        </a:xfrm>
        <a:prstGeom prst="rect">
          <a:avLst/>
        </a:prstGeom>
      </xdr:spPr>
    </xdr:pic>
    <xdr:clientData/>
  </xdr:twoCellAnchor>
  <xdr:twoCellAnchor editAs="oneCell">
    <xdr:from>
      <xdr:col>5</xdr:col>
      <xdr:colOff>409575</xdr:colOff>
      <xdr:row>4</xdr:row>
      <xdr:rowOff>95250</xdr:rowOff>
    </xdr:from>
    <xdr:to>
      <xdr:col>5</xdr:col>
      <xdr:colOff>645343</xdr:colOff>
      <xdr:row>4</xdr:row>
      <xdr:rowOff>331018</xdr:rowOff>
    </xdr:to>
    <xdr:pic>
      <xdr:nvPicPr>
        <xdr:cNvPr id="16" name="Imagem 15" descr="60731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05600" y="1047750"/>
          <a:ext cx="235768" cy="235768"/>
        </a:xfrm>
        <a:prstGeom prst="rect">
          <a:avLst/>
        </a:prstGeom>
      </xdr:spPr>
    </xdr:pic>
    <xdr:clientData/>
  </xdr:twoCellAnchor>
  <xdr:twoCellAnchor editAs="oneCell">
    <xdr:from>
      <xdr:col>7</xdr:col>
      <xdr:colOff>426720</xdr:colOff>
      <xdr:row>8</xdr:row>
      <xdr:rowOff>83820</xdr:rowOff>
    </xdr:from>
    <xdr:to>
      <xdr:col>7</xdr:col>
      <xdr:colOff>662488</xdr:colOff>
      <xdr:row>8</xdr:row>
      <xdr:rowOff>319588</xdr:rowOff>
    </xdr:to>
    <xdr:pic>
      <xdr:nvPicPr>
        <xdr:cNvPr id="2" name="Imagem 1" descr="60731.png">
          <a:extLst>
            <a:ext uri="{FF2B5EF4-FFF2-40B4-BE49-F238E27FC236}">
              <a16:creationId xmlns:a16="http://schemas.microsoft.com/office/drawing/2014/main" id="{31B323BF-A8A2-472C-B909-E674DB3E9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0240" y="2644140"/>
          <a:ext cx="235768" cy="2357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23"/>
  <sheetViews>
    <sheetView topLeftCell="B9" workbookViewId="0">
      <selection activeCell="K9" sqref="K9:K23"/>
    </sheetView>
  </sheetViews>
  <sheetFormatPr defaultRowHeight="14.4" x14ac:dyDescent="0.3"/>
  <cols>
    <col min="1" max="1" width="20.88671875" customWidth="1"/>
    <col min="2" max="2" width="23.44140625" customWidth="1"/>
    <col min="3" max="3" width="12.88671875" customWidth="1"/>
    <col min="4" max="4" width="20.33203125" customWidth="1"/>
    <col min="5" max="5" width="16.5546875" customWidth="1"/>
    <col min="6" max="6" width="12.33203125" customWidth="1"/>
    <col min="7" max="7" width="24.5546875" customWidth="1"/>
    <col min="8" max="8" width="15" customWidth="1"/>
  </cols>
  <sheetData>
    <row r="3" spans="1:17" ht="30" customHeight="1" x14ac:dyDescent="0.3">
      <c r="A3" s="3" t="s">
        <v>21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40</v>
      </c>
      <c r="J3" s="13" t="s">
        <v>45</v>
      </c>
      <c r="K3" s="5">
        <v>200</v>
      </c>
      <c r="L3" s="5">
        <v>4</v>
      </c>
      <c r="M3" s="5">
        <v>60</v>
      </c>
      <c r="N3" s="5">
        <v>50</v>
      </c>
      <c r="O3" s="5">
        <v>3</v>
      </c>
      <c r="P3" s="5">
        <v>75</v>
      </c>
      <c r="Q3" s="5">
        <v>10</v>
      </c>
    </row>
    <row r="4" spans="1:17" ht="30" customHeight="1" x14ac:dyDescent="0.3">
      <c r="A4" s="3" t="s">
        <v>6</v>
      </c>
      <c r="B4" s="1">
        <v>35</v>
      </c>
      <c r="C4" s="1">
        <v>1</v>
      </c>
      <c r="D4" s="1">
        <v>50</v>
      </c>
      <c r="E4" s="1">
        <v>40</v>
      </c>
      <c r="F4" s="1">
        <v>3</v>
      </c>
      <c r="G4" s="1">
        <v>60</v>
      </c>
      <c r="H4" s="1">
        <v>2</v>
      </c>
      <c r="J4" s="13" t="s">
        <v>46</v>
      </c>
      <c r="K4" s="5">
        <v>100</v>
      </c>
      <c r="L4" s="5">
        <v>2</v>
      </c>
      <c r="M4" s="5">
        <v>50</v>
      </c>
      <c r="N4" s="5">
        <v>40</v>
      </c>
      <c r="O4" s="5">
        <v>2</v>
      </c>
      <c r="P4" s="5">
        <v>60</v>
      </c>
      <c r="Q4" s="5">
        <v>2</v>
      </c>
    </row>
    <row r="5" spans="1:17" ht="30" customHeight="1" x14ac:dyDescent="0.3">
      <c r="A5" s="3" t="s">
        <v>7</v>
      </c>
      <c r="B5" s="1">
        <v>200</v>
      </c>
      <c r="C5" s="1">
        <v>3</v>
      </c>
      <c r="D5" s="1">
        <v>35</v>
      </c>
      <c r="E5" s="1">
        <v>30</v>
      </c>
      <c r="F5" s="1">
        <v>2</v>
      </c>
      <c r="G5" s="1">
        <v>80</v>
      </c>
      <c r="H5" s="1">
        <v>3</v>
      </c>
      <c r="J5" s="13" t="s">
        <v>47</v>
      </c>
      <c r="K5" s="1">
        <v>10</v>
      </c>
      <c r="L5" s="1">
        <v>1</v>
      </c>
      <c r="M5" s="1">
        <v>2</v>
      </c>
      <c r="N5" s="1">
        <v>5</v>
      </c>
      <c r="O5" s="1">
        <v>1</v>
      </c>
      <c r="P5" s="1">
        <v>10</v>
      </c>
      <c r="Q5" s="1">
        <v>1</v>
      </c>
    </row>
    <row r="6" spans="1:17" ht="30" customHeight="1" x14ac:dyDescent="0.3">
      <c r="A6" s="3" t="s">
        <v>8</v>
      </c>
      <c r="B6" s="1">
        <v>110</v>
      </c>
      <c r="C6" s="1">
        <v>2</v>
      </c>
      <c r="D6" s="1">
        <v>60</v>
      </c>
      <c r="E6" s="1">
        <v>50</v>
      </c>
      <c r="F6" s="1">
        <v>3</v>
      </c>
      <c r="G6" s="1">
        <v>85</v>
      </c>
      <c r="H6" s="1">
        <v>1</v>
      </c>
      <c r="J6" s="13" t="s">
        <v>48</v>
      </c>
      <c r="K6" s="1">
        <v>20</v>
      </c>
      <c r="L6" s="1">
        <v>2</v>
      </c>
      <c r="M6" s="1">
        <v>5</v>
      </c>
      <c r="N6" s="1">
        <v>10</v>
      </c>
      <c r="O6" s="1">
        <v>2</v>
      </c>
      <c r="P6" s="1">
        <v>20</v>
      </c>
      <c r="Q6" s="1">
        <v>2</v>
      </c>
    </row>
    <row r="7" spans="1:17" ht="30" customHeight="1" x14ac:dyDescent="0.3">
      <c r="A7" s="3" t="s">
        <v>9</v>
      </c>
      <c r="B7" s="1">
        <v>250</v>
      </c>
      <c r="C7" s="1">
        <v>1</v>
      </c>
      <c r="D7" s="1">
        <v>50</v>
      </c>
      <c r="E7" s="1">
        <v>40</v>
      </c>
      <c r="F7" s="1">
        <v>1</v>
      </c>
      <c r="G7" s="1">
        <v>90</v>
      </c>
      <c r="H7" s="1">
        <v>5</v>
      </c>
      <c r="J7" s="13" t="s">
        <v>49</v>
      </c>
      <c r="K7" s="1">
        <v>3</v>
      </c>
      <c r="L7" s="1">
        <v>3</v>
      </c>
      <c r="M7" s="1">
        <v>3</v>
      </c>
      <c r="N7" s="1">
        <v>3</v>
      </c>
      <c r="O7" s="1">
        <v>3</v>
      </c>
      <c r="P7" s="1">
        <v>3</v>
      </c>
      <c r="Q7" s="1">
        <v>3</v>
      </c>
    </row>
    <row r="8" spans="1:17" ht="30" customHeight="1" x14ac:dyDescent="0.3">
      <c r="A8" s="3" t="s">
        <v>10</v>
      </c>
      <c r="B8" s="1">
        <v>130</v>
      </c>
      <c r="C8" s="1">
        <v>3</v>
      </c>
      <c r="D8" s="1">
        <v>50</v>
      </c>
      <c r="E8" s="1">
        <v>40</v>
      </c>
      <c r="F8" s="1">
        <v>3</v>
      </c>
      <c r="G8" s="1">
        <v>60</v>
      </c>
      <c r="H8" s="1">
        <v>4</v>
      </c>
      <c r="J8" s="13" t="s">
        <v>50</v>
      </c>
      <c r="K8" s="1">
        <v>0.15</v>
      </c>
      <c r="L8" s="1">
        <v>0.15</v>
      </c>
      <c r="M8" s="1">
        <v>0.15</v>
      </c>
      <c r="N8" s="1">
        <v>0.15</v>
      </c>
      <c r="O8" s="1">
        <v>0.15</v>
      </c>
      <c r="P8" s="1">
        <v>0.15</v>
      </c>
      <c r="Q8" s="1">
        <v>0.15</v>
      </c>
    </row>
    <row r="9" spans="1:17" ht="30" customHeight="1" x14ac:dyDescent="0.3">
      <c r="A9" s="3" t="s">
        <v>11</v>
      </c>
      <c r="B9" s="1">
        <v>217</v>
      </c>
      <c r="C9" s="1">
        <v>2</v>
      </c>
      <c r="D9" s="1">
        <v>53</v>
      </c>
      <c r="E9" s="1">
        <v>43</v>
      </c>
      <c r="F9" s="1">
        <v>1</v>
      </c>
      <c r="G9" s="1">
        <v>80</v>
      </c>
      <c r="H9" s="1">
        <v>1</v>
      </c>
      <c r="J9" s="1" t="s">
        <v>51</v>
      </c>
      <c r="K9" s="1">
        <v>35</v>
      </c>
      <c r="L9" s="1">
        <v>1</v>
      </c>
      <c r="M9" s="1">
        <v>50</v>
      </c>
      <c r="N9" s="1">
        <v>40</v>
      </c>
      <c r="O9" s="1">
        <v>3</v>
      </c>
      <c r="P9" s="1">
        <v>60</v>
      </c>
      <c r="Q9" s="1">
        <v>2</v>
      </c>
    </row>
    <row r="10" spans="1:17" ht="30" customHeight="1" x14ac:dyDescent="0.3">
      <c r="A10" s="3" t="s">
        <v>12</v>
      </c>
      <c r="B10" s="1">
        <v>241</v>
      </c>
      <c r="C10" s="1">
        <v>2</v>
      </c>
      <c r="D10" s="1">
        <v>55</v>
      </c>
      <c r="E10" s="1">
        <v>44</v>
      </c>
      <c r="F10" s="1">
        <v>2</v>
      </c>
      <c r="G10" s="1">
        <v>50</v>
      </c>
      <c r="H10" s="1">
        <v>1</v>
      </c>
      <c r="J10" s="1" t="s">
        <v>52</v>
      </c>
      <c r="K10" s="1">
        <v>200</v>
      </c>
      <c r="L10" s="1">
        <v>3</v>
      </c>
      <c r="M10" s="1">
        <v>35</v>
      </c>
      <c r="N10" s="1">
        <v>30</v>
      </c>
      <c r="O10" s="1">
        <v>2</v>
      </c>
      <c r="P10" s="1">
        <v>80</v>
      </c>
      <c r="Q10" s="1">
        <v>3</v>
      </c>
    </row>
    <row r="11" spans="1:17" ht="30" customHeight="1" x14ac:dyDescent="0.3">
      <c r="A11" s="3" t="s">
        <v>13</v>
      </c>
      <c r="B11" s="1">
        <v>265</v>
      </c>
      <c r="C11" s="1">
        <v>3</v>
      </c>
      <c r="D11" s="1">
        <v>56</v>
      </c>
      <c r="E11" s="1">
        <v>45</v>
      </c>
      <c r="F11" s="1">
        <v>2</v>
      </c>
      <c r="G11" s="1">
        <v>55</v>
      </c>
      <c r="H11" s="1">
        <v>2</v>
      </c>
      <c r="J11" s="1" t="s">
        <v>53</v>
      </c>
      <c r="K11" s="1">
        <v>110</v>
      </c>
      <c r="L11" s="1">
        <v>2</v>
      </c>
      <c r="M11" s="1">
        <v>60</v>
      </c>
      <c r="N11" s="1">
        <v>50</v>
      </c>
      <c r="O11" s="1">
        <v>3</v>
      </c>
      <c r="P11" s="1">
        <v>85</v>
      </c>
      <c r="Q11" s="1">
        <v>1</v>
      </c>
    </row>
    <row r="12" spans="1:17" ht="30" customHeight="1" x14ac:dyDescent="0.3">
      <c r="A12" s="3" t="s">
        <v>14</v>
      </c>
      <c r="B12" s="1">
        <v>289</v>
      </c>
      <c r="C12" s="1">
        <v>3</v>
      </c>
      <c r="D12" s="1">
        <v>58</v>
      </c>
      <c r="E12" s="1">
        <v>46</v>
      </c>
      <c r="F12" s="1">
        <v>1</v>
      </c>
      <c r="G12" s="1">
        <v>60</v>
      </c>
      <c r="H12" s="1">
        <v>6</v>
      </c>
      <c r="J12" s="1" t="s">
        <v>54</v>
      </c>
      <c r="K12" s="1">
        <v>250</v>
      </c>
      <c r="L12" s="1">
        <v>1</v>
      </c>
      <c r="M12" s="1">
        <v>50</v>
      </c>
      <c r="N12" s="1">
        <v>40</v>
      </c>
      <c r="O12" s="1">
        <v>1</v>
      </c>
      <c r="P12" s="1">
        <v>90</v>
      </c>
      <c r="Q12" s="1">
        <v>5</v>
      </c>
    </row>
    <row r="13" spans="1:17" ht="30" customHeight="1" x14ac:dyDescent="0.3">
      <c r="A13" s="3" t="s">
        <v>15</v>
      </c>
      <c r="B13" s="1">
        <v>313</v>
      </c>
      <c r="C13" s="1">
        <v>3</v>
      </c>
      <c r="D13" s="1">
        <v>59</v>
      </c>
      <c r="E13" s="1">
        <v>47</v>
      </c>
      <c r="F13" s="1">
        <v>2</v>
      </c>
      <c r="G13" s="1">
        <v>40</v>
      </c>
      <c r="H13" s="1">
        <v>10</v>
      </c>
      <c r="J13" s="1" t="s">
        <v>55</v>
      </c>
      <c r="K13" s="1">
        <v>130</v>
      </c>
      <c r="L13" s="1">
        <v>3</v>
      </c>
      <c r="M13" s="1">
        <v>50</v>
      </c>
      <c r="N13" s="1">
        <v>40</v>
      </c>
      <c r="O13" s="1">
        <v>3</v>
      </c>
      <c r="P13" s="1">
        <v>60</v>
      </c>
      <c r="Q13" s="1">
        <v>4</v>
      </c>
    </row>
    <row r="14" spans="1:17" ht="30" customHeight="1" x14ac:dyDescent="0.3">
      <c r="A14" s="3" t="s">
        <v>16</v>
      </c>
      <c r="B14" s="1">
        <v>337</v>
      </c>
      <c r="C14" s="1">
        <v>3</v>
      </c>
      <c r="D14" s="1">
        <v>61</v>
      </c>
      <c r="E14" s="1">
        <v>48</v>
      </c>
      <c r="F14" s="1">
        <v>30</v>
      </c>
      <c r="G14" s="1">
        <v>80</v>
      </c>
      <c r="H14" s="1">
        <v>2</v>
      </c>
      <c r="J14" s="1" t="s">
        <v>56</v>
      </c>
      <c r="K14" s="1">
        <v>35</v>
      </c>
      <c r="L14" s="1">
        <v>1</v>
      </c>
      <c r="M14" s="1">
        <v>50</v>
      </c>
      <c r="N14" s="1">
        <v>40</v>
      </c>
      <c r="O14" s="1">
        <v>1</v>
      </c>
      <c r="P14" s="1">
        <v>60</v>
      </c>
      <c r="Q14" s="1">
        <v>11</v>
      </c>
    </row>
    <row r="15" spans="1:17" ht="30" customHeight="1" x14ac:dyDescent="0.3">
      <c r="A15" s="3" t="s">
        <v>17</v>
      </c>
      <c r="B15" s="1">
        <v>361</v>
      </c>
      <c r="C15" s="1">
        <v>3</v>
      </c>
      <c r="D15" s="1">
        <v>62</v>
      </c>
      <c r="E15" s="1">
        <v>49</v>
      </c>
      <c r="F15" s="1">
        <v>4</v>
      </c>
      <c r="G15" s="1">
        <v>90</v>
      </c>
      <c r="H15" s="1">
        <v>6</v>
      </c>
      <c r="J15" s="1" t="s">
        <v>57</v>
      </c>
      <c r="K15" s="1">
        <v>241</v>
      </c>
      <c r="L15" s="1">
        <v>2</v>
      </c>
      <c r="M15" s="1">
        <v>55</v>
      </c>
      <c r="N15" s="1">
        <v>44</v>
      </c>
      <c r="O15" s="1">
        <v>2</v>
      </c>
      <c r="P15" s="1">
        <v>50</v>
      </c>
      <c r="Q15" s="1">
        <v>1</v>
      </c>
    </row>
    <row r="16" spans="1:17" ht="30" customHeight="1" x14ac:dyDescent="0.3">
      <c r="A16" s="3" t="s">
        <v>18</v>
      </c>
      <c r="B16" s="1">
        <v>385</v>
      </c>
      <c r="C16" s="1">
        <v>4</v>
      </c>
      <c r="D16" s="1">
        <v>64</v>
      </c>
      <c r="E16" s="1">
        <v>50</v>
      </c>
      <c r="F16" s="1">
        <v>8</v>
      </c>
      <c r="G16" s="1">
        <v>85</v>
      </c>
      <c r="H16" s="1">
        <v>8</v>
      </c>
      <c r="J16" s="1" t="s">
        <v>58</v>
      </c>
      <c r="K16" s="1">
        <v>265</v>
      </c>
      <c r="L16" s="1">
        <v>3</v>
      </c>
      <c r="M16" s="1">
        <v>56</v>
      </c>
      <c r="N16" s="1">
        <v>45</v>
      </c>
      <c r="O16" s="1">
        <v>2</v>
      </c>
      <c r="P16" s="1">
        <v>55</v>
      </c>
      <c r="Q16" s="1">
        <v>2</v>
      </c>
    </row>
    <row r="17" spans="1:17" ht="30" customHeight="1" x14ac:dyDescent="0.3">
      <c r="A17" s="3" t="s">
        <v>19</v>
      </c>
      <c r="B17" s="1">
        <v>409</v>
      </c>
      <c r="C17" s="1">
        <v>4</v>
      </c>
      <c r="D17" s="1">
        <v>65</v>
      </c>
      <c r="E17" s="1">
        <v>51</v>
      </c>
      <c r="F17" s="1">
        <v>4</v>
      </c>
      <c r="G17" s="1">
        <v>100</v>
      </c>
      <c r="H17" s="1">
        <v>5</v>
      </c>
      <c r="J17" s="1" t="s">
        <v>59</v>
      </c>
      <c r="K17" s="1">
        <v>289</v>
      </c>
      <c r="L17" s="1">
        <v>3</v>
      </c>
      <c r="M17" s="1">
        <v>58</v>
      </c>
      <c r="N17" s="1">
        <v>46</v>
      </c>
      <c r="O17" s="1">
        <v>1</v>
      </c>
      <c r="P17" s="1">
        <v>60</v>
      </c>
      <c r="Q17" s="1">
        <v>6</v>
      </c>
    </row>
    <row r="18" spans="1:17" ht="30" customHeight="1" x14ac:dyDescent="0.3">
      <c r="A18" s="3" t="s">
        <v>20</v>
      </c>
      <c r="B18" s="1">
        <v>433</v>
      </c>
      <c r="C18" s="1">
        <v>4</v>
      </c>
      <c r="D18" s="1">
        <v>67</v>
      </c>
      <c r="E18" s="1">
        <v>52</v>
      </c>
      <c r="F18" s="1">
        <v>3</v>
      </c>
      <c r="G18" s="1">
        <v>90</v>
      </c>
      <c r="H18" s="1">
        <v>1</v>
      </c>
      <c r="J18" s="1" t="s">
        <v>60</v>
      </c>
      <c r="K18" s="1">
        <v>313</v>
      </c>
      <c r="L18" s="1">
        <v>3</v>
      </c>
      <c r="M18" s="1">
        <v>59</v>
      </c>
      <c r="N18" s="1">
        <v>47</v>
      </c>
      <c r="O18" s="1">
        <v>2</v>
      </c>
      <c r="P18" s="1">
        <v>40</v>
      </c>
      <c r="Q18" s="1">
        <v>10</v>
      </c>
    </row>
    <row r="19" spans="1:17" x14ac:dyDescent="0.3">
      <c r="J19" s="1" t="s">
        <v>61</v>
      </c>
      <c r="K19" s="1">
        <v>337</v>
      </c>
      <c r="L19" s="1">
        <v>3</v>
      </c>
      <c r="M19" s="1">
        <v>61</v>
      </c>
      <c r="N19" s="1">
        <v>48</v>
      </c>
      <c r="O19" s="1">
        <v>30</v>
      </c>
      <c r="P19" s="1">
        <v>80</v>
      </c>
      <c r="Q19" s="1">
        <v>20</v>
      </c>
    </row>
    <row r="20" spans="1:17" x14ac:dyDescent="0.3">
      <c r="J20" s="1" t="s">
        <v>62</v>
      </c>
      <c r="K20" s="1">
        <v>361</v>
      </c>
      <c r="L20" s="1">
        <v>3</v>
      </c>
      <c r="M20" s="1">
        <v>62</v>
      </c>
      <c r="N20" s="1">
        <v>49</v>
      </c>
      <c r="O20" s="1">
        <v>4</v>
      </c>
      <c r="P20" s="1">
        <v>90</v>
      </c>
      <c r="Q20" s="1">
        <v>6</v>
      </c>
    </row>
    <row r="21" spans="1:17" x14ac:dyDescent="0.3">
      <c r="J21" s="1" t="s">
        <v>63</v>
      </c>
      <c r="K21" s="1">
        <v>385</v>
      </c>
      <c r="L21" s="1">
        <v>4</v>
      </c>
      <c r="M21" s="1">
        <v>64</v>
      </c>
      <c r="N21" s="1">
        <v>50</v>
      </c>
      <c r="O21" s="1">
        <v>8</v>
      </c>
      <c r="P21" s="1">
        <v>85</v>
      </c>
      <c r="Q21" s="1">
        <v>8</v>
      </c>
    </row>
    <row r="22" spans="1:17" x14ac:dyDescent="0.3">
      <c r="J22" s="1" t="s">
        <v>64</v>
      </c>
      <c r="K22" s="1">
        <v>409</v>
      </c>
      <c r="L22" s="1">
        <v>4</v>
      </c>
      <c r="M22" s="1">
        <v>65</v>
      </c>
      <c r="N22" s="1">
        <v>51</v>
      </c>
      <c r="O22" s="1">
        <v>4</v>
      </c>
      <c r="P22" s="1">
        <v>100</v>
      </c>
      <c r="Q22" s="1">
        <v>5</v>
      </c>
    </row>
    <row r="23" spans="1:17" x14ac:dyDescent="0.3">
      <c r="J23" s="1" t="s">
        <v>65</v>
      </c>
      <c r="K23" s="1">
        <v>433</v>
      </c>
      <c r="L23" s="1">
        <v>4</v>
      </c>
      <c r="M23" s="1">
        <v>67</v>
      </c>
      <c r="N23" s="1">
        <v>52</v>
      </c>
      <c r="O23" s="1">
        <v>3</v>
      </c>
      <c r="P23" s="1">
        <v>90</v>
      </c>
      <c r="Q23" s="1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14"/>
  <sheetViews>
    <sheetView workbookViewId="0">
      <selection activeCell="B8" sqref="B8:B14"/>
    </sheetView>
  </sheetViews>
  <sheetFormatPr defaultRowHeight="14.4" x14ac:dyDescent="0.3"/>
  <cols>
    <col min="2" max="2" width="23.6640625" bestFit="1" customWidth="1"/>
    <col min="3" max="3" width="47.6640625" bestFit="1" customWidth="1"/>
    <col min="5" max="5" width="21.88671875" bestFit="1" customWidth="1"/>
  </cols>
  <sheetData>
    <row r="3" spans="1:12" x14ac:dyDescent="0.3">
      <c r="E3" s="14" t="s">
        <v>41</v>
      </c>
      <c r="F3" s="14" t="s">
        <v>42</v>
      </c>
      <c r="G3" s="14"/>
      <c r="H3" s="14"/>
      <c r="I3" s="14"/>
      <c r="J3" s="14"/>
      <c r="K3" s="14"/>
      <c r="L3" s="14"/>
    </row>
    <row r="4" spans="1:12" x14ac:dyDescent="0.3">
      <c r="E4" s="14"/>
      <c r="F4" s="7" t="s">
        <v>26</v>
      </c>
      <c r="G4" s="7" t="s">
        <v>27</v>
      </c>
      <c r="H4" s="7" t="s">
        <v>28</v>
      </c>
      <c r="I4" s="7" t="s">
        <v>29</v>
      </c>
      <c r="J4" s="7" t="s">
        <v>30</v>
      </c>
      <c r="K4" s="7" t="s">
        <v>31</v>
      </c>
      <c r="L4" s="7" t="s">
        <v>32</v>
      </c>
    </row>
    <row r="5" spans="1:12" x14ac:dyDescent="0.3">
      <c r="E5" s="7" t="s">
        <v>43</v>
      </c>
      <c r="F5" s="7">
        <v>-0.68254000000000004</v>
      </c>
      <c r="G5" s="7">
        <v>-0.66564000000000001</v>
      </c>
      <c r="H5" s="7">
        <v>-0.66825000000000001</v>
      </c>
      <c r="I5" s="7">
        <v>-0.65851999999999999</v>
      </c>
      <c r="J5" s="7">
        <v>-0.66524000000000005</v>
      </c>
      <c r="K5" s="7">
        <v>-0.65913999999999995</v>
      </c>
      <c r="L5" s="7">
        <v>-0.66144000000000003</v>
      </c>
    </row>
    <row r="6" spans="1:12" x14ac:dyDescent="0.3">
      <c r="E6" s="7" t="s">
        <v>44</v>
      </c>
      <c r="F6" s="7">
        <v>3.215E-3</v>
      </c>
      <c r="G6" s="7">
        <v>-1.321E-2</v>
      </c>
      <c r="H6" s="7">
        <v>6.1499999999999999E-4</v>
      </c>
      <c r="I6" s="7">
        <v>2.315E-2</v>
      </c>
      <c r="J6" s="7">
        <v>1.6549999999999999E-2</v>
      </c>
      <c r="K6" s="7">
        <v>2.4150000000000001E-2</v>
      </c>
      <c r="L6" s="7">
        <v>3.1215E-2</v>
      </c>
    </row>
    <row r="7" spans="1:12" x14ac:dyDescent="0.3">
      <c r="A7" s="2" t="s">
        <v>23</v>
      </c>
      <c r="B7" s="2" t="s">
        <v>22</v>
      </c>
      <c r="C7" s="2" t="s">
        <v>24</v>
      </c>
    </row>
    <row r="8" spans="1:12" x14ac:dyDescent="0.3">
      <c r="A8" s="1" t="s">
        <v>26</v>
      </c>
      <c r="B8" s="5" t="s">
        <v>0</v>
      </c>
      <c r="C8" s="4" t="s">
        <v>25</v>
      </c>
    </row>
    <row r="9" spans="1:12" ht="43.2" x14ac:dyDescent="0.3">
      <c r="A9" s="1" t="s">
        <v>27</v>
      </c>
      <c r="B9" s="5" t="s">
        <v>1</v>
      </c>
      <c r="C9" s="4" t="s">
        <v>33</v>
      </c>
    </row>
    <row r="10" spans="1:12" ht="43.2" x14ac:dyDescent="0.3">
      <c r="A10" s="1" t="s">
        <v>28</v>
      </c>
      <c r="B10" s="5" t="s">
        <v>2</v>
      </c>
      <c r="C10" s="4" t="s">
        <v>34</v>
      </c>
    </row>
    <row r="11" spans="1:12" ht="43.2" x14ac:dyDescent="0.3">
      <c r="A11" s="1" t="s">
        <v>29</v>
      </c>
      <c r="B11" s="5" t="s">
        <v>3</v>
      </c>
      <c r="C11" s="4" t="s">
        <v>35</v>
      </c>
    </row>
    <row r="12" spans="1:12" ht="28.8" x14ac:dyDescent="0.3">
      <c r="A12" s="1" t="s">
        <v>30</v>
      </c>
      <c r="B12" s="5" t="s">
        <v>4</v>
      </c>
      <c r="C12" s="4" t="s">
        <v>36</v>
      </c>
    </row>
    <row r="13" spans="1:12" ht="43.2" x14ac:dyDescent="0.3">
      <c r="A13" s="1" t="s">
        <v>31</v>
      </c>
      <c r="B13" s="5" t="s">
        <v>5</v>
      </c>
      <c r="C13" s="6" t="s">
        <v>39</v>
      </c>
    </row>
    <row r="14" spans="1:12" ht="28.8" x14ac:dyDescent="0.3">
      <c r="A14" s="1" t="s">
        <v>32</v>
      </c>
      <c r="B14" s="5" t="s">
        <v>37</v>
      </c>
      <c r="C14" s="4" t="s">
        <v>38</v>
      </c>
    </row>
  </sheetData>
  <mergeCells count="2">
    <mergeCell ref="F3:L3"/>
    <mergeCell ref="E3:E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J9"/>
  <sheetViews>
    <sheetView workbookViewId="0">
      <selection activeCell="C14" sqref="C14"/>
    </sheetView>
  </sheetViews>
  <sheetFormatPr defaultRowHeight="14.4" x14ac:dyDescent="0.3"/>
  <cols>
    <col min="3" max="3" width="49.109375" customWidth="1"/>
    <col min="4" max="4" width="18.109375" customWidth="1"/>
    <col min="5" max="5" width="18" bestFit="1" customWidth="1"/>
    <col min="6" max="6" width="14.33203125" customWidth="1"/>
    <col min="7" max="7" width="15.5546875" customWidth="1"/>
    <col min="8" max="8" width="15.77734375" customWidth="1"/>
  </cols>
  <sheetData>
    <row r="3" spans="2:10" x14ac:dyDescent="0.3">
      <c r="B3" s="16" t="s">
        <v>69</v>
      </c>
      <c r="C3" s="16"/>
      <c r="D3" s="16"/>
      <c r="E3" s="16"/>
      <c r="F3" s="16"/>
      <c r="G3" s="16"/>
      <c r="H3" s="16"/>
    </row>
    <row r="4" spans="2:10" ht="57.6" x14ac:dyDescent="0.3">
      <c r="B4" s="9"/>
      <c r="C4" s="10" t="s">
        <v>67</v>
      </c>
      <c r="D4" s="11" t="s">
        <v>74</v>
      </c>
      <c r="E4" s="11" t="s">
        <v>73</v>
      </c>
      <c r="F4" s="11" t="s">
        <v>75</v>
      </c>
      <c r="G4" s="11" t="s">
        <v>76</v>
      </c>
      <c r="H4" s="11" t="s">
        <v>77</v>
      </c>
    </row>
    <row r="5" spans="2:10" ht="28.8" x14ac:dyDescent="0.3">
      <c r="B5" s="5" t="s">
        <v>66</v>
      </c>
      <c r="C5" s="12" t="s">
        <v>68</v>
      </c>
      <c r="D5" s="5"/>
      <c r="E5" s="5"/>
      <c r="F5" s="5"/>
      <c r="G5" s="5"/>
      <c r="H5" s="5"/>
      <c r="I5" s="8"/>
      <c r="J5" s="8"/>
    </row>
    <row r="6" spans="2:10" ht="19.95" customHeight="1" x14ac:dyDescent="0.3">
      <c r="B6" s="5" t="s">
        <v>71</v>
      </c>
      <c r="C6" s="15" t="s">
        <v>70</v>
      </c>
      <c r="D6" s="1"/>
      <c r="E6" s="5"/>
      <c r="F6" s="5"/>
      <c r="G6" s="5"/>
      <c r="H6" s="5"/>
      <c r="I6" s="8"/>
      <c r="J6" s="8"/>
    </row>
    <row r="7" spans="2:10" ht="19.95" customHeight="1" x14ac:dyDescent="0.3">
      <c r="B7" s="5" t="s">
        <v>80</v>
      </c>
      <c r="C7" s="15"/>
      <c r="D7" s="1"/>
      <c r="E7" s="5"/>
      <c r="F7" s="5"/>
      <c r="G7" s="5"/>
      <c r="H7" s="5"/>
      <c r="I7" s="8"/>
      <c r="J7" s="8"/>
    </row>
    <row r="8" spans="2:10" ht="43.2" x14ac:dyDescent="0.3">
      <c r="B8" s="5" t="s">
        <v>81</v>
      </c>
      <c r="C8" s="12" t="s">
        <v>72</v>
      </c>
      <c r="D8" s="5"/>
      <c r="E8" s="5"/>
      <c r="F8" s="5"/>
      <c r="G8" s="5"/>
      <c r="H8" s="5"/>
      <c r="I8" s="8"/>
      <c r="J8" s="8"/>
    </row>
    <row r="9" spans="2:10" ht="28.8" x14ac:dyDescent="0.3">
      <c r="B9" s="5" t="s">
        <v>78</v>
      </c>
      <c r="C9" s="12" t="s">
        <v>79</v>
      </c>
      <c r="D9" s="5"/>
      <c r="E9" s="5"/>
      <c r="F9" s="5"/>
      <c r="G9" s="5"/>
      <c r="H9" s="5"/>
      <c r="I9" s="8"/>
      <c r="J9" s="8"/>
    </row>
  </sheetData>
  <mergeCells count="2">
    <mergeCell ref="C6:C7"/>
    <mergeCell ref="B3:H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968-0775-44BE-95DF-05DE57034ADF}">
  <dimension ref="A1:Q59"/>
  <sheetViews>
    <sheetView tabSelected="1" topLeftCell="A32" workbookViewId="0">
      <selection activeCell="K42" sqref="K42"/>
    </sheetView>
  </sheetViews>
  <sheetFormatPr defaultRowHeight="14.4" x14ac:dyDescent="0.3"/>
  <cols>
    <col min="1" max="1" width="7.77734375" customWidth="1"/>
    <col min="4" max="4" width="7.44140625" customWidth="1"/>
    <col min="5" max="5" width="7.21875" customWidth="1"/>
    <col min="9" max="9" width="2.77734375" customWidth="1"/>
    <col min="10" max="10" width="7.6640625" customWidth="1"/>
    <col min="13" max="13" width="7.109375" customWidth="1"/>
    <col min="14" max="14" width="7.44140625" customWidth="1"/>
    <col min="15" max="15" width="9.44140625" bestFit="1" customWidth="1"/>
  </cols>
  <sheetData>
    <row r="1" spans="1:17" x14ac:dyDescent="0.3">
      <c r="A1" s="18" t="s">
        <v>97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3" spans="1:17" x14ac:dyDescent="0.3">
      <c r="A3" s="18" t="s">
        <v>88</v>
      </c>
      <c r="B3" s="18"/>
      <c r="C3" s="18"/>
      <c r="D3" s="18"/>
      <c r="E3" s="18"/>
      <c r="F3" s="18"/>
      <c r="G3" s="18"/>
      <c r="H3" s="18"/>
      <c r="J3" s="18" t="s">
        <v>89</v>
      </c>
      <c r="K3" s="18"/>
      <c r="L3" s="18"/>
      <c r="M3" s="18"/>
      <c r="N3" s="18"/>
      <c r="O3" s="18"/>
      <c r="P3" s="18"/>
      <c r="Q3" s="18"/>
    </row>
    <row r="4" spans="1:17" x14ac:dyDescent="0.3">
      <c r="A4" s="1" t="s">
        <v>82</v>
      </c>
      <c r="B4" s="1" t="s">
        <v>83</v>
      </c>
      <c r="C4" s="1" t="s">
        <v>1</v>
      </c>
      <c r="D4" s="1" t="s">
        <v>84</v>
      </c>
      <c r="E4" s="1" t="s">
        <v>85</v>
      </c>
      <c r="F4" s="1" t="s">
        <v>4</v>
      </c>
      <c r="G4" s="1" t="s">
        <v>86</v>
      </c>
      <c r="H4" s="1" t="s">
        <v>87</v>
      </c>
      <c r="J4" s="1" t="s">
        <v>82</v>
      </c>
      <c r="K4" s="1" t="s">
        <v>83</v>
      </c>
      <c r="L4" s="1" t="s">
        <v>1</v>
      </c>
      <c r="M4" s="1" t="s">
        <v>84</v>
      </c>
      <c r="N4" s="1" t="s">
        <v>85</v>
      </c>
      <c r="O4" s="1" t="s">
        <v>4</v>
      </c>
      <c r="P4" s="1" t="s">
        <v>86</v>
      </c>
      <c r="Q4" s="1" t="s">
        <v>87</v>
      </c>
    </row>
    <row r="5" spans="1:17" x14ac:dyDescent="0.3">
      <c r="A5" s="1"/>
      <c r="B5" s="1" t="s">
        <v>90</v>
      </c>
      <c r="C5" s="1" t="s">
        <v>91</v>
      </c>
      <c r="D5" s="1" t="s">
        <v>90</v>
      </c>
      <c r="E5" s="1" t="s">
        <v>90</v>
      </c>
      <c r="F5" s="1" t="s">
        <v>91</v>
      </c>
      <c r="G5" s="1" t="s">
        <v>90</v>
      </c>
      <c r="H5" s="1" t="s">
        <v>91</v>
      </c>
      <c r="J5" s="1"/>
      <c r="K5" s="1" t="s">
        <v>90</v>
      </c>
      <c r="L5" s="1" t="s">
        <v>91</v>
      </c>
      <c r="M5" s="1" t="s">
        <v>90</v>
      </c>
      <c r="N5" s="1" t="s">
        <v>90</v>
      </c>
      <c r="O5" s="1" t="s">
        <v>91</v>
      </c>
      <c r="P5" s="1" t="s">
        <v>90</v>
      </c>
      <c r="Q5" s="1" t="s">
        <v>91</v>
      </c>
    </row>
    <row r="6" spans="1:17" x14ac:dyDescent="0.3">
      <c r="A6" s="1" t="s">
        <v>51</v>
      </c>
      <c r="B6" s="1">
        <v>35</v>
      </c>
      <c r="C6" s="1">
        <v>9</v>
      </c>
      <c r="D6" s="1">
        <v>50</v>
      </c>
      <c r="E6" s="1">
        <v>39</v>
      </c>
      <c r="F6" s="1">
        <v>19</v>
      </c>
      <c r="G6" s="1">
        <v>-49</v>
      </c>
      <c r="H6" s="1">
        <v>0.14000000000000001</v>
      </c>
      <c r="J6" s="1" t="s">
        <v>51</v>
      </c>
      <c r="K6" s="1">
        <v>35</v>
      </c>
      <c r="L6" s="21">
        <f>1000/9</f>
        <v>111.11111111111111</v>
      </c>
      <c r="M6" s="1">
        <v>50</v>
      </c>
      <c r="N6" s="1">
        <v>39</v>
      </c>
      <c r="O6" s="21">
        <f>100/19</f>
        <v>5.2631578947368425</v>
      </c>
      <c r="P6" s="1">
        <v>-49</v>
      </c>
      <c r="Q6" s="20">
        <f>1/0.14</f>
        <v>7.1428571428571423</v>
      </c>
    </row>
    <row r="7" spans="1:17" x14ac:dyDescent="0.3">
      <c r="A7" s="1" t="s">
        <v>52</v>
      </c>
      <c r="B7" s="1">
        <v>120</v>
      </c>
      <c r="C7" s="1">
        <v>10</v>
      </c>
      <c r="D7" s="1">
        <v>35</v>
      </c>
      <c r="E7" s="1">
        <v>37</v>
      </c>
      <c r="F7" s="1">
        <v>20</v>
      </c>
      <c r="G7" s="1">
        <v>-54</v>
      </c>
      <c r="H7" s="1">
        <v>0.21</v>
      </c>
      <c r="J7" s="1" t="s">
        <v>52</v>
      </c>
      <c r="K7" s="1">
        <v>120</v>
      </c>
      <c r="L7" s="21">
        <f>1000/10</f>
        <v>100</v>
      </c>
      <c r="M7" s="1">
        <v>35</v>
      </c>
      <c r="N7" s="1">
        <v>37</v>
      </c>
      <c r="O7" s="21">
        <f>100/20</f>
        <v>5</v>
      </c>
      <c r="P7" s="1">
        <v>-54</v>
      </c>
      <c r="Q7" s="20">
        <f>1/0.21</f>
        <v>4.7619047619047619</v>
      </c>
    </row>
    <row r="8" spans="1:17" x14ac:dyDescent="0.3">
      <c r="A8" s="1" t="s">
        <v>53</v>
      </c>
      <c r="B8" s="1">
        <v>140</v>
      </c>
      <c r="C8" s="1">
        <v>49</v>
      </c>
      <c r="D8" s="1">
        <v>22</v>
      </c>
      <c r="E8" s="1">
        <v>29</v>
      </c>
      <c r="F8" s="1">
        <v>25</v>
      </c>
      <c r="G8" s="1">
        <v>-55</v>
      </c>
      <c r="H8" s="1">
        <v>0.24</v>
      </c>
      <c r="J8" s="1" t="s">
        <v>53</v>
      </c>
      <c r="K8" s="1">
        <v>140</v>
      </c>
      <c r="L8" s="21">
        <f>1000/49</f>
        <v>20.408163265306122</v>
      </c>
      <c r="M8" s="1">
        <v>22</v>
      </c>
      <c r="N8" s="1">
        <v>29</v>
      </c>
      <c r="O8" s="21">
        <f>100/25</f>
        <v>4</v>
      </c>
      <c r="P8" s="1">
        <v>-55</v>
      </c>
      <c r="Q8" s="20">
        <f>1/0.24</f>
        <v>4.166666666666667</v>
      </c>
    </row>
    <row r="9" spans="1:17" x14ac:dyDescent="0.3">
      <c r="A9" s="1" t="s">
        <v>54</v>
      </c>
      <c r="B9" s="1">
        <v>148</v>
      </c>
      <c r="C9" s="1">
        <v>110</v>
      </c>
      <c r="D9" s="1">
        <v>25</v>
      </c>
      <c r="E9" s="1">
        <v>35</v>
      </c>
      <c r="F9" s="1">
        <v>22</v>
      </c>
      <c r="G9" s="1">
        <v>-68</v>
      </c>
      <c r="H9" s="1">
        <v>0.12</v>
      </c>
      <c r="J9" s="1" t="s">
        <v>54</v>
      </c>
      <c r="K9" s="1">
        <v>90</v>
      </c>
      <c r="L9" s="21">
        <f>1000/89</f>
        <v>11.235955056179776</v>
      </c>
      <c r="M9" s="1">
        <v>43</v>
      </c>
      <c r="N9" s="1">
        <v>33</v>
      </c>
      <c r="O9" s="21">
        <f>100/26</f>
        <v>3.8461538461538463</v>
      </c>
      <c r="P9" s="1">
        <v>-71</v>
      </c>
      <c r="Q9" s="20">
        <f>1/0.42</f>
        <v>2.3809523809523809</v>
      </c>
    </row>
    <row r="10" spans="1:17" x14ac:dyDescent="0.3">
      <c r="A10" s="1" t="s">
        <v>54</v>
      </c>
      <c r="B10" s="1">
        <v>90</v>
      </c>
      <c r="C10" s="1">
        <v>89</v>
      </c>
      <c r="D10" s="1">
        <v>43</v>
      </c>
      <c r="E10" s="1">
        <v>33</v>
      </c>
      <c r="F10" s="1">
        <v>26</v>
      </c>
      <c r="G10" s="1">
        <v>-71</v>
      </c>
      <c r="H10" s="1">
        <v>0.42</v>
      </c>
      <c r="J10" s="1" t="s">
        <v>55</v>
      </c>
      <c r="K10" s="1">
        <v>127</v>
      </c>
      <c r="L10" s="21">
        <f>1000/71</f>
        <v>14.084507042253522</v>
      </c>
      <c r="M10" s="1">
        <v>22</v>
      </c>
      <c r="N10" s="1">
        <v>35</v>
      </c>
      <c r="O10" s="21">
        <f>100/24</f>
        <v>4.166666666666667</v>
      </c>
      <c r="P10" s="1">
        <v>-69</v>
      </c>
      <c r="Q10" s="20">
        <f>1/0.91</f>
        <v>1.0989010989010988</v>
      </c>
    </row>
    <row r="11" spans="1:17" x14ac:dyDescent="0.3">
      <c r="A11" s="1" t="s">
        <v>55</v>
      </c>
      <c r="B11" s="1">
        <v>127</v>
      </c>
      <c r="C11" s="1">
        <v>71</v>
      </c>
      <c r="D11" s="1">
        <v>22</v>
      </c>
      <c r="E11" s="1">
        <v>35</v>
      </c>
      <c r="F11" s="1">
        <v>24</v>
      </c>
      <c r="G11" s="1">
        <v>-69</v>
      </c>
      <c r="H11" s="1">
        <v>0.91</v>
      </c>
      <c r="J11" s="1" t="s">
        <v>56</v>
      </c>
      <c r="K11" s="1">
        <v>120</v>
      </c>
      <c r="L11" s="21">
        <f>1000/84</f>
        <v>11.904761904761905</v>
      </c>
      <c r="M11" s="1">
        <v>33</v>
      </c>
      <c r="N11" s="1">
        <v>32</v>
      </c>
      <c r="O11" s="21">
        <f>100/20</f>
        <v>5</v>
      </c>
      <c r="P11" s="1">
        <v>-66</v>
      </c>
      <c r="Q11" s="20">
        <f>1/0.52</f>
        <v>1.9230769230769229</v>
      </c>
    </row>
    <row r="12" spans="1:17" x14ac:dyDescent="0.3">
      <c r="A12" s="1" t="s">
        <v>56</v>
      </c>
      <c r="B12" s="1">
        <v>120</v>
      </c>
      <c r="C12" s="1">
        <v>84</v>
      </c>
      <c r="D12" s="1">
        <v>33</v>
      </c>
      <c r="E12" s="1">
        <v>32</v>
      </c>
      <c r="F12" s="1">
        <v>20</v>
      </c>
      <c r="G12" s="1">
        <v>-66</v>
      </c>
      <c r="H12" s="1">
        <v>0.52</v>
      </c>
      <c r="J12" s="1" t="s">
        <v>57</v>
      </c>
      <c r="K12" s="1">
        <v>98</v>
      </c>
      <c r="L12" s="21">
        <f>1000/88</f>
        <v>11.363636363636363</v>
      </c>
      <c r="M12" s="1">
        <v>52</v>
      </c>
      <c r="N12" s="1">
        <v>33</v>
      </c>
      <c r="O12" s="21">
        <f>100/27</f>
        <v>3.7037037037037037</v>
      </c>
      <c r="P12" s="1">
        <v>-69</v>
      </c>
      <c r="Q12" s="20">
        <f>1/0.12</f>
        <v>8.3333333333333339</v>
      </c>
    </row>
    <row r="13" spans="1:17" x14ac:dyDescent="0.3">
      <c r="A13" s="1" t="s">
        <v>57</v>
      </c>
      <c r="B13" s="1">
        <v>98</v>
      </c>
      <c r="C13" s="1">
        <v>88</v>
      </c>
      <c r="D13" s="1">
        <v>52</v>
      </c>
      <c r="E13" s="1">
        <v>33</v>
      </c>
      <c r="F13" s="1">
        <v>27</v>
      </c>
      <c r="G13" s="1">
        <v>-69</v>
      </c>
      <c r="H13" s="1">
        <v>0.12</v>
      </c>
      <c r="J13" s="1" t="s">
        <v>58</v>
      </c>
      <c r="K13" s="1">
        <v>128</v>
      </c>
      <c r="L13" s="21">
        <f>1000/102</f>
        <v>9.8039215686274517</v>
      </c>
      <c r="M13" s="1">
        <v>28</v>
      </c>
      <c r="N13" s="1">
        <v>28</v>
      </c>
      <c r="O13" s="21">
        <f>100/27</f>
        <v>3.7037037037037037</v>
      </c>
      <c r="P13" s="1">
        <v>-70</v>
      </c>
      <c r="Q13" s="20">
        <f>1/0.24</f>
        <v>4.166666666666667</v>
      </c>
    </row>
    <row r="14" spans="1:17" x14ac:dyDescent="0.3">
      <c r="A14" s="1" t="s">
        <v>58</v>
      </c>
      <c r="B14" s="1">
        <v>128</v>
      </c>
      <c r="C14" s="1">
        <v>102</v>
      </c>
      <c r="D14" s="1">
        <v>28</v>
      </c>
      <c r="E14" s="1">
        <v>28</v>
      </c>
      <c r="F14" s="1">
        <v>27</v>
      </c>
      <c r="G14" s="1">
        <v>-70</v>
      </c>
      <c r="H14" s="1">
        <v>0.24</v>
      </c>
      <c r="J14" s="1" t="s">
        <v>59</v>
      </c>
      <c r="K14" s="1">
        <v>114</v>
      </c>
      <c r="L14" s="21">
        <f>1000/55</f>
        <v>18.181818181818183</v>
      </c>
      <c r="M14" s="1">
        <v>31</v>
      </c>
      <c r="N14" s="1">
        <v>36</v>
      </c>
      <c r="O14" s="21">
        <f>100/29</f>
        <v>3.4482758620689653</v>
      </c>
      <c r="P14" s="1">
        <v>-74</v>
      </c>
      <c r="Q14" s="20">
        <f>1/0.45</f>
        <v>2.2222222222222223</v>
      </c>
    </row>
    <row r="15" spans="1:17" x14ac:dyDescent="0.3">
      <c r="A15" s="1" t="s">
        <v>59</v>
      </c>
      <c r="B15" s="1">
        <v>114</v>
      </c>
      <c r="C15" s="1">
        <v>55</v>
      </c>
      <c r="D15" s="1">
        <v>31</v>
      </c>
      <c r="E15" s="1">
        <v>36</v>
      </c>
      <c r="F15" s="1">
        <v>29</v>
      </c>
      <c r="G15" s="1">
        <v>-74</v>
      </c>
      <c r="H15" s="1">
        <v>0.45</v>
      </c>
      <c r="J15" s="1" t="s">
        <v>60</v>
      </c>
      <c r="K15" s="1">
        <v>167</v>
      </c>
      <c r="L15" s="21">
        <f>1000/67</f>
        <v>14.925373134328359</v>
      </c>
      <c r="M15" s="1">
        <v>34</v>
      </c>
      <c r="N15" s="1">
        <v>34</v>
      </c>
      <c r="O15" s="21">
        <f>100/21</f>
        <v>4.7619047619047619</v>
      </c>
      <c r="P15" s="1">
        <v>-78</v>
      </c>
      <c r="Q15" s="20">
        <f>1/0.51</f>
        <v>1.9607843137254901</v>
      </c>
    </row>
    <row r="16" spans="1:17" x14ac:dyDescent="0.3">
      <c r="A16" s="1" t="s">
        <v>60</v>
      </c>
      <c r="B16" s="1">
        <v>167</v>
      </c>
      <c r="C16" s="1">
        <v>67</v>
      </c>
      <c r="D16" s="1">
        <v>34</v>
      </c>
      <c r="E16" s="1">
        <v>34</v>
      </c>
      <c r="F16" s="1">
        <v>21</v>
      </c>
      <c r="G16" s="1">
        <v>-78</v>
      </c>
      <c r="H16" s="1">
        <v>0.51</v>
      </c>
      <c r="J16" s="1" t="s">
        <v>61</v>
      </c>
      <c r="K16" s="1">
        <v>60</v>
      </c>
      <c r="L16" s="21">
        <f>1000/32</f>
        <v>31.25</v>
      </c>
      <c r="M16" s="1">
        <v>50</v>
      </c>
      <c r="N16" s="1">
        <v>35</v>
      </c>
      <c r="O16" s="21">
        <f>100/15</f>
        <v>6.666666666666667</v>
      </c>
      <c r="P16" s="1">
        <v>-67</v>
      </c>
      <c r="Q16" s="20">
        <f>1/0.2</f>
        <v>5</v>
      </c>
    </row>
    <row r="17" spans="1:17" x14ac:dyDescent="0.3">
      <c r="A17" s="1" t="s">
        <v>61</v>
      </c>
      <c r="B17" s="1">
        <v>60</v>
      </c>
      <c r="C17" s="1">
        <v>32</v>
      </c>
      <c r="D17" s="1">
        <v>50</v>
      </c>
      <c r="E17" s="1">
        <v>35</v>
      </c>
      <c r="F17" s="1">
        <v>15</v>
      </c>
      <c r="G17" s="1">
        <v>-67</v>
      </c>
      <c r="H17" s="1">
        <v>0.2</v>
      </c>
      <c r="J17" s="1" t="s">
        <v>62</v>
      </c>
      <c r="K17" s="1">
        <v>142</v>
      </c>
      <c r="L17" s="21">
        <f>1000/88</f>
        <v>11.363636363636363</v>
      </c>
      <c r="M17" s="1">
        <v>50</v>
      </c>
      <c r="N17" s="1">
        <v>37</v>
      </c>
      <c r="O17" s="21">
        <f>100/26</f>
        <v>3.8461538461538463</v>
      </c>
      <c r="P17" s="1">
        <v>-80</v>
      </c>
      <c r="Q17" s="20">
        <f>1/0.42</f>
        <v>2.3809523809523809</v>
      </c>
    </row>
    <row r="18" spans="1:17" x14ac:dyDescent="0.3">
      <c r="A18" s="1" t="s">
        <v>62</v>
      </c>
      <c r="B18" s="1">
        <v>142</v>
      </c>
      <c r="C18" s="1">
        <v>88</v>
      </c>
      <c r="D18" s="1">
        <v>50</v>
      </c>
      <c r="E18" s="1">
        <v>37</v>
      </c>
      <c r="F18" s="1">
        <v>26</v>
      </c>
      <c r="G18" s="1">
        <v>-80</v>
      </c>
      <c r="H18" s="1">
        <v>0.42</v>
      </c>
      <c r="J18" s="1" t="s">
        <v>63</v>
      </c>
      <c r="K18" s="1">
        <v>60</v>
      </c>
      <c r="L18" s="21">
        <f>1000/31</f>
        <v>32.258064516129032</v>
      </c>
      <c r="M18" s="1">
        <v>50</v>
      </c>
      <c r="N18" s="1">
        <v>33</v>
      </c>
      <c r="O18" s="21">
        <f>100/17</f>
        <v>5.882352941176471</v>
      </c>
      <c r="P18" s="1">
        <v>-71</v>
      </c>
      <c r="Q18" s="20">
        <f>1/0.32</f>
        <v>3.125</v>
      </c>
    </row>
    <row r="19" spans="1:17" x14ac:dyDescent="0.3">
      <c r="A19" s="1" t="s">
        <v>63</v>
      </c>
      <c r="B19" s="1">
        <v>60</v>
      </c>
      <c r="C19" s="1">
        <v>31</v>
      </c>
      <c r="D19" s="1">
        <v>50</v>
      </c>
      <c r="E19" s="1">
        <v>33</v>
      </c>
      <c r="F19" s="1">
        <v>17</v>
      </c>
      <c r="G19" s="1">
        <v>-71</v>
      </c>
      <c r="H19" s="1">
        <v>0.32</v>
      </c>
      <c r="J19" s="1" t="s">
        <v>64</v>
      </c>
      <c r="K19" s="1">
        <v>45</v>
      </c>
      <c r="L19" s="21">
        <f>1000/37</f>
        <v>27.027027027027028</v>
      </c>
      <c r="M19" s="1">
        <v>50</v>
      </c>
      <c r="N19" s="1">
        <v>36</v>
      </c>
      <c r="O19" s="21">
        <f>100/14</f>
        <v>7.1428571428571432</v>
      </c>
      <c r="P19" s="1">
        <v>-64</v>
      </c>
      <c r="Q19" s="20">
        <f>1/0.47</f>
        <v>2.1276595744680851</v>
      </c>
    </row>
    <row r="20" spans="1:17" x14ac:dyDescent="0.3">
      <c r="A20" s="1" t="s">
        <v>64</v>
      </c>
      <c r="B20" s="1">
        <v>45</v>
      </c>
      <c r="C20" s="1">
        <v>37</v>
      </c>
      <c r="D20" s="1">
        <v>50</v>
      </c>
      <c r="E20" s="1">
        <v>36</v>
      </c>
      <c r="F20" s="1">
        <v>14</v>
      </c>
      <c r="G20" s="1">
        <v>-64</v>
      </c>
      <c r="H20" s="1">
        <v>0.47</v>
      </c>
      <c r="J20" s="1" t="s">
        <v>65</v>
      </c>
      <c r="K20" s="1">
        <v>83</v>
      </c>
      <c r="L20" s="21">
        <f>1000/10</f>
        <v>100</v>
      </c>
      <c r="M20" s="1">
        <v>50</v>
      </c>
      <c r="N20" s="1">
        <v>39</v>
      </c>
      <c r="O20" s="21">
        <f>100/21</f>
        <v>4.7619047619047619</v>
      </c>
      <c r="P20" s="1">
        <v>-66</v>
      </c>
      <c r="Q20" s="20">
        <f>1/0.28</f>
        <v>3.5714285714285712</v>
      </c>
    </row>
    <row r="21" spans="1:17" x14ac:dyDescent="0.3">
      <c r="A21" s="1" t="s">
        <v>65</v>
      </c>
      <c r="B21" s="1">
        <v>83</v>
      </c>
      <c r="C21" s="1">
        <v>10</v>
      </c>
      <c r="D21" s="1">
        <v>50</v>
      </c>
      <c r="E21" s="1">
        <v>39</v>
      </c>
      <c r="F21" s="1">
        <v>21</v>
      </c>
      <c r="G21" s="1">
        <v>-66</v>
      </c>
      <c r="H21" s="1">
        <v>0.28000000000000003</v>
      </c>
      <c r="J21" s="1" t="s">
        <v>50</v>
      </c>
      <c r="K21" s="1">
        <v>0.372</v>
      </c>
      <c r="L21" s="19">
        <v>7.1999999999999995E-2</v>
      </c>
      <c r="M21" s="1">
        <v>0.18099999999999999</v>
      </c>
      <c r="N21" s="1">
        <v>6.5000000000000002E-2</v>
      </c>
      <c r="O21" s="1">
        <v>6.5000000000000002E-2</v>
      </c>
      <c r="P21" s="1">
        <v>0.18099999999999999</v>
      </c>
      <c r="Q21" s="1">
        <v>6.5000000000000002E-2</v>
      </c>
    </row>
    <row r="22" spans="1:17" x14ac:dyDescent="0.3">
      <c r="J22" s="1" t="s">
        <v>46</v>
      </c>
      <c r="K22" s="1">
        <v>100</v>
      </c>
      <c r="L22" s="1">
        <f>1000/100</f>
        <v>10</v>
      </c>
      <c r="M22" s="1" t="s">
        <v>93</v>
      </c>
      <c r="N22" s="1">
        <v>31</v>
      </c>
      <c r="O22" s="21">
        <f>100/30</f>
        <v>3.3333333333333335</v>
      </c>
      <c r="P22" s="1">
        <v>-70</v>
      </c>
      <c r="Q22" s="22">
        <f>1/1</f>
        <v>1</v>
      </c>
    </row>
    <row r="23" spans="1:17" x14ac:dyDescent="0.3">
      <c r="A23" t="s">
        <v>46</v>
      </c>
      <c r="B23">
        <v>100</v>
      </c>
      <c r="C23">
        <v>10</v>
      </c>
      <c r="D23">
        <v>15</v>
      </c>
      <c r="E23">
        <v>31</v>
      </c>
      <c r="F23">
        <v>3.3</v>
      </c>
      <c r="G23">
        <v>30</v>
      </c>
      <c r="H23">
        <v>1</v>
      </c>
      <c r="J23" s="1" t="s">
        <v>45</v>
      </c>
      <c r="K23" s="1">
        <v>150</v>
      </c>
      <c r="L23" s="1">
        <f>1000/10</f>
        <v>100</v>
      </c>
      <c r="M23" s="1" t="s">
        <v>92</v>
      </c>
      <c r="N23" s="1">
        <v>37</v>
      </c>
      <c r="O23" s="21">
        <f>100/15</f>
        <v>6.666666666666667</v>
      </c>
      <c r="P23" s="1">
        <v>-50</v>
      </c>
      <c r="Q23" s="22">
        <f>1/0.5</f>
        <v>2</v>
      </c>
    </row>
    <row r="24" spans="1:17" x14ac:dyDescent="0.3">
      <c r="A24" t="s">
        <v>45</v>
      </c>
      <c r="B24">
        <v>150</v>
      </c>
      <c r="C24">
        <v>100</v>
      </c>
      <c r="D24">
        <v>25</v>
      </c>
      <c r="E24">
        <v>37</v>
      </c>
      <c r="F24">
        <v>6.7</v>
      </c>
      <c r="G24">
        <v>50</v>
      </c>
      <c r="H24">
        <v>2</v>
      </c>
      <c r="J24" s="1" t="s">
        <v>48</v>
      </c>
      <c r="K24" s="1">
        <v>15</v>
      </c>
      <c r="L24" s="20">
        <f>17/MAX(L6:L20)</f>
        <v>0.153</v>
      </c>
      <c r="M24" s="1" t="s">
        <v>94</v>
      </c>
      <c r="N24" s="1">
        <v>2</v>
      </c>
      <c r="O24" s="1">
        <f>3/MAX(O6:O20)</f>
        <v>0.42</v>
      </c>
      <c r="P24" s="1">
        <v>-4</v>
      </c>
      <c r="Q24" s="20">
        <f>0.2/MAX(Q6:Q20)</f>
        <v>2.4E-2</v>
      </c>
    </row>
    <row r="25" spans="1:17" x14ac:dyDescent="0.3">
      <c r="J25" s="1" t="s">
        <v>47</v>
      </c>
      <c r="K25" s="1">
        <v>10</v>
      </c>
      <c r="L25" s="20">
        <f>13/MAX(L6:L20)</f>
        <v>0.11699999999999999</v>
      </c>
      <c r="M25" s="1" t="s">
        <v>95</v>
      </c>
      <c r="N25" s="1">
        <v>1</v>
      </c>
      <c r="O25" s="1">
        <f>1/MAX(O6:O20)</f>
        <v>0.13999999999999999</v>
      </c>
      <c r="P25" s="1">
        <v>-2</v>
      </c>
      <c r="Q25" s="20">
        <f>0.1/MAX(Q6:Q20)</f>
        <v>1.2E-2</v>
      </c>
    </row>
    <row r="26" spans="1:17" x14ac:dyDescent="0.3">
      <c r="F26" s="17"/>
      <c r="J26" s="1" t="s">
        <v>49</v>
      </c>
      <c r="K26" s="1">
        <v>30</v>
      </c>
      <c r="L26" s="20">
        <f>20/MAX(L6:L20)</f>
        <v>0.18</v>
      </c>
      <c r="M26" s="1" t="s">
        <v>96</v>
      </c>
      <c r="N26" s="1">
        <v>3</v>
      </c>
      <c r="O26" s="1">
        <f>4/MAX(O6:O20)</f>
        <v>0.55999999999999994</v>
      </c>
      <c r="P26" s="1">
        <v>-5</v>
      </c>
      <c r="Q26" s="20">
        <f>0.3/MAX(Q6:Q20)</f>
        <v>3.5999999999999997E-2</v>
      </c>
    </row>
    <row r="28" spans="1:17" x14ac:dyDescent="0.3">
      <c r="J28">
        <v>0.37</v>
      </c>
      <c r="K28">
        <v>7.0000000000000007E-2</v>
      </c>
      <c r="L28">
        <v>0.18</v>
      </c>
      <c r="M28">
        <v>0.06</v>
      </c>
      <c r="N28">
        <v>0.06</v>
      </c>
      <c r="O28">
        <v>0.18</v>
      </c>
      <c r="P28">
        <v>0.06</v>
      </c>
      <c r="Q28">
        <f>SUM(J28:P28)</f>
        <v>0.98</v>
      </c>
    </row>
    <row r="36" spans="1:17" x14ac:dyDescent="0.3">
      <c r="A36" s="18" t="s">
        <v>89</v>
      </c>
      <c r="B36" s="18"/>
      <c r="C36" s="18"/>
      <c r="D36" s="18"/>
      <c r="E36" s="18"/>
      <c r="F36" s="18"/>
      <c r="G36" s="18"/>
      <c r="H36" s="18"/>
      <c r="J36" s="18" t="s">
        <v>89</v>
      </c>
      <c r="K36" s="18"/>
      <c r="L36" s="18"/>
      <c r="M36" s="18"/>
      <c r="N36" s="18"/>
      <c r="O36" s="18"/>
      <c r="P36" s="18"/>
      <c r="Q36" s="18"/>
    </row>
    <row r="37" spans="1:17" x14ac:dyDescent="0.3">
      <c r="A37" s="1" t="s">
        <v>82</v>
      </c>
      <c r="B37" s="1" t="s">
        <v>83</v>
      </c>
      <c r="C37" s="1" t="s">
        <v>1</v>
      </c>
      <c r="D37" s="1" t="s">
        <v>84</v>
      </c>
      <c r="E37" s="1" t="s">
        <v>85</v>
      </c>
      <c r="F37" s="1" t="s">
        <v>4</v>
      </c>
      <c r="G37" s="1" t="s">
        <v>86</v>
      </c>
      <c r="H37" s="1" t="s">
        <v>87</v>
      </c>
      <c r="J37" s="1" t="s">
        <v>82</v>
      </c>
      <c r="K37" s="1" t="s">
        <v>83</v>
      </c>
      <c r="L37" s="1" t="s">
        <v>1</v>
      </c>
      <c r="M37" s="1" t="s">
        <v>84</v>
      </c>
      <c r="N37" s="1" t="s">
        <v>85</v>
      </c>
      <c r="O37" s="1" t="s">
        <v>4</v>
      </c>
      <c r="P37" s="1" t="s">
        <v>86</v>
      </c>
      <c r="Q37" s="1" t="s">
        <v>87</v>
      </c>
    </row>
    <row r="38" spans="1:17" x14ac:dyDescent="0.3">
      <c r="A38" s="1"/>
      <c r="B38" s="1" t="s">
        <v>90</v>
      </c>
      <c r="C38" s="1" t="s">
        <v>91</v>
      </c>
      <c r="D38" s="1" t="s">
        <v>90</v>
      </c>
      <c r="E38" s="1" t="s">
        <v>90</v>
      </c>
      <c r="F38" s="1" t="s">
        <v>91</v>
      </c>
      <c r="G38" s="1" t="s">
        <v>90</v>
      </c>
      <c r="H38" s="1" t="s">
        <v>91</v>
      </c>
      <c r="J38" s="1"/>
      <c r="K38" s="1" t="s">
        <v>90</v>
      </c>
      <c r="L38" s="1" t="s">
        <v>91</v>
      </c>
      <c r="M38" s="1" t="s">
        <v>90</v>
      </c>
      <c r="N38" s="1" t="s">
        <v>90</v>
      </c>
      <c r="O38" s="1" t="s">
        <v>91</v>
      </c>
      <c r="P38" s="1" t="s">
        <v>90</v>
      </c>
      <c r="Q38" s="1" t="s">
        <v>91</v>
      </c>
    </row>
    <row r="39" spans="1:17" x14ac:dyDescent="0.3">
      <c r="A39" t="s">
        <v>51</v>
      </c>
      <c r="B39">
        <v>35</v>
      </c>
      <c r="C39">
        <v>111.1</v>
      </c>
      <c r="D39">
        <v>50</v>
      </c>
      <c r="E39">
        <v>39</v>
      </c>
      <c r="F39">
        <v>5.3</v>
      </c>
      <c r="G39">
        <v>51</v>
      </c>
      <c r="H39">
        <v>7.14</v>
      </c>
      <c r="J39" t="s">
        <v>45</v>
      </c>
      <c r="K39">
        <v>150</v>
      </c>
      <c r="L39">
        <v>100</v>
      </c>
      <c r="M39">
        <v>25</v>
      </c>
      <c r="N39">
        <v>37</v>
      </c>
      <c r="O39">
        <v>6.7</v>
      </c>
      <c r="P39">
        <v>50</v>
      </c>
      <c r="Q39">
        <v>2</v>
      </c>
    </row>
    <row r="40" spans="1:17" x14ac:dyDescent="0.3">
      <c r="A40" t="s">
        <v>52</v>
      </c>
      <c r="B40">
        <v>200</v>
      </c>
      <c r="C40">
        <v>100</v>
      </c>
      <c r="D40">
        <v>35</v>
      </c>
      <c r="E40">
        <v>37</v>
      </c>
      <c r="F40">
        <v>5</v>
      </c>
      <c r="G40">
        <v>46</v>
      </c>
      <c r="H40">
        <v>4.76</v>
      </c>
      <c r="J40" t="s">
        <v>46</v>
      </c>
      <c r="K40">
        <v>100</v>
      </c>
      <c r="L40">
        <v>10</v>
      </c>
      <c r="M40">
        <v>15</v>
      </c>
      <c r="N40">
        <v>31</v>
      </c>
      <c r="O40">
        <v>3.3</v>
      </c>
      <c r="P40">
        <v>30</v>
      </c>
      <c r="Q40">
        <v>1</v>
      </c>
    </row>
    <row r="41" spans="1:17" x14ac:dyDescent="0.3">
      <c r="A41" t="s">
        <v>53</v>
      </c>
      <c r="B41">
        <v>110</v>
      </c>
      <c r="C41">
        <v>20.399999999999999</v>
      </c>
      <c r="D41">
        <v>22</v>
      </c>
      <c r="E41">
        <v>29</v>
      </c>
      <c r="F41">
        <v>4</v>
      </c>
      <c r="G41">
        <v>45</v>
      </c>
      <c r="H41">
        <v>4.17</v>
      </c>
      <c r="J41" t="s">
        <v>47</v>
      </c>
      <c r="K41">
        <v>5</v>
      </c>
      <c r="L41">
        <v>1</v>
      </c>
      <c r="M41">
        <v>2</v>
      </c>
      <c r="N41">
        <v>5</v>
      </c>
      <c r="O41">
        <v>1</v>
      </c>
      <c r="P41">
        <v>2</v>
      </c>
      <c r="Q41">
        <v>1</v>
      </c>
    </row>
    <row r="42" spans="1:17" x14ac:dyDescent="0.3">
      <c r="A42" t="s">
        <v>54</v>
      </c>
      <c r="B42">
        <v>250</v>
      </c>
      <c r="C42">
        <v>9.1</v>
      </c>
      <c r="D42">
        <v>25</v>
      </c>
      <c r="E42">
        <v>35</v>
      </c>
      <c r="F42">
        <v>4.5</v>
      </c>
      <c r="G42">
        <v>32</v>
      </c>
      <c r="H42">
        <v>8.33</v>
      </c>
      <c r="J42" t="s">
        <v>48</v>
      </c>
      <c r="K42">
        <v>10</v>
      </c>
      <c r="L42">
        <v>2</v>
      </c>
      <c r="M42">
        <v>5</v>
      </c>
      <c r="N42">
        <v>10</v>
      </c>
      <c r="O42">
        <v>2</v>
      </c>
      <c r="P42">
        <v>4</v>
      </c>
      <c r="Q42">
        <v>2</v>
      </c>
    </row>
    <row r="43" spans="1:17" x14ac:dyDescent="0.3">
      <c r="A43" t="s">
        <v>55</v>
      </c>
      <c r="B43">
        <v>130</v>
      </c>
      <c r="C43">
        <v>11.2</v>
      </c>
      <c r="D43">
        <v>43</v>
      </c>
      <c r="E43">
        <v>33</v>
      </c>
      <c r="F43">
        <v>3.8</v>
      </c>
      <c r="G43">
        <v>29</v>
      </c>
      <c r="H43">
        <v>2.38</v>
      </c>
      <c r="J43" t="s">
        <v>49</v>
      </c>
      <c r="K43">
        <v>20</v>
      </c>
      <c r="L43">
        <v>3</v>
      </c>
      <c r="M43">
        <v>3</v>
      </c>
      <c r="N43">
        <v>3</v>
      </c>
      <c r="O43">
        <v>3</v>
      </c>
      <c r="P43">
        <v>5</v>
      </c>
      <c r="Q43">
        <v>3</v>
      </c>
    </row>
    <row r="44" spans="1:17" x14ac:dyDescent="0.3">
      <c r="A44" t="s">
        <v>56</v>
      </c>
      <c r="B44">
        <v>35</v>
      </c>
      <c r="C44">
        <v>14.1</v>
      </c>
      <c r="D44">
        <v>22</v>
      </c>
      <c r="E44">
        <v>35</v>
      </c>
      <c r="F44">
        <v>4.2</v>
      </c>
      <c r="G44">
        <v>31</v>
      </c>
      <c r="H44">
        <v>1.1000000000000001</v>
      </c>
      <c r="J44" t="s">
        <v>50</v>
      </c>
      <c r="K44">
        <v>0.37</v>
      </c>
      <c r="L44">
        <v>7.0000000000000007E-2</v>
      </c>
      <c r="M44">
        <v>0.18</v>
      </c>
      <c r="N44">
        <v>7.0000000000000007E-2</v>
      </c>
      <c r="O44">
        <v>7.0000000000000007E-2</v>
      </c>
      <c r="P44">
        <v>0.18</v>
      </c>
      <c r="Q44">
        <v>0.06</v>
      </c>
    </row>
    <row r="45" spans="1:17" x14ac:dyDescent="0.3">
      <c r="A45" t="s">
        <v>57</v>
      </c>
      <c r="B45">
        <v>241</v>
      </c>
      <c r="C45">
        <v>11.9</v>
      </c>
      <c r="D45">
        <v>33</v>
      </c>
      <c r="E45">
        <v>32</v>
      </c>
      <c r="F45">
        <v>5</v>
      </c>
      <c r="G45">
        <v>34</v>
      </c>
      <c r="H45">
        <v>1.92</v>
      </c>
      <c r="J45" t="s">
        <v>51</v>
      </c>
      <c r="K45">
        <v>35</v>
      </c>
      <c r="L45">
        <v>111.1</v>
      </c>
      <c r="M45">
        <v>50</v>
      </c>
      <c r="N45">
        <v>39</v>
      </c>
      <c r="O45">
        <v>5.3</v>
      </c>
      <c r="P45">
        <v>51</v>
      </c>
      <c r="Q45">
        <v>7.14</v>
      </c>
    </row>
    <row r="46" spans="1:17" x14ac:dyDescent="0.3">
      <c r="A46" t="s">
        <v>58</v>
      </c>
      <c r="B46">
        <v>265</v>
      </c>
      <c r="C46">
        <v>11.4</v>
      </c>
      <c r="D46">
        <v>52</v>
      </c>
      <c r="E46">
        <v>33</v>
      </c>
      <c r="F46">
        <v>3.7</v>
      </c>
      <c r="G46">
        <v>31</v>
      </c>
      <c r="H46">
        <v>8.33</v>
      </c>
      <c r="J46" t="s">
        <v>52</v>
      </c>
      <c r="K46">
        <v>380</v>
      </c>
      <c r="L46">
        <v>100</v>
      </c>
      <c r="M46">
        <v>35</v>
      </c>
      <c r="N46">
        <v>37</v>
      </c>
      <c r="O46">
        <v>5</v>
      </c>
      <c r="P46">
        <v>46</v>
      </c>
      <c r="Q46">
        <v>4.76</v>
      </c>
    </row>
    <row r="47" spans="1:17" x14ac:dyDescent="0.3">
      <c r="A47" t="s">
        <v>59</v>
      </c>
      <c r="B47">
        <v>289</v>
      </c>
      <c r="C47">
        <v>9.8000000000000007</v>
      </c>
      <c r="D47">
        <v>28</v>
      </c>
      <c r="E47">
        <v>28</v>
      </c>
      <c r="F47">
        <v>3.7</v>
      </c>
      <c r="G47">
        <v>30</v>
      </c>
      <c r="H47">
        <v>4.17</v>
      </c>
      <c r="J47" t="s">
        <v>53</v>
      </c>
      <c r="K47">
        <v>110</v>
      </c>
      <c r="L47">
        <v>20.399999999999999</v>
      </c>
      <c r="M47">
        <v>22</v>
      </c>
      <c r="N47">
        <v>29</v>
      </c>
      <c r="O47">
        <v>4</v>
      </c>
      <c r="P47">
        <v>45</v>
      </c>
      <c r="Q47">
        <v>4.17</v>
      </c>
    </row>
    <row r="48" spans="1:17" x14ac:dyDescent="0.3">
      <c r="A48" t="s">
        <v>60</v>
      </c>
      <c r="B48">
        <v>313</v>
      </c>
      <c r="C48">
        <v>18.2</v>
      </c>
      <c r="D48">
        <v>31</v>
      </c>
      <c r="E48">
        <v>36</v>
      </c>
      <c r="F48">
        <v>3.4</v>
      </c>
      <c r="G48">
        <v>26</v>
      </c>
      <c r="H48">
        <v>2.2200000000000002</v>
      </c>
      <c r="J48" t="s">
        <v>54</v>
      </c>
      <c r="K48">
        <v>250</v>
      </c>
      <c r="L48">
        <v>9.1</v>
      </c>
      <c r="M48">
        <v>25</v>
      </c>
      <c r="N48">
        <v>35</v>
      </c>
      <c r="O48">
        <v>4.5</v>
      </c>
      <c r="P48">
        <v>32</v>
      </c>
      <c r="Q48">
        <v>8.33</v>
      </c>
    </row>
    <row r="49" spans="1:17" x14ac:dyDescent="0.3">
      <c r="A49" t="s">
        <v>61</v>
      </c>
      <c r="B49">
        <v>337</v>
      </c>
      <c r="C49">
        <v>14.9</v>
      </c>
      <c r="D49">
        <v>34</v>
      </c>
      <c r="E49">
        <v>34</v>
      </c>
      <c r="F49">
        <v>4.8</v>
      </c>
      <c r="G49">
        <v>22</v>
      </c>
      <c r="H49">
        <v>1.96</v>
      </c>
      <c r="J49" t="s">
        <v>55</v>
      </c>
      <c r="K49">
        <v>130</v>
      </c>
      <c r="L49">
        <v>11.2</v>
      </c>
      <c r="M49">
        <v>43</v>
      </c>
      <c r="N49">
        <v>33</v>
      </c>
      <c r="O49">
        <v>3.8</v>
      </c>
      <c r="P49">
        <v>29</v>
      </c>
      <c r="Q49">
        <v>2.38</v>
      </c>
    </row>
    <row r="50" spans="1:17" x14ac:dyDescent="0.3">
      <c r="A50" t="s">
        <v>62</v>
      </c>
      <c r="B50">
        <v>361</v>
      </c>
      <c r="C50">
        <v>31.3</v>
      </c>
      <c r="D50">
        <v>50</v>
      </c>
      <c r="E50">
        <v>35</v>
      </c>
      <c r="F50">
        <v>6.7</v>
      </c>
      <c r="G50">
        <v>33</v>
      </c>
      <c r="H50">
        <v>5</v>
      </c>
      <c r="J50" t="s">
        <v>56</v>
      </c>
      <c r="K50">
        <v>35</v>
      </c>
      <c r="L50">
        <v>14.1</v>
      </c>
      <c r="M50">
        <v>22</v>
      </c>
      <c r="N50">
        <v>35</v>
      </c>
      <c r="O50">
        <v>4.2</v>
      </c>
      <c r="P50">
        <v>31</v>
      </c>
      <c r="Q50">
        <v>1.1000000000000001</v>
      </c>
    </row>
    <row r="51" spans="1:17" x14ac:dyDescent="0.3">
      <c r="A51" t="s">
        <v>63</v>
      </c>
      <c r="B51">
        <v>385</v>
      </c>
      <c r="C51">
        <v>11.4</v>
      </c>
      <c r="D51">
        <v>50</v>
      </c>
      <c r="E51">
        <v>37</v>
      </c>
      <c r="F51">
        <v>3.8</v>
      </c>
      <c r="G51">
        <v>20</v>
      </c>
      <c r="H51">
        <v>2.38</v>
      </c>
      <c r="J51" t="s">
        <v>57</v>
      </c>
      <c r="K51">
        <v>241</v>
      </c>
      <c r="L51">
        <v>11.9</v>
      </c>
      <c r="M51">
        <v>33</v>
      </c>
      <c r="N51">
        <v>32</v>
      </c>
      <c r="O51">
        <v>5</v>
      </c>
      <c r="P51">
        <v>34</v>
      </c>
      <c r="Q51">
        <v>1.92</v>
      </c>
    </row>
    <row r="52" spans="1:17" x14ac:dyDescent="0.3">
      <c r="A52" t="s">
        <v>64</v>
      </c>
      <c r="B52">
        <v>409</v>
      </c>
      <c r="C52">
        <v>32.299999999999997</v>
      </c>
      <c r="D52">
        <v>50</v>
      </c>
      <c r="E52">
        <v>33</v>
      </c>
      <c r="F52">
        <v>5.9</v>
      </c>
      <c r="G52">
        <v>29</v>
      </c>
      <c r="H52">
        <v>3.13</v>
      </c>
      <c r="J52" t="s">
        <v>58</v>
      </c>
      <c r="K52">
        <v>265</v>
      </c>
      <c r="L52">
        <v>11.4</v>
      </c>
      <c r="M52">
        <v>52</v>
      </c>
      <c r="N52">
        <v>33</v>
      </c>
      <c r="O52">
        <v>3.7</v>
      </c>
      <c r="P52">
        <v>31</v>
      </c>
      <c r="Q52">
        <v>8.33</v>
      </c>
    </row>
    <row r="53" spans="1:17" x14ac:dyDescent="0.3">
      <c r="A53" t="s">
        <v>65</v>
      </c>
      <c r="B53">
        <v>433</v>
      </c>
      <c r="C53">
        <v>27</v>
      </c>
      <c r="D53">
        <v>50</v>
      </c>
      <c r="E53">
        <v>36</v>
      </c>
      <c r="F53">
        <v>7.1</v>
      </c>
      <c r="G53">
        <v>36</v>
      </c>
      <c r="H53">
        <v>2.13</v>
      </c>
      <c r="J53" t="s">
        <v>59</v>
      </c>
      <c r="K53">
        <v>289</v>
      </c>
      <c r="L53">
        <v>9.8000000000000007</v>
      </c>
      <c r="M53">
        <v>28</v>
      </c>
      <c r="N53">
        <v>28</v>
      </c>
      <c r="O53">
        <v>3.7</v>
      </c>
      <c r="P53">
        <v>30</v>
      </c>
      <c r="Q53">
        <v>4.17</v>
      </c>
    </row>
    <row r="54" spans="1:17" x14ac:dyDescent="0.3">
      <c r="A54" t="s">
        <v>50</v>
      </c>
      <c r="B54">
        <v>0.15</v>
      </c>
      <c r="C54">
        <v>0.15</v>
      </c>
      <c r="D54">
        <v>0.15</v>
      </c>
      <c r="E54">
        <v>0.15</v>
      </c>
      <c r="F54">
        <v>0.15</v>
      </c>
      <c r="G54">
        <v>0.15</v>
      </c>
      <c r="H54">
        <v>0.15</v>
      </c>
      <c r="J54" t="s">
        <v>60</v>
      </c>
      <c r="K54">
        <v>313</v>
      </c>
      <c r="L54">
        <v>18.2</v>
      </c>
      <c r="M54">
        <v>31</v>
      </c>
      <c r="N54">
        <v>36</v>
      </c>
      <c r="O54">
        <v>3.4</v>
      </c>
      <c r="P54">
        <v>26</v>
      </c>
      <c r="Q54">
        <v>2.2200000000000002</v>
      </c>
    </row>
    <row r="55" spans="1:17" x14ac:dyDescent="0.3">
      <c r="A55" t="s">
        <v>46</v>
      </c>
      <c r="B55">
        <v>100</v>
      </c>
      <c r="C55">
        <v>10</v>
      </c>
      <c r="D55">
        <v>15</v>
      </c>
      <c r="E55">
        <v>31</v>
      </c>
      <c r="F55">
        <v>3.3</v>
      </c>
      <c r="G55">
        <v>30</v>
      </c>
      <c r="H55">
        <v>1</v>
      </c>
      <c r="J55" t="s">
        <v>61</v>
      </c>
      <c r="K55">
        <v>337</v>
      </c>
      <c r="L55">
        <v>14.9</v>
      </c>
      <c r="M55">
        <v>34</v>
      </c>
      <c r="N55">
        <v>34</v>
      </c>
      <c r="O55">
        <v>4.8</v>
      </c>
      <c r="P55">
        <v>22</v>
      </c>
      <c r="Q55">
        <v>1.96</v>
      </c>
    </row>
    <row r="56" spans="1:17" x14ac:dyDescent="0.3">
      <c r="A56" t="s">
        <v>45</v>
      </c>
      <c r="B56">
        <v>150</v>
      </c>
      <c r="C56">
        <v>100</v>
      </c>
      <c r="D56">
        <v>25</v>
      </c>
      <c r="E56">
        <v>37</v>
      </c>
      <c r="F56">
        <v>6.7</v>
      </c>
      <c r="G56">
        <v>50</v>
      </c>
      <c r="H56">
        <v>2</v>
      </c>
      <c r="J56" t="s">
        <v>62</v>
      </c>
      <c r="K56">
        <v>361</v>
      </c>
      <c r="L56">
        <v>31.3</v>
      </c>
      <c r="M56">
        <v>50</v>
      </c>
      <c r="N56">
        <v>35</v>
      </c>
      <c r="O56">
        <v>6.7</v>
      </c>
      <c r="P56">
        <v>33</v>
      </c>
      <c r="Q56">
        <v>5</v>
      </c>
    </row>
    <row r="57" spans="1:17" x14ac:dyDescent="0.3">
      <c r="A57" t="s">
        <v>48</v>
      </c>
      <c r="B57">
        <v>10</v>
      </c>
      <c r="C57">
        <v>2</v>
      </c>
      <c r="D57">
        <v>5</v>
      </c>
      <c r="E57">
        <v>10</v>
      </c>
      <c r="F57">
        <v>2</v>
      </c>
      <c r="G57">
        <v>4</v>
      </c>
      <c r="H57">
        <v>2</v>
      </c>
      <c r="J57" t="s">
        <v>63</v>
      </c>
      <c r="K57">
        <v>385</v>
      </c>
      <c r="L57">
        <v>11.4</v>
      </c>
      <c r="M57">
        <v>50</v>
      </c>
      <c r="N57">
        <v>37</v>
      </c>
      <c r="O57">
        <v>3.8</v>
      </c>
      <c r="P57">
        <v>20</v>
      </c>
      <c r="Q57">
        <v>2.38</v>
      </c>
    </row>
    <row r="58" spans="1:17" x14ac:dyDescent="0.3">
      <c r="A58" t="s">
        <v>47</v>
      </c>
      <c r="B58">
        <v>5</v>
      </c>
      <c r="C58">
        <v>1</v>
      </c>
      <c r="D58">
        <v>2</v>
      </c>
      <c r="E58">
        <v>5</v>
      </c>
      <c r="F58">
        <v>1</v>
      </c>
      <c r="G58">
        <v>2</v>
      </c>
      <c r="H58">
        <v>1</v>
      </c>
      <c r="J58" t="s">
        <v>64</v>
      </c>
      <c r="K58">
        <v>302</v>
      </c>
      <c r="L58">
        <v>89</v>
      </c>
      <c r="M58">
        <v>50</v>
      </c>
      <c r="N58">
        <v>33</v>
      </c>
      <c r="O58">
        <v>5.9</v>
      </c>
      <c r="P58">
        <v>29</v>
      </c>
      <c r="Q58">
        <v>3.13</v>
      </c>
    </row>
    <row r="59" spans="1:17" x14ac:dyDescent="0.3">
      <c r="A59" t="s">
        <v>49</v>
      </c>
      <c r="B59">
        <v>20</v>
      </c>
      <c r="C59">
        <v>3</v>
      </c>
      <c r="D59">
        <v>3</v>
      </c>
      <c r="E59">
        <v>3</v>
      </c>
      <c r="F59">
        <v>3</v>
      </c>
      <c r="G59">
        <v>5</v>
      </c>
      <c r="H59">
        <v>3</v>
      </c>
      <c r="J59" t="s">
        <v>65</v>
      </c>
      <c r="K59">
        <v>280</v>
      </c>
      <c r="L59">
        <v>100</v>
      </c>
      <c r="M59">
        <v>35</v>
      </c>
      <c r="N59">
        <v>37</v>
      </c>
      <c r="O59">
        <v>5</v>
      </c>
      <c r="P59">
        <v>46</v>
      </c>
      <c r="Q59">
        <v>2.13</v>
      </c>
    </row>
  </sheetData>
  <mergeCells count="5">
    <mergeCell ref="A3:H3"/>
    <mergeCell ref="J3:Q3"/>
    <mergeCell ref="A1:Q1"/>
    <mergeCell ref="A36:H36"/>
    <mergeCell ref="J36:Q36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DKSM</dc:creator>
  <cp:lastModifiedBy>Dayanny Castro de Sousa</cp:lastModifiedBy>
  <cp:lastPrinted>2023-06-09T02:19:57Z</cp:lastPrinted>
  <dcterms:created xsi:type="dcterms:W3CDTF">2023-05-16T23:53:15Z</dcterms:created>
  <dcterms:modified xsi:type="dcterms:W3CDTF">2023-06-09T04:10:54Z</dcterms:modified>
</cp:coreProperties>
</file>