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avid\Documents\Web Dev\Mapbox\eraMap\point_data\"/>
    </mc:Choice>
  </mc:AlternateContent>
  <xr:revisionPtr revIDLastSave="0" documentId="13_ncr:1_{4AE9AFC2-F50E-41EB-BC52-89B49815A9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ecies_export_27_05_202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1" i="2" l="1"/>
  <c r="L61" i="2"/>
  <c r="K61" i="2"/>
  <c r="J61" i="2"/>
  <c r="I61" i="2"/>
  <c r="H61" i="2"/>
  <c r="G61" i="2"/>
  <c r="F61" i="2"/>
  <c r="E61" i="2"/>
  <c r="D61" i="2"/>
  <c r="C61" i="2"/>
  <c r="M60" i="2"/>
  <c r="L60" i="2"/>
  <c r="K60" i="2"/>
  <c r="J60" i="2"/>
  <c r="I60" i="2"/>
  <c r="H60" i="2"/>
  <c r="G60" i="2"/>
  <c r="F60" i="2"/>
  <c r="E60" i="2"/>
  <c r="D60" i="2"/>
  <c r="C60" i="2"/>
  <c r="J59" i="2"/>
  <c r="I59" i="2"/>
  <c r="H59" i="2"/>
  <c r="G59" i="2"/>
  <c r="F59" i="2"/>
  <c r="E59" i="2"/>
  <c r="D59" i="2"/>
  <c r="C59" i="2"/>
  <c r="M58" i="2"/>
  <c r="L58" i="2"/>
  <c r="K58" i="2"/>
  <c r="J58" i="2"/>
  <c r="I58" i="2"/>
  <c r="H58" i="2"/>
  <c r="G58" i="2"/>
  <c r="F58" i="2"/>
  <c r="E58" i="2"/>
  <c r="D58" i="2"/>
  <c r="C58" i="2"/>
  <c r="M57" i="2"/>
  <c r="L57" i="2"/>
  <c r="K57" i="2"/>
  <c r="J57" i="2"/>
  <c r="I57" i="2"/>
  <c r="H57" i="2"/>
  <c r="G57" i="2"/>
  <c r="F57" i="2"/>
  <c r="E57" i="2"/>
  <c r="D57" i="2"/>
  <c r="C57" i="2"/>
  <c r="M56" i="2"/>
  <c r="L56" i="2"/>
  <c r="K56" i="2"/>
  <c r="J56" i="2"/>
  <c r="I56" i="2"/>
  <c r="H56" i="2"/>
  <c r="G56" i="2"/>
  <c r="F56" i="2"/>
  <c r="E56" i="2"/>
  <c r="D56" i="2"/>
  <c r="C56" i="2"/>
  <c r="M55" i="2"/>
  <c r="L55" i="2"/>
  <c r="K55" i="2"/>
  <c r="J55" i="2"/>
  <c r="I55" i="2"/>
  <c r="H55" i="2"/>
  <c r="G55" i="2"/>
  <c r="F55" i="2"/>
  <c r="E55" i="2"/>
  <c r="D55" i="2"/>
  <c r="C55" i="2"/>
  <c r="F54" i="2"/>
  <c r="E54" i="2"/>
  <c r="D54" i="2"/>
  <c r="C54" i="2"/>
  <c r="G52" i="2"/>
  <c r="F52" i="2"/>
  <c r="E52" i="2"/>
  <c r="D52" i="2"/>
  <c r="C52" i="2"/>
  <c r="M50" i="2"/>
  <c r="L50" i="2"/>
  <c r="K50" i="2"/>
  <c r="J50" i="2"/>
  <c r="I50" i="2"/>
  <c r="H50" i="2"/>
  <c r="G50" i="2"/>
  <c r="F50" i="2"/>
  <c r="E50" i="2"/>
  <c r="D50" i="2"/>
  <c r="C50" i="2"/>
  <c r="K15" i="2"/>
  <c r="J15" i="2"/>
  <c r="I15" i="2"/>
  <c r="H15" i="2"/>
  <c r="G15" i="2"/>
  <c r="F15" i="2"/>
  <c r="E15" i="2"/>
  <c r="D15" i="2"/>
  <c r="C15" i="2"/>
  <c r="B15" i="2"/>
  <c r="Q3" i="1"/>
  <c r="Q59" i="1"/>
  <c r="Q51" i="1"/>
  <c r="Q159" i="1"/>
  <c r="Q140" i="1"/>
  <c r="Q6" i="1"/>
  <c r="Q32" i="1"/>
  <c r="Q57" i="1"/>
  <c r="Q142" i="1"/>
  <c r="Q154" i="1"/>
  <c r="Q84" i="1"/>
  <c r="Q24" i="1"/>
  <c r="Q115" i="1"/>
  <c r="Q52" i="1"/>
  <c r="Q2" i="1"/>
  <c r="Q13" i="1"/>
  <c r="Q38" i="1"/>
  <c r="Q82" i="1"/>
  <c r="Q156" i="1"/>
  <c r="Q98" i="1"/>
  <c r="Q110" i="1"/>
  <c r="Q60" i="1"/>
  <c r="Q73" i="1"/>
  <c r="Q99" i="1"/>
  <c r="Q137" i="1"/>
  <c r="Q123" i="1"/>
  <c r="Q132" i="1"/>
  <c r="Q180" i="1"/>
  <c r="Q56" i="1"/>
  <c r="Q88" i="1"/>
  <c r="Q131" i="1"/>
  <c r="Q163" i="1"/>
  <c r="Q12" i="1"/>
  <c r="Q28" i="1"/>
  <c r="Q169" i="1"/>
  <c r="Q166" i="1"/>
  <c r="Q162" i="1"/>
  <c r="Q130" i="1"/>
  <c r="Q117" i="1"/>
  <c r="Q104" i="1"/>
  <c r="Q81" i="1"/>
  <c r="Q61" i="1"/>
  <c r="Q27" i="1"/>
  <c r="Q69" i="1"/>
  <c r="Q50" i="1"/>
  <c r="Q87" i="1"/>
  <c r="Q41" i="1"/>
  <c r="Q30" i="1"/>
  <c r="Q165" i="1"/>
  <c r="Q93" i="1"/>
  <c r="Q174" i="1"/>
  <c r="Q172" i="1"/>
  <c r="Q148" i="1"/>
  <c r="Q145" i="1"/>
  <c r="Q121" i="1"/>
  <c r="Q108" i="1"/>
  <c r="Q79" i="1"/>
  <c r="Q34" i="1"/>
  <c r="Q14" i="1"/>
  <c r="Q7" i="1"/>
  <c r="Q10" i="1"/>
  <c r="Q155" i="1"/>
  <c r="Q23" i="1"/>
  <c r="Q173" i="1"/>
  <c r="Q85" i="1"/>
  <c r="Q100" i="1"/>
  <c r="Q120" i="1"/>
  <c r="Q102" i="1"/>
  <c r="Q80" i="1"/>
  <c r="Q5" i="1"/>
  <c r="Q97" i="1"/>
  <c r="Q66" i="1"/>
  <c r="Q19" i="1"/>
  <c r="Q16" i="1"/>
  <c r="Q141" i="1"/>
  <c r="Q133" i="1"/>
  <c r="Q95" i="1"/>
  <c r="Q20" i="1"/>
  <c r="Q164" i="1"/>
  <c r="Q119" i="1"/>
  <c r="Q83" i="1"/>
  <c r="Q55" i="1"/>
  <c r="Q64" i="1"/>
  <c r="Q129" i="1"/>
  <c r="Q136" i="1"/>
  <c r="Q183" i="1"/>
  <c r="Q157" i="1"/>
  <c r="Q94" i="1"/>
  <c r="Q36" i="1"/>
  <c r="Q8" i="1"/>
  <c r="Q179" i="1"/>
  <c r="Q78" i="1"/>
  <c r="Q90" i="1"/>
  <c r="Q25" i="1"/>
  <c r="Q182" i="1"/>
  <c r="Q107" i="1"/>
  <c r="Q144" i="1"/>
  <c r="Q113" i="1"/>
  <c r="Q146" i="1"/>
  <c r="Q103" i="1"/>
  <c r="Q47" i="1"/>
  <c r="Q17" i="1"/>
  <c r="Q176" i="1"/>
  <c r="Q153" i="1"/>
  <c r="Q170" i="1"/>
  <c r="Q49" i="1"/>
  <c r="Q125" i="1"/>
  <c r="Q177" i="1"/>
  <c r="Q76" i="1"/>
  <c r="Q4" i="1"/>
  <c r="Q35" i="1"/>
  <c r="Q128" i="1"/>
  <c r="Q139" i="1"/>
  <c r="Q58" i="1"/>
  <c r="Q111" i="1"/>
  <c r="Q109" i="1"/>
  <c r="Q138" i="1"/>
  <c r="Q22" i="1"/>
  <c r="Q89" i="1"/>
  <c r="Q181" i="1"/>
  <c r="Q86" i="1"/>
  <c r="Q18" i="1"/>
  <c r="Q33" i="1"/>
  <c r="Q160" i="1"/>
  <c r="Q67" i="1"/>
  <c r="Q53" i="1"/>
  <c r="Q161" i="1"/>
  <c r="Q126" i="1"/>
  <c r="Q122" i="1"/>
  <c r="Q63" i="1"/>
  <c r="Q39" i="1"/>
  <c r="Q118" i="1"/>
  <c r="Q44" i="1"/>
  <c r="Q29" i="1"/>
  <c r="Q171" i="1"/>
  <c r="Q158" i="1"/>
  <c r="Q106" i="1"/>
  <c r="Q114" i="1"/>
  <c r="Q134" i="1"/>
  <c r="Q135" i="1"/>
  <c r="Q143" i="1"/>
  <c r="Q178" i="1"/>
  <c r="Q74" i="1"/>
  <c r="Q40" i="1"/>
  <c r="Q31" i="1"/>
  <c r="Q26" i="1"/>
  <c r="Q185" i="1"/>
  <c r="Q147" i="1"/>
  <c r="Q92" i="1"/>
  <c r="Q91" i="1"/>
  <c r="Q62" i="1"/>
  <c r="Q54" i="1"/>
  <c r="Q46" i="1"/>
  <c r="Q9" i="1"/>
  <c r="Q184" i="1"/>
  <c r="Q175" i="1"/>
  <c r="Q150" i="1"/>
  <c r="Q105" i="1"/>
  <c r="Q101" i="1"/>
  <c r="Q75" i="1"/>
  <c r="Q43" i="1"/>
  <c r="Q96" i="1"/>
  <c r="Q71" i="1"/>
  <c r="Q124" i="1"/>
  <c r="Q149" i="1"/>
  <c r="Q11" i="1"/>
  <c r="Q15" i="1"/>
  <c r="Q152" i="1"/>
  <c r="Q168" i="1"/>
  <c r="Q112" i="1"/>
  <c r="Q127" i="1"/>
  <c r="Q70" i="1"/>
  <c r="Q65" i="1"/>
  <c r="Q37" i="1"/>
  <c r="Q167" i="1"/>
  <c r="Q42" i="1"/>
  <c r="Q151" i="1"/>
  <c r="Q68" i="1"/>
  <c r="Q45" i="1"/>
  <c r="Q116" i="1"/>
  <c r="Q77" i="1"/>
  <c r="Q21" i="1"/>
</calcChain>
</file>

<file path=xl/sharedStrings.xml><?xml version="1.0" encoding="utf-8"?>
<sst xmlns="http://schemas.openxmlformats.org/spreadsheetml/2006/main" count="1843" uniqueCount="489">
  <si>
    <t>post_title</t>
  </si>
  <si>
    <t>ID</t>
  </si>
  <si>
    <t>post_content</t>
  </si>
  <si>
    <t>post_excerpt</t>
  </si>
  <si>
    <t>post_date</t>
  </si>
  <si>
    <t>post_name</t>
  </si>
  <si>
    <t>post_author</t>
  </si>
  <si>
    <t>post_status</t>
  </si>
  <si>
    <t>featured_image</t>
  </si>
  <si>
    <t>wp_page_template</t>
  </si>
  <si>
    <t>post_format</t>
  </si>
  <si>
    <t>comment_status</t>
  </si>
  <si>
    <t>ping_status</t>
  </si>
  <si>
    <t>pinged</t>
  </si>
  <si>
    <t>post_parent</t>
  </si>
  <si>
    <t>menu_order</t>
  </si>
  <si>
    <t>pods_caption</t>
  </si>
  <si>
    <t>pods_alt_text</t>
  </si>
  <si>
    <t>pods_description</t>
  </si>
  <si>
    <t>pods_file_name</t>
  </si>
  <si>
    <t>pods_title</t>
  </si>
  <si>
    <t>title</t>
  </si>
  <si>
    <t>meta_desc</t>
  </si>
  <si>
    <t>meta-robots-noindex</t>
  </si>
  <si>
    <t>meta-robots-nofollow</t>
  </si>
  <si>
    <t>meta-robots-adv</t>
  </si>
  <si>
    <t>bctitle</t>
  </si>
  <si>
    <t>canonical</t>
  </si>
  <si>
    <t>redirect</t>
  </si>
  <si>
    <t>opengraph-title</t>
  </si>
  <si>
    <t>opengraph-description</t>
  </si>
  <si>
    <t>opengraph-image</t>
  </si>
  <si>
    <t>twitter-title</t>
  </si>
  <si>
    <t>twitter-description</t>
  </si>
  <si>
    <t>twitter-image</t>
  </si>
  <si>
    <t>google-plus-title</t>
  </si>
  <si>
    <t>google-plus-description</t>
  </si>
  <si>
    <t>google-plus-image</t>
  </si>
  <si>
    <t>focus_keyword</t>
  </si>
  <si>
    <t>schema_page_type</t>
  </si>
  <si>
    <t>schema_article_type</t>
  </si>
  <si>
    <t>cornerstone-content</t>
  </si>
  <si>
    <t>focuskeywords</t>
  </si>
  <si>
    <t>keywordsynonyms</t>
  </si>
  <si>
    <t xml:space="preserve">Atalantia racemosa </t>
  </si>
  <si>
    <t>East Deccan Dry Evergreen Forests</t>
  </si>
  <si>
    <t>era_ad</t>
  </si>
  <si>
    <t>publish</t>
  </si>
  <si>
    <t>standard</t>
  </si>
  <si>
    <t>closed</t>
  </si>
  <si>
    <t>Drypetes sepiaria</t>
  </si>
  <si>
    <t>Lepisanthes tetraphylla</t>
  </si>
  <si>
    <t xml:space="preserve">Chionanthus Zeylanica </t>
  </si>
  <si>
    <t>Diospyros chloroxylon</t>
  </si>
  <si>
    <t>Pterospermum suberifolium</t>
  </si>
  <si>
    <t>Cassine glauca</t>
  </si>
  <si>
    <t>Ecological restoration in Tiruvannamalai</t>
  </si>
  <si>
    <t>Streblus asper</t>
  </si>
  <si>
    <t>Capparis brevispina</t>
  </si>
  <si>
    <t>Dimorphocalyx glabellus</t>
  </si>
  <si>
    <t>Diospyros ferrea var. buxifolia</t>
  </si>
  <si>
    <t>Memecylon umbellatum</t>
  </si>
  <si>
    <t>Jasminum angustifolium</t>
  </si>
  <si>
    <t>Strychnos minor</t>
  </si>
  <si>
    <t>Reissantia indica</t>
  </si>
  <si>
    <t>Aristolochia indica</t>
  </si>
  <si>
    <t>Anogeissus latifolia</t>
  </si>
  <si>
    <t>South Deccan Plateau Dry Deciduous Forests</t>
  </si>
  <si>
    <t>Pterocarpus marsupium</t>
  </si>
  <si>
    <t>Mallotus philippensis</t>
  </si>
  <si>
    <t>Diospyros montana</t>
  </si>
  <si>
    <t>Grewia asiatica</t>
  </si>
  <si>
    <t>Catunaregam spinosa</t>
  </si>
  <si>
    <t>Dodonaea viscosa</t>
  </si>
  <si>
    <t>Helicteres isora</t>
  </si>
  <si>
    <t>Hiptage benghalensis</t>
  </si>
  <si>
    <t>Pterolobium hexapetalum</t>
  </si>
  <si>
    <t>Ventilago maderaspatana</t>
  </si>
  <si>
    <t>Ziziphus oenoplia</t>
  </si>
  <si>
    <t>Albizia amara</t>
  </si>
  <si>
    <t>Deccan Thorn Scrub Forests</t>
  </si>
  <si>
    <t>Chloroxylon swietenia</t>
  </si>
  <si>
    <t>Commiphora caudata</t>
  </si>
  <si>
    <t>Deccania pubescens</t>
  </si>
  <si>
    <t>Gardenia gummifera</t>
  </si>
  <si>
    <t>Givotia moluccana</t>
  </si>
  <si>
    <t>Premna tomentosa</t>
  </si>
  <si>
    <t>Ziziphus xylopyrus</t>
  </si>
  <si>
    <t>Benkara malabarica</t>
  </si>
  <si>
    <t>Cadaba fruticosa</t>
  </si>
  <si>
    <t>Carissa spinarum</t>
  </si>
  <si>
    <t>Walsura trifoliata</t>
  </si>
  <si>
    <t>Phyllanthus polyphyllus</t>
  </si>
  <si>
    <t>Naringi crenulata</t>
  </si>
  <si>
    <t>Murraya paniculata</t>
  </si>
  <si>
    <t>Lagerstroemia microcarpa</t>
  </si>
  <si>
    <t xml:space="preserve">South Western Ghats Moist Deciduous forests </t>
  </si>
  <si>
    <t>Hopea parviflora</t>
  </si>
  <si>
    <t>South Western Ghats Moist Deciduous forests</t>
  </si>
  <si>
    <t>Schleichera oleosa</t>
  </si>
  <si>
    <t>Terminalia bellirica</t>
  </si>
  <si>
    <t>Buchanania lanzan</t>
  </si>
  <si>
    <t>Chionanthus mala-elengi</t>
  </si>
  <si>
    <t>Litsea coriacea</t>
  </si>
  <si>
    <t>Careya arborea</t>
  </si>
  <si>
    <t>Desmodium pulchellum</t>
  </si>
  <si>
    <t>Maesa indica</t>
  </si>
  <si>
    <t>Memecylon malabaricum</t>
  </si>
  <si>
    <t>Solanum verbascifolium</t>
  </si>
  <si>
    <t>Combretum ovalifolium</t>
  </si>
  <si>
    <t>Dioscorea pentaphylla</t>
  </si>
  <si>
    <t>Smilax zeylanica</t>
  </si>
  <si>
    <t>Calycopteris floribunda</t>
  </si>
  <si>
    <t>Artocarpus hirsutus</t>
  </si>
  <si>
    <t>South Western Ghats Montane Rainforests</t>
  </si>
  <si>
    <t>Ficus drupacea</t>
  </si>
  <si>
    <t>Xanthophyllum flavescens</t>
  </si>
  <si>
    <t>Garcinia gummi-gutta</t>
  </si>
  <si>
    <t>Baccaurea courtallensis</t>
  </si>
  <si>
    <t>Orophea erythrocarpa</t>
  </si>
  <si>
    <t xml:space="preserve">Hydnocarpus pentandra </t>
  </si>
  <si>
    <t>Ixora nigricans</t>
  </si>
  <si>
    <t>Cullenia exarillata</t>
  </si>
  <si>
    <t>Anamalai Rainforest Restoration, Rewilding plantations and degraded forest in Western Wayanad</t>
  </si>
  <si>
    <t>Palaquium ellipticum</t>
  </si>
  <si>
    <t>Anamalai Rainforest Restoration</t>
  </si>
  <si>
    <t>Mesua ferrea</t>
  </si>
  <si>
    <t>Canarium strictum</t>
  </si>
  <si>
    <t>Actinodaphne bourdillonii</t>
  </si>
  <si>
    <t>Drypetes malabarica</t>
  </si>
  <si>
    <t>Villebrunea  integrifolia</t>
  </si>
  <si>
    <t>Meliosma simplicifolia</t>
  </si>
  <si>
    <t>Cinnamomum wightii</t>
  </si>
  <si>
    <t>Syzygium densiflorum</t>
  </si>
  <si>
    <t>Rhododendron arboreum</t>
  </si>
  <si>
    <t>Viburnum cylindricum</t>
  </si>
  <si>
    <t>Artemisia nilagirica</t>
  </si>
  <si>
    <t>Chrysopogon zeylanicus</t>
  </si>
  <si>
    <t>Restoring hill wetlands of the Nilgiri Biosphere Reserve</t>
  </si>
  <si>
    <t>Heteropogon contortus</t>
  </si>
  <si>
    <t>Polygala japonica</t>
  </si>
  <si>
    <t>Knema attenuata</t>
  </si>
  <si>
    <t>North Western Ghats Montane Rainforests</t>
  </si>
  <si>
    <t>Poeciloneuron indicum</t>
  </si>
  <si>
    <t>Hopea ponga</t>
  </si>
  <si>
    <t>Xantolis tomentosa</t>
  </si>
  <si>
    <t>Beilschmiedia dalzellii</t>
  </si>
  <si>
    <t>Garcinia morella</t>
  </si>
  <si>
    <t>Ehretia laevis</t>
  </si>
  <si>
    <t>Wendlandia thyrsoidea</t>
  </si>
  <si>
    <t>Alangium salvifolium</t>
  </si>
  <si>
    <t>Canthium angustifolium</t>
  </si>
  <si>
    <t>Gnetum ula</t>
  </si>
  <si>
    <t>Schefflera venulosa</t>
  </si>
  <si>
    <t>Xylia xylocarpa</t>
  </si>
  <si>
    <t>North Western Ghats Moist Deciduous Forests</t>
  </si>
  <si>
    <t>Neolamarckia cadamba</t>
  </si>
  <si>
    <t>Miliusa tomentosa</t>
  </si>
  <si>
    <t>Dillenia pentagyna</t>
  </si>
  <si>
    <t>Cordia obliqua</t>
  </si>
  <si>
    <t>Erythrina stricta</t>
  </si>
  <si>
    <t>Litsea glutinosa</t>
  </si>
  <si>
    <t>Stereospermum colais</t>
  </si>
  <si>
    <t>Atalantia racemosa</t>
  </si>
  <si>
    <t>Gnidia glauca</t>
  </si>
  <si>
    <t>Murraya koenigii</t>
  </si>
  <si>
    <t>Pavetta crassicaulis</t>
  </si>
  <si>
    <t>Asparagus racemosus</t>
  </si>
  <si>
    <t>Dioscorea oppositifolia</t>
  </si>
  <si>
    <t>Gymnema sylvestre</t>
  </si>
  <si>
    <t>Actinodaphne malabarica</t>
  </si>
  <si>
    <t>Cinnamomum malabatrum</t>
  </si>
  <si>
    <t>Diospyros sylvatica</t>
  </si>
  <si>
    <t>Elaeocarpus tuberculatus</t>
  </si>
  <si>
    <t>Heritiera papilio</t>
  </si>
  <si>
    <t>Litsea oleoides</t>
  </si>
  <si>
    <t>Habenaria suaveolens (syn. Habenaria panchganiensis)</t>
  </si>
  <si>
    <t>North Western Ghats Moist Deciduous Forests, North Western Ghats Montane Rainforests</t>
  </si>
  <si>
    <t>Ecological Restoration of Panchgani tableland</t>
  </si>
  <si>
    <t>Euphorbia khandallensis (syn. Euphorbia panchganiensis)</t>
  </si>
  <si>
    <t>Utricularia arcuata</t>
  </si>
  <si>
    <t>Balanites roxburghii</t>
  </si>
  <si>
    <t>Deccan thorn scrub forests</t>
  </si>
  <si>
    <t>Mine restoration in Pandalgudi</t>
  </si>
  <si>
    <t>Salvadora persica</t>
  </si>
  <si>
    <t>Albizia lathamii</t>
  </si>
  <si>
    <t>Aglaia spectabilis</t>
  </si>
  <si>
    <t>Eastern Himalayan broadleaf forests</t>
  </si>
  <si>
    <t>Tropical forest restoration in the Eastern Himalaya</t>
  </si>
  <si>
    <t>Aquilaria malaccensis</t>
  </si>
  <si>
    <t>Canarium resiniferum</t>
  </si>
  <si>
    <t>Elaeocarpus sphaericus</t>
  </si>
  <si>
    <t>Horsfieldia kingii</t>
  </si>
  <si>
    <t>Livistona jenkinsiana</t>
  </si>
  <si>
    <t>Polyalthia simiarum</t>
  </si>
  <si>
    <t>Prunus ceylanica</t>
  </si>
  <si>
    <t>Tetrameles nudiflora</t>
  </si>
  <si>
    <t>Vatica lanceifolia</t>
  </si>
  <si>
    <t>Givottia rottleformis</t>
  </si>
  <si>
    <t>South Deccan Plateau dry deciduous forests</t>
  </si>
  <si>
    <t>Stereospermum personatum</t>
  </si>
  <si>
    <t>Butea monosperma</t>
  </si>
  <si>
    <t>Cassia fistula</t>
  </si>
  <si>
    <t>Ficus mollus</t>
  </si>
  <si>
    <t>Cleistanthus collinus</t>
  </si>
  <si>
    <t>Diospyros ebenum</t>
  </si>
  <si>
    <t>Berberis tinctoria</t>
  </si>
  <si>
    <t>South Western Ghats montane rain forests</t>
  </si>
  <si>
    <t>Debregeasia longifolia</t>
  </si>
  <si>
    <t>Elaeocarpus variabilis</t>
  </si>
  <si>
    <t>Heydychium flavescens</t>
  </si>
  <si>
    <t xml:space="preserve">Ligustrum Sp. </t>
  </si>
  <si>
    <t>Millettia Pinata</t>
  </si>
  <si>
    <t>Sophora Galuca</t>
  </si>
  <si>
    <t>Stobilanthes sp.</t>
  </si>
  <si>
    <t>Syzygium Cumini</t>
  </si>
  <si>
    <t>Boswellia serrata</t>
  </si>
  <si>
    <t>Aravalli west thorn scrub forests</t>
  </si>
  <si>
    <t>Aravali Biodiversity Park</t>
  </si>
  <si>
    <t>Salai</t>
  </si>
  <si>
    <t>Anogeissus pendula</t>
  </si>
  <si>
    <t>Dhok</t>
  </si>
  <si>
    <t>Sterculia urens</t>
  </si>
  <si>
    <t>Kullu</t>
  </si>
  <si>
    <t>Mitragyna parvifolia</t>
  </si>
  <si>
    <t>Kaim</t>
  </si>
  <si>
    <t>Flueggea leucopyrus</t>
  </si>
  <si>
    <t>Ghatbor</t>
  </si>
  <si>
    <t>Cordia sinensis</t>
  </si>
  <si>
    <t>Goondi</t>
  </si>
  <si>
    <t>Wrightia arborea</t>
  </si>
  <si>
    <t>Kala Indrajao</t>
  </si>
  <si>
    <t>Moringa concanensis</t>
  </si>
  <si>
    <t>Sahajana</t>
  </si>
  <si>
    <t>Malaxis versicolor</t>
  </si>
  <si>
    <t>Rewilding plantations and degraded forest in Western Wayanad</t>
  </si>
  <si>
    <t>Ophioglossum reticulatum</t>
  </si>
  <si>
    <t>Habenaria longicornu</t>
  </si>
  <si>
    <t>Disperis zeylanica</t>
  </si>
  <si>
    <t>Cyathea spinulosa</t>
  </si>
  <si>
    <t>Impatiens acaulis</t>
  </si>
  <si>
    <t>Gymnosporia senegalensis</t>
  </si>
  <si>
    <t>Thar Desert</t>
  </si>
  <si>
    <t>Rao Jodha Desert Rock Park</t>
  </si>
  <si>
    <t>Sarcostemma acidum</t>
  </si>
  <si>
    <t>Ephedra foliata</t>
  </si>
  <si>
    <t>Capparis decidua</t>
  </si>
  <si>
    <t>Anogeissus sericea var. nummularia</t>
  </si>
  <si>
    <t>Acacia senegal</t>
  </si>
  <si>
    <t>Cocculus pendulus</t>
  </si>
  <si>
    <t>Lepidagathis trinervis</t>
  </si>
  <si>
    <t>Barleria prionitis var, dicantha</t>
  </si>
  <si>
    <t>Euphorbia caducifolia</t>
  </si>
  <si>
    <t>Saccharum benghalense</t>
  </si>
  <si>
    <t>Kishan Bagh</t>
  </si>
  <si>
    <t>1. Saccharum benghalense - Pradip Krishen.jpg</t>
  </si>
  <si>
    <t>Pennisetum divisum</t>
  </si>
  <si>
    <t>2. Pennisetum divisum - Pradip Krishen.jpg</t>
  </si>
  <si>
    <t>Crotalaria burhia</t>
  </si>
  <si>
    <t>3. Crotalaria burhia - Pradip Krishen.jpeg</t>
  </si>
  <si>
    <t>Calligonum polygonoides</t>
  </si>
  <si>
    <t>4. Calligonum - Pradip Krishen.jpg</t>
  </si>
  <si>
    <t>Aerva pseudotomentosa</t>
  </si>
  <si>
    <t>5. Aerva pseudotomentosa - Pradip Krishen.JPG</t>
  </si>
  <si>
    <t>Panicum turgidum</t>
  </si>
  <si>
    <t>6.Panicum turgidum - Pradip Krishen.jpg</t>
  </si>
  <si>
    <t>Sericostoma pauciflorum</t>
  </si>
  <si>
    <t>7.sericostoma - Pradip Krishen.jpg</t>
  </si>
  <si>
    <t>Clerodendrum phlomidis</t>
  </si>
  <si>
    <t>8.Clerodendrum phlomidis - Pradip Krishen.jpg</t>
  </si>
  <si>
    <t>Cyanotis spp and others</t>
  </si>
  <si>
    <t>9.Cyanotis et al - Pradip Krishen.jpg</t>
  </si>
  <si>
    <t>Actiniopteris radiata</t>
  </si>
  <si>
    <t>10.Actiniopteris fern - Pradip Krishen.jpg</t>
  </si>
  <si>
    <t>Actinodaphne malabarica- Mrinalini K Siddhartha, CC BY-SA 3.0 via Wikimedia Commons</t>
  </si>
  <si>
    <t>Canarium strictum- Rohit Naniwadekar, CC BY-SA 4.0 via Wikimedia Commons</t>
  </si>
  <si>
    <t>Cullenia exarillata- T. R. Shankar Raman, CC0, via Wikimedia Commons</t>
  </si>
  <si>
    <t>Cinamomum Malabaratum- Vijay Nishanth, CC BY 3.0 via Wikimedia Commons</t>
  </si>
  <si>
    <t>Diospyros Sylvatica- Mrinalini K Siddhartha, CC BY-SA 3.0 via Wikimedia Commons</t>
  </si>
  <si>
    <t>Elaeocarpus tuberculatus- Forestowlet, CC0, via Wikimedia Commons</t>
  </si>
  <si>
    <t>Palaquium ellipticum- T. R. Shankar Raman, CC0, via Wikimedia Commons</t>
  </si>
  <si>
    <t>Heritiera papilio- (c) Siddarth Machado – some rights reserved (CC BY-NC)</t>
  </si>
  <si>
    <t>Mesua Ferrea- A. J. T. Johnsingh, WWF-India and NCF, CC BY-SA 4.0 , via Wikimedia Commons</t>
  </si>
  <si>
    <t>1. Gymnosporia senegalensis</t>
  </si>
  <si>
    <t>2. Sarcostemma acidum</t>
  </si>
  <si>
    <t>3. Ephedra foliata</t>
  </si>
  <si>
    <t>4. Capparis decidua</t>
  </si>
  <si>
    <t>5. Anogeissus sericea var. nummularia</t>
  </si>
  <si>
    <t>6. Acacia senegal</t>
  </si>
  <si>
    <t>7. Cocculus pendulus</t>
  </si>
  <si>
    <t>8. Lepidagathis trinervis</t>
  </si>
  <si>
    <t>9. Barleria prionitis var, dicantha</t>
  </si>
  <si>
    <t xml:space="preserve"> Boswellia serrata
Dhok</t>
  </si>
  <si>
    <t>Anogeissus pendula
Kullu</t>
  </si>
  <si>
    <t>Sterculia urens
Kaim</t>
  </si>
  <si>
    <t>Mitragyna parvifolia
Ghatbor</t>
  </si>
  <si>
    <t>Flueggea leucopyrus
Goondi</t>
  </si>
  <si>
    <t>Cordia sinensis
Kala Indrajao</t>
  </si>
  <si>
    <t>Wrightia arborea
Kanker</t>
  </si>
  <si>
    <t>Gymnosporia seneglensis
Sahajana</t>
  </si>
  <si>
    <t>Kanker</t>
  </si>
  <si>
    <t>https://era-india.org/wp-content/uploads/2022/06/Acaciasenegal-PradipKrishen.jpg</t>
  </si>
  <si>
    <t>https://era-india.org/wp-content/uploads/2022/06/10.Actiniopterisfern-PradipKrishen.jpg</t>
  </si>
  <si>
    <t>https://era-india.org/wp-content/uploads/2022/06/Actinodaphne_bourdillonii_Andiparai_DSCN0473.jpg</t>
  </si>
  <si>
    <t>https://era-india.org/wp-content/uploads/2022/06/01-Actinodaphne_malabarica_Varattuparai-ArjunSingh.jpg</t>
  </si>
  <si>
    <t>https://era-india.org/wp-content/uploads/2022/06/5.Aervapseudotomentosa-PradipKrishen.jpg</t>
  </si>
  <si>
    <t>https://era-india.org/wp-content/uploads/2022/06/Alangium_Salvifolium_09.jpg</t>
  </si>
  <si>
    <t>https://era-india.org/wp-content/uploads/2022/06/3.Albizialathamiicopy-ArjunSingh.jpg</t>
  </si>
  <si>
    <t>https://era-india.org/wp-content/uploads/2022/06/ERN-Anogeissuspendula-VijayDhasmana.jpg</t>
  </si>
  <si>
    <t>https://era-india.org/wp-content/uploads/2022/06/Anogeissussericeavsr.nummularia-PradipKrishen.jpg</t>
  </si>
  <si>
    <t>https://era-india.org/wp-content/uploads/2022/06/Aristolochia_indica_-_leaves.jpg</t>
  </si>
  <si>
    <t>https://era-india.org/wp-content/uploads/2022/06/Artocarpus_hirsutus.jpg</t>
  </si>
  <si>
    <t>https://era-india.org/wp-content/uploads/2022/06/Asparagus_racemosus_0641.jpg</t>
  </si>
  <si>
    <t>https://era-india.org/wp-content/uploads/2022/06/Atalantia_monophylla-1.jpg</t>
  </si>
  <si>
    <t>https://era-india.org/wp-content/uploads/2022/06/original3.jpg</t>
  </si>
  <si>
    <t>https://era-india.org/wp-content/uploads/2022/06/1.Balanitesroxburghiicopy-ArjunSingh.jpg</t>
  </si>
  <si>
    <t>https://era-india.org/wp-content/uploads/2022/06/Barleriaprionitisvar.dicantha-PradipKrishen.jpg</t>
  </si>
  <si>
    <t>https://era-india.org/wp-content/uploads/2022/06/Benkara_malabarica_5.jpg</t>
  </si>
  <si>
    <t>https://era-india.org/wp-content/uploads/2022/06/01-Berberistinctoria-ArjunSingh.jpg</t>
  </si>
  <si>
    <t>https://era-india.org/wp-content/uploads/2022/06/BDP005_Salai-VijayDhasmana.jpg</t>
  </si>
  <si>
    <t>https://era-india.org/wp-content/uploads/2022/06/Buchanania_lanzan.jpg</t>
  </si>
  <si>
    <t>https://era-india.org/wp-content/uploads/2022/06/Buteamonosperma-VArun.jpg</t>
  </si>
  <si>
    <t>https://era-india.org/wp-content/uploads/2022/06/4.Calligonum-PradipKrishen.jpg</t>
  </si>
  <si>
    <t>https://era-india.org/wp-content/uploads/2022/06/Canarium_strictum_DSCN8630.jpg</t>
  </si>
  <si>
    <t>https://era-india.org/wp-content/uploads/2022/06/Canthium_angustifolium_-_Narrow_Leaved_Canthium.jpg</t>
  </si>
  <si>
    <t>https://era-india.org/wp-content/uploads/2022/06/Capparisdecidua-PradipKrishen.jpg</t>
  </si>
  <si>
    <t>https://era-india.org/wp-content/uploads/2022/06/Careya_Arborea021.jpg</t>
  </si>
  <si>
    <t>https://era-india.org/wp-content/uploads/2022/06/Carissa_spinarum_near_Hyderabad_W_IMG_7615.jpg</t>
  </si>
  <si>
    <t>https://era-india.org/wp-content/uploads/2022/06/Cassiafistula-VArun.jpg</t>
  </si>
  <si>
    <t>https://era-india.org/wp-content/uploads/2022/06/Cassine_glauca.jpg</t>
  </si>
  <si>
    <t>https://era-india.org/wp-content/uploads/2022/06/Mountain_Pomegranate_Catunaregam_spinosa_Ghela_by_Raju_Kasambe.jpg</t>
  </si>
  <si>
    <t>https://era-india.org/wp-content/uploads/2022/06/Chionanthus_mala-elengi_fruits.jpg</t>
  </si>
  <si>
    <t>https://era-india.org/wp-content/uploads/2022/06/Chionanthus_zeylanica_L._-_Flickr_-_lalithamba.jpg</t>
  </si>
  <si>
    <t>https://era-india.org/wp-content/uploads/2022/06/Chloroxylon_swietenia_04.jpg</t>
  </si>
  <si>
    <t>https://era-india.org/wp-content/uploads/2022/06/chryspogon1.jpg</t>
  </si>
  <si>
    <t>https://era-india.org/wp-content/uploads/2022/06/04-Cinnamomum_malabatrum_2_by_Vijay-ArjunSingh.jpg</t>
  </si>
  <si>
    <t>https://era-india.org/wp-content/uploads/2022/06/Cinnamomum_wightii_-_at_Ooty_2014.jpg</t>
  </si>
  <si>
    <t>https://era-india.org/wp-content/uploads/2022/06/Cleistanthuscollinus-VArun.jpg</t>
  </si>
  <si>
    <t>https://era-india.org/wp-content/uploads/2022/06/8.Clerodendrumphlomidis-PradipKrishen.jpg</t>
  </si>
  <si>
    <t>https://era-india.org/wp-content/uploads/2022/06/Cocculuspendulus-PradipKrishen.jpg</t>
  </si>
  <si>
    <t>https://era-india.org/wp-content/uploads/2022/06/Combretum_ovalifolium_07.jpg</t>
  </si>
  <si>
    <t>https://era-india.org/wp-content/uploads/2022/06/original.jpg</t>
  </si>
  <si>
    <t>https://era-india.org/wp-content/uploads/2022/06/Cordia_dichotoma_flowers_and_foliage.jpg</t>
  </si>
  <si>
    <t>https://era-india.org/wp-content/uploads/2022/06/BDP022_Goondi-VijayDhasmana.jpg</t>
  </si>
  <si>
    <t>https://era-india.org/wp-content/uploads/2022/06/3.Crotalariaburhia-PradipKrishen.jpg</t>
  </si>
  <si>
    <t>https://era-india.org/wp-content/uploads/2022/06/9.Cyanotisetal-PradipKrishen.jpg</t>
  </si>
  <si>
    <t>https://era-india.org/wp-content/uploads/2022/06/Cyatheanilgirensis-SuprabhaSeshan.jpg</t>
  </si>
  <si>
    <t>https://era-india.org/wp-content/uploads/2022/06/03-Debregeasialongifolia-ArjunSingh.jpg</t>
  </si>
  <si>
    <t>https://era-india.org/wp-content/uploads/2022/06/original2.jpg</t>
  </si>
  <si>
    <t>https://era-india.org/wp-content/uploads/2022/06/Flemingia_chhapar_is_it-_in_Narshapur_forest_AP_W_IMG_0850.jpg</t>
  </si>
  <si>
    <t>https://era-india.org/wp-content/uploads/2022/06/Diospyros_chloroxylon_in_Hyderabad_W_IMG_9477.jpg</t>
  </si>
  <si>
    <t>https://era-india.org/wp-content/uploads/2022/06/Diospyrosebenum-VArun.jpg</t>
  </si>
  <si>
    <t>https://era-india.org/wp-content/uploads/2022/06/05-Diospyros_sylvatica_Old_Valparai_DSCN0496-ArjunSingh.jpg</t>
  </si>
  <si>
    <t>https://era-india.org/wp-content/uploads/2022/06/Disperiszeylanica-SuprabhaSeshan.jpg</t>
  </si>
  <si>
    <t>https://era-india.org/wp-content/uploads/2022/06/Dodonaea_viscosa_Flipphi_1.jpg</t>
  </si>
  <si>
    <t>https://era-india.org/wp-content/uploads/2022/06/Dodonaea_viscosa_in_Mexico.jpg</t>
  </si>
  <si>
    <t>https://era-india.org/wp-content/uploads/2022/06/1.jpg</t>
  </si>
  <si>
    <t>https://era-india.org/wp-content/uploads/2022/06/Drypetes_sepiaria_leaves.jpg</t>
  </si>
  <si>
    <t>https://era-india.org/wp-content/uploads/2022/06/06-Elaeocarpus_tuberculatus_001-ArjunSingh.jpg</t>
  </si>
  <si>
    <t>https://era-india.org/wp-content/uploads/2022/06/04-Elaeocarpusvariabilis-ArjunSingh.jpg</t>
  </si>
  <si>
    <t>https://era-india.org/wp-content/uploads/2022/06/Ephedrafoliata-PradipKrishen.jpg</t>
  </si>
  <si>
    <t>https://era-india.org/wp-content/uploads/2022/06/Euphorbiacaducifolia-PradipKrishen.jpg</t>
  </si>
  <si>
    <t>https://era-india.org/wp-content/uploads/2022/06/EuphorbiakhandallensisEpanchganiensis-AparnaWatve.jpg</t>
  </si>
  <si>
    <t>https://era-india.org/wp-content/uploads/2022/06/Ficusmollus-VArun.jpg</t>
  </si>
  <si>
    <t>https://era-india.org/wp-content/uploads/2022/06/ERN_Flueggealeucopyrus-VijayDhasmana.jpg</t>
  </si>
  <si>
    <t>https://era-india.org/wp-content/uploads/2022/06/Garcinia_gummi-gutta_Kerala.jpg</t>
  </si>
  <si>
    <t>https://era-india.org/wp-content/uploads/2022/06/Garcinia_morella-1-chemungi-kerala-India.jpg</t>
  </si>
  <si>
    <t>https://era-india.org/wp-content/uploads/2022/06/Gardenia_gummifera_22.jpg</t>
  </si>
  <si>
    <t>https://era-india.org/wp-content/uploads/2022/06/Givotia_moluccana_04.jpg</t>
  </si>
  <si>
    <t>https://era-india.org/wp-content/uploads/2022/06/Givottiarottleformis-VArun.jpg</t>
  </si>
  <si>
    <t>https://era-india.org/wp-content/uploads/2022/06/Gnetum_ula_Thalaicauvery_WLS_March_2010_AJT_Johnsingh.jpg</t>
  </si>
  <si>
    <t>https://era-india.org/wp-content/uploads/2022/06/Gnidia_glauca_02.jpg</t>
  </si>
  <si>
    <t>https://era-india.org/wp-content/uploads/2022/06/Gymnema_sylvestre.jpg</t>
  </si>
  <si>
    <t>https://era-india.org/wp-content/uploads/2022/06/Gymnosporiasenegalensis-PradipKrishen.jpg</t>
  </si>
  <si>
    <t>https://era-india.org/wp-content/uploads/2022/06/Habenarialongicornu-SuprabhaSeshan.jpg</t>
  </si>
  <si>
    <t>https://era-india.org/wp-content/uploads/2022/06/HabenariasuaveolensHpanchganiensis-AparnaWatve.jpg</t>
  </si>
  <si>
    <t>https://era-india.org/wp-content/uploads/2022/06/08-Heritierapapilio-SiddharthMachado-ArjunSingh.jpg</t>
  </si>
  <si>
    <t>https://era-india.org/wp-content/uploads/2022/06/Starr_060405-6950_Heteropogon_contortus.jpg</t>
  </si>
  <si>
    <t>https://era-india.org/wp-content/uploads/2022/06/05-Heydychiumflavescens-ArjunSingh.jpg</t>
  </si>
  <si>
    <t>https://era-india.org/wp-content/uploads/2022/06/Hiptage_benghalensis.jpg</t>
  </si>
  <si>
    <t>https://era-india.org/wp-content/uploads/2022/06/Hopea_parviflora.jpg</t>
  </si>
  <si>
    <t>https://era-india.org/wp-content/uploads/2022/06/Hopea_Ponga_07.jpg</t>
  </si>
  <si>
    <t>https://era-india.org/wp-content/uploads/2022/06/ImpatiensacauliswithOberoniasp.andferns-SuprabhaSeshan.jpg</t>
  </si>
  <si>
    <t>https://era-india.org/wp-content/uploads/2022/06/Ixora_nigricans_08.jpg</t>
  </si>
  <si>
    <t>https://era-india.org/wp-content/uploads/2022/06/Knema_attenuata-Bhoothathaankettu_03.jpg</t>
  </si>
  <si>
    <t>https://era-india.org/wp-content/uploads/2022/06/Lepidagathistrinervis-PradipKrishen.jpg</t>
  </si>
  <si>
    <t>https://era-india.org/wp-content/uploads/2022/06/06-Ligustrum-ArjunSingh.jpg</t>
  </si>
  <si>
    <t>https://era-india.org/wp-content/uploads/2022/06/Litsea_glutinosa_6.jpg</t>
  </si>
  <si>
    <t>https://era-india.org/wp-content/uploads/2022/06/09-Litseaoleoides-Srini-ArjunSingh.jpg</t>
  </si>
  <si>
    <t>https://era-india.org/wp-content/uploads/2022/06/Malaxisversicolor-SuprabhaSeshan.jpg</t>
  </si>
  <si>
    <t>https://era-india.org/wp-content/uploads/2022/06/Mallotus_philippensis_fruits_5358.jpg</t>
  </si>
  <si>
    <t>https://era-india.org/wp-content/uploads/2022/06/Meliosma_simplicifolia_31.jpg</t>
  </si>
  <si>
    <t>https://era-india.org/wp-content/uploads/2022/06/Miliusa_tomentosa_5.jpg</t>
  </si>
  <si>
    <t>https://era-india.org/wp-content/uploads/2022/06/07-Pongamiapinnata-ArjunSingh.jpg</t>
  </si>
  <si>
    <t>https://era-india.org/wp-content/uploads/2022/06/BDP023_Kaim-VijayDhasmana.jpg</t>
  </si>
  <si>
    <t>https://era-india.org/wp-content/uploads/2022/06/ERN_moringaconcanensis-VijayDhasmana.jpg</t>
  </si>
  <si>
    <t>https://era-india.org/wp-content/uploads/2022/06/Naringi_crenulata_3641.jpg</t>
  </si>
  <si>
    <t>https://era-india.org/wp-content/uploads/2022/06/Cadamba_tree_Neolamarckia_cadamba_by_Raju_Kasambe.jpg</t>
  </si>
  <si>
    <t>https://era-india.org/wp-content/uploads/2022/06/Ophioglossumreticulatum-SuprabhaSeshan.jpg</t>
  </si>
  <si>
    <t>https://era-india.org/wp-content/uploads/2022/06/orophea2.jpg</t>
  </si>
  <si>
    <t>https://era-india.org/wp-content/uploads/2022/06/07-Palaquium_ellipticum_in_Anamalais_IMG_20201208_105724-ArjunSingh.jpg</t>
  </si>
  <si>
    <t>https://era-india.org/wp-content/uploads/2022/06/6.Panicumturgidum-PradipKrishen.jpg</t>
  </si>
  <si>
    <t>https://era-india.org/wp-content/uploads/2022/06/Pavetta_crassicaulis_flowers_in_Hyderabad_W_IMG_8712.jpg</t>
  </si>
  <si>
    <t>https://era-india.org/wp-content/uploads/2022/06/2.Pennisetumdivisum-PradipKrishen.jpg</t>
  </si>
  <si>
    <t>https://era-india.org/wp-content/uploads/2022/06/Phyllanthus_polyphyllus_07.jpg</t>
  </si>
  <si>
    <t>https://era-india.org/wp-content/uploads/2022/06/Premna_tomentosa.jpg</t>
  </si>
  <si>
    <t>https://era-india.org/wp-content/uploads/2022/06/8-Prunusceylanica-NoopurBorawake.jpg</t>
  </si>
  <si>
    <t>https://era-india.org/wp-content/uploads/2022/06/Pterolobium_hexapetalum_Camp_Siege_in_Talakona_forest_AP_W_IMG_8365.jpg</t>
  </si>
  <si>
    <t>https://era-india.org/wp-content/uploads/2022/06/Reissantia_indica_10.jpg</t>
  </si>
  <si>
    <t>https://era-india.org/wp-content/uploads/2022/06/Rhododendron_arboreum_leaves_close_up.jpg</t>
  </si>
  <si>
    <t>https://era-india.org/wp-content/uploads/2022/06/1.Saccharumbenghalense-PradipKrishen.jpg</t>
  </si>
  <si>
    <t>https://era-india.org/wp-content/uploads/2022/06/2.Salvadorapersica-ArjunSingh.jpg</t>
  </si>
  <si>
    <t>https://era-india.org/wp-content/uploads/2022/06/Sarcostemmaacidum-PradipKrishen.jpg</t>
  </si>
  <si>
    <t>https://era-india.org/wp-content/uploads/2022/06/Schefflera_venulosa_03a.jpg</t>
  </si>
  <si>
    <t>https://era-india.org/wp-content/uploads/2022/06/madhavanSouthWesternGhatsMoistDeciduousForests.jpg</t>
  </si>
  <si>
    <t>https://era-india.org/wp-content/uploads/2022/06/7.sericostoma-PradipKrishen.jpg</t>
  </si>
  <si>
    <t>https://era-india.org/wp-content/uploads/2022/06/Smilax_zeylanica_fruits.jpg</t>
  </si>
  <si>
    <t>https://era-india.org/wp-content/uploads/2022/06/08-Sophoragaluca-ArjunSingh.jpg</t>
  </si>
  <si>
    <t>https://era-india.org/wp-content/uploads/2022/06/ERN_Kullu_vijaydhasmana-VijayDhasmana.jpg</t>
  </si>
  <si>
    <t>https://era-india.org/wp-content/uploads/2022/06/Stereospermumpersonatum-min-VArun.jpg</t>
  </si>
  <si>
    <t>https://era-india.org/wp-content/uploads/2022/06/09-Stobilanthessp-ArjunSingh.jpg</t>
  </si>
  <si>
    <t>https://era-india.org/wp-content/uploads/2022/06/Streblus_asper_Jaldapara_WLS_AJT_Johnsingh.jpg</t>
  </si>
  <si>
    <t>https://era-india.org/wp-content/uploads/2022/06/climbers.jpg</t>
  </si>
  <si>
    <t>https://era-india.org/wp-content/uploads/2022/06/10-Syzygiumcumini-ArjunSingh.jpg</t>
  </si>
  <si>
    <t>https://era-india.org/wp-content/uploads/2022/06/Terminalia_bellerica_AJT_Johnsingh.jpg</t>
  </si>
  <si>
    <t>https://era-india.org/wp-content/uploads/2022/06/Utricularia-AparnaWatve.jpg</t>
  </si>
  <si>
    <t>https://era-india.org/wp-content/uploads/2022/06/Ventilago_maderaspatana_01.jpg</t>
  </si>
  <si>
    <t>https://era-india.org/wp-content/uploads/2022/06/Villebrunea_integrifolia_DSCN8618.jpg</t>
  </si>
  <si>
    <t>https://era-india.org/wp-content/uploads/2022/06/walsura.jpg</t>
  </si>
  <si>
    <t>https://era-india.org/wp-content/uploads/2022/06/Flower_of_a_tree_seen_on_the_hill_top_of_Ranipuram.jpg</t>
  </si>
  <si>
    <t>https://era-india.org/wp-content/uploads/2022/06/ERN_Wrigthiaarborea-VijayDhasmana.jpg</t>
  </si>
  <si>
    <t>https://era-india.org/wp-content/uploads/2022/06/Ziziphus_oenoplia-Fruits.jpg</t>
  </si>
  <si>
    <t>https://era-india.org/wp-content/uploads/2022/06/Ziziphus_xylopyrus_AJTJ_DSCN0180.jpg</t>
  </si>
  <si>
    <t>era_species_common_name</t>
  </si>
  <si>
    <t>era_species_ecoregion</t>
  </si>
  <si>
    <t>era_species_img_credit</t>
  </si>
  <si>
    <t>era_species_related_projects</t>
  </si>
  <si>
    <t>https://era-india.org/wp-content/uploads/2022/06/1-AglaiaspectabilisAmari-NoopurBorawake.jpg</t>
  </si>
  <si>
    <t>https://era-india.org/wp-content/uploads/2022/06/Albizia_amara_subsp._amara_5656890214.jpg</t>
  </si>
  <si>
    <t>https://era-india.org/wp-content/uploads/2022/06/Anogeissus_latifolia_7988024313.jpg</t>
  </si>
  <si>
    <t>https://era-india.org/wp-content/uploads/2022/06/2-AquilariamalaccensisAgar-NoopurBorawake.jpg</t>
  </si>
  <si>
    <t>https://era-india.org/wp-content/uploads/2022/06/Aristolochia_indica_at_Mayyil_36.jpg</t>
  </si>
  <si>
    <t>https://era-india.org/wp-content/uploads/2022/06/Artemisia_nilagirica_C.B.Clarke_Pamp._51695005044.jpg</t>
  </si>
  <si>
    <t>https://era-india.org/wp-content/uploads/2022/06/Makad_Limbu_22005972844.jpg</t>
  </si>
  <si>
    <t>https://era-india.org/wp-content/uploads/2022/06/Beilschmiedia_dalzellii_Meisn._Kosterm._22646728865.jpg</t>
  </si>
  <si>
    <t>https://era-india.org/wp-content/uploads/2022/06/Indian_Cadaba_Cadaba_fruticosa_flowering_shrub_in_Hyderabad_AP.jpg</t>
  </si>
  <si>
    <t>https://era-india.org/wp-content/uploads/2022/06/Calycopteris_floribunda_Roxb._Lam._51009238652.jpg</t>
  </si>
  <si>
    <t>https://era-india.org/wp-content/uploads/2022/06/3-CanariumresiniferumDhuna-NoopurBorawake.jpg</t>
  </si>
  <si>
    <t>https://era-india.org/wp-content/uploads/2022/06/Capparis_brevispina_DC._2369722495.jpg</t>
  </si>
  <si>
    <t>https://era-india.org/wp-content/uploads/2022/06/Revada_8460742535.jpg</t>
  </si>
  <si>
    <t>https://era-india.org/wp-content/uploads/2022/06/Dimorphocalyx_glabellus_var._lawianus_5086236443.jpg</t>
  </si>
  <si>
    <t>https://era-india.org/wp-content/uploads/2022/06/Dioscorea_oppositifolia_L._32581398877.jpg</t>
  </si>
  <si>
    <t>https://era-india.org/wp-content/uploads/2022/06/Shendvel_2901703221.jpg</t>
  </si>
  <si>
    <t>https://era-india.org/wp-content/uploads/2022/06/Diospyros_montana_Roxb._3641001293.jpg</t>
  </si>
  <si>
    <t>https://era-india.org/wp-content/uploads/2022/06/Charmavriksha_2092967743.jpg</t>
  </si>
  <si>
    <t>https://era-india.org/wp-content/uploads/2022/06/4-ElaeocarpussphaericusRudraksh-NoopurBorawake.jpg</t>
  </si>
  <si>
    <t>https://era-india.org/wp-content/uploads/2022/06/Raktamandar_3292344859.jpg</t>
  </si>
  <si>
    <t>https://era-india.org/wp-content/uploads/2022/06/Ficus_drupacea_var._pubescens_mysorensis_AJT_Johnsingh.jpg</t>
  </si>
  <si>
    <t>https://era-india.org/wp-content/uploads/2022/06/Grewia_asiatica_4400631078.jpg</t>
  </si>
  <si>
    <t>https://era-india.org/wp-content/uploads/2022/06/Helicteres_isora_East_Indian_screw_tree_W_IMG_1245.jpg</t>
  </si>
  <si>
    <t>https://era-india.org/wp-content/uploads/2022/06/5-HorsfieldiakingiiRamtamul-NoopurBorawake.jpg</t>
  </si>
  <si>
    <t>https://era-india.org/wp-content/uploads/2022/06/Garudaphala_5662074766.jpg</t>
  </si>
  <si>
    <t>https://era-india.org/wp-content/uploads/2022/06/Jasminum_angustifolium_48922729886.jpg</t>
  </si>
  <si>
    <t>https://era-india.org/wp-content/uploads/2022/06/Lagerstroemia_microcarpa_5785262462.jpg</t>
  </si>
  <si>
    <t>https://era-india.org/wp-content/uploads/2022/06/Lepisanthes_tetraphylla_near_Perumbadi_5.jpg</t>
  </si>
  <si>
    <t>https://era-india.org/wp-content/uploads/2022/06/Pannithali_30296526733.jpg</t>
  </si>
  <si>
    <t>https://era-india.org/wp-content/uploads/2022/06/6-LivistonajenkinsianaTokko-NoopurBorawake.jpg</t>
  </si>
  <si>
    <t>https://era-india.org/wp-content/uploads/2022/06/Maesa_indica_Roxb._Sweet_51937034316.jpg</t>
  </si>
  <si>
    <t>https://era-india.org/wp-content/uploads/2022/06/Memecylon_Malabaricum_33845187453.jpg</t>
  </si>
  <si>
    <t>https://era-india.org/wp-content/uploads/2022/06/Memecylon_umbellatum_2396029326.jpg</t>
  </si>
  <si>
    <t>https://era-india.org/wp-content/uploads/2022/06/Mesua_ferrea_L._49573366098.jpg</t>
  </si>
  <si>
    <t>https://era-india.org/wp-content/uploads/2022/06/Murraya_koenigii_Curry_leaf_leaves_in_RDA_Bogra_01.jpg</t>
  </si>
  <si>
    <t>https://era-india.org/wp-content/uploads/2022/06/Orange_Jasmine_Murraya_paniculata_1.jpg</t>
  </si>
  <si>
    <t>https://era-india.org/wp-content/uploads/2022/06/Putankolli_15583841843.jpg</t>
  </si>
  <si>
    <t>https://era-india.org/wp-content/uploads/2022/06/7-PolyalthiasimiarumKari-NoopurBorawake.jpg</t>
  </si>
  <si>
    <t>https://era-india.org/wp-content/uploads/2022/06/Drosera_peltata_plant2_15406307542.jpg</t>
  </si>
  <si>
    <t>https://era-india.org/wp-content/uploads/2022/06/Bija_2139120746.jpg</t>
  </si>
  <si>
    <t>https://era-india.org/wp-content/uploads/2022/06/Pterospermum_suberifolium_L._Willd._48926862608.jpg</t>
  </si>
  <si>
    <t>https://era-india.org/wp-content/uploads/2022/06/Solanum_mauritianum_49090743062.jpg</t>
  </si>
  <si>
    <t>https://era-india.org/wp-content/uploads/2022/06/Zinghal_in_Mizo_5663795408.jpg</t>
  </si>
  <si>
    <t>https://era-india.org/wp-content/uploads/2022/06/9-TetramelesnudifloraBhelu-NoopurBorawake.jpg</t>
  </si>
  <si>
    <t>https://era-india.org/wp-content/uploads/2022/06/10-VaticalanceifoliaMorhal-NoopurBorawake.jpg</t>
  </si>
  <si>
    <t>https://era-india.org/wp-content/uploads/2022/06/Viburnum_cylindricum_-_Flickr_-_peganum_1.jpg</t>
  </si>
  <si>
    <t>https://era-india.org/wp-content/uploads/2022/06/Xanthophyllum_arnottianum_Wight_49104606513.jpg</t>
  </si>
  <si>
    <t>https://era-india.org/wp-content/uploads/2022/06/Kantabohul_in_Hindi_5460395995.jpg</t>
  </si>
  <si>
    <t>https://era-india.org/wp-content/uploads/2022/06/Xylia_xylocarpa_4227254727.jpg</t>
  </si>
  <si>
    <t>https://era-india.org/wp-content/uploads/2022/06/Culleniaexarillata-SuprabhaSeshan.jpg</t>
  </si>
  <si>
    <t>https://era-india.org/wp-content/uploads/2022/06/Diospyros_ferrea_Willd.Bakh_.var_.buxifolia_Rottb.Bakh_..jpg</t>
  </si>
  <si>
    <t>https://era-india.org/wp-content/uploads/2022/06/Syzygium-densiflorum.jpg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</si>
</sst>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</font>
    <font>
      <i/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rgb="FF000000"/>
      <name val="Calibri"/>
    </font>
    <font>
      <i/>
      <sz val="11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&quot;Arial&quot;"/>
    </font>
    <font>
      <u/>
      <sz val="11"/>
      <color rgb="FF1155CC"/>
      <name val="Arial"/>
    </font>
    <font>
      <sz val="11"/>
      <color theme="1"/>
      <name val="Arial"/>
    </font>
    <font>
      <sz val="11"/>
      <color rgb="FF000000"/>
      <name val="&quot;Arial&quot;"/>
    </font>
    <font>
      <sz val="11"/>
      <color rgb="FF000000"/>
      <name val="&quot;docs-Calibri&quot;"/>
    </font>
    <font>
      <sz val="11"/>
      <color theme="1"/>
      <name val="Calibri"/>
    </font>
    <font>
      <u/>
      <sz val="11"/>
      <color rgb="FF1155CC"/>
      <name val="&quot;Arial&quot;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Arial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0" xfId="0" applyFont="1" applyFill="1" applyAlignme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22" fontId="6" fillId="0" borderId="0" xfId="0" applyNumberFormat="1" applyFont="1"/>
    <xf numFmtId="0" fontId="7" fillId="3" borderId="0" xfId="0" applyFont="1" applyFill="1" applyAlignment="1">
      <alignment horizontal="left"/>
    </xf>
    <xf numFmtId="0" fontId="8" fillId="0" borderId="0" xfId="0" applyFont="1" applyAlignment="1"/>
    <xf numFmtId="0" fontId="9" fillId="3" borderId="0" xfId="0" applyFont="1" applyFill="1" applyAlignment="1">
      <alignment horizontal="left"/>
    </xf>
    <xf numFmtId="0" fontId="10" fillId="0" borderId="0" xfId="0" applyFont="1" applyAlignment="1"/>
    <xf numFmtId="0" fontId="8" fillId="0" borderId="0" xfId="0" applyFont="1" applyAlignment="1"/>
    <xf numFmtId="0" fontId="11" fillId="0" borderId="1" xfId="0" applyFont="1" applyBorder="1" applyAlignment="1">
      <alignment horizontal="left" wrapText="1"/>
    </xf>
    <xf numFmtId="0" fontId="12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7" fillId="0" borderId="0" xfId="0" applyFont="1" applyAlignment="1"/>
    <xf numFmtId="0" fontId="12" fillId="0" borderId="0" xfId="0" applyFont="1" applyAlignment="1"/>
    <xf numFmtId="0" fontId="8" fillId="0" borderId="0" xfId="0" applyFont="1"/>
    <xf numFmtId="1" fontId="12" fillId="0" borderId="0" xfId="0" applyNumberFormat="1" applyFont="1" applyAlignment="1"/>
    <xf numFmtId="1" fontId="15" fillId="0" borderId="0" xfId="0" applyNumberFormat="1" applyFont="1" applyAlignment="1"/>
    <xf numFmtId="1" fontId="16" fillId="0" borderId="0" xfId="0" applyNumberFormat="1" applyFont="1" applyAlignment="1"/>
    <xf numFmtId="0" fontId="17" fillId="0" borderId="0" xfId="0" applyFont="1"/>
    <xf numFmtId="0" fontId="18" fillId="0" borderId="0" xfId="0" applyFont="1" applyAlignment="1"/>
    <xf numFmtId="1" fontId="19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left" wrapText="1"/>
    </xf>
    <xf numFmtId="0" fontId="0" fillId="0" borderId="1" xfId="0" applyFont="1" applyBorder="1" applyAlignment="1"/>
    <xf numFmtId="0" fontId="0" fillId="0" borderId="0" xfId="0" applyFont="1" applyBorder="1" applyAlignment="1"/>
    <xf numFmtId="0" fontId="0" fillId="0" borderId="0" xfId="0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ra-india.org/wp-content/uploads/2022/06/Garcinia_gummi-gutta_Kerala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6l_A2IEq3mbqVK_y0U823PJMnFKZvg-Q" TargetMode="External"/><Relationship Id="rId21" Type="http://schemas.openxmlformats.org/officeDocument/2006/relationships/hyperlink" Target="https://drive.google.com/open?id=1MshYyhO0gyhmlfH1g37da4nJD8Zw1Kh_" TargetMode="External"/><Relationship Id="rId42" Type="http://schemas.openxmlformats.org/officeDocument/2006/relationships/hyperlink" Target="https://drive.google.com/open?id=1MeZwGBYchzSaflHHmSsWT7-CsrsmPOzM" TargetMode="External"/><Relationship Id="rId47" Type="http://schemas.openxmlformats.org/officeDocument/2006/relationships/hyperlink" Target="https://drive.google.com/open?id=1lyoKhdMlhPtuLU30S50IyjWyeNHgysRI" TargetMode="External"/><Relationship Id="rId63" Type="http://schemas.openxmlformats.org/officeDocument/2006/relationships/hyperlink" Target="https://drive.google.com/open?id=1l92FtzL2712Mi6Xw-Yq1TLtQSEiBQKV_" TargetMode="External"/><Relationship Id="rId68" Type="http://schemas.openxmlformats.org/officeDocument/2006/relationships/hyperlink" Target="https://drive.google.com/open?id=1RqHoO5UZXdWYbFjBIt-M3wRXh8Fms_T8" TargetMode="External"/><Relationship Id="rId84" Type="http://schemas.openxmlformats.org/officeDocument/2006/relationships/hyperlink" Target="https://drive.google.com/open?id=1ZCQ98gZKuigmFoldPbIXDd7jBDqZVXBp" TargetMode="External"/><Relationship Id="rId89" Type="http://schemas.openxmlformats.org/officeDocument/2006/relationships/hyperlink" Target="https://drive.google.com/open?id=1TsvPVdOcHIHy4H12ee4ivxsI4jun28NH" TargetMode="External"/><Relationship Id="rId16" Type="http://schemas.openxmlformats.org/officeDocument/2006/relationships/hyperlink" Target="https://drive.google.com/open?id=1ceLLfCEPCFIW_fJCgjVyB3aHygddmnA3" TargetMode="External"/><Relationship Id="rId11" Type="http://schemas.openxmlformats.org/officeDocument/2006/relationships/hyperlink" Target="https://drive.google.com/open?id=1CCuMYam7Vgne2ijKtZMyZLUsy2rAnjpU" TargetMode="External"/><Relationship Id="rId32" Type="http://schemas.openxmlformats.org/officeDocument/2006/relationships/hyperlink" Target="https://drive.google.com/open?id=130QYs69yUBfGR9lqvN_zhIbqCiT0ohKR" TargetMode="External"/><Relationship Id="rId37" Type="http://schemas.openxmlformats.org/officeDocument/2006/relationships/hyperlink" Target="https://drive.google.com/open?id=1mQSUbj34XMYE-GOyxVTnUZkRIkG8pFuC" TargetMode="External"/><Relationship Id="rId53" Type="http://schemas.openxmlformats.org/officeDocument/2006/relationships/hyperlink" Target="https://drive.google.com/open?id=1WCBQr5WXf398fpgU48gqlwlIt_LoN7r7" TargetMode="External"/><Relationship Id="rId58" Type="http://schemas.openxmlformats.org/officeDocument/2006/relationships/hyperlink" Target="https://drive.google.com/open?id=1bLZZ_PJFopChrtAVkPs_P0erxooAqwKF" TargetMode="External"/><Relationship Id="rId74" Type="http://schemas.openxmlformats.org/officeDocument/2006/relationships/hyperlink" Target="https://drive.google.com/open?id=1mKNetT1Rpt_kkUF8Uxeq5gDagTAsgLq9" TargetMode="External"/><Relationship Id="rId79" Type="http://schemas.openxmlformats.org/officeDocument/2006/relationships/hyperlink" Target="https://drive.google.com/open?id=1Es8q-DNw5qtThdlvWBSlC6PxYxUXI_8f" TargetMode="External"/><Relationship Id="rId5" Type="http://schemas.openxmlformats.org/officeDocument/2006/relationships/hyperlink" Target="https://drive.google.com/open?id=1b5gX2NIPxCPivYMJe7qXINDR2P-FFoKR" TargetMode="External"/><Relationship Id="rId90" Type="http://schemas.openxmlformats.org/officeDocument/2006/relationships/hyperlink" Target="https://drive.google.com/open?id=1KsM5Lx7IQ_q6OjqnWahjA3Bel66b5CtB" TargetMode="External"/><Relationship Id="rId95" Type="http://schemas.openxmlformats.org/officeDocument/2006/relationships/hyperlink" Target="https://drive.google.com/open?id=1Ua-fdNI-zJs3aW1kIJksam9VlF3qajss" TargetMode="External"/><Relationship Id="rId22" Type="http://schemas.openxmlformats.org/officeDocument/2006/relationships/hyperlink" Target="https://drive.google.com/open?id=1rNmjiPfDCtOQHnwUOdyutB4kplLd0Zev" TargetMode="External"/><Relationship Id="rId27" Type="http://schemas.openxmlformats.org/officeDocument/2006/relationships/hyperlink" Target="https://drive.google.com/open?id=1UvFTUVgG_leaU5yqT_6XPtKNsI04AzqJ" TargetMode="External"/><Relationship Id="rId43" Type="http://schemas.openxmlformats.org/officeDocument/2006/relationships/hyperlink" Target="https://drive.google.com/open?id=1VptlMlKOdt9ntbJhbxHrSrBeewWrk9Z7" TargetMode="External"/><Relationship Id="rId48" Type="http://schemas.openxmlformats.org/officeDocument/2006/relationships/hyperlink" Target="https://drive.google.com/open?id=1hd2uSlOB6axdrg_ZVoE0YB7v_nugsmZe" TargetMode="External"/><Relationship Id="rId64" Type="http://schemas.openxmlformats.org/officeDocument/2006/relationships/hyperlink" Target="https://drive.google.com/open?id=1lnfJ10CbxeKIXgVhX7n7tGMA3c9h5_rD" TargetMode="External"/><Relationship Id="rId69" Type="http://schemas.openxmlformats.org/officeDocument/2006/relationships/hyperlink" Target="https://drive.google.com/open?id=1lCfzV9-JBK9S7ZUrXSXQ8nKTYg8RzTMi" TargetMode="External"/><Relationship Id="rId8" Type="http://schemas.openxmlformats.org/officeDocument/2006/relationships/hyperlink" Target="https://drive.google.com/open?id=1U_54qlYJQMj2vQkgzj0yuL-DQzFGMRhe" TargetMode="External"/><Relationship Id="rId51" Type="http://schemas.openxmlformats.org/officeDocument/2006/relationships/hyperlink" Target="https://drive.google.com/open?id=1wZHXVZShORrn_Uxgs2lLNkr2SpO94fDO" TargetMode="External"/><Relationship Id="rId72" Type="http://schemas.openxmlformats.org/officeDocument/2006/relationships/hyperlink" Target="https://drive.google.com/open?id=1weRTIUp5ujPDdoewBP2EyDyv8v6QltiJ" TargetMode="External"/><Relationship Id="rId80" Type="http://schemas.openxmlformats.org/officeDocument/2006/relationships/hyperlink" Target="https://drive.google.com/open?id=1WJHvihcps4Etr8EYTSlZLZH7cDOijqSB" TargetMode="External"/><Relationship Id="rId85" Type="http://schemas.openxmlformats.org/officeDocument/2006/relationships/hyperlink" Target="https://drive.google.com/open?id=1HpPThcs6MRdlowjRIXGpG_VP5AQPXdmR" TargetMode="External"/><Relationship Id="rId93" Type="http://schemas.openxmlformats.org/officeDocument/2006/relationships/hyperlink" Target="https://drive.google.com/open?id=163pUan47ez4sRZBfuMQSOK4UmyC3r7Z7" TargetMode="External"/><Relationship Id="rId3" Type="http://schemas.openxmlformats.org/officeDocument/2006/relationships/hyperlink" Target="https://drive.google.com/open?id=1TsvPVdOcHIHy4H12ee4ivxsI4jun28NH" TargetMode="External"/><Relationship Id="rId12" Type="http://schemas.openxmlformats.org/officeDocument/2006/relationships/hyperlink" Target="https://drive.google.com/open?id=1W-7t6VAn2nD_oWNH2qrVBDVjO7KJBbfl" TargetMode="External"/><Relationship Id="rId17" Type="http://schemas.openxmlformats.org/officeDocument/2006/relationships/hyperlink" Target="https://drive.google.com/open?id=163pUan47ez4sRZBfuMQSOK4UmyC3r7Z7" TargetMode="External"/><Relationship Id="rId25" Type="http://schemas.openxmlformats.org/officeDocument/2006/relationships/hyperlink" Target="https://drive.google.com/open?id=1Kgr4z62jy1BS0zuhy4tiQ5imwv8y-bxM" TargetMode="External"/><Relationship Id="rId33" Type="http://schemas.openxmlformats.org/officeDocument/2006/relationships/hyperlink" Target="https://drive.google.com/open?id=1eHnzOfMFTqA0iwhiN_2mPQFhclE8lV3p" TargetMode="External"/><Relationship Id="rId38" Type="http://schemas.openxmlformats.org/officeDocument/2006/relationships/hyperlink" Target="https://drive.google.com/open?id=1z2Q51onR2AzLHC6rUx8te-p0FAa4c5im" TargetMode="External"/><Relationship Id="rId46" Type="http://schemas.openxmlformats.org/officeDocument/2006/relationships/hyperlink" Target="https://drive.google.com/open?id=1af-_R4OpHYsswLDhslDv-Bb7JIo73OIo" TargetMode="External"/><Relationship Id="rId59" Type="http://schemas.openxmlformats.org/officeDocument/2006/relationships/hyperlink" Target="https://drive.google.com/open?id=1ylJaF8xbrZmyitwgzqP8EmUTSOu7Bfm9" TargetMode="External"/><Relationship Id="rId67" Type="http://schemas.openxmlformats.org/officeDocument/2006/relationships/hyperlink" Target="https://drive.google.com/open?id=1yn4vhTkSHHH2kqjlFodHMNvuP6c3CqBl" TargetMode="External"/><Relationship Id="rId20" Type="http://schemas.openxmlformats.org/officeDocument/2006/relationships/hyperlink" Target="https://drive.google.com/open?id=1OIjNy7DIDcpnBzYMLm8oSDbQNhivBo2K" TargetMode="External"/><Relationship Id="rId41" Type="http://schemas.openxmlformats.org/officeDocument/2006/relationships/hyperlink" Target="https://drive.google.com/open?id=1PJQy49eI_KbXM053JOyQNiDTj1edIEda" TargetMode="External"/><Relationship Id="rId54" Type="http://schemas.openxmlformats.org/officeDocument/2006/relationships/hyperlink" Target="https://drive.google.com/open?id=1SfsLzxubhraZrgBpL-eLnmCFrcrvueaz" TargetMode="External"/><Relationship Id="rId62" Type="http://schemas.openxmlformats.org/officeDocument/2006/relationships/hyperlink" Target="https://drive.google.com/open?id=14MGkD57H3H-qsez2xyP9-kq-yjhj-X1h" TargetMode="External"/><Relationship Id="rId70" Type="http://schemas.openxmlformats.org/officeDocument/2006/relationships/hyperlink" Target="https://drive.google.com/open?id=1sUrLdpWzHiXIGb8dHv9aTxsQd6wKzQWa" TargetMode="External"/><Relationship Id="rId75" Type="http://schemas.openxmlformats.org/officeDocument/2006/relationships/hyperlink" Target="https://drive.google.com/open?id=1m-QqVydGceoerZmt1Z6pRltI9qkpiWEM" TargetMode="External"/><Relationship Id="rId83" Type="http://schemas.openxmlformats.org/officeDocument/2006/relationships/hyperlink" Target="https://drive.google.com/open?id=1vBuzUL3qPbO9MyFELTGIx_dBCw7PGmwY" TargetMode="External"/><Relationship Id="rId88" Type="http://schemas.openxmlformats.org/officeDocument/2006/relationships/hyperlink" Target="https://drive.google.com/open?id=1W-7t6VAn2nD_oWNH2qrVBDVjO7KJBbfl" TargetMode="External"/><Relationship Id="rId91" Type="http://schemas.openxmlformats.org/officeDocument/2006/relationships/hyperlink" Target="https://drive.google.com/open?id=1b5gX2NIPxCPivYMJe7qXINDR2P-FFoKR" TargetMode="External"/><Relationship Id="rId1" Type="http://schemas.openxmlformats.org/officeDocument/2006/relationships/hyperlink" Target="https://drive.google.com/open?id=1CCuMYam7Vgne2ijKtZMyZLUsy2rAnjpU" TargetMode="External"/><Relationship Id="rId6" Type="http://schemas.openxmlformats.org/officeDocument/2006/relationships/hyperlink" Target="https://drive.google.com/open?id=1ceLLfCEPCFIW_fJCgjVyB3aHygddmnA3" TargetMode="External"/><Relationship Id="rId15" Type="http://schemas.openxmlformats.org/officeDocument/2006/relationships/hyperlink" Target="https://drive.google.com/open?id=1b5gX2NIPxCPivYMJe7qXINDR2P-FFoKR" TargetMode="External"/><Relationship Id="rId23" Type="http://schemas.openxmlformats.org/officeDocument/2006/relationships/hyperlink" Target="https://drive.google.com/open?id=188sDUigHojCtWaIjkDf1GId5SgwfWxk_" TargetMode="External"/><Relationship Id="rId28" Type="http://schemas.openxmlformats.org/officeDocument/2006/relationships/hyperlink" Target="https://drive.google.com/open?id=13AYPSrftmQl2E_UetOf0g8m0LCwRHF0h" TargetMode="External"/><Relationship Id="rId36" Type="http://schemas.openxmlformats.org/officeDocument/2006/relationships/hyperlink" Target="https://drive.google.com/open?id=1ZE5sXxOcLKLYGbkmtCIF8x1E9un-tGLr" TargetMode="External"/><Relationship Id="rId49" Type="http://schemas.openxmlformats.org/officeDocument/2006/relationships/hyperlink" Target="https://drive.google.com/open?id=1JxvOfiCpNjT50i65yOD0h-9t9Wnb3lXz" TargetMode="External"/><Relationship Id="rId57" Type="http://schemas.openxmlformats.org/officeDocument/2006/relationships/hyperlink" Target="https://drive.google.com/open?id=1kqruR8_Cs2dC6E4dV8ByhmKTmAIu9YYP" TargetMode="External"/><Relationship Id="rId10" Type="http://schemas.openxmlformats.org/officeDocument/2006/relationships/hyperlink" Target="https://drive.google.com/open?id=1PjPKM3iziMpG_-yDKvfiE2IfmQD79awl" TargetMode="External"/><Relationship Id="rId31" Type="http://schemas.openxmlformats.org/officeDocument/2006/relationships/hyperlink" Target="https://drive.google.com/open?id=1gWgxhS5w4iROW0IR2IU7D7R5wgE3wkgW" TargetMode="External"/><Relationship Id="rId44" Type="http://schemas.openxmlformats.org/officeDocument/2006/relationships/hyperlink" Target="https://drive.google.com/open?id=1FyOiy6B236_O-QItpBKFoHtcClWdV6Zn" TargetMode="External"/><Relationship Id="rId52" Type="http://schemas.openxmlformats.org/officeDocument/2006/relationships/hyperlink" Target="https://drive.google.com/open?id=1wI19FoFLsQMQsSSDlzmCYiCLcyUrr17K" TargetMode="External"/><Relationship Id="rId60" Type="http://schemas.openxmlformats.org/officeDocument/2006/relationships/hyperlink" Target="https://drive.google.com/open?id=1y8BnHQLE14M8EBGEe1Nxoqj0tHWByr92" TargetMode="External"/><Relationship Id="rId65" Type="http://schemas.openxmlformats.org/officeDocument/2006/relationships/hyperlink" Target="https://drive.google.com/open?id=1U_xQqHt968umNeS0iJWd7txJYGXjLPdn" TargetMode="External"/><Relationship Id="rId73" Type="http://schemas.openxmlformats.org/officeDocument/2006/relationships/hyperlink" Target="https://drive.google.com/open?id=18vb28quo2MSipbT-Z4477G7362kSI3Mk" TargetMode="External"/><Relationship Id="rId78" Type="http://schemas.openxmlformats.org/officeDocument/2006/relationships/hyperlink" Target="https://drive.google.com/open?id=17db3SPmpXTl094XmO7YYFoSrsFcbTFTd" TargetMode="External"/><Relationship Id="rId81" Type="http://schemas.openxmlformats.org/officeDocument/2006/relationships/hyperlink" Target="https://drive.google.com/open?id=1LWCE07pXu6wnJte5k4YwWGJzfDK-Ap68" TargetMode="External"/><Relationship Id="rId86" Type="http://schemas.openxmlformats.org/officeDocument/2006/relationships/hyperlink" Target="https://drive.google.com/open?id=1Nnu1WlwqONbRgBBkO5M6dzwBenFjnVUQ" TargetMode="External"/><Relationship Id="rId94" Type="http://schemas.openxmlformats.org/officeDocument/2006/relationships/hyperlink" Target="https://drive.google.com/open?id=1U_54qlYJQMj2vQkgzj0yuL-DQzFGMRhe" TargetMode="External"/><Relationship Id="rId4" Type="http://schemas.openxmlformats.org/officeDocument/2006/relationships/hyperlink" Target="https://drive.google.com/open?id=1KsM5Lx7IQ_q6OjqnWahjA3Bel66b5CtB" TargetMode="External"/><Relationship Id="rId9" Type="http://schemas.openxmlformats.org/officeDocument/2006/relationships/hyperlink" Target="https://drive.google.com/open?id=1Ua-fdNI-zJs3aW1kIJksam9VlF3qajss" TargetMode="External"/><Relationship Id="rId13" Type="http://schemas.openxmlformats.org/officeDocument/2006/relationships/hyperlink" Target="https://drive.google.com/open?id=1TsvPVdOcHIHy4H12ee4ivxsI4jun28NH" TargetMode="External"/><Relationship Id="rId18" Type="http://schemas.openxmlformats.org/officeDocument/2006/relationships/hyperlink" Target="https://drive.google.com/open?id=1U_54qlYJQMj2vQkgzj0yuL-DQzFGMRhe" TargetMode="External"/><Relationship Id="rId39" Type="http://schemas.openxmlformats.org/officeDocument/2006/relationships/hyperlink" Target="https://drive.google.com/open?id=1-Lmasee7o2PqHwYHPKmbaeWkRgB-OOvB" TargetMode="External"/><Relationship Id="rId34" Type="http://schemas.openxmlformats.org/officeDocument/2006/relationships/hyperlink" Target="https://drive.google.com/open?id=1Si_0k-2I8gsiAVfzN1NUpfpW6M2bVwGs" TargetMode="External"/><Relationship Id="rId50" Type="http://schemas.openxmlformats.org/officeDocument/2006/relationships/hyperlink" Target="https://drive.google.com/open?id=1QJU6ma6Fo9LveJZXdpGfQxEORcJ-xxYp" TargetMode="External"/><Relationship Id="rId55" Type="http://schemas.openxmlformats.org/officeDocument/2006/relationships/hyperlink" Target="https://drive.google.com/open?id=1cRAFGk1Qd5B2179NVuf15POoWqHbcYlZ" TargetMode="External"/><Relationship Id="rId76" Type="http://schemas.openxmlformats.org/officeDocument/2006/relationships/hyperlink" Target="https://drive.google.com/open?id=1-ULyBIDpmseKQ8v4YxNfHV02TudZrSAn" TargetMode="External"/><Relationship Id="rId7" Type="http://schemas.openxmlformats.org/officeDocument/2006/relationships/hyperlink" Target="https://drive.google.com/open?id=163pUan47ez4sRZBfuMQSOK4UmyC3r7Z7" TargetMode="External"/><Relationship Id="rId71" Type="http://schemas.openxmlformats.org/officeDocument/2006/relationships/hyperlink" Target="https://drive.google.com/open?id=1T-UAwADWdCOznteQftou7zLxDtXJMXL1" TargetMode="External"/><Relationship Id="rId92" Type="http://schemas.openxmlformats.org/officeDocument/2006/relationships/hyperlink" Target="https://drive.google.com/open?id=1ceLLfCEPCFIW_fJCgjVyB3aHygddmnA3" TargetMode="External"/><Relationship Id="rId2" Type="http://schemas.openxmlformats.org/officeDocument/2006/relationships/hyperlink" Target="https://drive.google.com/open?id=1W-7t6VAn2nD_oWNH2qrVBDVjO7KJBbfl" TargetMode="External"/><Relationship Id="rId29" Type="http://schemas.openxmlformats.org/officeDocument/2006/relationships/hyperlink" Target="https://drive.google.com/open?id=1fprqDJjqvbVD0rjYP-vPjhnPBxgCRpKc" TargetMode="External"/><Relationship Id="rId24" Type="http://schemas.openxmlformats.org/officeDocument/2006/relationships/hyperlink" Target="https://drive.google.com/open?id=1A2sO9KUWxx2qNA5WdkRsRCXa2xPYNS12" TargetMode="External"/><Relationship Id="rId40" Type="http://schemas.openxmlformats.org/officeDocument/2006/relationships/hyperlink" Target="https://drive.google.com/open?id=1nNBwyBoeKt0vmC57Nplbrpejiw0EBwUM" TargetMode="External"/><Relationship Id="rId45" Type="http://schemas.openxmlformats.org/officeDocument/2006/relationships/hyperlink" Target="https://drive.google.com/open?id=1VVwkCfBs6w3Jp1kwEI7N_IUuHWFqOjL9" TargetMode="External"/><Relationship Id="rId66" Type="http://schemas.openxmlformats.org/officeDocument/2006/relationships/hyperlink" Target="https://drive.google.com/open?id=1e7cUCkv6tW9CmKV4U9FVfC7Z0M5iieCZ" TargetMode="External"/><Relationship Id="rId87" Type="http://schemas.openxmlformats.org/officeDocument/2006/relationships/hyperlink" Target="https://drive.google.com/open?id=1CCuMYam7Vgne2ijKtZMyZLUsy2rAnjpU" TargetMode="External"/><Relationship Id="rId61" Type="http://schemas.openxmlformats.org/officeDocument/2006/relationships/hyperlink" Target="https://drive.google.com/open?id=1aJmFkPYw3UaY4wtdQ52aLkQ1BCNkkOQR" TargetMode="External"/><Relationship Id="rId82" Type="http://schemas.openxmlformats.org/officeDocument/2006/relationships/hyperlink" Target="https://drive.google.com/open?id=1uHp_UDHAPgs_ceZxWenr3NH-_T9tzdq8" TargetMode="External"/><Relationship Id="rId19" Type="http://schemas.openxmlformats.org/officeDocument/2006/relationships/hyperlink" Target="https://drive.google.com/open?id=1Ua-fdNI-zJs3aW1kIJksam9VlF3qajss" TargetMode="External"/><Relationship Id="rId14" Type="http://schemas.openxmlformats.org/officeDocument/2006/relationships/hyperlink" Target="https://drive.google.com/open?id=1KsM5Lx7IQ_q6OjqnWahjA3Bel66b5CtB" TargetMode="External"/><Relationship Id="rId30" Type="http://schemas.openxmlformats.org/officeDocument/2006/relationships/hyperlink" Target="https://drive.google.com/open?id=1qzNlAhWJZA17kGlIEeQ5LeT3WtHRDv1V" TargetMode="External"/><Relationship Id="rId35" Type="http://schemas.openxmlformats.org/officeDocument/2006/relationships/hyperlink" Target="https://drive.google.com/open?id=1h-uCFGJF0Qo_u7_91IPzmo02pKhPaPMX" TargetMode="External"/><Relationship Id="rId56" Type="http://schemas.openxmlformats.org/officeDocument/2006/relationships/hyperlink" Target="https://drive.google.com/open?id=1ijo-yaE8AJ0vyh6jvXE-v-52NH5gpK9o" TargetMode="External"/><Relationship Id="rId77" Type="http://schemas.openxmlformats.org/officeDocument/2006/relationships/hyperlink" Target="https://drive.google.com/open?id=1J1KWpyfrYVScnvsAOMM8PnfhK5DLat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3"/>
  <sheetViews>
    <sheetView tabSelected="1" workbookViewId="0">
      <pane xSplit="1" topLeftCell="P1" activePane="topRight" state="frozen"/>
      <selection pane="topRight" activeCell="Q1" sqref="Q1"/>
    </sheetView>
  </sheetViews>
  <sheetFormatPr defaultColWidth="14" defaultRowHeight="18.75" customHeight="1"/>
  <cols>
    <col min="1" max="1" width="53.1796875" bestFit="1" customWidth="1"/>
    <col min="9" max="9" width="123.453125" bestFit="1" customWidth="1"/>
    <col min="17" max="17" width="29.6328125" customWidth="1"/>
    <col min="18" max="18" width="35.453125" customWidth="1"/>
    <col min="20" max="20" width="30.1796875" customWidth="1"/>
  </cols>
  <sheetData>
    <row r="1" spans="1:48" ht="18.75" customHeight="1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433</v>
      </c>
      <c r="R1" s="3" t="s">
        <v>434</v>
      </c>
      <c r="S1" s="3" t="s">
        <v>435</v>
      </c>
      <c r="T1" s="3" t="s">
        <v>436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2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</row>
    <row r="2" spans="1:48" ht="18.75" customHeight="1">
      <c r="A2" s="21" t="s">
        <v>248</v>
      </c>
      <c r="D2" s="8"/>
      <c r="E2" s="8"/>
      <c r="F2" s="8"/>
      <c r="G2" s="8" t="s">
        <v>46</v>
      </c>
      <c r="H2" s="8" t="s">
        <v>47</v>
      </c>
      <c r="I2" s="33" t="s">
        <v>301</v>
      </c>
      <c r="J2" s="8"/>
      <c r="K2" s="8" t="s">
        <v>48</v>
      </c>
      <c r="L2" s="8" t="s">
        <v>49</v>
      </c>
      <c r="M2" s="8" t="s">
        <v>49</v>
      </c>
      <c r="N2" s="8"/>
      <c r="O2" s="8">
        <v>0</v>
      </c>
      <c r="P2" s="8">
        <v>0</v>
      </c>
      <c r="Q2" s="6" t="str">
        <f t="shared" ref="Q2:Q47" si="0">A2</f>
        <v>Acacia senegal</v>
      </c>
      <c r="R2" s="7" t="s">
        <v>242</v>
      </c>
      <c r="T2" s="18" t="s">
        <v>243</v>
      </c>
      <c r="U2" s="8"/>
      <c r="V2" s="8"/>
      <c r="W2" s="8"/>
      <c r="X2" s="8"/>
      <c r="Y2" s="8"/>
      <c r="Z2" s="21" t="s">
        <v>248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48" ht="18.75" customHeight="1">
      <c r="A3" s="21" t="s">
        <v>272</v>
      </c>
      <c r="D3" s="8"/>
      <c r="E3" s="8"/>
      <c r="F3" s="8"/>
      <c r="G3" s="8" t="s">
        <v>46</v>
      </c>
      <c r="H3" s="8" t="s">
        <v>47</v>
      </c>
      <c r="I3" s="33" t="s">
        <v>302</v>
      </c>
      <c r="J3" s="8"/>
      <c r="K3" s="8" t="s">
        <v>48</v>
      </c>
      <c r="L3" s="8" t="s">
        <v>49</v>
      </c>
      <c r="M3" s="8" t="s">
        <v>49</v>
      </c>
      <c r="N3" s="8"/>
      <c r="O3" s="8">
        <v>0</v>
      </c>
      <c r="P3" s="8">
        <v>0</v>
      </c>
      <c r="Q3" s="6" t="str">
        <f t="shared" si="0"/>
        <v>Actiniopteris radiata</v>
      </c>
      <c r="R3" s="7" t="s">
        <v>217</v>
      </c>
      <c r="T3" s="18" t="s">
        <v>254</v>
      </c>
      <c r="U3" s="8"/>
      <c r="V3" s="8"/>
      <c r="W3" s="8"/>
      <c r="X3" s="8"/>
      <c r="Y3" s="8"/>
      <c r="Z3" s="21" t="s">
        <v>272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8" ht="18.75" customHeight="1">
      <c r="A4" s="14" t="s">
        <v>128</v>
      </c>
      <c r="D4" s="8"/>
      <c r="E4" s="8"/>
      <c r="F4" s="8"/>
      <c r="G4" s="8" t="s">
        <v>46</v>
      </c>
      <c r="H4" s="8" t="s">
        <v>47</v>
      </c>
      <c r="I4" s="33" t="s">
        <v>303</v>
      </c>
      <c r="J4" s="8"/>
      <c r="K4" s="8" t="s">
        <v>48</v>
      </c>
      <c r="L4" s="8" t="s">
        <v>49</v>
      </c>
      <c r="M4" s="8" t="s">
        <v>49</v>
      </c>
      <c r="N4" s="8"/>
      <c r="O4" s="8">
        <v>0</v>
      </c>
      <c r="P4" s="8">
        <v>0</v>
      </c>
      <c r="Q4" s="6" t="str">
        <f t="shared" si="0"/>
        <v>Actinodaphne bourdillonii</v>
      </c>
      <c r="R4" s="12" t="s">
        <v>114</v>
      </c>
      <c r="U4" s="8"/>
      <c r="V4" s="8"/>
      <c r="W4" s="8"/>
      <c r="X4" s="8"/>
      <c r="Y4" s="8"/>
      <c r="Z4" s="14" t="s">
        <v>128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8" ht="18.75" customHeight="1">
      <c r="A5" s="14" t="s">
        <v>170</v>
      </c>
      <c r="D5" s="8"/>
      <c r="E5" s="8"/>
      <c r="F5" s="8"/>
      <c r="G5" s="8" t="s">
        <v>46</v>
      </c>
      <c r="H5" s="8" t="s">
        <v>47</v>
      </c>
      <c r="I5" s="33" t="s">
        <v>304</v>
      </c>
      <c r="J5" s="8"/>
      <c r="K5" s="8" t="s">
        <v>48</v>
      </c>
      <c r="L5" s="8" t="s">
        <v>49</v>
      </c>
      <c r="M5" s="8" t="s">
        <v>49</v>
      </c>
      <c r="N5" s="8"/>
      <c r="O5" s="8">
        <v>0</v>
      </c>
      <c r="P5" s="8">
        <v>0</v>
      </c>
      <c r="Q5" s="6" t="str">
        <f t="shared" si="0"/>
        <v>Actinodaphne malabarica</v>
      </c>
      <c r="R5" s="12" t="s">
        <v>114</v>
      </c>
      <c r="T5" s="7" t="s">
        <v>125</v>
      </c>
      <c r="U5" s="8"/>
      <c r="V5" s="8"/>
      <c r="W5" s="8"/>
      <c r="X5" s="8"/>
      <c r="Y5" s="8"/>
      <c r="Z5" s="14" t="s">
        <v>170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ht="18.75" customHeight="1">
      <c r="A6" s="21" t="s">
        <v>262</v>
      </c>
      <c r="D6" s="8"/>
      <c r="E6" s="8"/>
      <c r="F6" s="8"/>
      <c r="G6" s="8" t="s">
        <v>46</v>
      </c>
      <c r="H6" s="8" t="s">
        <v>47</v>
      </c>
      <c r="I6" s="33" t="s">
        <v>305</v>
      </c>
      <c r="J6" s="8"/>
      <c r="K6" s="8" t="s">
        <v>48</v>
      </c>
      <c r="L6" s="8" t="s">
        <v>49</v>
      </c>
      <c r="M6" s="8" t="s">
        <v>49</v>
      </c>
      <c r="N6" s="8"/>
      <c r="O6" s="8">
        <v>0</v>
      </c>
      <c r="P6" s="8">
        <v>0</v>
      </c>
      <c r="Q6" s="6" t="str">
        <f t="shared" si="0"/>
        <v>Aerva pseudotomentosa</v>
      </c>
      <c r="R6" s="7" t="s">
        <v>217</v>
      </c>
      <c r="T6" s="18" t="s">
        <v>254</v>
      </c>
      <c r="U6" s="8"/>
      <c r="V6" s="8"/>
      <c r="W6" s="8"/>
      <c r="X6" s="8"/>
      <c r="Y6" s="8"/>
      <c r="Z6" s="21" t="s">
        <v>262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1:48" ht="18.75" customHeight="1">
      <c r="A7" s="21" t="s">
        <v>186</v>
      </c>
      <c r="D7" s="8"/>
      <c r="E7" s="8"/>
      <c r="F7" s="8"/>
      <c r="G7" s="8" t="s">
        <v>46</v>
      </c>
      <c r="H7" s="8" t="s">
        <v>47</v>
      </c>
      <c r="I7" s="33" t="s">
        <v>437</v>
      </c>
      <c r="J7" s="8"/>
      <c r="K7" s="8" t="s">
        <v>48</v>
      </c>
      <c r="L7" s="8" t="s">
        <v>49</v>
      </c>
      <c r="M7" s="8" t="s">
        <v>49</v>
      </c>
      <c r="N7" s="8"/>
      <c r="O7" s="8">
        <v>0</v>
      </c>
      <c r="P7" s="8">
        <v>0</v>
      </c>
      <c r="Q7" s="6" t="str">
        <f t="shared" si="0"/>
        <v>Aglaia spectabilis</v>
      </c>
      <c r="R7" s="18" t="s">
        <v>187</v>
      </c>
      <c r="T7" s="18" t="s">
        <v>188</v>
      </c>
      <c r="U7" s="8"/>
      <c r="V7" s="8"/>
      <c r="W7" s="8"/>
      <c r="X7" s="8"/>
      <c r="Y7" s="8"/>
      <c r="Z7" s="21" t="s">
        <v>186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1:48" ht="18.75" customHeight="1">
      <c r="A8" s="14" t="s">
        <v>150</v>
      </c>
      <c r="D8" s="8"/>
      <c r="E8" s="8"/>
      <c r="F8" s="8"/>
      <c r="G8" s="8" t="s">
        <v>46</v>
      </c>
      <c r="H8" s="8" t="s">
        <v>47</v>
      </c>
      <c r="I8" s="33" t="s">
        <v>306</v>
      </c>
      <c r="J8" s="8"/>
      <c r="K8" s="8" t="s">
        <v>48</v>
      </c>
      <c r="L8" s="8" t="s">
        <v>49</v>
      </c>
      <c r="M8" s="8" t="s">
        <v>49</v>
      </c>
      <c r="N8" s="8"/>
      <c r="O8" s="8">
        <v>0</v>
      </c>
      <c r="P8" s="8">
        <v>0</v>
      </c>
      <c r="Q8" s="6" t="str">
        <f t="shared" si="0"/>
        <v>Alangium salvifolium</v>
      </c>
      <c r="R8" s="12" t="s">
        <v>142</v>
      </c>
      <c r="U8" s="8"/>
      <c r="V8" s="8"/>
      <c r="W8" s="8"/>
      <c r="X8" s="8"/>
      <c r="Y8" s="8"/>
      <c r="Z8" s="14" t="s">
        <v>150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spans="1:48" ht="18.75" customHeight="1">
      <c r="A9" s="5" t="s">
        <v>79</v>
      </c>
      <c r="D9" s="8"/>
      <c r="E9" s="8"/>
      <c r="F9" s="8"/>
      <c r="G9" s="8" t="s">
        <v>46</v>
      </c>
      <c r="H9" s="8" t="s">
        <v>47</v>
      </c>
      <c r="I9" s="33" t="s">
        <v>438</v>
      </c>
      <c r="J9" s="8"/>
      <c r="K9" s="8" t="s">
        <v>48</v>
      </c>
      <c r="L9" s="8" t="s">
        <v>49</v>
      </c>
      <c r="M9" s="8" t="s">
        <v>49</v>
      </c>
      <c r="N9" s="8"/>
      <c r="O9" s="8">
        <v>0</v>
      </c>
      <c r="P9" s="8">
        <v>0</v>
      </c>
      <c r="Q9" s="6" t="str">
        <f t="shared" si="0"/>
        <v>Albizia amara</v>
      </c>
      <c r="R9" s="10" t="s">
        <v>80</v>
      </c>
      <c r="U9" s="8"/>
      <c r="V9" s="8"/>
      <c r="W9" s="8"/>
      <c r="X9" s="8"/>
      <c r="Y9" s="8"/>
      <c r="Z9" s="5" t="s">
        <v>79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</row>
    <row r="10" spans="1:48" ht="18.75" customHeight="1">
      <c r="A10" s="21" t="s">
        <v>185</v>
      </c>
      <c r="D10" s="8"/>
      <c r="E10" s="8"/>
      <c r="F10" s="8"/>
      <c r="G10" s="8" t="s">
        <v>46</v>
      </c>
      <c r="H10" s="8" t="s">
        <v>47</v>
      </c>
      <c r="I10" s="33" t="s">
        <v>307</v>
      </c>
      <c r="J10" s="8"/>
      <c r="K10" s="8" t="s">
        <v>48</v>
      </c>
      <c r="L10" s="8" t="s">
        <v>49</v>
      </c>
      <c r="M10" s="8" t="s">
        <v>49</v>
      </c>
      <c r="N10" s="8"/>
      <c r="O10" s="8">
        <v>0</v>
      </c>
      <c r="P10" s="8">
        <v>0</v>
      </c>
      <c r="Q10" s="6" t="str">
        <f t="shared" si="0"/>
        <v>Albizia lathamii</v>
      </c>
      <c r="R10" s="7" t="s">
        <v>182</v>
      </c>
      <c r="T10" s="7" t="s">
        <v>183</v>
      </c>
      <c r="U10" s="8"/>
      <c r="V10" s="8"/>
      <c r="W10" s="8"/>
      <c r="X10" s="8"/>
      <c r="Y10" s="8"/>
      <c r="Z10" s="21" t="s">
        <v>185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 spans="1:48" ht="18.75" customHeight="1">
      <c r="A11" s="14" t="s">
        <v>66</v>
      </c>
      <c r="D11" s="8"/>
      <c r="E11" s="8"/>
      <c r="F11" s="8"/>
      <c r="G11" s="8" t="s">
        <v>46</v>
      </c>
      <c r="H11" s="8" t="s">
        <v>47</v>
      </c>
      <c r="I11" s="33" t="s">
        <v>439</v>
      </c>
      <c r="J11" s="8"/>
      <c r="K11" s="8" t="s">
        <v>48</v>
      </c>
      <c r="L11" s="8" t="s">
        <v>49</v>
      </c>
      <c r="M11" s="8" t="s">
        <v>49</v>
      </c>
      <c r="N11" s="8"/>
      <c r="O11" s="8">
        <v>0</v>
      </c>
      <c r="P11" s="8">
        <v>0</v>
      </c>
      <c r="Q11" s="6" t="str">
        <f t="shared" si="0"/>
        <v>Anogeissus latifolia</v>
      </c>
      <c r="R11" s="7" t="s">
        <v>67</v>
      </c>
      <c r="U11" s="8"/>
      <c r="V11" s="8"/>
      <c r="W11" s="8"/>
      <c r="X11" s="8"/>
      <c r="Y11" s="8"/>
      <c r="Z11" s="14" t="s">
        <v>66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 spans="1:48" ht="18.75" customHeight="1">
      <c r="A12" s="7" t="s">
        <v>220</v>
      </c>
      <c r="B12" s="30"/>
      <c r="D12" s="8"/>
      <c r="E12" s="8"/>
      <c r="F12" s="8"/>
      <c r="G12" s="8" t="s">
        <v>46</v>
      </c>
      <c r="H12" s="8" t="s">
        <v>47</v>
      </c>
      <c r="I12" s="33" t="s">
        <v>308</v>
      </c>
      <c r="J12" s="8"/>
      <c r="K12" s="8" t="s">
        <v>48</v>
      </c>
      <c r="L12" s="8" t="s">
        <v>49</v>
      </c>
      <c r="M12" s="8" t="s">
        <v>49</v>
      </c>
      <c r="N12" s="8"/>
      <c r="O12" s="8">
        <v>0</v>
      </c>
      <c r="P12" s="8">
        <v>0</v>
      </c>
      <c r="Q12" s="6" t="str">
        <f t="shared" si="0"/>
        <v>Anogeissus pendula</v>
      </c>
      <c r="R12" s="7" t="s">
        <v>217</v>
      </c>
      <c r="T12" s="18" t="s">
        <v>218</v>
      </c>
      <c r="U12" s="8"/>
      <c r="V12" s="8"/>
      <c r="W12" s="8"/>
      <c r="X12" s="8"/>
      <c r="Y12" s="8"/>
      <c r="Z12" s="7" t="s">
        <v>220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</row>
    <row r="13" spans="1:48" ht="18.75" customHeight="1">
      <c r="A13" s="21" t="s">
        <v>247</v>
      </c>
      <c r="D13" s="8"/>
      <c r="E13" s="8"/>
      <c r="F13" s="8"/>
      <c r="G13" s="8" t="s">
        <v>46</v>
      </c>
      <c r="H13" s="8" t="s">
        <v>47</v>
      </c>
      <c r="I13" s="33" t="s">
        <v>309</v>
      </c>
      <c r="J13" s="8"/>
      <c r="K13" s="8" t="s">
        <v>48</v>
      </c>
      <c r="L13" s="8" t="s">
        <v>49</v>
      </c>
      <c r="M13" s="8" t="s">
        <v>49</v>
      </c>
      <c r="N13" s="8"/>
      <c r="O13" s="8">
        <v>0</v>
      </c>
      <c r="P13" s="8">
        <v>0</v>
      </c>
      <c r="Q13" s="6" t="str">
        <f t="shared" si="0"/>
        <v>Anogeissus sericea var. nummularia</v>
      </c>
      <c r="R13" s="7" t="s">
        <v>242</v>
      </c>
      <c r="T13" s="18" t="s">
        <v>243</v>
      </c>
      <c r="U13" s="8"/>
      <c r="V13" s="8"/>
      <c r="W13" s="8"/>
      <c r="X13" s="8"/>
      <c r="Y13" s="8"/>
      <c r="Z13" s="21" t="s">
        <v>247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spans="1:48" ht="18.75" customHeight="1">
      <c r="A14" s="21" t="s">
        <v>189</v>
      </c>
      <c r="D14" s="8"/>
      <c r="E14" s="8"/>
      <c r="F14" s="8"/>
      <c r="G14" s="8" t="s">
        <v>46</v>
      </c>
      <c r="H14" s="8" t="s">
        <v>47</v>
      </c>
      <c r="I14" s="33" t="s">
        <v>440</v>
      </c>
      <c r="J14" s="8"/>
      <c r="K14" s="8" t="s">
        <v>48</v>
      </c>
      <c r="L14" s="8" t="s">
        <v>49</v>
      </c>
      <c r="M14" s="8" t="s">
        <v>49</v>
      </c>
      <c r="N14" s="8"/>
      <c r="O14" s="8">
        <v>0</v>
      </c>
      <c r="P14" s="8">
        <v>0</v>
      </c>
      <c r="Q14" s="6" t="str">
        <f t="shared" si="0"/>
        <v>Aquilaria malaccensis</v>
      </c>
      <c r="R14" s="18" t="s">
        <v>187</v>
      </c>
      <c r="T14" s="18" t="s">
        <v>188</v>
      </c>
      <c r="U14" s="8"/>
      <c r="V14" s="8"/>
      <c r="W14" s="8"/>
      <c r="X14" s="8"/>
      <c r="Y14" s="8"/>
      <c r="Z14" s="21" t="s">
        <v>189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ht="18.75" customHeight="1">
      <c r="A15" s="5" t="s">
        <v>65</v>
      </c>
      <c r="D15" s="8"/>
      <c r="E15" s="8"/>
      <c r="F15" s="8"/>
      <c r="G15" s="8" t="s">
        <v>46</v>
      </c>
      <c r="H15" s="8" t="s">
        <v>47</v>
      </c>
      <c r="I15" s="33" t="s">
        <v>310</v>
      </c>
      <c r="J15" s="8"/>
      <c r="K15" s="8" t="s">
        <v>48</v>
      </c>
      <c r="L15" s="8" t="s">
        <v>49</v>
      </c>
      <c r="M15" s="8" t="s">
        <v>49</v>
      </c>
      <c r="N15" s="8"/>
      <c r="O15" s="8">
        <v>0</v>
      </c>
      <c r="P15" s="8">
        <v>0</v>
      </c>
      <c r="Q15" s="6" t="str">
        <f t="shared" si="0"/>
        <v>Aristolochia indica</v>
      </c>
      <c r="R15" s="10" t="s">
        <v>45</v>
      </c>
      <c r="U15" s="8"/>
      <c r="V15" s="8"/>
      <c r="W15" s="8"/>
      <c r="X15" s="8"/>
      <c r="Y15" s="8"/>
      <c r="Z15" s="5" t="s">
        <v>65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</row>
    <row r="16" spans="1:48" ht="18.75" customHeight="1">
      <c r="A16" s="14" t="s">
        <v>65</v>
      </c>
      <c r="D16" s="8"/>
      <c r="E16" s="8"/>
      <c r="F16" s="8"/>
      <c r="G16" s="8" t="s">
        <v>46</v>
      </c>
      <c r="H16" s="8" t="s">
        <v>47</v>
      </c>
      <c r="I16" s="33" t="s">
        <v>441</v>
      </c>
      <c r="J16" s="8"/>
      <c r="K16" s="8" t="s">
        <v>48</v>
      </c>
      <c r="L16" s="8" t="s">
        <v>49</v>
      </c>
      <c r="M16" s="8" t="s">
        <v>49</v>
      </c>
      <c r="N16" s="8"/>
      <c r="O16" s="8">
        <v>0</v>
      </c>
      <c r="P16" s="8">
        <v>0</v>
      </c>
      <c r="Q16" s="6" t="str">
        <f t="shared" si="0"/>
        <v>Aristolochia indica</v>
      </c>
      <c r="R16" s="12" t="s">
        <v>155</v>
      </c>
      <c r="U16" s="8"/>
      <c r="V16" s="8"/>
      <c r="W16" s="8"/>
      <c r="X16" s="8"/>
      <c r="Y16" s="8"/>
      <c r="Z16" s="14" t="s">
        <v>65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</row>
    <row r="17" spans="1:48" ht="18.75" customHeight="1">
      <c r="A17" s="14" t="s">
        <v>136</v>
      </c>
      <c r="D17" s="8"/>
      <c r="E17" s="8"/>
      <c r="F17" s="8"/>
      <c r="G17" s="8" t="s">
        <v>46</v>
      </c>
      <c r="H17" s="8" t="s">
        <v>47</v>
      </c>
      <c r="I17" s="33" t="s">
        <v>442</v>
      </c>
      <c r="J17" s="8"/>
      <c r="K17" s="8" t="s">
        <v>48</v>
      </c>
      <c r="L17" s="8" t="s">
        <v>49</v>
      </c>
      <c r="M17" s="8" t="s">
        <v>49</v>
      </c>
      <c r="N17" s="8"/>
      <c r="O17" s="8">
        <v>0</v>
      </c>
      <c r="P17" s="8">
        <v>0</v>
      </c>
      <c r="Q17" s="6" t="str">
        <f t="shared" si="0"/>
        <v>Artemisia nilagirica</v>
      </c>
      <c r="R17" s="12" t="s">
        <v>114</v>
      </c>
      <c r="U17" s="8"/>
      <c r="V17" s="8"/>
      <c r="W17" s="8"/>
      <c r="X17" s="8"/>
      <c r="Y17" s="8"/>
      <c r="Z17" s="14" t="s">
        <v>136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</row>
    <row r="18" spans="1:48" ht="18.75" customHeight="1">
      <c r="A18" s="11" t="s">
        <v>113</v>
      </c>
      <c r="D18" s="8"/>
      <c r="E18" s="8"/>
      <c r="F18" s="8"/>
      <c r="G18" s="8" t="s">
        <v>46</v>
      </c>
      <c r="H18" s="8" t="s">
        <v>47</v>
      </c>
      <c r="I18" s="33" t="s">
        <v>311</v>
      </c>
      <c r="J18" s="8"/>
      <c r="K18" s="8" t="s">
        <v>48</v>
      </c>
      <c r="L18" s="8" t="s">
        <v>49</v>
      </c>
      <c r="M18" s="8" t="s">
        <v>49</v>
      </c>
      <c r="N18" s="8"/>
      <c r="O18" s="8">
        <v>0</v>
      </c>
      <c r="P18" s="8">
        <v>0</v>
      </c>
      <c r="Q18" s="6" t="str">
        <f t="shared" si="0"/>
        <v>Artocarpus hirsutus</v>
      </c>
      <c r="R18" s="10" t="s">
        <v>114</v>
      </c>
      <c r="U18" s="8"/>
      <c r="V18" s="8"/>
      <c r="W18" s="8"/>
      <c r="X18" s="8"/>
      <c r="Y18" s="8"/>
      <c r="Z18" s="14" t="s">
        <v>113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</row>
    <row r="19" spans="1:48" ht="18.75" customHeight="1">
      <c r="A19" s="14" t="s">
        <v>167</v>
      </c>
      <c r="D19" s="8"/>
      <c r="E19" s="8"/>
      <c r="F19" s="8"/>
      <c r="G19" s="8" t="s">
        <v>46</v>
      </c>
      <c r="H19" s="8" t="s">
        <v>47</v>
      </c>
      <c r="I19" s="33" t="s">
        <v>312</v>
      </c>
      <c r="J19" s="8"/>
      <c r="K19" s="8" t="s">
        <v>48</v>
      </c>
      <c r="L19" s="8" t="s">
        <v>49</v>
      </c>
      <c r="M19" s="8" t="s">
        <v>49</v>
      </c>
      <c r="N19" s="8"/>
      <c r="O19" s="8">
        <v>0</v>
      </c>
      <c r="P19" s="8">
        <v>0</v>
      </c>
      <c r="Q19" s="6" t="str">
        <f t="shared" si="0"/>
        <v>Asparagus racemosus</v>
      </c>
      <c r="R19" s="12" t="s">
        <v>155</v>
      </c>
      <c r="U19" s="8"/>
      <c r="V19" s="8"/>
      <c r="W19" s="8"/>
      <c r="X19" s="8"/>
      <c r="Y19" s="8"/>
      <c r="Z19" s="14" t="s">
        <v>167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</row>
    <row r="20" spans="1:48" ht="18.75" customHeight="1">
      <c r="A20" s="14" t="s">
        <v>163</v>
      </c>
      <c r="B20" s="32"/>
      <c r="D20" s="8"/>
      <c r="E20" s="8"/>
      <c r="F20" s="8"/>
      <c r="G20" s="8" t="s">
        <v>46</v>
      </c>
      <c r="H20" s="8" t="s">
        <v>47</v>
      </c>
      <c r="I20" s="33" t="s">
        <v>443</v>
      </c>
      <c r="J20" s="8"/>
      <c r="K20" s="8" t="s">
        <v>48</v>
      </c>
      <c r="L20" s="8" t="s">
        <v>49</v>
      </c>
      <c r="M20" s="8" t="s">
        <v>49</v>
      </c>
      <c r="N20" s="8"/>
      <c r="O20" s="8">
        <v>0</v>
      </c>
      <c r="P20" s="8">
        <v>0</v>
      </c>
      <c r="Q20" s="6" t="str">
        <f t="shared" si="0"/>
        <v>Atalantia racemosa</v>
      </c>
      <c r="R20" s="12" t="s">
        <v>155</v>
      </c>
      <c r="U20" s="8"/>
      <c r="V20" s="8"/>
      <c r="W20" s="8"/>
      <c r="X20" s="8"/>
      <c r="Y20" s="8"/>
      <c r="Z20" s="14" t="s">
        <v>163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</row>
    <row r="21" spans="1:48" ht="18.75" customHeight="1">
      <c r="A21" s="5" t="s">
        <v>44</v>
      </c>
      <c r="B21" s="6"/>
      <c r="D21" s="8"/>
      <c r="E21" s="9"/>
      <c r="F21" s="8"/>
      <c r="G21" s="8" t="s">
        <v>46</v>
      </c>
      <c r="H21" s="8" t="s">
        <v>47</v>
      </c>
      <c r="I21" s="33" t="s">
        <v>313</v>
      </c>
      <c r="J21" s="8"/>
      <c r="K21" s="8" t="s">
        <v>48</v>
      </c>
      <c r="L21" s="8" t="s">
        <v>49</v>
      </c>
      <c r="M21" s="8" t="s">
        <v>49</v>
      </c>
      <c r="N21" s="8"/>
      <c r="O21" s="8">
        <v>0</v>
      </c>
      <c r="P21" s="8">
        <v>0</v>
      </c>
      <c r="Q21" s="6" t="str">
        <f t="shared" si="0"/>
        <v xml:space="preserve">Atalantia racemosa </v>
      </c>
      <c r="R21" s="7" t="s">
        <v>45</v>
      </c>
      <c r="U21" s="6"/>
      <c r="V21" s="6"/>
      <c r="W21" s="6"/>
      <c r="X21" s="6"/>
      <c r="Y21" s="6"/>
      <c r="Z21" s="5" t="s">
        <v>44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</row>
    <row r="22" spans="1:48" ht="18.75" customHeight="1">
      <c r="A22" s="14" t="s">
        <v>118</v>
      </c>
      <c r="B22" s="32"/>
      <c r="D22" s="8"/>
      <c r="E22" s="8"/>
      <c r="F22" s="8"/>
      <c r="G22" s="8" t="s">
        <v>46</v>
      </c>
      <c r="H22" s="8" t="s">
        <v>47</v>
      </c>
      <c r="I22" s="33" t="s">
        <v>314</v>
      </c>
      <c r="J22" s="8"/>
      <c r="K22" s="8" t="s">
        <v>48</v>
      </c>
      <c r="L22" s="8" t="s">
        <v>49</v>
      </c>
      <c r="M22" s="8" t="s">
        <v>49</v>
      </c>
      <c r="N22" s="8"/>
      <c r="O22" s="8">
        <v>0</v>
      </c>
      <c r="P22" s="8">
        <v>0</v>
      </c>
      <c r="Q22" s="6" t="str">
        <f t="shared" si="0"/>
        <v>Baccaurea courtallensis</v>
      </c>
      <c r="R22" s="12" t="s">
        <v>114</v>
      </c>
      <c r="U22" s="8"/>
      <c r="V22" s="8"/>
      <c r="W22" s="8"/>
      <c r="X22" s="8"/>
      <c r="Y22" s="8"/>
      <c r="Z22" s="14" t="s">
        <v>118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spans="1:48" ht="18.75" customHeight="1">
      <c r="A23" s="21" t="s">
        <v>181</v>
      </c>
      <c r="D23" s="8"/>
      <c r="E23" s="8"/>
      <c r="F23" s="8"/>
      <c r="G23" s="8" t="s">
        <v>46</v>
      </c>
      <c r="H23" s="8" t="s">
        <v>47</v>
      </c>
      <c r="I23" s="33" t="s">
        <v>315</v>
      </c>
      <c r="J23" s="8"/>
      <c r="K23" s="8" t="s">
        <v>48</v>
      </c>
      <c r="L23" s="8" t="s">
        <v>49</v>
      </c>
      <c r="M23" s="8" t="s">
        <v>49</v>
      </c>
      <c r="N23" s="8"/>
      <c r="O23" s="8">
        <v>0</v>
      </c>
      <c r="P23" s="8">
        <v>0</v>
      </c>
      <c r="Q23" s="6" t="str">
        <f t="shared" si="0"/>
        <v>Balanites roxburghii</v>
      </c>
      <c r="R23" s="7" t="s">
        <v>182</v>
      </c>
      <c r="T23" s="7" t="s">
        <v>183</v>
      </c>
      <c r="U23" s="8"/>
      <c r="V23" s="8"/>
      <c r="W23" s="8"/>
      <c r="X23" s="8"/>
      <c r="Y23" s="8"/>
      <c r="Z23" s="21" t="s">
        <v>181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</row>
    <row r="24" spans="1:48" ht="18.75" customHeight="1">
      <c r="A24" s="21" t="s">
        <v>251</v>
      </c>
      <c r="D24" s="8"/>
      <c r="E24" s="8"/>
      <c r="F24" s="8"/>
      <c r="G24" s="8" t="s">
        <v>46</v>
      </c>
      <c r="H24" s="8" t="s">
        <v>47</v>
      </c>
      <c r="I24" s="33" t="s">
        <v>316</v>
      </c>
      <c r="J24" s="8"/>
      <c r="K24" s="8" t="s">
        <v>48</v>
      </c>
      <c r="L24" s="8" t="s">
        <v>49</v>
      </c>
      <c r="M24" s="8" t="s">
        <v>49</v>
      </c>
      <c r="N24" s="8"/>
      <c r="O24" s="8">
        <v>0</v>
      </c>
      <c r="P24" s="8">
        <v>0</v>
      </c>
      <c r="Q24" s="6" t="str">
        <f t="shared" si="0"/>
        <v>Barleria prionitis var, dicantha</v>
      </c>
      <c r="R24" s="7" t="s">
        <v>242</v>
      </c>
      <c r="T24" s="18" t="s">
        <v>243</v>
      </c>
      <c r="U24" s="8"/>
      <c r="V24" s="8"/>
      <c r="W24" s="8"/>
      <c r="X24" s="8"/>
      <c r="Y24" s="8"/>
      <c r="Z24" s="21" t="s">
        <v>251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</row>
    <row r="25" spans="1:48" ht="18.75" customHeight="1">
      <c r="A25" s="14" t="s">
        <v>146</v>
      </c>
      <c r="D25" s="8"/>
      <c r="E25" s="8"/>
      <c r="F25" s="8"/>
      <c r="G25" s="8" t="s">
        <v>46</v>
      </c>
      <c r="H25" s="8" t="s">
        <v>47</v>
      </c>
      <c r="I25" s="33" t="s">
        <v>444</v>
      </c>
      <c r="J25" s="8"/>
      <c r="K25" s="8" t="s">
        <v>48</v>
      </c>
      <c r="L25" s="8" t="s">
        <v>49</v>
      </c>
      <c r="M25" s="8" t="s">
        <v>49</v>
      </c>
      <c r="N25" s="8"/>
      <c r="O25" s="8">
        <v>0</v>
      </c>
      <c r="P25" s="8">
        <v>0</v>
      </c>
      <c r="Q25" s="6" t="str">
        <f t="shared" si="0"/>
        <v>Beilschmiedia dalzellii</v>
      </c>
      <c r="R25" s="12" t="s">
        <v>142</v>
      </c>
      <c r="U25" s="8"/>
      <c r="V25" s="8"/>
      <c r="W25" s="8"/>
      <c r="X25" s="8"/>
      <c r="Y25" s="8"/>
      <c r="Z25" s="14" t="s">
        <v>146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 spans="1:48" ht="18.75" customHeight="1">
      <c r="A26" s="5" t="s">
        <v>88</v>
      </c>
      <c r="D26" s="8"/>
      <c r="E26" s="8"/>
      <c r="F26" s="8"/>
      <c r="G26" s="8" t="s">
        <v>46</v>
      </c>
      <c r="H26" s="8" t="s">
        <v>47</v>
      </c>
      <c r="I26" s="33" t="s">
        <v>317</v>
      </c>
      <c r="J26" s="8"/>
      <c r="K26" s="8" t="s">
        <v>48</v>
      </c>
      <c r="L26" s="8" t="s">
        <v>49</v>
      </c>
      <c r="M26" s="8" t="s">
        <v>49</v>
      </c>
      <c r="N26" s="8"/>
      <c r="O26" s="8">
        <v>0</v>
      </c>
      <c r="P26" s="8">
        <v>0</v>
      </c>
      <c r="Q26" s="6" t="str">
        <f t="shared" si="0"/>
        <v>Benkara malabarica</v>
      </c>
      <c r="R26" s="12" t="s">
        <v>80</v>
      </c>
      <c r="U26" s="8"/>
      <c r="V26" s="8"/>
      <c r="W26" s="8"/>
      <c r="X26" s="8"/>
      <c r="Y26" s="8"/>
      <c r="Z26" s="5" t="s">
        <v>88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 spans="1:48" ht="18.75" customHeight="1">
      <c r="A27" s="21" t="s">
        <v>206</v>
      </c>
      <c r="B27" s="30"/>
      <c r="D27" s="8"/>
      <c r="E27" s="8"/>
      <c r="F27" s="8"/>
      <c r="G27" s="8" t="s">
        <v>46</v>
      </c>
      <c r="H27" s="8" t="s">
        <v>47</v>
      </c>
      <c r="I27" s="33" t="s">
        <v>318</v>
      </c>
      <c r="J27" s="8"/>
      <c r="K27" s="8" t="s">
        <v>48</v>
      </c>
      <c r="L27" s="8" t="s">
        <v>49</v>
      </c>
      <c r="M27" s="8" t="s">
        <v>49</v>
      </c>
      <c r="N27" s="8"/>
      <c r="O27" s="8">
        <v>0</v>
      </c>
      <c r="P27" s="8">
        <v>0</v>
      </c>
      <c r="Q27" s="6" t="str">
        <f t="shared" si="0"/>
        <v>Berberis tinctoria</v>
      </c>
      <c r="R27" s="7" t="s">
        <v>207</v>
      </c>
      <c r="T27" s="18" t="s">
        <v>138</v>
      </c>
      <c r="U27" s="8"/>
      <c r="V27" s="8"/>
      <c r="W27" s="8"/>
      <c r="X27" s="8"/>
      <c r="Y27" s="8"/>
      <c r="Z27" s="21" t="s">
        <v>206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</row>
    <row r="28" spans="1:48" ht="18.75" customHeight="1">
      <c r="A28" s="7" t="s">
        <v>216</v>
      </c>
      <c r="B28" s="30"/>
      <c r="D28" s="8"/>
      <c r="E28" s="8"/>
      <c r="F28" s="8"/>
      <c r="G28" s="8" t="s">
        <v>46</v>
      </c>
      <c r="H28" s="8" t="s">
        <v>47</v>
      </c>
      <c r="I28" s="33" t="s">
        <v>319</v>
      </c>
      <c r="J28" s="8"/>
      <c r="K28" s="8" t="s">
        <v>48</v>
      </c>
      <c r="L28" s="8" t="s">
        <v>49</v>
      </c>
      <c r="M28" s="8" t="s">
        <v>49</v>
      </c>
      <c r="N28" s="8"/>
      <c r="O28" s="8">
        <v>0</v>
      </c>
      <c r="P28" s="8">
        <v>0</v>
      </c>
      <c r="Q28" s="6" t="str">
        <f t="shared" si="0"/>
        <v>Boswellia serrata</v>
      </c>
      <c r="R28" s="7" t="s">
        <v>217</v>
      </c>
      <c r="T28" s="18" t="s">
        <v>218</v>
      </c>
      <c r="U28" s="8"/>
      <c r="V28" s="8"/>
      <c r="W28" s="8"/>
      <c r="X28" s="8"/>
      <c r="Y28" s="8"/>
      <c r="Z28" s="7" t="s">
        <v>216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1:48" ht="18.75" customHeight="1">
      <c r="A29" s="5" t="s">
        <v>101</v>
      </c>
      <c r="D29" s="8"/>
      <c r="E29" s="8"/>
      <c r="F29" s="8"/>
      <c r="G29" s="8" t="s">
        <v>46</v>
      </c>
      <c r="H29" s="8" t="s">
        <v>47</v>
      </c>
      <c r="I29" s="33" t="s">
        <v>320</v>
      </c>
      <c r="J29" s="8"/>
      <c r="K29" s="8" t="s">
        <v>48</v>
      </c>
      <c r="L29" s="8" t="s">
        <v>49</v>
      </c>
      <c r="M29" s="8" t="s">
        <v>49</v>
      </c>
      <c r="N29" s="8"/>
      <c r="O29" s="8">
        <v>0</v>
      </c>
      <c r="P29" s="8">
        <v>0</v>
      </c>
      <c r="Q29" s="6" t="str">
        <f t="shared" si="0"/>
        <v>Buchanania lanzan</v>
      </c>
      <c r="R29" s="12" t="s">
        <v>98</v>
      </c>
      <c r="T29" s="7" t="s">
        <v>56</v>
      </c>
      <c r="U29" s="8"/>
      <c r="V29" s="8"/>
      <c r="W29" s="8"/>
      <c r="X29" s="8"/>
      <c r="Y29" s="8"/>
      <c r="Z29" s="5" t="s">
        <v>101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</row>
    <row r="30" spans="1:48" ht="18.75" customHeight="1">
      <c r="A30" s="21" t="s">
        <v>201</v>
      </c>
      <c r="B30" s="30"/>
      <c r="D30" s="8"/>
      <c r="E30" s="8"/>
      <c r="F30" s="8"/>
      <c r="G30" s="8" t="s">
        <v>46</v>
      </c>
      <c r="H30" s="8" t="s">
        <v>47</v>
      </c>
      <c r="I30" s="33" t="s">
        <v>321</v>
      </c>
      <c r="J30" s="8"/>
      <c r="K30" s="8" t="s">
        <v>48</v>
      </c>
      <c r="L30" s="8" t="s">
        <v>49</v>
      </c>
      <c r="M30" s="8" t="s">
        <v>49</v>
      </c>
      <c r="N30" s="8"/>
      <c r="O30" s="8">
        <v>0</v>
      </c>
      <c r="P30" s="8">
        <v>0</v>
      </c>
      <c r="Q30" s="6" t="str">
        <f t="shared" si="0"/>
        <v>Butea monosperma</v>
      </c>
      <c r="R30" s="18" t="s">
        <v>199</v>
      </c>
      <c r="T30" s="19" t="s">
        <v>56</v>
      </c>
      <c r="U30" s="8"/>
      <c r="V30" s="8"/>
      <c r="W30" s="8"/>
      <c r="X30" s="8"/>
      <c r="Y30" s="8"/>
      <c r="Z30" s="21" t="s">
        <v>201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</row>
    <row r="31" spans="1:48" ht="18.75" customHeight="1">
      <c r="A31" s="5" t="s">
        <v>89</v>
      </c>
      <c r="D31" s="8"/>
      <c r="E31" s="8"/>
      <c r="F31" s="8"/>
      <c r="G31" s="8" t="s">
        <v>46</v>
      </c>
      <c r="H31" s="8" t="s">
        <v>47</v>
      </c>
      <c r="I31" s="33" t="s">
        <v>445</v>
      </c>
      <c r="J31" s="8"/>
      <c r="K31" s="8" t="s">
        <v>48</v>
      </c>
      <c r="L31" s="8" t="s">
        <v>49</v>
      </c>
      <c r="M31" s="8" t="s">
        <v>49</v>
      </c>
      <c r="N31" s="8"/>
      <c r="O31" s="8">
        <v>0</v>
      </c>
      <c r="P31" s="8">
        <v>0</v>
      </c>
      <c r="Q31" s="6" t="str">
        <f t="shared" si="0"/>
        <v>Cadaba fruticosa</v>
      </c>
      <c r="R31" s="10" t="s">
        <v>80</v>
      </c>
      <c r="U31" s="8"/>
      <c r="V31" s="8"/>
      <c r="W31" s="8"/>
      <c r="X31" s="8"/>
      <c r="Y31" s="8"/>
      <c r="Z31" s="5" t="s">
        <v>89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</row>
    <row r="32" spans="1:48" ht="18.75" customHeight="1">
      <c r="A32" s="21" t="s">
        <v>260</v>
      </c>
      <c r="D32" s="8"/>
      <c r="E32" s="8"/>
      <c r="F32" s="8"/>
      <c r="G32" s="8" t="s">
        <v>46</v>
      </c>
      <c r="H32" s="8" t="s">
        <v>47</v>
      </c>
      <c r="I32" s="33" t="s">
        <v>322</v>
      </c>
      <c r="J32" s="8"/>
      <c r="K32" s="8" t="s">
        <v>48</v>
      </c>
      <c r="L32" s="8" t="s">
        <v>49</v>
      </c>
      <c r="M32" s="8" t="s">
        <v>49</v>
      </c>
      <c r="N32" s="8"/>
      <c r="O32" s="8">
        <v>0</v>
      </c>
      <c r="P32" s="8">
        <v>0</v>
      </c>
      <c r="Q32" s="6" t="str">
        <f t="shared" si="0"/>
        <v>Calligonum polygonoides</v>
      </c>
      <c r="R32" s="7" t="s">
        <v>217</v>
      </c>
      <c r="T32" s="18" t="s">
        <v>254</v>
      </c>
      <c r="U32" s="8"/>
      <c r="V32" s="8"/>
      <c r="W32" s="8"/>
      <c r="X32" s="8"/>
      <c r="Y32" s="8"/>
      <c r="Z32" s="21" t="s">
        <v>260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</row>
    <row r="33" spans="1:48" ht="18.75" customHeight="1">
      <c r="A33" s="14" t="s">
        <v>112</v>
      </c>
      <c r="D33" s="8"/>
      <c r="E33" s="8"/>
      <c r="F33" s="8"/>
      <c r="G33" s="8" t="s">
        <v>46</v>
      </c>
      <c r="H33" s="8" t="s">
        <v>47</v>
      </c>
      <c r="I33" s="33" t="s">
        <v>446</v>
      </c>
      <c r="J33" s="8"/>
      <c r="K33" s="8" t="s">
        <v>48</v>
      </c>
      <c r="L33" s="8" t="s">
        <v>49</v>
      </c>
      <c r="M33" s="8" t="s">
        <v>49</v>
      </c>
      <c r="N33" s="8"/>
      <c r="O33" s="8">
        <v>0</v>
      </c>
      <c r="P33" s="8">
        <v>0</v>
      </c>
      <c r="Q33" s="6" t="str">
        <f t="shared" si="0"/>
        <v>Calycopteris floribunda</v>
      </c>
      <c r="R33" s="12" t="s">
        <v>98</v>
      </c>
      <c r="U33" s="8"/>
      <c r="V33" s="8"/>
      <c r="W33" s="8"/>
      <c r="X33" s="8"/>
      <c r="Y33" s="8"/>
      <c r="Z33" s="14" t="s">
        <v>112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 spans="1:48" ht="18.75" customHeight="1">
      <c r="A34" s="21" t="s">
        <v>190</v>
      </c>
      <c r="D34" s="8"/>
      <c r="E34" s="8"/>
      <c r="F34" s="8"/>
      <c r="G34" s="8" t="s">
        <v>46</v>
      </c>
      <c r="H34" s="8" t="s">
        <v>47</v>
      </c>
      <c r="I34" s="33" t="s">
        <v>447</v>
      </c>
      <c r="J34" s="8"/>
      <c r="K34" s="8" t="s">
        <v>48</v>
      </c>
      <c r="L34" s="8" t="s">
        <v>49</v>
      </c>
      <c r="M34" s="8" t="s">
        <v>49</v>
      </c>
      <c r="N34" s="8"/>
      <c r="O34" s="8">
        <v>0</v>
      </c>
      <c r="P34" s="8">
        <v>0</v>
      </c>
      <c r="Q34" s="6" t="str">
        <f t="shared" si="0"/>
        <v>Canarium resiniferum</v>
      </c>
      <c r="R34" s="18" t="s">
        <v>187</v>
      </c>
      <c r="T34" s="18" t="s">
        <v>188</v>
      </c>
      <c r="U34" s="8"/>
      <c r="V34" s="8"/>
      <c r="W34" s="8"/>
      <c r="X34" s="8"/>
      <c r="Y34" s="8"/>
      <c r="Z34" s="21" t="s">
        <v>190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</row>
    <row r="35" spans="1:48" ht="18.75" customHeight="1">
      <c r="A35" s="14" t="s">
        <v>127</v>
      </c>
      <c r="D35" s="8"/>
      <c r="E35" s="8"/>
      <c r="F35" s="8"/>
      <c r="G35" s="8" t="s">
        <v>46</v>
      </c>
      <c r="H35" s="8" t="s">
        <v>47</v>
      </c>
      <c r="I35" s="33" t="s">
        <v>323</v>
      </c>
      <c r="J35" s="8"/>
      <c r="K35" s="8" t="s">
        <v>48</v>
      </c>
      <c r="L35" s="8" t="s">
        <v>49</v>
      </c>
      <c r="M35" s="8" t="s">
        <v>49</v>
      </c>
      <c r="N35" s="8"/>
      <c r="O35" s="8">
        <v>0</v>
      </c>
      <c r="P35" s="8">
        <v>0</v>
      </c>
      <c r="Q35" s="6" t="str">
        <f t="shared" si="0"/>
        <v>Canarium strictum</v>
      </c>
      <c r="R35" s="12" t="s">
        <v>114</v>
      </c>
      <c r="T35" s="7" t="s">
        <v>125</v>
      </c>
      <c r="U35" s="8"/>
      <c r="V35" s="8"/>
      <c r="W35" s="8"/>
      <c r="X35" s="8"/>
      <c r="Y35" s="8"/>
      <c r="Z35" s="14" t="s">
        <v>127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</row>
    <row r="36" spans="1:48" ht="18.75" customHeight="1">
      <c r="A36" s="14" t="s">
        <v>151</v>
      </c>
      <c r="D36" s="8"/>
      <c r="E36" s="8"/>
      <c r="F36" s="8"/>
      <c r="G36" s="8" t="s">
        <v>46</v>
      </c>
      <c r="H36" s="8" t="s">
        <v>47</v>
      </c>
      <c r="I36" s="33" t="s">
        <v>324</v>
      </c>
      <c r="J36" s="8"/>
      <c r="K36" s="8" t="s">
        <v>48</v>
      </c>
      <c r="L36" s="8" t="s">
        <v>49</v>
      </c>
      <c r="M36" s="8" t="s">
        <v>49</v>
      </c>
      <c r="N36" s="8"/>
      <c r="O36" s="8">
        <v>0</v>
      </c>
      <c r="P36" s="8">
        <v>0</v>
      </c>
      <c r="Q36" s="6" t="str">
        <f t="shared" si="0"/>
        <v>Canthium angustifolium</v>
      </c>
      <c r="R36" s="12" t="s">
        <v>142</v>
      </c>
      <c r="U36" s="8"/>
      <c r="V36" s="8"/>
      <c r="W36" s="8"/>
      <c r="X36" s="8"/>
      <c r="Y36" s="8"/>
      <c r="Z36" s="14" t="s">
        <v>151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</row>
    <row r="37" spans="1:48" ht="18.75" customHeight="1">
      <c r="A37" s="5" t="s">
        <v>58</v>
      </c>
      <c r="D37" s="8"/>
      <c r="E37" s="8"/>
      <c r="F37" s="8"/>
      <c r="G37" s="8" t="s">
        <v>46</v>
      </c>
      <c r="H37" s="8" t="s">
        <v>47</v>
      </c>
      <c r="I37" s="33" t="s">
        <v>448</v>
      </c>
      <c r="J37" s="8"/>
      <c r="K37" s="8" t="s">
        <v>48</v>
      </c>
      <c r="L37" s="8" t="s">
        <v>49</v>
      </c>
      <c r="M37" s="8" t="s">
        <v>49</v>
      </c>
      <c r="N37" s="8"/>
      <c r="O37" s="8">
        <v>0</v>
      </c>
      <c r="P37" s="8">
        <v>0</v>
      </c>
      <c r="Q37" s="6" t="str">
        <f t="shared" si="0"/>
        <v>Capparis brevispina</v>
      </c>
      <c r="R37" s="10" t="s">
        <v>45</v>
      </c>
      <c r="U37" s="8"/>
      <c r="V37" s="8"/>
      <c r="W37" s="8"/>
      <c r="X37" s="8"/>
      <c r="Y37" s="8"/>
      <c r="Z37" s="5" t="s">
        <v>58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</row>
    <row r="38" spans="1:48" ht="18.75" customHeight="1">
      <c r="A38" s="21" t="s">
        <v>246</v>
      </c>
      <c r="D38" s="8"/>
      <c r="E38" s="8"/>
      <c r="F38" s="8"/>
      <c r="G38" s="8" t="s">
        <v>46</v>
      </c>
      <c r="H38" s="8" t="s">
        <v>47</v>
      </c>
      <c r="I38" s="33" t="s">
        <v>325</v>
      </c>
      <c r="J38" s="8"/>
      <c r="K38" s="8" t="s">
        <v>48</v>
      </c>
      <c r="L38" s="8" t="s">
        <v>49</v>
      </c>
      <c r="M38" s="8" t="s">
        <v>49</v>
      </c>
      <c r="N38" s="8"/>
      <c r="O38" s="8">
        <v>0</v>
      </c>
      <c r="P38" s="8">
        <v>0</v>
      </c>
      <c r="Q38" s="6" t="str">
        <f t="shared" si="0"/>
        <v>Capparis decidua</v>
      </c>
      <c r="R38" s="7" t="s">
        <v>242</v>
      </c>
      <c r="T38" s="18" t="s">
        <v>243</v>
      </c>
      <c r="U38" s="8"/>
      <c r="V38" s="8"/>
      <c r="W38" s="8"/>
      <c r="X38" s="8"/>
      <c r="Y38" s="8"/>
      <c r="Z38" s="21" t="s">
        <v>246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</row>
    <row r="39" spans="1:48" ht="18.75" customHeight="1">
      <c r="A39" s="5" t="s">
        <v>104</v>
      </c>
      <c r="D39" s="8"/>
      <c r="E39" s="8"/>
      <c r="F39" s="8"/>
      <c r="G39" s="8" t="s">
        <v>46</v>
      </c>
      <c r="H39" s="8" t="s">
        <v>47</v>
      </c>
      <c r="I39" s="33" t="s">
        <v>326</v>
      </c>
      <c r="J39" s="8"/>
      <c r="K39" s="8" t="s">
        <v>48</v>
      </c>
      <c r="L39" s="8" t="s">
        <v>49</v>
      </c>
      <c r="M39" s="8" t="s">
        <v>49</v>
      </c>
      <c r="N39" s="8"/>
      <c r="O39" s="8">
        <v>0</v>
      </c>
      <c r="P39" s="8">
        <v>0</v>
      </c>
      <c r="Q39" s="6" t="str">
        <f t="shared" si="0"/>
        <v>Careya arborea</v>
      </c>
      <c r="R39" s="12" t="s">
        <v>98</v>
      </c>
      <c r="U39" s="8"/>
      <c r="V39" s="8"/>
      <c r="W39" s="8"/>
      <c r="X39" s="8"/>
      <c r="Y39" s="8"/>
      <c r="Z39" s="5" t="s">
        <v>104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</row>
    <row r="40" spans="1:48" ht="18.75" customHeight="1">
      <c r="A40" s="5" t="s">
        <v>90</v>
      </c>
      <c r="D40" s="8"/>
      <c r="E40" s="8"/>
      <c r="F40" s="8"/>
      <c r="G40" s="8" t="s">
        <v>46</v>
      </c>
      <c r="H40" s="8" t="s">
        <v>47</v>
      </c>
      <c r="I40" s="33" t="s">
        <v>327</v>
      </c>
      <c r="J40" s="8"/>
      <c r="K40" s="8" t="s">
        <v>48</v>
      </c>
      <c r="L40" s="8" t="s">
        <v>49</v>
      </c>
      <c r="M40" s="8" t="s">
        <v>49</v>
      </c>
      <c r="N40" s="8"/>
      <c r="O40" s="8">
        <v>0</v>
      </c>
      <c r="P40" s="8">
        <v>0</v>
      </c>
      <c r="Q40" s="6" t="str">
        <f t="shared" si="0"/>
        <v>Carissa spinarum</v>
      </c>
      <c r="R40" s="12" t="s">
        <v>80</v>
      </c>
      <c r="U40" s="8"/>
      <c r="V40" s="8"/>
      <c r="W40" s="8"/>
      <c r="X40" s="8"/>
      <c r="Y40" s="8"/>
      <c r="Z40" s="5" t="s">
        <v>90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</row>
    <row r="41" spans="1:48" ht="18.75" customHeight="1">
      <c r="A41" s="21" t="s">
        <v>202</v>
      </c>
      <c r="B41" s="30"/>
      <c r="D41" s="8"/>
      <c r="E41" s="8"/>
      <c r="F41" s="8"/>
      <c r="G41" s="8" t="s">
        <v>46</v>
      </c>
      <c r="H41" s="8" t="s">
        <v>47</v>
      </c>
      <c r="I41" s="33" t="s">
        <v>328</v>
      </c>
      <c r="J41" s="8"/>
      <c r="K41" s="8" t="s">
        <v>48</v>
      </c>
      <c r="L41" s="8" t="s">
        <v>49</v>
      </c>
      <c r="M41" s="8" t="s">
        <v>49</v>
      </c>
      <c r="N41" s="8"/>
      <c r="O41" s="8">
        <v>0</v>
      </c>
      <c r="P41" s="8">
        <v>0</v>
      </c>
      <c r="Q41" s="6" t="str">
        <f t="shared" si="0"/>
        <v>Cassia fistula</v>
      </c>
      <c r="R41" s="18" t="s">
        <v>199</v>
      </c>
      <c r="T41" s="19" t="s">
        <v>56</v>
      </c>
      <c r="U41" s="8"/>
      <c r="V41" s="8"/>
      <c r="W41" s="8"/>
      <c r="X41" s="8"/>
      <c r="Y41" s="8"/>
      <c r="Z41" s="21" t="s">
        <v>202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</row>
    <row r="42" spans="1:48" ht="18.75" customHeight="1">
      <c r="A42" s="5" t="s">
        <v>55</v>
      </c>
      <c r="D42" s="8"/>
      <c r="E42" s="8"/>
      <c r="F42" s="8"/>
      <c r="G42" s="8" t="s">
        <v>46</v>
      </c>
      <c r="H42" s="8" t="s">
        <v>47</v>
      </c>
      <c r="I42" s="33" t="s">
        <v>329</v>
      </c>
      <c r="J42" s="8"/>
      <c r="K42" s="8" t="s">
        <v>48</v>
      </c>
      <c r="L42" s="8" t="s">
        <v>49</v>
      </c>
      <c r="M42" s="8" t="s">
        <v>49</v>
      </c>
      <c r="N42" s="8"/>
      <c r="O42" s="8">
        <v>0</v>
      </c>
      <c r="P42" s="8">
        <v>0</v>
      </c>
      <c r="Q42" s="6" t="str">
        <f t="shared" si="0"/>
        <v>Cassine glauca</v>
      </c>
      <c r="R42" s="10" t="s">
        <v>45</v>
      </c>
      <c r="T42" s="7" t="s">
        <v>56</v>
      </c>
      <c r="U42" s="8"/>
      <c r="V42" s="8"/>
      <c r="W42" s="8"/>
      <c r="X42" s="8"/>
      <c r="Y42" s="8"/>
      <c r="Z42" s="5" t="s">
        <v>55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</row>
    <row r="43" spans="1:48" ht="18.75" customHeight="1">
      <c r="A43" s="5" t="s">
        <v>72</v>
      </c>
      <c r="B43" s="32"/>
      <c r="D43" s="8"/>
      <c r="E43" s="8"/>
      <c r="F43" s="8"/>
      <c r="G43" s="8" t="s">
        <v>46</v>
      </c>
      <c r="H43" s="8" t="s">
        <v>47</v>
      </c>
      <c r="I43" s="33" t="s">
        <v>330</v>
      </c>
      <c r="J43" s="8"/>
      <c r="K43" s="8" t="s">
        <v>48</v>
      </c>
      <c r="L43" s="8" t="s">
        <v>49</v>
      </c>
      <c r="M43" s="8" t="s">
        <v>49</v>
      </c>
      <c r="N43" s="8"/>
      <c r="O43" s="8">
        <v>0</v>
      </c>
      <c r="P43" s="8">
        <v>0</v>
      </c>
      <c r="Q43" s="6" t="str">
        <f t="shared" si="0"/>
        <v>Catunaregam spinosa</v>
      </c>
      <c r="R43" s="12" t="s">
        <v>67</v>
      </c>
      <c r="U43" s="8"/>
      <c r="V43" s="8"/>
      <c r="W43" s="8"/>
      <c r="X43" s="8"/>
      <c r="Y43" s="8"/>
      <c r="Z43" s="5" t="s">
        <v>72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</row>
    <row r="44" spans="1:48" ht="18.75" customHeight="1">
      <c r="A44" s="5" t="s">
        <v>102</v>
      </c>
      <c r="D44" s="8"/>
      <c r="E44" s="8"/>
      <c r="F44" s="8"/>
      <c r="G44" s="8" t="s">
        <v>46</v>
      </c>
      <c r="H44" s="8" t="s">
        <v>47</v>
      </c>
      <c r="I44" s="33" t="s">
        <v>331</v>
      </c>
      <c r="J44" s="8"/>
      <c r="K44" s="8" t="s">
        <v>48</v>
      </c>
      <c r="L44" s="8" t="s">
        <v>49</v>
      </c>
      <c r="M44" s="8" t="s">
        <v>49</v>
      </c>
      <c r="N44" s="8"/>
      <c r="O44" s="8">
        <v>0</v>
      </c>
      <c r="P44" s="8">
        <v>0</v>
      </c>
      <c r="Q44" s="6" t="str">
        <f t="shared" si="0"/>
        <v>Chionanthus mala-elengi</v>
      </c>
      <c r="R44" s="12" t="s">
        <v>98</v>
      </c>
      <c r="U44" s="8"/>
      <c r="V44" s="8"/>
      <c r="W44" s="8"/>
      <c r="X44" s="8"/>
      <c r="Y44" s="8"/>
      <c r="Z44" s="5" t="s">
        <v>102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</row>
    <row r="45" spans="1:48" ht="18.75" customHeight="1">
      <c r="A45" s="5" t="s">
        <v>52</v>
      </c>
      <c r="B45" s="7"/>
      <c r="D45" s="8"/>
      <c r="E45" s="8"/>
      <c r="F45" s="8"/>
      <c r="G45" s="8" t="s">
        <v>46</v>
      </c>
      <c r="H45" s="8" t="s">
        <v>47</v>
      </c>
      <c r="I45" s="33" t="s">
        <v>332</v>
      </c>
      <c r="J45" s="8"/>
      <c r="K45" s="8" t="s">
        <v>48</v>
      </c>
      <c r="L45" s="8" t="s">
        <v>49</v>
      </c>
      <c r="M45" s="8" t="s">
        <v>49</v>
      </c>
      <c r="N45" s="8"/>
      <c r="O45" s="8">
        <v>0</v>
      </c>
      <c r="P45" s="8">
        <v>0</v>
      </c>
      <c r="Q45" s="6" t="str">
        <f t="shared" si="0"/>
        <v xml:space="preserve">Chionanthus Zeylanica </v>
      </c>
      <c r="R45" s="10" t="s">
        <v>45</v>
      </c>
      <c r="U45" s="8"/>
      <c r="V45" s="8"/>
      <c r="W45" s="8"/>
      <c r="X45" s="8"/>
      <c r="Y45" s="8"/>
      <c r="Z45" s="5" t="s">
        <v>52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</row>
    <row r="46" spans="1:48" ht="18.75" customHeight="1">
      <c r="A46" s="5" t="s">
        <v>81</v>
      </c>
      <c r="D46" s="8"/>
      <c r="E46" s="8"/>
      <c r="F46" s="8"/>
      <c r="G46" s="8" t="s">
        <v>46</v>
      </c>
      <c r="H46" s="8" t="s">
        <v>47</v>
      </c>
      <c r="I46" s="33" t="s">
        <v>333</v>
      </c>
      <c r="J46" s="8"/>
      <c r="K46" s="8" t="s">
        <v>48</v>
      </c>
      <c r="L46" s="8" t="s">
        <v>49</v>
      </c>
      <c r="M46" s="8" t="s">
        <v>49</v>
      </c>
      <c r="N46" s="8"/>
      <c r="O46" s="8">
        <v>0</v>
      </c>
      <c r="P46" s="8">
        <v>0</v>
      </c>
      <c r="Q46" s="6" t="str">
        <f t="shared" si="0"/>
        <v>Chloroxylon swietenia</v>
      </c>
      <c r="R46" s="12" t="s">
        <v>80</v>
      </c>
      <c r="T46" s="7" t="s">
        <v>56</v>
      </c>
      <c r="U46" s="8"/>
      <c r="V46" s="8"/>
      <c r="W46" s="8"/>
      <c r="X46" s="8"/>
      <c r="Y46" s="8"/>
      <c r="Z46" s="5" t="s">
        <v>81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</row>
    <row r="47" spans="1:48" ht="18.75" customHeight="1">
      <c r="A47" s="14" t="s">
        <v>137</v>
      </c>
      <c r="D47" s="8"/>
      <c r="E47" s="8"/>
      <c r="F47" s="8"/>
      <c r="G47" s="8" t="s">
        <v>46</v>
      </c>
      <c r="H47" s="8" t="s">
        <v>47</v>
      </c>
      <c r="I47" s="33" t="s">
        <v>334</v>
      </c>
      <c r="J47" s="8"/>
      <c r="K47" s="8" t="s">
        <v>48</v>
      </c>
      <c r="L47" s="8" t="s">
        <v>49</v>
      </c>
      <c r="M47" s="8" t="s">
        <v>49</v>
      </c>
      <c r="N47" s="8"/>
      <c r="O47" s="8">
        <v>0</v>
      </c>
      <c r="P47" s="8">
        <v>0</v>
      </c>
      <c r="Q47" s="6" t="str">
        <f t="shared" si="0"/>
        <v>Chrysopogon zeylanicus</v>
      </c>
      <c r="R47" s="12" t="s">
        <v>114</v>
      </c>
      <c r="T47" s="13" t="s">
        <v>138</v>
      </c>
      <c r="U47" s="8"/>
      <c r="V47" s="8"/>
      <c r="W47" s="8"/>
      <c r="X47" s="8"/>
      <c r="Y47" s="8"/>
      <c r="Z47" s="14" t="s">
        <v>137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</row>
    <row r="48" spans="1:48" ht="18.75" customHeight="1">
      <c r="A48" s="14" t="s">
        <v>171</v>
      </c>
      <c r="D48" s="8"/>
      <c r="E48" s="8"/>
      <c r="F48" s="8"/>
      <c r="G48" s="8" t="s">
        <v>46</v>
      </c>
      <c r="H48" s="8" t="s">
        <v>47</v>
      </c>
      <c r="I48" s="33" t="s">
        <v>335</v>
      </c>
      <c r="J48" s="8"/>
      <c r="K48" s="8" t="s">
        <v>48</v>
      </c>
      <c r="L48" s="8" t="s">
        <v>49</v>
      </c>
      <c r="M48" s="8" t="s">
        <v>49</v>
      </c>
      <c r="N48" s="8"/>
      <c r="O48" s="8">
        <v>0</v>
      </c>
      <c r="P48" s="8">
        <v>0</v>
      </c>
      <c r="R48" s="12" t="s">
        <v>114</v>
      </c>
      <c r="T48" s="7" t="s">
        <v>125</v>
      </c>
      <c r="U48" s="8"/>
      <c r="V48" s="8"/>
      <c r="W48" s="8"/>
      <c r="X48" s="8"/>
      <c r="Y48" s="8"/>
      <c r="Z48" s="14" t="s">
        <v>171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</row>
    <row r="49" spans="1:48" ht="18.75" customHeight="1">
      <c r="A49" s="14" t="s">
        <v>132</v>
      </c>
      <c r="D49" s="8"/>
      <c r="E49" s="8"/>
      <c r="F49" s="8"/>
      <c r="G49" s="8" t="s">
        <v>46</v>
      </c>
      <c r="H49" s="8" t="s">
        <v>47</v>
      </c>
      <c r="I49" s="33" t="s">
        <v>336</v>
      </c>
      <c r="J49" s="8"/>
      <c r="K49" s="8" t="s">
        <v>48</v>
      </c>
      <c r="L49" s="8" t="s">
        <v>49</v>
      </c>
      <c r="M49" s="8" t="s">
        <v>49</v>
      </c>
      <c r="N49" s="8"/>
      <c r="O49" s="8">
        <v>0</v>
      </c>
      <c r="P49" s="8">
        <v>0</v>
      </c>
      <c r="Q49" s="6" t="str">
        <f t="shared" ref="Q49:Q71" si="1">A49</f>
        <v>Cinnamomum wightii</v>
      </c>
      <c r="R49" s="12" t="s">
        <v>114</v>
      </c>
      <c r="U49" s="8"/>
      <c r="V49" s="8"/>
      <c r="W49" s="8"/>
      <c r="X49" s="8"/>
      <c r="Y49" s="8"/>
      <c r="Z49" s="14" t="s">
        <v>132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</row>
    <row r="50" spans="1:48" ht="18.75" customHeight="1">
      <c r="A50" s="21" t="s">
        <v>204</v>
      </c>
      <c r="B50" s="30"/>
      <c r="D50" s="8"/>
      <c r="E50" s="8"/>
      <c r="F50" s="8"/>
      <c r="G50" s="8" t="s">
        <v>46</v>
      </c>
      <c r="H50" s="8" t="s">
        <v>47</v>
      </c>
      <c r="I50" s="33" t="s">
        <v>337</v>
      </c>
      <c r="J50" s="8"/>
      <c r="K50" s="8" t="s">
        <v>48</v>
      </c>
      <c r="L50" s="8" t="s">
        <v>49</v>
      </c>
      <c r="M50" s="8" t="s">
        <v>49</v>
      </c>
      <c r="N50" s="8"/>
      <c r="O50" s="8">
        <v>0</v>
      </c>
      <c r="P50" s="8">
        <v>0</v>
      </c>
      <c r="Q50" s="6" t="str">
        <f t="shared" si="1"/>
        <v>Cleistanthus collinus</v>
      </c>
      <c r="R50" s="18" t="s">
        <v>199</v>
      </c>
      <c r="T50" s="19" t="s">
        <v>56</v>
      </c>
      <c r="U50" s="8"/>
      <c r="V50" s="8"/>
      <c r="W50" s="8"/>
      <c r="X50" s="8"/>
      <c r="Y50" s="8"/>
      <c r="Z50" s="21" t="s">
        <v>204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</row>
    <row r="51" spans="1:48" ht="18.75" customHeight="1">
      <c r="A51" s="21" t="s">
        <v>268</v>
      </c>
      <c r="D51" s="8"/>
      <c r="E51" s="8"/>
      <c r="F51" s="8"/>
      <c r="G51" s="8" t="s">
        <v>46</v>
      </c>
      <c r="H51" s="8" t="s">
        <v>47</v>
      </c>
      <c r="I51" s="33" t="s">
        <v>338</v>
      </c>
      <c r="J51" s="8"/>
      <c r="K51" s="8" t="s">
        <v>48</v>
      </c>
      <c r="L51" s="8" t="s">
        <v>49</v>
      </c>
      <c r="M51" s="8" t="s">
        <v>49</v>
      </c>
      <c r="N51" s="8"/>
      <c r="O51" s="8">
        <v>0</v>
      </c>
      <c r="P51" s="8">
        <v>0</v>
      </c>
      <c r="Q51" s="6" t="str">
        <f t="shared" si="1"/>
        <v>Clerodendrum phlomidis</v>
      </c>
      <c r="R51" s="7" t="s">
        <v>217</v>
      </c>
      <c r="T51" s="18" t="s">
        <v>254</v>
      </c>
      <c r="U51" s="8"/>
      <c r="V51" s="8"/>
      <c r="W51" s="8"/>
      <c r="X51" s="8"/>
      <c r="Y51" s="8"/>
      <c r="Z51" s="21" t="s">
        <v>268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</row>
    <row r="52" spans="1:48" ht="18.75" customHeight="1">
      <c r="A52" s="21" t="s">
        <v>249</v>
      </c>
      <c r="D52" s="8"/>
      <c r="E52" s="8"/>
      <c r="F52" s="8"/>
      <c r="G52" s="8" t="s">
        <v>46</v>
      </c>
      <c r="H52" s="8" t="s">
        <v>47</v>
      </c>
      <c r="I52" s="33" t="s">
        <v>339</v>
      </c>
      <c r="J52" s="8"/>
      <c r="K52" s="8" t="s">
        <v>48</v>
      </c>
      <c r="L52" s="8" t="s">
        <v>49</v>
      </c>
      <c r="M52" s="8" t="s">
        <v>49</v>
      </c>
      <c r="N52" s="8"/>
      <c r="O52" s="8">
        <v>0</v>
      </c>
      <c r="P52" s="8">
        <v>0</v>
      </c>
      <c r="Q52" s="6" t="str">
        <f t="shared" si="1"/>
        <v>Cocculus pendulus</v>
      </c>
      <c r="R52" s="7" t="s">
        <v>242</v>
      </c>
      <c r="T52" s="18" t="s">
        <v>243</v>
      </c>
      <c r="U52" s="8"/>
      <c r="V52" s="8"/>
      <c r="W52" s="8"/>
      <c r="X52" s="8"/>
      <c r="Y52" s="8"/>
      <c r="Z52" s="21" t="s">
        <v>249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</row>
    <row r="53" spans="1:48" ht="18.75" customHeight="1">
      <c r="A53" s="5" t="s">
        <v>109</v>
      </c>
      <c r="D53" s="8"/>
      <c r="E53" s="8"/>
      <c r="F53" s="8"/>
      <c r="G53" s="8" t="s">
        <v>46</v>
      </c>
      <c r="H53" s="8" t="s">
        <v>47</v>
      </c>
      <c r="I53" s="33" t="s">
        <v>340</v>
      </c>
      <c r="J53" s="8"/>
      <c r="K53" s="8" t="s">
        <v>48</v>
      </c>
      <c r="L53" s="8" t="s">
        <v>49</v>
      </c>
      <c r="M53" s="8" t="s">
        <v>49</v>
      </c>
      <c r="N53" s="8"/>
      <c r="O53" s="8">
        <v>0</v>
      </c>
      <c r="P53" s="8">
        <v>0</v>
      </c>
      <c r="Q53" s="6" t="str">
        <f t="shared" si="1"/>
        <v>Combretum ovalifolium</v>
      </c>
      <c r="R53" s="12" t="s">
        <v>98</v>
      </c>
      <c r="U53" s="8"/>
      <c r="V53" s="8"/>
      <c r="W53" s="8"/>
      <c r="X53" s="8"/>
      <c r="Y53" s="8"/>
      <c r="Z53" s="5" t="s">
        <v>109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</row>
    <row r="54" spans="1:48" ht="18.75" customHeight="1">
      <c r="A54" s="5" t="s">
        <v>82</v>
      </c>
      <c r="B54" s="32"/>
      <c r="D54" s="8"/>
      <c r="E54" s="8"/>
      <c r="F54" s="8"/>
      <c r="G54" s="8" t="s">
        <v>46</v>
      </c>
      <c r="H54" s="8" t="s">
        <v>47</v>
      </c>
      <c r="I54" s="33" t="s">
        <v>341</v>
      </c>
      <c r="J54" s="8"/>
      <c r="K54" s="8" t="s">
        <v>48</v>
      </c>
      <c r="L54" s="8" t="s">
        <v>49</v>
      </c>
      <c r="M54" s="8" t="s">
        <v>49</v>
      </c>
      <c r="N54" s="8"/>
      <c r="O54" s="8">
        <v>0</v>
      </c>
      <c r="P54" s="8">
        <v>0</v>
      </c>
      <c r="Q54" s="6" t="str">
        <f t="shared" si="1"/>
        <v>Commiphora caudata</v>
      </c>
      <c r="R54" s="12" t="s">
        <v>80</v>
      </c>
      <c r="U54" s="8"/>
      <c r="V54" s="8"/>
      <c r="W54" s="8"/>
      <c r="X54" s="8"/>
      <c r="Y54" s="8"/>
      <c r="Z54" s="5" t="s">
        <v>82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</row>
    <row r="55" spans="1:48" ht="18.75" customHeight="1">
      <c r="A55" s="14" t="s">
        <v>159</v>
      </c>
      <c r="D55" s="8"/>
      <c r="E55" s="8"/>
      <c r="F55" s="8"/>
      <c r="G55" s="8" t="s">
        <v>46</v>
      </c>
      <c r="H55" s="8" t="s">
        <v>47</v>
      </c>
      <c r="I55" s="33" t="s">
        <v>342</v>
      </c>
      <c r="J55" s="8"/>
      <c r="K55" s="8" t="s">
        <v>48</v>
      </c>
      <c r="L55" s="8" t="s">
        <v>49</v>
      </c>
      <c r="M55" s="8" t="s">
        <v>49</v>
      </c>
      <c r="N55" s="8"/>
      <c r="O55" s="8">
        <v>0</v>
      </c>
      <c r="P55" s="8">
        <v>0</v>
      </c>
      <c r="Q55" s="6" t="str">
        <f t="shared" si="1"/>
        <v>Cordia obliqua</v>
      </c>
      <c r="R55" s="12" t="s">
        <v>155</v>
      </c>
      <c r="U55" s="8"/>
      <c r="V55" s="8"/>
      <c r="W55" s="8"/>
      <c r="X55" s="8"/>
      <c r="Y55" s="8"/>
      <c r="Z55" s="14" t="s">
        <v>159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</row>
    <row r="56" spans="1:48" ht="18.75" customHeight="1">
      <c r="A56" s="7" t="s">
        <v>228</v>
      </c>
      <c r="B56" s="30"/>
      <c r="D56" s="8"/>
      <c r="E56" s="8"/>
      <c r="F56" s="8"/>
      <c r="G56" s="8" t="s">
        <v>46</v>
      </c>
      <c r="H56" s="8" t="s">
        <v>47</v>
      </c>
      <c r="I56" s="33" t="s">
        <v>343</v>
      </c>
      <c r="J56" s="8"/>
      <c r="K56" s="8" t="s">
        <v>48</v>
      </c>
      <c r="L56" s="8" t="s">
        <v>49</v>
      </c>
      <c r="M56" s="8" t="s">
        <v>49</v>
      </c>
      <c r="N56" s="8"/>
      <c r="O56" s="8">
        <v>0</v>
      </c>
      <c r="P56" s="8">
        <v>0</v>
      </c>
      <c r="Q56" s="6" t="str">
        <f t="shared" si="1"/>
        <v>Cordia sinensis</v>
      </c>
      <c r="R56" s="7" t="s">
        <v>217</v>
      </c>
      <c r="T56" s="18" t="s">
        <v>218</v>
      </c>
      <c r="U56" s="8"/>
      <c r="V56" s="8"/>
      <c r="W56" s="8"/>
      <c r="X56" s="8"/>
      <c r="Y56" s="8"/>
      <c r="Z56" s="7" t="s">
        <v>228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</row>
    <row r="57" spans="1:48" ht="18.75" customHeight="1">
      <c r="A57" s="21" t="s">
        <v>258</v>
      </c>
      <c r="D57" s="8"/>
      <c r="E57" s="8"/>
      <c r="F57" s="8"/>
      <c r="G57" s="8" t="s">
        <v>46</v>
      </c>
      <c r="H57" s="8" t="s">
        <v>47</v>
      </c>
      <c r="I57" s="33" t="s">
        <v>344</v>
      </c>
      <c r="J57" s="8"/>
      <c r="K57" s="8" t="s">
        <v>48</v>
      </c>
      <c r="L57" s="8" t="s">
        <v>49</v>
      </c>
      <c r="M57" s="8" t="s">
        <v>49</v>
      </c>
      <c r="N57" s="8"/>
      <c r="O57" s="8">
        <v>0</v>
      </c>
      <c r="P57" s="8">
        <v>0</v>
      </c>
      <c r="Q57" s="6" t="str">
        <f t="shared" si="1"/>
        <v>Crotalaria burhia</v>
      </c>
      <c r="R57" s="7" t="s">
        <v>217</v>
      </c>
      <c r="T57" s="18" t="s">
        <v>254</v>
      </c>
      <c r="U57" s="8"/>
      <c r="V57" s="8"/>
      <c r="W57" s="8"/>
      <c r="X57" s="8"/>
      <c r="Y57" s="8"/>
      <c r="Z57" s="21" t="s">
        <v>258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</row>
    <row r="58" spans="1:48" ht="18.75" customHeight="1">
      <c r="A58" s="14" t="s">
        <v>122</v>
      </c>
      <c r="D58" s="8"/>
      <c r="E58" s="8"/>
      <c r="F58" s="8"/>
      <c r="G58" s="8" t="s">
        <v>46</v>
      </c>
      <c r="H58" s="8" t="s">
        <v>47</v>
      </c>
      <c r="I58" s="33" t="s">
        <v>486</v>
      </c>
      <c r="J58" s="8"/>
      <c r="K58" s="8" t="s">
        <v>48</v>
      </c>
      <c r="L58" s="8" t="s">
        <v>49</v>
      </c>
      <c r="M58" s="8" t="s">
        <v>49</v>
      </c>
      <c r="N58" s="8"/>
      <c r="O58" s="8">
        <v>0</v>
      </c>
      <c r="P58" s="8">
        <v>0</v>
      </c>
      <c r="Q58" s="6" t="str">
        <f t="shared" si="1"/>
        <v>Cullenia exarillata</v>
      </c>
      <c r="R58" s="12" t="s">
        <v>114</v>
      </c>
      <c r="T58" s="7" t="s">
        <v>123</v>
      </c>
      <c r="U58" s="8"/>
      <c r="V58" s="8"/>
      <c r="W58" s="8"/>
      <c r="X58" s="8"/>
      <c r="Y58" s="8"/>
      <c r="Z58" s="14" t="s">
        <v>122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</row>
    <row r="59" spans="1:48" ht="18.75" customHeight="1">
      <c r="A59" s="21" t="s">
        <v>270</v>
      </c>
      <c r="D59" s="8"/>
      <c r="E59" s="8"/>
      <c r="F59" s="8"/>
      <c r="G59" s="8" t="s">
        <v>46</v>
      </c>
      <c r="H59" s="8" t="s">
        <v>47</v>
      </c>
      <c r="I59" s="33" t="s">
        <v>345</v>
      </c>
      <c r="J59" s="8"/>
      <c r="K59" s="8" t="s">
        <v>48</v>
      </c>
      <c r="L59" s="8" t="s">
        <v>49</v>
      </c>
      <c r="M59" s="8" t="s">
        <v>49</v>
      </c>
      <c r="N59" s="8"/>
      <c r="O59" s="8">
        <v>0</v>
      </c>
      <c r="P59" s="8">
        <v>0</v>
      </c>
      <c r="Q59" s="6" t="str">
        <f t="shared" si="1"/>
        <v>Cyanotis spp and others</v>
      </c>
      <c r="R59" s="7" t="s">
        <v>217</v>
      </c>
      <c r="T59" s="18" t="s">
        <v>254</v>
      </c>
      <c r="U59" s="8"/>
      <c r="V59" s="8"/>
      <c r="W59" s="8"/>
      <c r="X59" s="8"/>
      <c r="Y59" s="8"/>
      <c r="Z59" s="21" t="s">
        <v>270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</row>
    <row r="60" spans="1:48" ht="18.75" customHeight="1">
      <c r="A60" s="21" t="s">
        <v>239</v>
      </c>
      <c r="D60" s="8"/>
      <c r="E60" s="8"/>
      <c r="F60" s="8"/>
      <c r="G60" s="8" t="s">
        <v>46</v>
      </c>
      <c r="H60" s="8" t="s">
        <v>47</v>
      </c>
      <c r="I60" s="33" t="s">
        <v>346</v>
      </c>
      <c r="J60" s="8"/>
      <c r="K60" s="8" t="s">
        <v>48</v>
      </c>
      <c r="L60" s="8" t="s">
        <v>49</v>
      </c>
      <c r="M60" s="8" t="s">
        <v>49</v>
      </c>
      <c r="N60" s="8"/>
      <c r="O60" s="8">
        <v>0</v>
      </c>
      <c r="P60" s="8">
        <v>0</v>
      </c>
      <c r="Q60" s="6" t="str">
        <f t="shared" si="1"/>
        <v>Cyathea spinulosa</v>
      </c>
      <c r="R60" s="7" t="s">
        <v>207</v>
      </c>
      <c r="T60" s="7" t="s">
        <v>235</v>
      </c>
      <c r="U60" s="8"/>
      <c r="V60" s="8"/>
      <c r="W60" s="8"/>
      <c r="X60" s="8"/>
      <c r="Y60" s="8"/>
      <c r="Z60" s="21" t="s">
        <v>239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</row>
    <row r="61" spans="1:48" ht="18.75" customHeight="1">
      <c r="A61" s="21" t="s">
        <v>208</v>
      </c>
      <c r="B61" s="30"/>
      <c r="D61" s="8"/>
      <c r="E61" s="8"/>
      <c r="F61" s="8"/>
      <c r="G61" s="8" t="s">
        <v>46</v>
      </c>
      <c r="H61" s="8" t="s">
        <v>47</v>
      </c>
      <c r="I61" s="33" t="s">
        <v>347</v>
      </c>
      <c r="J61" s="8"/>
      <c r="K61" s="8" t="s">
        <v>48</v>
      </c>
      <c r="L61" s="8" t="s">
        <v>49</v>
      </c>
      <c r="M61" s="8" t="s">
        <v>49</v>
      </c>
      <c r="N61" s="8"/>
      <c r="O61" s="8">
        <v>0</v>
      </c>
      <c r="P61" s="8">
        <v>0</v>
      </c>
      <c r="Q61" s="6" t="str">
        <f t="shared" si="1"/>
        <v>Debregeasia longifolia</v>
      </c>
      <c r="R61" s="7" t="s">
        <v>207</v>
      </c>
      <c r="T61" s="18" t="s">
        <v>138</v>
      </c>
      <c r="U61" s="8"/>
      <c r="V61" s="8"/>
      <c r="W61" s="8"/>
      <c r="X61" s="8"/>
      <c r="Y61" s="8"/>
      <c r="Z61" s="21" t="s">
        <v>208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</row>
    <row r="62" spans="1:48" ht="18.75" customHeight="1">
      <c r="A62" s="5" t="s">
        <v>83</v>
      </c>
      <c r="B62" s="32"/>
      <c r="D62" s="8"/>
      <c r="E62" s="8"/>
      <c r="F62" s="8"/>
      <c r="G62" s="8" t="s">
        <v>46</v>
      </c>
      <c r="H62" s="8" t="s">
        <v>47</v>
      </c>
      <c r="I62" s="33" t="s">
        <v>348</v>
      </c>
      <c r="J62" s="8"/>
      <c r="K62" s="8" t="s">
        <v>48</v>
      </c>
      <c r="L62" s="8" t="s">
        <v>49</v>
      </c>
      <c r="M62" s="8" t="s">
        <v>49</v>
      </c>
      <c r="N62" s="8"/>
      <c r="O62" s="8">
        <v>0</v>
      </c>
      <c r="P62" s="8">
        <v>0</v>
      </c>
      <c r="Q62" s="6" t="str">
        <f t="shared" si="1"/>
        <v>Deccania pubescens</v>
      </c>
      <c r="R62" s="12" t="s">
        <v>80</v>
      </c>
      <c r="U62" s="8"/>
      <c r="V62" s="8"/>
      <c r="W62" s="8"/>
      <c r="X62" s="8"/>
      <c r="Y62" s="8"/>
      <c r="Z62" s="5" t="s">
        <v>83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</row>
    <row r="63" spans="1:48" ht="18.75" customHeight="1">
      <c r="A63" s="5" t="s">
        <v>105</v>
      </c>
      <c r="D63" s="8"/>
      <c r="E63" s="8"/>
      <c r="F63" s="8"/>
      <c r="G63" s="8" t="s">
        <v>46</v>
      </c>
      <c r="H63" s="8" t="s">
        <v>47</v>
      </c>
      <c r="I63" s="33" t="s">
        <v>349</v>
      </c>
      <c r="J63" s="8"/>
      <c r="K63" s="8" t="s">
        <v>48</v>
      </c>
      <c r="L63" s="8" t="s">
        <v>49</v>
      </c>
      <c r="M63" s="8" t="s">
        <v>49</v>
      </c>
      <c r="N63" s="8"/>
      <c r="O63" s="8">
        <v>0</v>
      </c>
      <c r="P63" s="8">
        <v>0</v>
      </c>
      <c r="Q63" s="6" t="str">
        <f t="shared" si="1"/>
        <v>Desmodium pulchellum</v>
      </c>
      <c r="R63" s="12" t="s">
        <v>98</v>
      </c>
      <c r="U63" s="8"/>
      <c r="V63" s="8"/>
      <c r="W63" s="8"/>
      <c r="X63" s="8"/>
      <c r="Y63" s="8"/>
      <c r="Z63" s="5" t="s">
        <v>105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</row>
    <row r="64" spans="1:48" ht="18.75" customHeight="1">
      <c r="A64" s="11" t="s">
        <v>158</v>
      </c>
      <c r="D64" s="8"/>
      <c r="E64" s="8"/>
      <c r="F64" s="8"/>
      <c r="G64" s="8" t="s">
        <v>46</v>
      </c>
      <c r="H64" s="8" t="s">
        <v>47</v>
      </c>
      <c r="I64" s="33" t="s">
        <v>449</v>
      </c>
      <c r="J64" s="8"/>
      <c r="K64" s="8" t="s">
        <v>48</v>
      </c>
      <c r="L64" s="8" t="s">
        <v>49</v>
      </c>
      <c r="M64" s="8" t="s">
        <v>49</v>
      </c>
      <c r="N64" s="8"/>
      <c r="O64" s="8">
        <v>0</v>
      </c>
      <c r="P64" s="8">
        <v>0</v>
      </c>
      <c r="Q64" s="6" t="str">
        <f t="shared" si="1"/>
        <v>Dillenia pentagyna</v>
      </c>
      <c r="R64" s="12" t="s">
        <v>155</v>
      </c>
      <c r="U64" s="8"/>
      <c r="V64" s="8"/>
      <c r="W64" s="8"/>
      <c r="X64" s="8"/>
      <c r="Y64" s="8"/>
      <c r="Z64" s="14" t="s">
        <v>158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</row>
    <row r="65" spans="1:48" ht="18.75" customHeight="1">
      <c r="A65" s="5" t="s">
        <v>59</v>
      </c>
      <c r="D65" s="8"/>
      <c r="E65" s="8"/>
      <c r="F65" s="8"/>
      <c r="G65" s="8" t="s">
        <v>46</v>
      </c>
      <c r="H65" s="8" t="s">
        <v>47</v>
      </c>
      <c r="I65" s="33" t="s">
        <v>450</v>
      </c>
      <c r="J65" s="8"/>
      <c r="K65" s="8" t="s">
        <v>48</v>
      </c>
      <c r="L65" s="8" t="s">
        <v>49</v>
      </c>
      <c r="M65" s="8" t="s">
        <v>49</v>
      </c>
      <c r="N65" s="8"/>
      <c r="O65" s="8">
        <v>0</v>
      </c>
      <c r="P65" s="8">
        <v>0</v>
      </c>
      <c r="Q65" s="6" t="str">
        <f t="shared" si="1"/>
        <v>Dimorphocalyx glabellus</v>
      </c>
      <c r="R65" s="10" t="s">
        <v>45</v>
      </c>
      <c r="U65" s="8"/>
      <c r="V65" s="8"/>
      <c r="W65" s="8"/>
      <c r="X65" s="8"/>
      <c r="Y65" s="8"/>
      <c r="Z65" s="5" t="s">
        <v>59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</row>
    <row r="66" spans="1:48" ht="18.75" customHeight="1">
      <c r="A66" s="11" t="s">
        <v>168</v>
      </c>
      <c r="D66" s="8"/>
      <c r="E66" s="8"/>
      <c r="F66" s="8"/>
      <c r="G66" s="8" t="s">
        <v>46</v>
      </c>
      <c r="H66" s="8" t="s">
        <v>47</v>
      </c>
      <c r="I66" s="33" t="s">
        <v>451</v>
      </c>
      <c r="J66" s="8"/>
      <c r="K66" s="8" t="s">
        <v>48</v>
      </c>
      <c r="L66" s="8" t="s">
        <v>49</v>
      </c>
      <c r="M66" s="8" t="s">
        <v>49</v>
      </c>
      <c r="N66" s="8"/>
      <c r="O66" s="8">
        <v>0</v>
      </c>
      <c r="P66" s="8">
        <v>0</v>
      </c>
      <c r="Q66" s="6" t="str">
        <f t="shared" si="1"/>
        <v>Dioscorea oppositifolia</v>
      </c>
      <c r="R66" s="12" t="s">
        <v>155</v>
      </c>
      <c r="U66" s="8"/>
      <c r="V66" s="8"/>
      <c r="W66" s="8"/>
      <c r="X66" s="8"/>
      <c r="Y66" s="8"/>
      <c r="Z66" s="14" t="s">
        <v>168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</row>
    <row r="67" spans="1:48" ht="18.75" customHeight="1">
      <c r="A67" s="5" t="s">
        <v>110</v>
      </c>
      <c r="D67" s="8"/>
      <c r="E67" s="8"/>
      <c r="F67" s="8"/>
      <c r="G67" s="8" t="s">
        <v>46</v>
      </c>
      <c r="H67" s="8" t="s">
        <v>47</v>
      </c>
      <c r="I67" s="33" t="s">
        <v>452</v>
      </c>
      <c r="J67" s="8"/>
      <c r="K67" s="8" t="s">
        <v>48</v>
      </c>
      <c r="L67" s="8" t="s">
        <v>49</v>
      </c>
      <c r="M67" s="8" t="s">
        <v>49</v>
      </c>
      <c r="N67" s="8"/>
      <c r="O67" s="8">
        <v>0</v>
      </c>
      <c r="P67" s="8">
        <v>0</v>
      </c>
      <c r="Q67" s="6" t="str">
        <f t="shared" si="1"/>
        <v>Dioscorea pentaphylla</v>
      </c>
      <c r="R67" s="12" t="s">
        <v>98</v>
      </c>
      <c r="U67" s="8"/>
      <c r="V67" s="8"/>
      <c r="W67" s="8"/>
      <c r="X67" s="8"/>
      <c r="Y67" s="8"/>
      <c r="Z67" s="5" t="s">
        <v>110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</row>
    <row r="68" spans="1:48" ht="18.75" customHeight="1">
      <c r="A68" s="5" t="s">
        <v>53</v>
      </c>
      <c r="D68" s="8"/>
      <c r="E68" s="8"/>
      <c r="F68" s="8"/>
      <c r="G68" s="8" t="s">
        <v>46</v>
      </c>
      <c r="H68" s="8" t="s">
        <v>47</v>
      </c>
      <c r="I68" s="33" t="s">
        <v>350</v>
      </c>
      <c r="J68" s="8"/>
      <c r="K68" s="8" t="s">
        <v>48</v>
      </c>
      <c r="L68" s="8" t="s">
        <v>49</v>
      </c>
      <c r="M68" s="8" t="s">
        <v>49</v>
      </c>
      <c r="N68" s="8"/>
      <c r="O68" s="8">
        <v>0</v>
      </c>
      <c r="P68" s="8">
        <v>0</v>
      </c>
      <c r="Q68" s="6" t="str">
        <f t="shared" si="1"/>
        <v>Diospyros chloroxylon</v>
      </c>
      <c r="R68" s="10" t="s">
        <v>45</v>
      </c>
      <c r="U68" s="8"/>
      <c r="V68" s="8"/>
      <c r="W68" s="8"/>
      <c r="X68" s="8"/>
      <c r="Y68" s="8"/>
      <c r="Z68" s="5" t="s">
        <v>53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</row>
    <row r="69" spans="1:48" ht="18.75" customHeight="1">
      <c r="A69" s="21" t="s">
        <v>205</v>
      </c>
      <c r="B69" s="30"/>
      <c r="D69" s="8"/>
      <c r="E69" s="8"/>
      <c r="F69" s="8"/>
      <c r="G69" s="8" t="s">
        <v>46</v>
      </c>
      <c r="H69" s="8" t="s">
        <v>47</v>
      </c>
      <c r="I69" s="33" t="s">
        <v>351</v>
      </c>
      <c r="J69" s="8"/>
      <c r="K69" s="8" t="s">
        <v>48</v>
      </c>
      <c r="L69" s="8" t="s">
        <v>49</v>
      </c>
      <c r="M69" s="8" t="s">
        <v>49</v>
      </c>
      <c r="N69" s="8"/>
      <c r="O69" s="8">
        <v>0</v>
      </c>
      <c r="P69" s="8">
        <v>0</v>
      </c>
      <c r="Q69" s="6" t="str">
        <f t="shared" si="1"/>
        <v>Diospyros ebenum</v>
      </c>
      <c r="R69" s="18" t="s">
        <v>199</v>
      </c>
      <c r="T69" s="19" t="s">
        <v>56</v>
      </c>
      <c r="U69" s="8"/>
      <c r="V69" s="8"/>
      <c r="W69" s="8"/>
      <c r="X69" s="8"/>
      <c r="Y69" s="8"/>
      <c r="Z69" s="21" t="s">
        <v>205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</row>
    <row r="70" spans="1:48" ht="18.75" customHeight="1">
      <c r="A70" s="5" t="s">
        <v>60</v>
      </c>
      <c r="D70" s="8"/>
      <c r="E70" s="8"/>
      <c r="F70" s="8"/>
      <c r="G70" s="8" t="s">
        <v>46</v>
      </c>
      <c r="H70" s="8" t="s">
        <v>47</v>
      </c>
      <c r="I70" s="33" t="s">
        <v>487</v>
      </c>
      <c r="J70" s="8"/>
      <c r="K70" s="8" t="s">
        <v>48</v>
      </c>
      <c r="L70" s="8" t="s">
        <v>49</v>
      </c>
      <c r="M70" s="8" t="s">
        <v>49</v>
      </c>
      <c r="N70" s="8"/>
      <c r="O70" s="8">
        <v>0</v>
      </c>
      <c r="P70" s="8">
        <v>0</v>
      </c>
      <c r="Q70" s="6" t="str">
        <f t="shared" si="1"/>
        <v>Diospyros ferrea var. buxifolia</v>
      </c>
      <c r="R70" s="10" t="s">
        <v>45</v>
      </c>
      <c r="U70" s="8"/>
      <c r="V70" s="8"/>
      <c r="W70" s="8"/>
      <c r="X70" s="8"/>
      <c r="Y70" s="8"/>
      <c r="Z70" s="5" t="s">
        <v>60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</row>
    <row r="71" spans="1:48" ht="18.75" customHeight="1">
      <c r="A71" s="5" t="s">
        <v>70</v>
      </c>
      <c r="D71" s="8"/>
      <c r="E71" s="8"/>
      <c r="F71" s="8"/>
      <c r="G71" s="8" t="s">
        <v>46</v>
      </c>
      <c r="H71" s="8" t="s">
        <v>47</v>
      </c>
      <c r="I71" s="33" t="s">
        <v>453</v>
      </c>
      <c r="J71" s="8"/>
      <c r="K71" s="8" t="s">
        <v>48</v>
      </c>
      <c r="L71" s="8" t="s">
        <v>49</v>
      </c>
      <c r="M71" s="8" t="s">
        <v>49</v>
      </c>
      <c r="N71" s="8"/>
      <c r="O71" s="8">
        <v>0</v>
      </c>
      <c r="P71" s="8">
        <v>0</v>
      </c>
      <c r="Q71" s="6" t="str">
        <f t="shared" si="1"/>
        <v>Diospyros montana</v>
      </c>
      <c r="R71" s="12" t="s">
        <v>67</v>
      </c>
      <c r="U71" s="8"/>
      <c r="V71" s="8"/>
      <c r="W71" s="8"/>
      <c r="X71" s="8"/>
      <c r="Y71" s="8"/>
      <c r="Z71" s="5" t="s">
        <v>70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</row>
    <row r="72" spans="1:48" ht="18.75" customHeight="1">
      <c r="A72" s="14" t="s">
        <v>172</v>
      </c>
      <c r="D72" s="8"/>
      <c r="E72" s="8"/>
      <c r="F72" s="8"/>
      <c r="G72" s="8" t="s">
        <v>46</v>
      </c>
      <c r="H72" s="8" t="s">
        <v>47</v>
      </c>
      <c r="I72" s="33" t="s">
        <v>352</v>
      </c>
      <c r="J72" s="8"/>
      <c r="K72" s="8" t="s">
        <v>48</v>
      </c>
      <c r="L72" s="8" t="s">
        <v>49</v>
      </c>
      <c r="M72" s="8" t="s">
        <v>49</v>
      </c>
      <c r="N72" s="8"/>
      <c r="O72" s="8">
        <v>0</v>
      </c>
      <c r="P72" s="8">
        <v>0</v>
      </c>
      <c r="R72" s="12" t="s">
        <v>114</v>
      </c>
      <c r="T72" s="7" t="s">
        <v>125</v>
      </c>
      <c r="U72" s="8"/>
      <c r="V72" s="8"/>
      <c r="W72" s="8"/>
      <c r="X72" s="8"/>
      <c r="Y72" s="8"/>
      <c r="Z72" s="14" t="s">
        <v>172</v>
      </c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 spans="1:48" ht="18.75" customHeight="1">
      <c r="A73" s="21" t="s">
        <v>238</v>
      </c>
      <c r="D73" s="8"/>
      <c r="E73" s="8"/>
      <c r="F73" s="8"/>
      <c r="G73" s="8" t="s">
        <v>46</v>
      </c>
      <c r="H73" s="8" t="s">
        <v>47</v>
      </c>
      <c r="I73" s="33" t="s">
        <v>353</v>
      </c>
      <c r="J73" s="8"/>
      <c r="K73" s="8" t="s">
        <v>48</v>
      </c>
      <c r="L73" s="8" t="s">
        <v>49</v>
      </c>
      <c r="M73" s="8" t="s">
        <v>49</v>
      </c>
      <c r="N73" s="8"/>
      <c r="O73" s="8">
        <v>0</v>
      </c>
      <c r="P73" s="8">
        <v>0</v>
      </c>
      <c r="Q73" s="6" t="str">
        <f t="shared" ref="Q73:Q104" si="2">A73</f>
        <v>Disperis zeylanica</v>
      </c>
      <c r="R73" s="7" t="s">
        <v>207</v>
      </c>
      <c r="T73" s="7" t="s">
        <v>235</v>
      </c>
      <c r="U73" s="8"/>
      <c r="V73" s="8"/>
      <c r="W73" s="8"/>
      <c r="X73" s="8"/>
      <c r="Y73" s="8"/>
      <c r="Z73" s="21" t="s">
        <v>238</v>
      </c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 spans="1:48" ht="18.75" customHeight="1">
      <c r="A74" s="5" t="s">
        <v>73</v>
      </c>
      <c r="D74" s="8"/>
      <c r="E74" s="8"/>
      <c r="F74" s="8"/>
      <c r="G74" s="8" t="s">
        <v>46</v>
      </c>
      <c r="H74" s="8" t="s">
        <v>47</v>
      </c>
      <c r="I74" s="33" t="s">
        <v>354</v>
      </c>
      <c r="J74" s="8"/>
      <c r="K74" s="8" t="s">
        <v>48</v>
      </c>
      <c r="L74" s="8" t="s">
        <v>49</v>
      </c>
      <c r="M74" s="8" t="s">
        <v>49</v>
      </c>
      <c r="N74" s="8"/>
      <c r="O74" s="8">
        <v>0</v>
      </c>
      <c r="P74" s="8">
        <v>0</v>
      </c>
      <c r="Q74" s="6" t="str">
        <f t="shared" si="2"/>
        <v>Dodonaea viscosa</v>
      </c>
      <c r="R74" s="12" t="s">
        <v>80</v>
      </c>
      <c r="U74" s="8"/>
      <c r="V74" s="8"/>
      <c r="W74" s="8"/>
      <c r="X74" s="8"/>
      <c r="Y74" s="8"/>
      <c r="Z74" s="5" t="s">
        <v>73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spans="1:48" ht="18.75" customHeight="1">
      <c r="A75" s="5" t="s">
        <v>73</v>
      </c>
      <c r="D75" s="8"/>
      <c r="E75" s="8"/>
      <c r="F75" s="8"/>
      <c r="G75" s="8" t="s">
        <v>46</v>
      </c>
      <c r="H75" s="8" t="s">
        <v>47</v>
      </c>
      <c r="I75" s="33" t="s">
        <v>355</v>
      </c>
      <c r="J75" s="8"/>
      <c r="K75" s="8" t="s">
        <v>48</v>
      </c>
      <c r="L75" s="8" t="s">
        <v>49</v>
      </c>
      <c r="M75" s="8" t="s">
        <v>49</v>
      </c>
      <c r="N75" s="8"/>
      <c r="O75" s="8">
        <v>0</v>
      </c>
      <c r="P75" s="8">
        <v>0</v>
      </c>
      <c r="Q75" s="6" t="str">
        <f t="shared" si="2"/>
        <v>Dodonaea viscosa</v>
      </c>
      <c r="R75" s="12" t="s">
        <v>67</v>
      </c>
      <c r="U75" s="8"/>
      <c r="V75" s="8"/>
      <c r="W75" s="8"/>
      <c r="X75" s="8"/>
      <c r="Y75" s="8"/>
      <c r="Z75" s="5" t="s">
        <v>73</v>
      </c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</row>
    <row r="76" spans="1:48" ht="18.75" customHeight="1">
      <c r="A76" s="14" t="s">
        <v>129</v>
      </c>
      <c r="D76" s="8"/>
      <c r="E76" s="8"/>
      <c r="F76" s="8"/>
      <c r="G76" s="8" t="s">
        <v>46</v>
      </c>
      <c r="H76" s="8" t="s">
        <v>47</v>
      </c>
      <c r="I76" s="33" t="s">
        <v>356</v>
      </c>
      <c r="J76" s="8"/>
      <c r="K76" s="8" t="s">
        <v>48</v>
      </c>
      <c r="L76" s="8" t="s">
        <v>49</v>
      </c>
      <c r="M76" s="8" t="s">
        <v>49</v>
      </c>
      <c r="N76" s="8"/>
      <c r="O76" s="8">
        <v>0</v>
      </c>
      <c r="P76" s="8">
        <v>0</v>
      </c>
      <c r="Q76" s="6" t="str">
        <f t="shared" si="2"/>
        <v>Drypetes malabarica</v>
      </c>
      <c r="R76" s="12" t="s">
        <v>114</v>
      </c>
      <c r="U76" s="8"/>
      <c r="V76" s="8"/>
      <c r="W76" s="8"/>
      <c r="X76" s="8"/>
      <c r="Y76" s="8"/>
      <c r="Z76" s="14" t="s">
        <v>129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</row>
    <row r="77" spans="1:48" ht="18.75" customHeight="1">
      <c r="A77" s="5" t="s">
        <v>50</v>
      </c>
      <c r="B77" s="6"/>
      <c r="D77" s="8"/>
      <c r="E77" s="9"/>
      <c r="F77" s="8"/>
      <c r="G77" s="8" t="s">
        <v>46</v>
      </c>
      <c r="H77" s="8" t="s">
        <v>47</v>
      </c>
      <c r="I77" s="33" t="s">
        <v>357</v>
      </c>
      <c r="J77" s="8"/>
      <c r="K77" s="8" t="s">
        <v>48</v>
      </c>
      <c r="L77" s="8" t="s">
        <v>49</v>
      </c>
      <c r="M77" s="8" t="s">
        <v>49</v>
      </c>
      <c r="N77" s="8"/>
      <c r="O77" s="8">
        <v>0</v>
      </c>
      <c r="P77" s="8">
        <v>0</v>
      </c>
      <c r="Q77" s="6" t="str">
        <f t="shared" si="2"/>
        <v>Drypetes sepiaria</v>
      </c>
      <c r="R77" s="10" t="s">
        <v>45</v>
      </c>
      <c r="U77" s="8"/>
      <c r="V77" s="8"/>
      <c r="W77" s="8"/>
      <c r="X77" s="8"/>
      <c r="Y77" s="8"/>
      <c r="Z77" s="5" t="s">
        <v>50</v>
      </c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</row>
    <row r="78" spans="1:48" ht="18.75" customHeight="1">
      <c r="A78" s="11" t="s">
        <v>148</v>
      </c>
      <c r="D78" s="8"/>
      <c r="E78" s="8"/>
      <c r="F78" s="8"/>
      <c r="G78" s="8" t="s">
        <v>46</v>
      </c>
      <c r="H78" s="8" t="s">
        <v>47</v>
      </c>
      <c r="I78" s="33" t="s">
        <v>454</v>
      </c>
      <c r="J78" s="8"/>
      <c r="K78" s="8" t="s">
        <v>48</v>
      </c>
      <c r="L78" s="8" t="s">
        <v>49</v>
      </c>
      <c r="M78" s="8" t="s">
        <v>49</v>
      </c>
      <c r="N78" s="8"/>
      <c r="O78" s="8">
        <v>0</v>
      </c>
      <c r="P78" s="8">
        <v>0</v>
      </c>
      <c r="Q78" s="6" t="str">
        <f t="shared" si="2"/>
        <v>Ehretia laevis</v>
      </c>
      <c r="R78" s="12" t="s">
        <v>142</v>
      </c>
      <c r="U78" s="8"/>
      <c r="V78" s="8"/>
      <c r="W78" s="8"/>
      <c r="X78" s="8"/>
      <c r="Y78" s="8"/>
      <c r="Z78" s="14" t="s">
        <v>148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</row>
    <row r="79" spans="1:48" ht="18.75" customHeight="1">
      <c r="A79" s="21" t="s">
        <v>191</v>
      </c>
      <c r="D79" s="8"/>
      <c r="E79" s="8"/>
      <c r="F79" s="8"/>
      <c r="G79" s="8" t="s">
        <v>46</v>
      </c>
      <c r="H79" s="8" t="s">
        <v>47</v>
      </c>
      <c r="I79" s="33" t="s">
        <v>455</v>
      </c>
      <c r="J79" s="8"/>
      <c r="K79" s="8" t="s">
        <v>48</v>
      </c>
      <c r="L79" s="8" t="s">
        <v>49</v>
      </c>
      <c r="M79" s="8" t="s">
        <v>49</v>
      </c>
      <c r="N79" s="8"/>
      <c r="O79" s="8">
        <v>0</v>
      </c>
      <c r="P79" s="8">
        <v>0</v>
      </c>
      <c r="Q79" s="6" t="str">
        <f t="shared" si="2"/>
        <v>Elaeocarpus sphaericus</v>
      </c>
      <c r="R79" s="18" t="s">
        <v>187</v>
      </c>
      <c r="T79" s="18" t="s">
        <v>188</v>
      </c>
      <c r="U79" s="8"/>
      <c r="V79" s="8"/>
      <c r="W79" s="8"/>
      <c r="X79" s="8"/>
      <c r="Y79" s="8"/>
      <c r="Z79" s="21" t="s">
        <v>191</v>
      </c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</row>
    <row r="80" spans="1:48" ht="18.75" customHeight="1">
      <c r="A80" s="14" t="s">
        <v>173</v>
      </c>
      <c r="D80" s="8"/>
      <c r="E80" s="8"/>
      <c r="F80" s="8"/>
      <c r="G80" s="8" t="s">
        <v>46</v>
      </c>
      <c r="H80" s="8" t="s">
        <v>47</v>
      </c>
      <c r="I80" s="33" t="s">
        <v>358</v>
      </c>
      <c r="J80" s="8"/>
      <c r="K80" s="8" t="s">
        <v>48</v>
      </c>
      <c r="L80" s="8" t="s">
        <v>49</v>
      </c>
      <c r="M80" s="8" t="s">
        <v>49</v>
      </c>
      <c r="N80" s="8"/>
      <c r="O80" s="8">
        <v>0</v>
      </c>
      <c r="P80" s="8">
        <v>0</v>
      </c>
      <c r="Q80" s="6" t="str">
        <f t="shared" si="2"/>
        <v>Elaeocarpus tuberculatus</v>
      </c>
      <c r="R80" s="12" t="s">
        <v>114</v>
      </c>
      <c r="T80" s="7" t="s">
        <v>125</v>
      </c>
      <c r="U80" s="8"/>
      <c r="V80" s="8"/>
      <c r="W80" s="8"/>
      <c r="X80" s="8"/>
      <c r="Y80" s="8"/>
      <c r="Z80" s="14" t="s">
        <v>173</v>
      </c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</row>
    <row r="81" spans="1:48" ht="18.75" customHeight="1">
      <c r="A81" s="21" t="s">
        <v>209</v>
      </c>
      <c r="B81" s="30"/>
      <c r="D81" s="8"/>
      <c r="E81" s="8"/>
      <c r="F81" s="8"/>
      <c r="G81" s="8" t="s">
        <v>46</v>
      </c>
      <c r="H81" s="8" t="s">
        <v>47</v>
      </c>
      <c r="I81" s="33" t="s">
        <v>359</v>
      </c>
      <c r="J81" s="8"/>
      <c r="K81" s="8" t="s">
        <v>48</v>
      </c>
      <c r="L81" s="8" t="s">
        <v>49</v>
      </c>
      <c r="M81" s="8" t="s">
        <v>49</v>
      </c>
      <c r="N81" s="8"/>
      <c r="O81" s="8">
        <v>0</v>
      </c>
      <c r="P81" s="8">
        <v>0</v>
      </c>
      <c r="Q81" s="6" t="str">
        <f t="shared" si="2"/>
        <v>Elaeocarpus variabilis</v>
      </c>
      <c r="R81" s="7" t="s">
        <v>207</v>
      </c>
      <c r="T81" s="18" t="s">
        <v>138</v>
      </c>
      <c r="U81" s="8"/>
      <c r="V81" s="8"/>
      <c r="W81" s="8"/>
      <c r="X81" s="8"/>
      <c r="Y81" s="8"/>
      <c r="Z81" s="21" t="s">
        <v>209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</row>
    <row r="82" spans="1:48" ht="18.75" customHeight="1">
      <c r="A82" s="21" t="s">
        <v>245</v>
      </c>
      <c r="D82" s="8"/>
      <c r="E82" s="8"/>
      <c r="F82" s="8"/>
      <c r="G82" s="8" t="s">
        <v>46</v>
      </c>
      <c r="H82" s="8" t="s">
        <v>47</v>
      </c>
      <c r="I82" s="33" t="s">
        <v>360</v>
      </c>
      <c r="J82" s="8"/>
      <c r="K82" s="8" t="s">
        <v>48</v>
      </c>
      <c r="L82" s="8" t="s">
        <v>49</v>
      </c>
      <c r="M82" s="8" t="s">
        <v>49</v>
      </c>
      <c r="N82" s="8"/>
      <c r="O82" s="8">
        <v>0</v>
      </c>
      <c r="P82" s="8">
        <v>0</v>
      </c>
      <c r="Q82" s="6" t="str">
        <f t="shared" si="2"/>
        <v>Ephedra foliata</v>
      </c>
      <c r="R82" s="7" t="s">
        <v>242</v>
      </c>
      <c r="T82" s="18" t="s">
        <v>243</v>
      </c>
      <c r="U82" s="8"/>
      <c r="V82" s="8"/>
      <c r="W82" s="8"/>
      <c r="X82" s="8"/>
      <c r="Y82" s="8"/>
      <c r="Z82" s="21" t="s">
        <v>245</v>
      </c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</row>
    <row r="83" spans="1:48" ht="18.75" customHeight="1">
      <c r="A83" s="11" t="s">
        <v>160</v>
      </c>
      <c r="D83" s="8"/>
      <c r="E83" s="8"/>
      <c r="F83" s="8"/>
      <c r="G83" s="8" t="s">
        <v>46</v>
      </c>
      <c r="H83" s="8" t="s">
        <v>47</v>
      </c>
      <c r="I83" s="33" t="s">
        <v>456</v>
      </c>
      <c r="J83" s="8"/>
      <c r="K83" s="8" t="s">
        <v>48</v>
      </c>
      <c r="L83" s="8" t="s">
        <v>49</v>
      </c>
      <c r="M83" s="8" t="s">
        <v>49</v>
      </c>
      <c r="N83" s="8"/>
      <c r="O83" s="8">
        <v>0</v>
      </c>
      <c r="P83" s="8">
        <v>0</v>
      </c>
      <c r="Q83" s="6" t="str">
        <f t="shared" si="2"/>
        <v>Erythrina stricta</v>
      </c>
      <c r="R83" s="12" t="s">
        <v>155</v>
      </c>
      <c r="U83" s="8"/>
      <c r="V83" s="8"/>
      <c r="W83" s="8"/>
      <c r="X83" s="8"/>
      <c r="Y83" s="8"/>
      <c r="Z83" s="14" t="s">
        <v>160</v>
      </c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</row>
    <row r="84" spans="1:48" ht="18.75" customHeight="1">
      <c r="A84" s="21" t="s">
        <v>252</v>
      </c>
      <c r="D84" s="8"/>
      <c r="E84" s="8"/>
      <c r="F84" s="8"/>
      <c r="G84" s="8" t="s">
        <v>46</v>
      </c>
      <c r="H84" s="8" t="s">
        <v>47</v>
      </c>
      <c r="I84" s="33" t="s">
        <v>361</v>
      </c>
      <c r="J84" s="8"/>
      <c r="K84" s="8" t="s">
        <v>48</v>
      </c>
      <c r="L84" s="8" t="s">
        <v>49</v>
      </c>
      <c r="M84" s="8" t="s">
        <v>49</v>
      </c>
      <c r="N84" s="8"/>
      <c r="O84" s="8">
        <v>0</v>
      </c>
      <c r="P84" s="8">
        <v>0</v>
      </c>
      <c r="Q84" s="6" t="str">
        <f t="shared" si="2"/>
        <v>Euphorbia caducifolia</v>
      </c>
      <c r="R84" s="7" t="s">
        <v>242</v>
      </c>
      <c r="T84" s="18" t="s">
        <v>243</v>
      </c>
      <c r="U84" s="8"/>
      <c r="V84" s="8"/>
      <c r="W84" s="8"/>
      <c r="X84" s="8"/>
      <c r="Y84" s="8"/>
      <c r="Z84" s="21" t="s">
        <v>252</v>
      </c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</row>
    <row r="85" spans="1:48" ht="18.75" customHeight="1">
      <c r="A85" s="14" t="s">
        <v>179</v>
      </c>
      <c r="D85" s="8"/>
      <c r="E85" s="8"/>
      <c r="F85" s="8"/>
      <c r="G85" s="8" t="s">
        <v>46</v>
      </c>
      <c r="H85" s="8" t="s">
        <v>47</v>
      </c>
      <c r="I85" s="33" t="s">
        <v>362</v>
      </c>
      <c r="J85" s="8"/>
      <c r="K85" s="8" t="s">
        <v>48</v>
      </c>
      <c r="L85" s="8" t="s">
        <v>49</v>
      </c>
      <c r="M85" s="8" t="s">
        <v>49</v>
      </c>
      <c r="N85" s="8"/>
      <c r="O85" s="8">
        <v>0</v>
      </c>
      <c r="P85" s="8">
        <v>0</v>
      </c>
      <c r="Q85" s="6" t="str">
        <f t="shared" si="2"/>
        <v>Euphorbia khandallensis (syn. Euphorbia panchganiensis)</v>
      </c>
      <c r="R85" s="7" t="s">
        <v>177</v>
      </c>
      <c r="T85" s="7" t="s">
        <v>178</v>
      </c>
      <c r="U85" s="8"/>
      <c r="V85" s="8"/>
      <c r="W85" s="8"/>
      <c r="X85" s="8"/>
      <c r="Y85" s="8"/>
      <c r="Z85" s="14" t="s">
        <v>179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</row>
    <row r="86" spans="1:48" ht="18.75" customHeight="1">
      <c r="A86" s="14" t="s">
        <v>115</v>
      </c>
      <c r="D86" s="8"/>
      <c r="E86" s="8"/>
      <c r="F86" s="8"/>
      <c r="G86" s="8" t="s">
        <v>46</v>
      </c>
      <c r="H86" s="8" t="s">
        <v>47</v>
      </c>
      <c r="I86" s="33" t="s">
        <v>457</v>
      </c>
      <c r="J86" s="8"/>
      <c r="K86" s="8" t="s">
        <v>48</v>
      </c>
      <c r="L86" s="8" t="s">
        <v>49</v>
      </c>
      <c r="M86" s="8" t="s">
        <v>49</v>
      </c>
      <c r="N86" s="8"/>
      <c r="O86" s="8">
        <v>0</v>
      </c>
      <c r="P86" s="8">
        <v>0</v>
      </c>
      <c r="Q86" s="6" t="str">
        <f t="shared" si="2"/>
        <v>Ficus drupacea</v>
      </c>
      <c r="R86" s="12" t="s">
        <v>114</v>
      </c>
      <c r="U86" s="8"/>
      <c r="V86" s="8"/>
      <c r="W86" s="8"/>
      <c r="X86" s="8"/>
      <c r="Y86" s="8"/>
      <c r="Z86" s="14" t="s">
        <v>115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</row>
    <row r="87" spans="1:48" ht="18.75" customHeight="1">
      <c r="A87" s="21" t="s">
        <v>203</v>
      </c>
      <c r="B87" s="30"/>
      <c r="D87" s="8"/>
      <c r="E87" s="8"/>
      <c r="F87" s="8"/>
      <c r="G87" s="8" t="s">
        <v>46</v>
      </c>
      <c r="H87" s="8" t="s">
        <v>47</v>
      </c>
      <c r="I87" s="33" t="s">
        <v>363</v>
      </c>
      <c r="J87" s="8"/>
      <c r="K87" s="8" t="s">
        <v>48</v>
      </c>
      <c r="L87" s="8" t="s">
        <v>49</v>
      </c>
      <c r="M87" s="8" t="s">
        <v>49</v>
      </c>
      <c r="N87" s="8"/>
      <c r="O87" s="8">
        <v>0</v>
      </c>
      <c r="P87" s="8">
        <v>0</v>
      </c>
      <c r="Q87" s="6" t="str">
        <f t="shared" si="2"/>
        <v>Ficus mollus</v>
      </c>
      <c r="R87" s="18" t="s">
        <v>199</v>
      </c>
      <c r="T87" s="19" t="s">
        <v>56</v>
      </c>
      <c r="U87" s="8"/>
      <c r="V87" s="8"/>
      <c r="W87" s="8"/>
      <c r="X87" s="8"/>
      <c r="Y87" s="8"/>
      <c r="Z87" s="21" t="s">
        <v>203</v>
      </c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</row>
    <row r="88" spans="1:48" ht="18.75" customHeight="1">
      <c r="A88" s="7" t="s">
        <v>226</v>
      </c>
      <c r="B88" s="30"/>
      <c r="D88" s="8"/>
      <c r="E88" s="8"/>
      <c r="F88" s="8"/>
      <c r="G88" s="8" t="s">
        <v>46</v>
      </c>
      <c r="H88" s="8" t="s">
        <v>47</v>
      </c>
      <c r="I88" s="33" t="s">
        <v>364</v>
      </c>
      <c r="J88" s="8"/>
      <c r="K88" s="8" t="s">
        <v>48</v>
      </c>
      <c r="L88" s="8" t="s">
        <v>49</v>
      </c>
      <c r="M88" s="8" t="s">
        <v>49</v>
      </c>
      <c r="N88" s="8"/>
      <c r="O88" s="8">
        <v>0</v>
      </c>
      <c r="P88" s="8">
        <v>0</v>
      </c>
      <c r="Q88" s="6" t="str">
        <f t="shared" si="2"/>
        <v>Flueggea leucopyrus</v>
      </c>
      <c r="R88" s="7" t="s">
        <v>217</v>
      </c>
      <c r="T88" s="18" t="s">
        <v>218</v>
      </c>
      <c r="U88" s="8"/>
      <c r="V88" s="8"/>
      <c r="W88" s="8"/>
      <c r="X88" s="8"/>
      <c r="Y88" s="8"/>
      <c r="Z88" s="7" t="s">
        <v>226</v>
      </c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</row>
    <row r="89" spans="1:48" ht="18.75" customHeight="1">
      <c r="A89" s="14" t="s">
        <v>117</v>
      </c>
      <c r="D89" s="8"/>
      <c r="E89" s="8"/>
      <c r="F89" s="8"/>
      <c r="G89" s="8" t="s">
        <v>46</v>
      </c>
      <c r="H89" s="8" t="s">
        <v>47</v>
      </c>
      <c r="I89" s="34" t="s">
        <v>365</v>
      </c>
      <c r="J89" s="8"/>
      <c r="K89" s="8" t="s">
        <v>48</v>
      </c>
      <c r="L89" s="8" t="s">
        <v>49</v>
      </c>
      <c r="M89" s="8" t="s">
        <v>49</v>
      </c>
      <c r="N89" s="8"/>
      <c r="O89" s="8">
        <v>0</v>
      </c>
      <c r="P89" s="8">
        <v>0</v>
      </c>
      <c r="Q89" s="6" t="str">
        <f t="shared" si="2"/>
        <v>Garcinia gummi-gutta</v>
      </c>
      <c r="R89" s="12" t="s">
        <v>114</v>
      </c>
      <c r="U89" s="8"/>
      <c r="V89" s="8"/>
      <c r="W89" s="8"/>
      <c r="X89" s="8"/>
      <c r="Y89" s="8"/>
      <c r="Z89" s="14" t="s">
        <v>117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</row>
    <row r="90" spans="1:48" ht="18.75" customHeight="1">
      <c r="A90" s="14" t="s">
        <v>147</v>
      </c>
      <c r="D90" s="8"/>
      <c r="E90" s="8"/>
      <c r="F90" s="8"/>
      <c r="G90" s="8" t="s">
        <v>46</v>
      </c>
      <c r="H90" s="8" t="s">
        <v>47</v>
      </c>
      <c r="I90" s="33" t="s">
        <v>366</v>
      </c>
      <c r="J90" s="8"/>
      <c r="K90" s="8" t="s">
        <v>48</v>
      </c>
      <c r="L90" s="8" t="s">
        <v>49</v>
      </c>
      <c r="M90" s="8" t="s">
        <v>49</v>
      </c>
      <c r="N90" s="8"/>
      <c r="O90" s="8">
        <v>0</v>
      </c>
      <c r="P90" s="8">
        <v>0</v>
      </c>
      <c r="Q90" s="6" t="str">
        <f t="shared" si="2"/>
        <v>Garcinia morella</v>
      </c>
      <c r="R90" s="12" t="s">
        <v>142</v>
      </c>
      <c r="U90" s="8"/>
      <c r="V90" s="8"/>
      <c r="W90" s="8"/>
      <c r="X90" s="8"/>
      <c r="Y90" s="8"/>
      <c r="Z90" s="14" t="s">
        <v>147</v>
      </c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</row>
    <row r="91" spans="1:48" ht="18.75" customHeight="1">
      <c r="A91" s="5" t="s">
        <v>84</v>
      </c>
      <c r="D91" s="8"/>
      <c r="E91" s="8"/>
      <c r="F91" s="8"/>
      <c r="G91" s="8" t="s">
        <v>46</v>
      </c>
      <c r="H91" s="8" t="s">
        <v>47</v>
      </c>
      <c r="I91" s="33" t="s">
        <v>367</v>
      </c>
      <c r="J91" s="8"/>
      <c r="K91" s="8" t="s">
        <v>48</v>
      </c>
      <c r="L91" s="8" t="s">
        <v>49</v>
      </c>
      <c r="M91" s="8" t="s">
        <v>49</v>
      </c>
      <c r="N91" s="8"/>
      <c r="O91" s="8">
        <v>0</v>
      </c>
      <c r="P91" s="8">
        <v>0</v>
      </c>
      <c r="Q91" s="6" t="str">
        <f t="shared" si="2"/>
        <v>Gardenia gummifera</v>
      </c>
      <c r="R91" s="12" t="s">
        <v>80</v>
      </c>
      <c r="U91" s="8"/>
      <c r="V91" s="8"/>
      <c r="W91" s="8"/>
      <c r="X91" s="8"/>
      <c r="Y91" s="8"/>
      <c r="Z91" s="5" t="s">
        <v>84</v>
      </c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</row>
    <row r="92" spans="1:48" ht="18.75" customHeight="1">
      <c r="A92" s="5" t="s">
        <v>85</v>
      </c>
      <c r="D92" s="8"/>
      <c r="E92" s="8"/>
      <c r="F92" s="8"/>
      <c r="G92" s="8" t="s">
        <v>46</v>
      </c>
      <c r="H92" s="8" t="s">
        <v>47</v>
      </c>
      <c r="I92" s="33" t="s">
        <v>368</v>
      </c>
      <c r="J92" s="8"/>
      <c r="K92" s="8" t="s">
        <v>48</v>
      </c>
      <c r="L92" s="8" t="s">
        <v>49</v>
      </c>
      <c r="M92" s="8" t="s">
        <v>49</v>
      </c>
      <c r="N92" s="8"/>
      <c r="O92" s="8">
        <v>0</v>
      </c>
      <c r="P92" s="8">
        <v>0</v>
      </c>
      <c r="Q92" s="6" t="str">
        <f t="shared" si="2"/>
        <v>Givotia moluccana</v>
      </c>
      <c r="R92" s="12" t="s">
        <v>80</v>
      </c>
      <c r="U92" s="8"/>
      <c r="V92" s="8"/>
      <c r="W92" s="8"/>
      <c r="X92" s="8"/>
      <c r="Y92" s="8"/>
      <c r="Z92" s="5" t="s">
        <v>85</v>
      </c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</row>
    <row r="93" spans="1:48" ht="18.75" customHeight="1">
      <c r="A93" s="21" t="s">
        <v>198</v>
      </c>
      <c r="B93" s="30"/>
      <c r="D93" s="8"/>
      <c r="E93" s="8"/>
      <c r="F93" s="8"/>
      <c r="G93" s="8" t="s">
        <v>46</v>
      </c>
      <c r="H93" s="8" t="s">
        <v>47</v>
      </c>
      <c r="I93" s="33" t="s">
        <v>369</v>
      </c>
      <c r="J93" s="8"/>
      <c r="K93" s="8" t="s">
        <v>48</v>
      </c>
      <c r="L93" s="8" t="s">
        <v>49</v>
      </c>
      <c r="M93" s="8" t="s">
        <v>49</v>
      </c>
      <c r="N93" s="8"/>
      <c r="O93" s="8">
        <v>0</v>
      </c>
      <c r="P93" s="8">
        <v>0</v>
      </c>
      <c r="Q93" s="6" t="str">
        <f t="shared" si="2"/>
        <v>Givottia rottleformis</v>
      </c>
      <c r="R93" s="18" t="s">
        <v>199</v>
      </c>
      <c r="T93" s="19" t="s">
        <v>56</v>
      </c>
      <c r="U93" s="8"/>
      <c r="V93" s="8"/>
      <c r="W93" s="8"/>
      <c r="X93" s="8"/>
      <c r="Y93" s="8"/>
      <c r="Z93" s="21" t="s">
        <v>198</v>
      </c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</row>
    <row r="94" spans="1:48" ht="18.75" customHeight="1">
      <c r="A94" s="14" t="s">
        <v>152</v>
      </c>
      <c r="D94" s="8"/>
      <c r="E94" s="8"/>
      <c r="F94" s="8"/>
      <c r="G94" s="8" t="s">
        <v>46</v>
      </c>
      <c r="H94" s="8" t="s">
        <v>47</v>
      </c>
      <c r="I94" s="33" t="s">
        <v>370</v>
      </c>
      <c r="J94" s="8"/>
      <c r="K94" s="8" t="s">
        <v>48</v>
      </c>
      <c r="L94" s="8" t="s">
        <v>49</v>
      </c>
      <c r="M94" s="8" t="s">
        <v>49</v>
      </c>
      <c r="N94" s="8"/>
      <c r="O94" s="8">
        <v>0</v>
      </c>
      <c r="P94" s="8">
        <v>0</v>
      </c>
      <c r="Q94" s="6" t="str">
        <f t="shared" si="2"/>
        <v>Gnetum ula</v>
      </c>
      <c r="R94" s="12" t="s">
        <v>142</v>
      </c>
      <c r="U94" s="8"/>
      <c r="V94" s="8"/>
      <c r="W94" s="8"/>
      <c r="X94" s="8"/>
      <c r="Y94" s="8"/>
      <c r="Z94" s="14" t="s">
        <v>152</v>
      </c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</row>
    <row r="95" spans="1:48" ht="18.75" customHeight="1">
      <c r="A95" s="11" t="s">
        <v>164</v>
      </c>
      <c r="D95" s="8"/>
      <c r="E95" s="8"/>
      <c r="F95" s="8"/>
      <c r="G95" s="8" t="s">
        <v>46</v>
      </c>
      <c r="H95" s="8" t="s">
        <v>47</v>
      </c>
      <c r="I95" s="33" t="s">
        <v>371</v>
      </c>
      <c r="J95" s="8"/>
      <c r="K95" s="8" t="s">
        <v>48</v>
      </c>
      <c r="L95" s="8" t="s">
        <v>49</v>
      </c>
      <c r="M95" s="8" t="s">
        <v>49</v>
      </c>
      <c r="N95" s="8"/>
      <c r="O95" s="8">
        <v>0</v>
      </c>
      <c r="P95" s="8">
        <v>0</v>
      </c>
      <c r="Q95" s="6" t="str">
        <f t="shared" si="2"/>
        <v>Gnidia glauca</v>
      </c>
      <c r="R95" s="12" t="s">
        <v>155</v>
      </c>
      <c r="U95" s="8"/>
      <c r="V95" s="8"/>
      <c r="W95" s="8"/>
      <c r="X95" s="8"/>
      <c r="Y95" s="8"/>
      <c r="Z95" s="14" t="s">
        <v>164</v>
      </c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</row>
    <row r="96" spans="1:48" ht="18.75" customHeight="1">
      <c r="A96" s="5" t="s">
        <v>71</v>
      </c>
      <c r="D96" s="8"/>
      <c r="E96" s="8"/>
      <c r="F96" s="8"/>
      <c r="G96" s="8" t="s">
        <v>46</v>
      </c>
      <c r="H96" s="8" t="s">
        <v>47</v>
      </c>
      <c r="I96" s="33" t="s">
        <v>458</v>
      </c>
      <c r="J96" s="8"/>
      <c r="K96" s="8" t="s">
        <v>48</v>
      </c>
      <c r="L96" s="8" t="s">
        <v>49</v>
      </c>
      <c r="M96" s="8" t="s">
        <v>49</v>
      </c>
      <c r="N96" s="8"/>
      <c r="O96" s="8">
        <v>0</v>
      </c>
      <c r="P96" s="8">
        <v>0</v>
      </c>
      <c r="Q96" s="6" t="str">
        <f t="shared" si="2"/>
        <v>Grewia asiatica</v>
      </c>
      <c r="R96" s="12" t="s">
        <v>67</v>
      </c>
      <c r="U96" s="8"/>
      <c r="V96" s="8"/>
      <c r="W96" s="8"/>
      <c r="X96" s="8"/>
      <c r="Y96" s="8"/>
      <c r="Z96" s="5" t="s">
        <v>71</v>
      </c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</row>
    <row r="97" spans="1:48" ht="18.75" customHeight="1">
      <c r="A97" s="14" t="s">
        <v>169</v>
      </c>
      <c r="D97" s="8"/>
      <c r="E97" s="8"/>
      <c r="F97" s="8"/>
      <c r="G97" s="8" t="s">
        <v>46</v>
      </c>
      <c r="H97" s="8" t="s">
        <v>47</v>
      </c>
      <c r="I97" s="33" t="s">
        <v>372</v>
      </c>
      <c r="J97" s="8"/>
      <c r="K97" s="8" t="s">
        <v>48</v>
      </c>
      <c r="L97" s="8" t="s">
        <v>49</v>
      </c>
      <c r="M97" s="8" t="s">
        <v>49</v>
      </c>
      <c r="N97" s="8"/>
      <c r="O97" s="8">
        <v>0</v>
      </c>
      <c r="P97" s="8">
        <v>0</v>
      </c>
      <c r="Q97" s="6" t="str">
        <f t="shared" si="2"/>
        <v>Gymnema sylvestre</v>
      </c>
      <c r="R97" s="10" t="s">
        <v>155</v>
      </c>
      <c r="U97" s="8"/>
      <c r="V97" s="8"/>
      <c r="W97" s="8"/>
      <c r="X97" s="8"/>
      <c r="Y97" s="8"/>
      <c r="Z97" s="14" t="s">
        <v>169</v>
      </c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</row>
    <row r="98" spans="1:48" ht="18.75" customHeight="1">
      <c r="A98" s="21" t="s">
        <v>241</v>
      </c>
      <c r="D98" s="8"/>
      <c r="E98" s="8"/>
      <c r="F98" s="8"/>
      <c r="G98" s="8" t="s">
        <v>46</v>
      </c>
      <c r="H98" s="8" t="s">
        <v>47</v>
      </c>
      <c r="I98" s="33" t="s">
        <v>373</v>
      </c>
      <c r="J98" s="8"/>
      <c r="K98" s="8" t="s">
        <v>48</v>
      </c>
      <c r="L98" s="8" t="s">
        <v>49</v>
      </c>
      <c r="M98" s="8" t="s">
        <v>49</v>
      </c>
      <c r="N98" s="8"/>
      <c r="O98" s="8">
        <v>0</v>
      </c>
      <c r="P98" s="8">
        <v>0</v>
      </c>
      <c r="Q98" s="6" t="str">
        <f t="shared" si="2"/>
        <v>Gymnosporia senegalensis</v>
      </c>
      <c r="R98" s="7" t="s">
        <v>242</v>
      </c>
      <c r="T98" s="18" t="s">
        <v>243</v>
      </c>
      <c r="U98" s="8"/>
      <c r="V98" s="8"/>
      <c r="W98" s="8"/>
      <c r="X98" s="8"/>
      <c r="Y98" s="8"/>
      <c r="Z98" s="21" t="s">
        <v>241</v>
      </c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</row>
    <row r="99" spans="1:48" ht="18.75" customHeight="1">
      <c r="A99" s="21" t="s">
        <v>237</v>
      </c>
      <c r="D99" s="8"/>
      <c r="E99" s="8"/>
      <c r="F99" s="8"/>
      <c r="G99" s="8" t="s">
        <v>46</v>
      </c>
      <c r="H99" s="8" t="s">
        <v>47</v>
      </c>
      <c r="I99" s="33" t="s">
        <v>374</v>
      </c>
      <c r="J99" s="8"/>
      <c r="K99" s="8" t="s">
        <v>48</v>
      </c>
      <c r="L99" s="8" t="s">
        <v>49</v>
      </c>
      <c r="M99" s="8" t="s">
        <v>49</v>
      </c>
      <c r="N99" s="8"/>
      <c r="O99" s="8">
        <v>0</v>
      </c>
      <c r="P99" s="8">
        <v>0</v>
      </c>
      <c r="Q99" s="6" t="str">
        <f t="shared" si="2"/>
        <v>Habenaria longicornu</v>
      </c>
      <c r="R99" s="7" t="s">
        <v>207</v>
      </c>
      <c r="T99" s="7" t="s">
        <v>235</v>
      </c>
      <c r="U99" s="8"/>
      <c r="V99" s="8"/>
      <c r="W99" s="8"/>
      <c r="X99" s="8"/>
      <c r="Y99" s="8"/>
      <c r="Z99" s="21" t="s">
        <v>237</v>
      </c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</row>
    <row r="100" spans="1:48" ht="18.75" customHeight="1">
      <c r="A100" s="14" t="s">
        <v>176</v>
      </c>
      <c r="D100" s="8"/>
      <c r="E100" s="8"/>
      <c r="F100" s="8"/>
      <c r="G100" s="8" t="s">
        <v>46</v>
      </c>
      <c r="H100" s="8" t="s">
        <v>47</v>
      </c>
      <c r="I100" s="33" t="s">
        <v>375</v>
      </c>
      <c r="J100" s="8"/>
      <c r="K100" s="8" t="s">
        <v>48</v>
      </c>
      <c r="L100" s="8" t="s">
        <v>49</v>
      </c>
      <c r="M100" s="8" t="s">
        <v>49</v>
      </c>
      <c r="N100" s="8"/>
      <c r="O100" s="8">
        <v>0</v>
      </c>
      <c r="P100" s="8">
        <v>0</v>
      </c>
      <c r="Q100" s="6" t="str">
        <f t="shared" si="2"/>
        <v>Habenaria suaveolens (syn. Habenaria panchganiensis)</v>
      </c>
      <c r="R100" s="7" t="s">
        <v>177</v>
      </c>
      <c r="T100" s="7" t="s">
        <v>178</v>
      </c>
      <c r="U100" s="8"/>
      <c r="V100" s="8"/>
      <c r="W100" s="8"/>
      <c r="X100" s="8"/>
      <c r="Y100" s="8"/>
      <c r="Z100" s="14" t="s">
        <v>176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</row>
    <row r="101" spans="1:48" ht="18.75" customHeight="1">
      <c r="A101" s="5" t="s">
        <v>74</v>
      </c>
      <c r="D101" s="8"/>
      <c r="E101" s="8"/>
      <c r="F101" s="8"/>
      <c r="G101" s="8" t="s">
        <v>46</v>
      </c>
      <c r="H101" s="8" t="s">
        <v>47</v>
      </c>
      <c r="I101" s="33" t="s">
        <v>459</v>
      </c>
      <c r="J101" s="8"/>
      <c r="K101" s="8" t="s">
        <v>48</v>
      </c>
      <c r="L101" s="8" t="s">
        <v>49</v>
      </c>
      <c r="M101" s="8" t="s">
        <v>49</v>
      </c>
      <c r="N101" s="8"/>
      <c r="O101" s="8">
        <v>0</v>
      </c>
      <c r="P101" s="8">
        <v>0</v>
      </c>
      <c r="Q101" s="6" t="str">
        <f t="shared" si="2"/>
        <v>Helicteres isora</v>
      </c>
      <c r="R101" s="12" t="s">
        <v>67</v>
      </c>
      <c r="U101" s="8"/>
      <c r="V101" s="8"/>
      <c r="W101" s="8"/>
      <c r="X101" s="8"/>
      <c r="Y101" s="8"/>
      <c r="Z101" s="5" t="s">
        <v>74</v>
      </c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</row>
    <row r="102" spans="1:48" ht="18.75" customHeight="1">
      <c r="A102" s="14" t="s">
        <v>174</v>
      </c>
      <c r="D102" s="8"/>
      <c r="E102" s="8"/>
      <c r="F102" s="8"/>
      <c r="G102" s="8" t="s">
        <v>46</v>
      </c>
      <c r="H102" s="8" t="s">
        <v>47</v>
      </c>
      <c r="I102" s="33" t="s">
        <v>376</v>
      </c>
      <c r="J102" s="8"/>
      <c r="K102" s="8" t="s">
        <v>48</v>
      </c>
      <c r="L102" s="8" t="s">
        <v>49</v>
      </c>
      <c r="M102" s="8" t="s">
        <v>49</v>
      </c>
      <c r="N102" s="8"/>
      <c r="O102" s="8">
        <v>0</v>
      </c>
      <c r="P102" s="8">
        <v>0</v>
      </c>
      <c r="Q102" s="6" t="str">
        <f t="shared" si="2"/>
        <v>Heritiera papilio</v>
      </c>
      <c r="R102" s="12" t="s">
        <v>114</v>
      </c>
      <c r="T102" s="7" t="s">
        <v>125</v>
      </c>
      <c r="U102" s="8"/>
      <c r="V102" s="8"/>
      <c r="W102" s="8"/>
      <c r="X102" s="8"/>
      <c r="Y102" s="8"/>
      <c r="Z102" s="14" t="s">
        <v>174</v>
      </c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</row>
    <row r="103" spans="1:48" ht="18.75" customHeight="1">
      <c r="A103" s="14" t="s">
        <v>139</v>
      </c>
      <c r="D103" s="8"/>
      <c r="E103" s="8"/>
      <c r="F103" s="8"/>
      <c r="G103" s="8" t="s">
        <v>46</v>
      </c>
      <c r="H103" s="8" t="s">
        <v>47</v>
      </c>
      <c r="I103" s="33" t="s">
        <v>377</v>
      </c>
      <c r="J103" s="8"/>
      <c r="K103" s="8" t="s">
        <v>48</v>
      </c>
      <c r="L103" s="8" t="s">
        <v>49</v>
      </c>
      <c r="M103" s="8" t="s">
        <v>49</v>
      </c>
      <c r="N103" s="8"/>
      <c r="O103" s="8">
        <v>0</v>
      </c>
      <c r="P103" s="8">
        <v>0</v>
      </c>
      <c r="Q103" s="6" t="str">
        <f t="shared" si="2"/>
        <v>Heteropogon contortus</v>
      </c>
      <c r="R103" s="12" t="s">
        <v>114</v>
      </c>
      <c r="U103" s="8"/>
      <c r="V103" s="8"/>
      <c r="W103" s="8"/>
      <c r="X103" s="8"/>
      <c r="Y103" s="8"/>
      <c r="Z103" s="14" t="s">
        <v>139</v>
      </c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</row>
    <row r="104" spans="1:48" ht="18.75" customHeight="1">
      <c r="A104" s="21" t="s">
        <v>210</v>
      </c>
      <c r="B104" s="30"/>
      <c r="D104" s="8"/>
      <c r="E104" s="8"/>
      <c r="F104" s="8"/>
      <c r="G104" s="8" t="s">
        <v>46</v>
      </c>
      <c r="H104" s="8" t="s">
        <v>47</v>
      </c>
      <c r="I104" s="33" t="s">
        <v>378</v>
      </c>
      <c r="J104" s="8"/>
      <c r="K104" s="8" t="s">
        <v>48</v>
      </c>
      <c r="L104" s="8" t="s">
        <v>49</v>
      </c>
      <c r="M104" s="8" t="s">
        <v>49</v>
      </c>
      <c r="N104" s="8"/>
      <c r="O104" s="8">
        <v>0</v>
      </c>
      <c r="P104" s="8">
        <v>0</v>
      </c>
      <c r="Q104" s="6" t="str">
        <f t="shared" si="2"/>
        <v>Heydychium flavescens</v>
      </c>
      <c r="R104" s="7" t="s">
        <v>207</v>
      </c>
      <c r="T104" s="18" t="s">
        <v>138</v>
      </c>
      <c r="U104" s="8"/>
      <c r="V104" s="8"/>
      <c r="W104" s="8"/>
      <c r="X104" s="8"/>
      <c r="Y104" s="8"/>
      <c r="Z104" s="21" t="s">
        <v>210</v>
      </c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</row>
    <row r="105" spans="1:48" ht="18.75" customHeight="1">
      <c r="A105" s="5" t="s">
        <v>75</v>
      </c>
      <c r="D105" s="8"/>
      <c r="E105" s="8"/>
      <c r="F105" s="8"/>
      <c r="G105" s="8" t="s">
        <v>46</v>
      </c>
      <c r="H105" s="8" t="s">
        <v>47</v>
      </c>
      <c r="I105" s="33" t="s">
        <v>379</v>
      </c>
      <c r="J105" s="8"/>
      <c r="K105" s="8" t="s">
        <v>48</v>
      </c>
      <c r="L105" s="8" t="s">
        <v>49</v>
      </c>
      <c r="M105" s="8" t="s">
        <v>49</v>
      </c>
      <c r="N105" s="8"/>
      <c r="O105" s="8">
        <v>0</v>
      </c>
      <c r="P105" s="8">
        <v>0</v>
      </c>
      <c r="Q105" s="6" t="str">
        <f t="shared" ref="Q105:Q136" si="3">A105</f>
        <v>Hiptage benghalensis</v>
      </c>
      <c r="R105" s="12" t="s">
        <v>67</v>
      </c>
      <c r="U105" s="8"/>
      <c r="V105" s="8"/>
      <c r="W105" s="8"/>
      <c r="X105" s="8"/>
      <c r="Y105" s="8"/>
      <c r="Z105" s="5" t="s">
        <v>75</v>
      </c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</row>
    <row r="106" spans="1:48" ht="18.75" customHeight="1">
      <c r="A106" s="5" t="s">
        <v>97</v>
      </c>
      <c r="D106" s="8"/>
      <c r="E106" s="8"/>
      <c r="F106" s="8"/>
      <c r="G106" s="8" t="s">
        <v>46</v>
      </c>
      <c r="H106" s="8" t="s">
        <v>47</v>
      </c>
      <c r="I106" s="33" t="s">
        <v>380</v>
      </c>
      <c r="J106" s="8"/>
      <c r="K106" s="8" t="s">
        <v>48</v>
      </c>
      <c r="L106" s="8" t="s">
        <v>49</v>
      </c>
      <c r="M106" s="8" t="s">
        <v>49</v>
      </c>
      <c r="N106" s="8"/>
      <c r="O106" s="8">
        <v>0</v>
      </c>
      <c r="P106" s="8">
        <v>0</v>
      </c>
      <c r="Q106" s="6" t="str">
        <f t="shared" si="3"/>
        <v>Hopea parviflora</v>
      </c>
      <c r="R106" s="12" t="s">
        <v>98</v>
      </c>
      <c r="U106" s="8"/>
      <c r="V106" s="8"/>
      <c r="W106" s="8"/>
      <c r="X106" s="8"/>
      <c r="Y106" s="8"/>
      <c r="Z106" s="5" t="s">
        <v>97</v>
      </c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</row>
    <row r="107" spans="1:48" ht="18.75" customHeight="1">
      <c r="A107" s="14" t="s">
        <v>144</v>
      </c>
      <c r="D107" s="8"/>
      <c r="E107" s="8"/>
      <c r="F107" s="8"/>
      <c r="G107" s="8" t="s">
        <v>46</v>
      </c>
      <c r="H107" s="8" t="s">
        <v>47</v>
      </c>
      <c r="I107" s="33" t="s">
        <v>381</v>
      </c>
      <c r="J107" s="8"/>
      <c r="K107" s="8" t="s">
        <v>48</v>
      </c>
      <c r="L107" s="8" t="s">
        <v>49</v>
      </c>
      <c r="M107" s="8" t="s">
        <v>49</v>
      </c>
      <c r="N107" s="8"/>
      <c r="O107" s="8">
        <v>0</v>
      </c>
      <c r="P107" s="8">
        <v>0</v>
      </c>
      <c r="Q107" s="6" t="str">
        <f t="shared" si="3"/>
        <v>Hopea ponga</v>
      </c>
      <c r="R107" s="12" t="s">
        <v>142</v>
      </c>
      <c r="U107" s="8"/>
      <c r="V107" s="8"/>
      <c r="W107" s="8"/>
      <c r="X107" s="8"/>
      <c r="Y107" s="8"/>
      <c r="Z107" s="14" t="s">
        <v>144</v>
      </c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</row>
    <row r="108" spans="1:48" ht="18.75" customHeight="1">
      <c r="A108" s="21" t="s">
        <v>192</v>
      </c>
      <c r="D108" s="8"/>
      <c r="E108" s="8"/>
      <c r="F108" s="8"/>
      <c r="G108" s="8" t="s">
        <v>46</v>
      </c>
      <c r="H108" s="8" t="s">
        <v>47</v>
      </c>
      <c r="I108" s="33" t="s">
        <v>460</v>
      </c>
      <c r="J108" s="8"/>
      <c r="K108" s="8" t="s">
        <v>48</v>
      </c>
      <c r="L108" s="8" t="s">
        <v>49</v>
      </c>
      <c r="M108" s="8" t="s">
        <v>49</v>
      </c>
      <c r="N108" s="8"/>
      <c r="O108" s="8">
        <v>0</v>
      </c>
      <c r="P108" s="8">
        <v>0</v>
      </c>
      <c r="Q108" s="6" t="str">
        <f t="shared" si="3"/>
        <v>Horsfieldia kingii</v>
      </c>
      <c r="R108" s="18" t="s">
        <v>187</v>
      </c>
      <c r="T108" s="18" t="s">
        <v>188</v>
      </c>
      <c r="U108" s="8"/>
      <c r="V108" s="8"/>
      <c r="W108" s="8"/>
      <c r="X108" s="8"/>
      <c r="Y108" s="8"/>
      <c r="Z108" s="21" t="s">
        <v>192</v>
      </c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</row>
    <row r="109" spans="1:48" ht="18.75" customHeight="1">
      <c r="A109" s="11" t="s">
        <v>120</v>
      </c>
      <c r="D109" s="8"/>
      <c r="E109" s="8"/>
      <c r="F109" s="8"/>
      <c r="G109" s="8" t="s">
        <v>46</v>
      </c>
      <c r="H109" s="8" t="s">
        <v>47</v>
      </c>
      <c r="I109" s="33" t="s">
        <v>461</v>
      </c>
      <c r="J109" s="8"/>
      <c r="K109" s="8" t="s">
        <v>48</v>
      </c>
      <c r="L109" s="8" t="s">
        <v>49</v>
      </c>
      <c r="M109" s="8" t="s">
        <v>49</v>
      </c>
      <c r="N109" s="8"/>
      <c r="O109" s="8">
        <v>0</v>
      </c>
      <c r="P109" s="8">
        <v>0</v>
      </c>
      <c r="Q109" s="6" t="str">
        <f t="shared" si="3"/>
        <v xml:space="preserve">Hydnocarpus pentandra </v>
      </c>
      <c r="R109" s="12" t="s">
        <v>114</v>
      </c>
      <c r="U109" s="8"/>
      <c r="V109" s="8"/>
      <c r="W109" s="8"/>
      <c r="X109" s="8"/>
      <c r="Y109" s="8"/>
      <c r="Z109" s="14" t="s">
        <v>120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</row>
    <row r="110" spans="1:48" ht="18.75" customHeight="1">
      <c r="A110" s="21" t="s">
        <v>240</v>
      </c>
      <c r="D110" s="8"/>
      <c r="E110" s="8"/>
      <c r="F110" s="8"/>
      <c r="G110" s="8" t="s">
        <v>46</v>
      </c>
      <c r="H110" s="8" t="s">
        <v>47</v>
      </c>
      <c r="I110" s="33" t="s">
        <v>382</v>
      </c>
      <c r="J110" s="8"/>
      <c r="K110" s="8" t="s">
        <v>48</v>
      </c>
      <c r="L110" s="8" t="s">
        <v>49</v>
      </c>
      <c r="M110" s="8" t="s">
        <v>49</v>
      </c>
      <c r="N110" s="8"/>
      <c r="O110" s="8">
        <v>0</v>
      </c>
      <c r="P110" s="8">
        <v>0</v>
      </c>
      <c r="Q110" s="6" t="str">
        <f t="shared" si="3"/>
        <v>Impatiens acaulis</v>
      </c>
      <c r="R110" s="7" t="s">
        <v>207</v>
      </c>
      <c r="T110" s="7" t="s">
        <v>235</v>
      </c>
      <c r="U110" s="8"/>
      <c r="V110" s="8"/>
      <c r="W110" s="8"/>
      <c r="X110" s="8"/>
      <c r="Y110" s="8"/>
      <c r="Z110" s="21" t="s">
        <v>240</v>
      </c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</row>
    <row r="111" spans="1:48" ht="18.75" customHeight="1">
      <c r="A111" s="14" t="s">
        <v>121</v>
      </c>
      <c r="D111" s="8"/>
      <c r="E111" s="8"/>
      <c r="F111" s="8"/>
      <c r="G111" s="8" t="s">
        <v>46</v>
      </c>
      <c r="H111" s="8" t="s">
        <v>47</v>
      </c>
      <c r="I111" s="33" t="s">
        <v>383</v>
      </c>
      <c r="J111" s="8"/>
      <c r="K111" s="8" t="s">
        <v>48</v>
      </c>
      <c r="L111" s="8" t="s">
        <v>49</v>
      </c>
      <c r="M111" s="8" t="s">
        <v>49</v>
      </c>
      <c r="N111" s="8"/>
      <c r="O111" s="8">
        <v>0</v>
      </c>
      <c r="P111" s="8">
        <v>0</v>
      </c>
      <c r="Q111" s="6" t="str">
        <f t="shared" si="3"/>
        <v>Ixora nigricans</v>
      </c>
      <c r="R111" s="12" t="s">
        <v>114</v>
      </c>
      <c r="U111" s="8"/>
      <c r="V111" s="8"/>
      <c r="W111" s="8"/>
      <c r="X111" s="8"/>
      <c r="Y111" s="8"/>
      <c r="Z111" s="14" t="s">
        <v>121</v>
      </c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</row>
    <row r="112" spans="1:48" ht="18.75" customHeight="1">
      <c r="A112" s="5" t="s">
        <v>62</v>
      </c>
      <c r="D112" s="8"/>
      <c r="E112" s="8"/>
      <c r="F112" s="8"/>
      <c r="G112" s="8" t="s">
        <v>46</v>
      </c>
      <c r="H112" s="8" t="s">
        <v>47</v>
      </c>
      <c r="I112" s="33" t="s">
        <v>462</v>
      </c>
      <c r="J112" s="8"/>
      <c r="K112" s="8" t="s">
        <v>48</v>
      </c>
      <c r="L112" s="8" t="s">
        <v>49</v>
      </c>
      <c r="M112" s="8" t="s">
        <v>49</v>
      </c>
      <c r="N112" s="8"/>
      <c r="O112" s="8">
        <v>0</v>
      </c>
      <c r="P112" s="8">
        <v>0</v>
      </c>
      <c r="Q112" s="6" t="str">
        <f t="shared" si="3"/>
        <v>Jasminum angustifolium</v>
      </c>
      <c r="R112" s="10" t="s">
        <v>45</v>
      </c>
      <c r="U112" s="8"/>
      <c r="V112" s="8"/>
      <c r="W112" s="8"/>
      <c r="X112" s="8"/>
      <c r="Y112" s="8"/>
      <c r="Z112" s="5" t="s">
        <v>62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</row>
    <row r="113" spans="1:48" ht="18.75" customHeight="1">
      <c r="A113" s="14" t="s">
        <v>141</v>
      </c>
      <c r="D113" s="8"/>
      <c r="E113" s="8"/>
      <c r="F113" s="8"/>
      <c r="G113" s="8" t="s">
        <v>46</v>
      </c>
      <c r="H113" s="8" t="s">
        <v>47</v>
      </c>
      <c r="I113" s="33" t="s">
        <v>384</v>
      </c>
      <c r="J113" s="8"/>
      <c r="K113" s="8" t="s">
        <v>48</v>
      </c>
      <c r="L113" s="8" t="s">
        <v>49</v>
      </c>
      <c r="M113" s="8" t="s">
        <v>49</v>
      </c>
      <c r="N113" s="8"/>
      <c r="O113" s="8">
        <v>0</v>
      </c>
      <c r="P113" s="8">
        <v>0</v>
      </c>
      <c r="Q113" s="6" t="str">
        <f t="shared" si="3"/>
        <v>Knema attenuata</v>
      </c>
      <c r="R113" s="10" t="s">
        <v>142</v>
      </c>
      <c r="U113" s="8"/>
      <c r="V113" s="8"/>
      <c r="W113" s="8"/>
      <c r="X113" s="8"/>
      <c r="Y113" s="8"/>
      <c r="Z113" s="14" t="s">
        <v>141</v>
      </c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</row>
    <row r="114" spans="1:48" ht="18.75" customHeight="1">
      <c r="A114" s="5" t="s">
        <v>95</v>
      </c>
      <c r="D114" s="8"/>
      <c r="E114" s="8"/>
      <c r="F114" s="8"/>
      <c r="G114" s="8" t="s">
        <v>46</v>
      </c>
      <c r="H114" s="8" t="s">
        <v>47</v>
      </c>
      <c r="I114" s="33" t="s">
        <v>463</v>
      </c>
      <c r="J114" s="8"/>
      <c r="K114" s="8" t="s">
        <v>48</v>
      </c>
      <c r="L114" s="8" t="s">
        <v>49</v>
      </c>
      <c r="M114" s="8" t="s">
        <v>49</v>
      </c>
      <c r="N114" s="8"/>
      <c r="O114" s="8">
        <v>0</v>
      </c>
      <c r="P114" s="8">
        <v>0</v>
      </c>
      <c r="Q114" s="6" t="str">
        <f t="shared" si="3"/>
        <v>Lagerstroemia microcarpa</v>
      </c>
      <c r="R114" s="10" t="s">
        <v>96</v>
      </c>
      <c r="U114" s="8"/>
      <c r="V114" s="8"/>
      <c r="W114" s="8"/>
      <c r="X114" s="8"/>
      <c r="Y114" s="8"/>
      <c r="Z114" s="5" t="s">
        <v>95</v>
      </c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</row>
    <row r="115" spans="1:48" ht="18.75" customHeight="1">
      <c r="A115" s="21" t="s">
        <v>250</v>
      </c>
      <c r="D115" s="8"/>
      <c r="E115" s="8"/>
      <c r="F115" s="8"/>
      <c r="G115" s="8" t="s">
        <v>46</v>
      </c>
      <c r="H115" s="8" t="s">
        <v>47</v>
      </c>
      <c r="I115" s="33" t="s">
        <v>385</v>
      </c>
      <c r="J115" s="8"/>
      <c r="K115" s="8" t="s">
        <v>48</v>
      </c>
      <c r="L115" s="8" t="s">
        <v>49</v>
      </c>
      <c r="M115" s="8" t="s">
        <v>49</v>
      </c>
      <c r="N115" s="8"/>
      <c r="O115" s="8">
        <v>0</v>
      </c>
      <c r="P115" s="8">
        <v>0</v>
      </c>
      <c r="Q115" s="6" t="str">
        <f t="shared" si="3"/>
        <v>Lepidagathis trinervis</v>
      </c>
      <c r="R115" s="7" t="s">
        <v>242</v>
      </c>
      <c r="T115" s="18" t="s">
        <v>243</v>
      </c>
      <c r="U115" s="8"/>
      <c r="V115" s="8"/>
      <c r="W115" s="8"/>
      <c r="X115" s="8"/>
      <c r="Y115" s="8"/>
      <c r="Z115" s="21" t="s">
        <v>250</v>
      </c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</row>
    <row r="116" spans="1:48" ht="18.75" customHeight="1">
      <c r="A116" s="5" t="s">
        <v>51</v>
      </c>
      <c r="B116" s="6"/>
      <c r="D116" s="8"/>
      <c r="E116" s="9"/>
      <c r="F116" s="8"/>
      <c r="G116" s="8" t="s">
        <v>46</v>
      </c>
      <c r="H116" s="8" t="s">
        <v>47</v>
      </c>
      <c r="I116" s="33" t="s">
        <v>464</v>
      </c>
      <c r="J116" s="8"/>
      <c r="K116" s="8" t="s">
        <v>48</v>
      </c>
      <c r="L116" s="8" t="s">
        <v>49</v>
      </c>
      <c r="M116" s="8" t="s">
        <v>49</v>
      </c>
      <c r="N116" s="8"/>
      <c r="O116" s="8">
        <v>0</v>
      </c>
      <c r="P116" s="8">
        <v>0</v>
      </c>
      <c r="Q116" s="6" t="str">
        <f t="shared" si="3"/>
        <v>Lepisanthes tetraphylla</v>
      </c>
      <c r="R116" s="10" t="s">
        <v>45</v>
      </c>
      <c r="U116" s="8"/>
      <c r="V116" s="8"/>
      <c r="W116" s="8"/>
      <c r="X116" s="8"/>
      <c r="Y116" s="8"/>
      <c r="Z116" s="5" t="s">
        <v>51</v>
      </c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</row>
    <row r="117" spans="1:48" ht="18.75" customHeight="1">
      <c r="A117" s="21" t="s">
        <v>211</v>
      </c>
      <c r="B117" s="30"/>
      <c r="D117" s="8"/>
      <c r="E117" s="8"/>
      <c r="F117" s="8"/>
      <c r="G117" s="8" t="s">
        <v>46</v>
      </c>
      <c r="H117" s="8" t="s">
        <v>47</v>
      </c>
      <c r="I117" s="33" t="s">
        <v>386</v>
      </c>
      <c r="J117" s="8"/>
      <c r="K117" s="8" t="s">
        <v>48</v>
      </c>
      <c r="L117" s="8" t="s">
        <v>49</v>
      </c>
      <c r="M117" s="8" t="s">
        <v>49</v>
      </c>
      <c r="N117" s="8"/>
      <c r="O117" s="8">
        <v>0</v>
      </c>
      <c r="P117" s="8">
        <v>0</v>
      </c>
      <c r="Q117" s="6" t="str">
        <f t="shared" si="3"/>
        <v xml:space="preserve">Ligustrum Sp. </v>
      </c>
      <c r="R117" s="7" t="s">
        <v>207</v>
      </c>
      <c r="T117" s="18" t="s">
        <v>138</v>
      </c>
      <c r="U117" s="8"/>
      <c r="V117" s="8"/>
      <c r="W117" s="8"/>
      <c r="X117" s="8"/>
      <c r="Y117" s="8"/>
      <c r="Z117" s="21" t="s">
        <v>211</v>
      </c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</row>
    <row r="118" spans="1:48" ht="18.75" customHeight="1">
      <c r="A118" s="5" t="s">
        <v>103</v>
      </c>
      <c r="B118" s="32"/>
      <c r="D118" s="8"/>
      <c r="E118" s="8"/>
      <c r="F118" s="8"/>
      <c r="G118" s="8" t="s">
        <v>46</v>
      </c>
      <c r="H118" s="8" t="s">
        <v>47</v>
      </c>
      <c r="I118" s="33" t="s">
        <v>465</v>
      </c>
      <c r="J118" s="8"/>
      <c r="K118" s="8" t="s">
        <v>48</v>
      </c>
      <c r="L118" s="8" t="s">
        <v>49</v>
      </c>
      <c r="M118" s="8" t="s">
        <v>49</v>
      </c>
      <c r="N118" s="8"/>
      <c r="O118" s="8">
        <v>0</v>
      </c>
      <c r="P118" s="8">
        <v>0</v>
      </c>
      <c r="Q118" s="6" t="str">
        <f t="shared" si="3"/>
        <v>Litsea coriacea</v>
      </c>
      <c r="R118" s="12" t="s">
        <v>98</v>
      </c>
      <c r="U118" s="8"/>
      <c r="V118" s="8"/>
      <c r="W118" s="8"/>
      <c r="X118" s="8"/>
      <c r="Y118" s="8"/>
      <c r="Z118" s="5" t="s">
        <v>103</v>
      </c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</row>
    <row r="119" spans="1:48" ht="18.75" customHeight="1">
      <c r="A119" s="14" t="s">
        <v>161</v>
      </c>
      <c r="D119" s="8"/>
      <c r="E119" s="8"/>
      <c r="F119" s="8"/>
      <c r="G119" s="8" t="s">
        <v>46</v>
      </c>
      <c r="H119" s="8" t="s">
        <v>47</v>
      </c>
      <c r="I119" s="33" t="s">
        <v>387</v>
      </c>
      <c r="J119" s="8"/>
      <c r="K119" s="8" t="s">
        <v>48</v>
      </c>
      <c r="L119" s="8" t="s">
        <v>49</v>
      </c>
      <c r="M119" s="8" t="s">
        <v>49</v>
      </c>
      <c r="N119" s="8"/>
      <c r="O119" s="8">
        <v>0</v>
      </c>
      <c r="P119" s="8">
        <v>0</v>
      </c>
      <c r="Q119" s="6" t="str">
        <f t="shared" si="3"/>
        <v>Litsea glutinosa</v>
      </c>
      <c r="R119" s="12" t="s">
        <v>155</v>
      </c>
      <c r="U119" s="8"/>
      <c r="V119" s="8"/>
      <c r="W119" s="8"/>
      <c r="X119" s="8"/>
      <c r="Y119" s="8"/>
      <c r="Z119" s="14" t="s">
        <v>161</v>
      </c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</row>
    <row r="120" spans="1:48" ht="18.75" customHeight="1">
      <c r="A120" s="14" t="s">
        <v>175</v>
      </c>
      <c r="D120" s="8"/>
      <c r="E120" s="8"/>
      <c r="F120" s="8"/>
      <c r="G120" s="8" t="s">
        <v>46</v>
      </c>
      <c r="H120" s="8" t="s">
        <v>47</v>
      </c>
      <c r="I120" s="33" t="s">
        <v>388</v>
      </c>
      <c r="J120" s="8"/>
      <c r="K120" s="8" t="s">
        <v>48</v>
      </c>
      <c r="L120" s="8" t="s">
        <v>49</v>
      </c>
      <c r="M120" s="8" t="s">
        <v>49</v>
      </c>
      <c r="N120" s="8"/>
      <c r="O120" s="8">
        <v>0</v>
      </c>
      <c r="P120" s="8">
        <v>0</v>
      </c>
      <c r="Q120" s="6" t="str">
        <f t="shared" si="3"/>
        <v>Litsea oleoides</v>
      </c>
      <c r="R120" s="12" t="s">
        <v>114</v>
      </c>
      <c r="T120" s="7" t="s">
        <v>125</v>
      </c>
      <c r="U120" s="8"/>
      <c r="V120" s="8"/>
      <c r="W120" s="8"/>
      <c r="X120" s="8"/>
      <c r="Y120" s="8"/>
      <c r="Z120" s="14" t="s">
        <v>175</v>
      </c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</row>
    <row r="121" spans="1:48" ht="18.75" customHeight="1">
      <c r="A121" s="21" t="s">
        <v>193</v>
      </c>
      <c r="D121" s="8"/>
      <c r="E121" s="8"/>
      <c r="F121" s="8"/>
      <c r="G121" s="8" t="s">
        <v>46</v>
      </c>
      <c r="H121" s="8" t="s">
        <v>47</v>
      </c>
      <c r="I121" s="33" t="s">
        <v>466</v>
      </c>
      <c r="J121" s="8"/>
      <c r="K121" s="8" t="s">
        <v>48</v>
      </c>
      <c r="L121" s="8" t="s">
        <v>49</v>
      </c>
      <c r="M121" s="8" t="s">
        <v>49</v>
      </c>
      <c r="N121" s="8"/>
      <c r="O121" s="8">
        <v>0</v>
      </c>
      <c r="P121" s="8">
        <v>0</v>
      </c>
      <c r="Q121" s="6" t="str">
        <f t="shared" si="3"/>
        <v>Livistona jenkinsiana</v>
      </c>
      <c r="R121" s="18" t="s">
        <v>187</v>
      </c>
      <c r="T121" s="18" t="s">
        <v>188</v>
      </c>
      <c r="U121" s="8"/>
      <c r="V121" s="8"/>
      <c r="W121" s="8"/>
      <c r="X121" s="8"/>
      <c r="Y121" s="8"/>
      <c r="Z121" s="21" t="s">
        <v>193</v>
      </c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</row>
    <row r="122" spans="1:48" ht="18.75" customHeight="1">
      <c r="A122" s="5" t="s">
        <v>106</v>
      </c>
      <c r="B122" s="32"/>
      <c r="D122" s="8"/>
      <c r="E122" s="8"/>
      <c r="F122" s="8"/>
      <c r="G122" s="8" t="s">
        <v>46</v>
      </c>
      <c r="H122" s="8" t="s">
        <v>47</v>
      </c>
      <c r="I122" s="33" t="s">
        <v>467</v>
      </c>
      <c r="J122" s="8"/>
      <c r="K122" s="8" t="s">
        <v>48</v>
      </c>
      <c r="L122" s="8" t="s">
        <v>49</v>
      </c>
      <c r="M122" s="8" t="s">
        <v>49</v>
      </c>
      <c r="N122" s="8"/>
      <c r="O122" s="8">
        <v>0</v>
      </c>
      <c r="P122" s="8">
        <v>0</v>
      </c>
      <c r="Q122" s="6" t="str">
        <f t="shared" si="3"/>
        <v>Maesa indica</v>
      </c>
      <c r="R122" s="12" t="s">
        <v>98</v>
      </c>
      <c r="U122" s="8"/>
      <c r="V122" s="8"/>
      <c r="W122" s="8"/>
      <c r="X122" s="8"/>
      <c r="Y122" s="8"/>
      <c r="Z122" s="5" t="s">
        <v>106</v>
      </c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</row>
    <row r="123" spans="1:48" ht="18.75" customHeight="1">
      <c r="A123" s="21" t="s">
        <v>234</v>
      </c>
      <c r="B123" s="32"/>
      <c r="D123" s="8"/>
      <c r="E123" s="8"/>
      <c r="F123" s="8"/>
      <c r="G123" s="8" t="s">
        <v>46</v>
      </c>
      <c r="H123" s="8" t="s">
        <v>47</v>
      </c>
      <c r="I123" s="33" t="s">
        <v>389</v>
      </c>
      <c r="J123" s="8"/>
      <c r="K123" s="8" t="s">
        <v>48</v>
      </c>
      <c r="L123" s="8" t="s">
        <v>49</v>
      </c>
      <c r="M123" s="8" t="s">
        <v>49</v>
      </c>
      <c r="N123" s="8"/>
      <c r="O123" s="8">
        <v>0</v>
      </c>
      <c r="P123" s="8">
        <v>0</v>
      </c>
      <c r="Q123" s="6" t="str">
        <f t="shared" si="3"/>
        <v>Malaxis versicolor</v>
      </c>
      <c r="R123" s="7" t="s">
        <v>207</v>
      </c>
      <c r="T123" s="7" t="s">
        <v>235</v>
      </c>
      <c r="U123" s="8"/>
      <c r="V123" s="8"/>
      <c r="W123" s="8"/>
      <c r="X123" s="8"/>
      <c r="Y123" s="8"/>
      <c r="Z123" s="21" t="s">
        <v>234</v>
      </c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</row>
    <row r="124" spans="1:48" ht="18.75" customHeight="1">
      <c r="A124" s="5" t="s">
        <v>69</v>
      </c>
      <c r="B124" s="32"/>
      <c r="D124" s="8"/>
      <c r="E124" s="8"/>
      <c r="F124" s="8"/>
      <c r="G124" s="8" t="s">
        <v>46</v>
      </c>
      <c r="H124" s="8" t="s">
        <v>47</v>
      </c>
      <c r="I124" s="33" t="s">
        <v>390</v>
      </c>
      <c r="J124" s="8"/>
      <c r="K124" s="8" t="s">
        <v>48</v>
      </c>
      <c r="L124" s="8" t="s">
        <v>49</v>
      </c>
      <c r="M124" s="8" t="s">
        <v>49</v>
      </c>
      <c r="N124" s="8"/>
      <c r="O124" s="8">
        <v>0</v>
      </c>
      <c r="P124" s="8">
        <v>0</v>
      </c>
      <c r="Q124" s="6" t="str">
        <f t="shared" si="3"/>
        <v>Mallotus philippensis</v>
      </c>
      <c r="R124" s="12" t="s">
        <v>67</v>
      </c>
      <c r="U124" s="8"/>
      <c r="V124" s="8"/>
      <c r="W124" s="8"/>
      <c r="X124" s="8"/>
      <c r="Y124" s="8"/>
      <c r="Z124" s="5" t="s">
        <v>69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</row>
    <row r="125" spans="1:48" ht="18.75" customHeight="1">
      <c r="A125" s="14" t="s">
        <v>131</v>
      </c>
      <c r="B125" s="32"/>
      <c r="D125" s="8"/>
      <c r="E125" s="8"/>
      <c r="F125" s="8"/>
      <c r="G125" s="8" t="s">
        <v>46</v>
      </c>
      <c r="H125" s="8" t="s">
        <v>47</v>
      </c>
      <c r="I125" s="33" t="s">
        <v>391</v>
      </c>
      <c r="J125" s="8"/>
      <c r="K125" s="8" t="s">
        <v>48</v>
      </c>
      <c r="L125" s="8" t="s">
        <v>49</v>
      </c>
      <c r="M125" s="8" t="s">
        <v>49</v>
      </c>
      <c r="N125" s="8"/>
      <c r="O125" s="8">
        <v>0</v>
      </c>
      <c r="P125" s="8">
        <v>0</v>
      </c>
      <c r="Q125" s="6" t="str">
        <f t="shared" si="3"/>
        <v>Meliosma simplicifolia</v>
      </c>
      <c r="R125" s="12" t="s">
        <v>114</v>
      </c>
      <c r="U125" s="8"/>
      <c r="V125" s="8"/>
      <c r="W125" s="8"/>
      <c r="X125" s="8"/>
      <c r="Y125" s="8"/>
      <c r="Z125" s="14" t="s">
        <v>131</v>
      </c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</row>
    <row r="126" spans="1:48" ht="18.75" customHeight="1">
      <c r="A126" s="5" t="s">
        <v>107</v>
      </c>
      <c r="B126" s="32"/>
      <c r="D126" s="8"/>
      <c r="E126" s="8"/>
      <c r="F126" s="8"/>
      <c r="G126" s="8" t="s">
        <v>46</v>
      </c>
      <c r="H126" s="8" t="s">
        <v>47</v>
      </c>
      <c r="I126" s="33" t="s">
        <v>468</v>
      </c>
      <c r="J126" s="8"/>
      <c r="K126" s="8" t="s">
        <v>48</v>
      </c>
      <c r="L126" s="8" t="s">
        <v>49</v>
      </c>
      <c r="M126" s="8" t="s">
        <v>49</v>
      </c>
      <c r="N126" s="8"/>
      <c r="O126" s="8">
        <v>0</v>
      </c>
      <c r="P126" s="8">
        <v>0</v>
      </c>
      <c r="Q126" s="6" t="str">
        <f t="shared" si="3"/>
        <v>Memecylon malabaricum</v>
      </c>
      <c r="R126" s="12" t="s">
        <v>98</v>
      </c>
      <c r="U126" s="8"/>
      <c r="V126" s="8"/>
      <c r="W126" s="8"/>
      <c r="X126" s="8"/>
      <c r="Y126" s="8"/>
      <c r="Z126" s="5" t="s">
        <v>107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</row>
    <row r="127" spans="1:48" ht="18.75" customHeight="1">
      <c r="A127" s="5" t="s">
        <v>61</v>
      </c>
      <c r="B127" s="32"/>
      <c r="D127" s="8"/>
      <c r="E127" s="8"/>
      <c r="F127" s="8"/>
      <c r="G127" s="8" t="s">
        <v>46</v>
      </c>
      <c r="H127" s="8" t="s">
        <v>47</v>
      </c>
      <c r="I127" s="33" t="s">
        <v>469</v>
      </c>
      <c r="J127" s="8"/>
      <c r="K127" s="8" t="s">
        <v>48</v>
      </c>
      <c r="L127" s="8" t="s">
        <v>49</v>
      </c>
      <c r="M127" s="8" t="s">
        <v>49</v>
      </c>
      <c r="N127" s="8"/>
      <c r="O127" s="8">
        <v>0</v>
      </c>
      <c r="P127" s="8">
        <v>0</v>
      </c>
      <c r="Q127" s="6" t="str">
        <f t="shared" si="3"/>
        <v>Memecylon umbellatum</v>
      </c>
      <c r="R127" s="10" t="s">
        <v>45</v>
      </c>
      <c r="U127" s="8"/>
      <c r="V127" s="8"/>
      <c r="W127" s="8"/>
      <c r="X127" s="8"/>
      <c r="Y127" s="8"/>
      <c r="Z127" s="5" t="s">
        <v>61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</row>
    <row r="128" spans="1:48" ht="18.75" customHeight="1">
      <c r="A128" s="14" t="s">
        <v>126</v>
      </c>
      <c r="B128" s="32"/>
      <c r="D128" s="8"/>
      <c r="E128" s="8"/>
      <c r="F128" s="8"/>
      <c r="G128" s="8" t="s">
        <v>46</v>
      </c>
      <c r="H128" s="8" t="s">
        <v>47</v>
      </c>
      <c r="I128" s="33" t="s">
        <v>470</v>
      </c>
      <c r="J128" s="8"/>
      <c r="K128" s="8" t="s">
        <v>48</v>
      </c>
      <c r="L128" s="8" t="s">
        <v>49</v>
      </c>
      <c r="M128" s="8" t="s">
        <v>49</v>
      </c>
      <c r="N128" s="8"/>
      <c r="O128" s="8">
        <v>0</v>
      </c>
      <c r="P128" s="8">
        <v>0</v>
      </c>
      <c r="Q128" s="6" t="str">
        <f t="shared" si="3"/>
        <v>Mesua ferrea</v>
      </c>
      <c r="R128" s="12" t="s">
        <v>114</v>
      </c>
      <c r="T128" s="7" t="s">
        <v>125</v>
      </c>
      <c r="U128" s="8"/>
      <c r="V128" s="8"/>
      <c r="W128" s="8"/>
      <c r="X128" s="8"/>
      <c r="Y128" s="8"/>
      <c r="Z128" s="14" t="s">
        <v>126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</row>
    <row r="129" spans="1:48" ht="18.75" customHeight="1">
      <c r="A129" s="14" t="s">
        <v>157</v>
      </c>
      <c r="B129" s="32"/>
      <c r="D129" s="8"/>
      <c r="E129" s="8"/>
      <c r="F129" s="8"/>
      <c r="G129" s="8" t="s">
        <v>46</v>
      </c>
      <c r="H129" s="8" t="s">
        <v>47</v>
      </c>
      <c r="I129" s="33" t="s">
        <v>392</v>
      </c>
      <c r="J129" s="8"/>
      <c r="K129" s="8" t="s">
        <v>48</v>
      </c>
      <c r="L129" s="8" t="s">
        <v>49</v>
      </c>
      <c r="M129" s="8" t="s">
        <v>49</v>
      </c>
      <c r="N129" s="8"/>
      <c r="O129" s="8">
        <v>0</v>
      </c>
      <c r="P129" s="8">
        <v>0</v>
      </c>
      <c r="Q129" s="6" t="str">
        <f t="shared" si="3"/>
        <v>Miliusa tomentosa</v>
      </c>
      <c r="R129" s="12" t="s">
        <v>155</v>
      </c>
      <c r="U129" s="8"/>
      <c r="V129" s="8"/>
      <c r="W129" s="8"/>
      <c r="X129" s="8"/>
      <c r="Y129" s="8"/>
      <c r="Z129" s="14" t="s">
        <v>157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</row>
    <row r="130" spans="1:48" ht="18.75" customHeight="1">
      <c r="A130" s="21" t="s">
        <v>212</v>
      </c>
      <c r="B130" s="30"/>
      <c r="D130" s="8"/>
      <c r="E130" s="8"/>
      <c r="F130" s="8"/>
      <c r="G130" s="8" t="s">
        <v>46</v>
      </c>
      <c r="H130" s="8" t="s">
        <v>47</v>
      </c>
      <c r="I130" s="33" t="s">
        <v>393</v>
      </c>
      <c r="J130" s="8"/>
      <c r="K130" s="8" t="s">
        <v>48</v>
      </c>
      <c r="L130" s="8" t="s">
        <v>49</v>
      </c>
      <c r="M130" s="8" t="s">
        <v>49</v>
      </c>
      <c r="N130" s="8"/>
      <c r="O130" s="8">
        <v>0</v>
      </c>
      <c r="P130" s="8">
        <v>0</v>
      </c>
      <c r="Q130" s="6" t="str">
        <f t="shared" si="3"/>
        <v>Millettia Pinata</v>
      </c>
      <c r="R130" s="7" t="s">
        <v>207</v>
      </c>
      <c r="T130" s="18" t="s">
        <v>138</v>
      </c>
      <c r="U130" s="8"/>
      <c r="V130" s="8"/>
      <c r="W130" s="8"/>
      <c r="X130" s="8"/>
      <c r="Y130" s="8"/>
      <c r="Z130" s="21" t="s">
        <v>212</v>
      </c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</row>
    <row r="131" spans="1:48" ht="18.75" customHeight="1">
      <c r="A131" s="7" t="s">
        <v>224</v>
      </c>
      <c r="B131" s="30"/>
      <c r="D131" s="8"/>
      <c r="E131" s="8"/>
      <c r="F131" s="8"/>
      <c r="G131" s="8" t="s">
        <v>46</v>
      </c>
      <c r="H131" s="8" t="s">
        <v>47</v>
      </c>
      <c r="I131" s="33" t="s">
        <v>394</v>
      </c>
      <c r="J131" s="8"/>
      <c r="K131" s="8" t="s">
        <v>48</v>
      </c>
      <c r="L131" s="8" t="s">
        <v>49</v>
      </c>
      <c r="M131" s="8" t="s">
        <v>49</v>
      </c>
      <c r="N131" s="8"/>
      <c r="O131" s="8">
        <v>0</v>
      </c>
      <c r="P131" s="8">
        <v>0</v>
      </c>
      <c r="Q131" s="6" t="str">
        <f t="shared" si="3"/>
        <v>Mitragyna parvifolia</v>
      </c>
      <c r="R131" s="7" t="s">
        <v>217</v>
      </c>
      <c r="T131" s="18" t="s">
        <v>218</v>
      </c>
      <c r="U131" s="8"/>
      <c r="V131" s="8"/>
      <c r="W131" s="8"/>
      <c r="X131" s="8"/>
      <c r="Y131" s="8"/>
      <c r="Z131" s="7" t="s">
        <v>224</v>
      </c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</row>
    <row r="132" spans="1:48" ht="18.75" customHeight="1">
      <c r="A132" s="6" t="s">
        <v>232</v>
      </c>
      <c r="B132" s="30"/>
      <c r="D132" s="8"/>
      <c r="E132" s="8"/>
      <c r="F132" s="8"/>
      <c r="G132" s="8" t="s">
        <v>46</v>
      </c>
      <c r="H132" s="8" t="s">
        <v>47</v>
      </c>
      <c r="I132" s="33" t="s">
        <v>395</v>
      </c>
      <c r="J132" s="8"/>
      <c r="K132" s="8" t="s">
        <v>48</v>
      </c>
      <c r="L132" s="8" t="s">
        <v>49</v>
      </c>
      <c r="M132" s="8" t="s">
        <v>49</v>
      </c>
      <c r="N132" s="8"/>
      <c r="O132" s="8">
        <v>0</v>
      </c>
      <c r="P132" s="8">
        <v>0</v>
      </c>
      <c r="Q132" s="6" t="str">
        <f t="shared" si="3"/>
        <v>Moringa concanensis</v>
      </c>
      <c r="R132" s="7" t="s">
        <v>217</v>
      </c>
      <c r="T132" s="18" t="s">
        <v>218</v>
      </c>
      <c r="U132" s="8"/>
      <c r="V132" s="8"/>
      <c r="W132" s="8"/>
      <c r="X132" s="8"/>
      <c r="Y132" s="8"/>
      <c r="Z132" s="6" t="s">
        <v>232</v>
      </c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</row>
    <row r="133" spans="1:48" ht="18.75" customHeight="1">
      <c r="A133" s="14" t="s">
        <v>165</v>
      </c>
      <c r="B133" s="32"/>
      <c r="D133" s="8"/>
      <c r="E133" s="8"/>
      <c r="F133" s="8"/>
      <c r="G133" s="8" t="s">
        <v>46</v>
      </c>
      <c r="H133" s="8" t="s">
        <v>47</v>
      </c>
      <c r="I133" s="33" t="s">
        <v>471</v>
      </c>
      <c r="J133" s="8"/>
      <c r="K133" s="8" t="s">
        <v>48</v>
      </c>
      <c r="L133" s="8" t="s">
        <v>49</v>
      </c>
      <c r="M133" s="8" t="s">
        <v>49</v>
      </c>
      <c r="N133" s="8"/>
      <c r="O133" s="8">
        <v>0</v>
      </c>
      <c r="P133" s="8">
        <v>0</v>
      </c>
      <c r="Q133" s="6" t="str">
        <f t="shared" si="3"/>
        <v>Murraya koenigii</v>
      </c>
      <c r="R133" s="12" t="s">
        <v>155</v>
      </c>
      <c r="U133" s="8"/>
      <c r="V133" s="8"/>
      <c r="W133" s="8"/>
      <c r="X133" s="8"/>
      <c r="Y133" s="8"/>
      <c r="Z133" s="14" t="s">
        <v>165</v>
      </c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</row>
    <row r="134" spans="1:48" ht="18.75" customHeight="1">
      <c r="A134" s="5" t="s">
        <v>94</v>
      </c>
      <c r="B134" s="32"/>
      <c r="D134" s="8"/>
      <c r="E134" s="8"/>
      <c r="F134" s="8"/>
      <c r="G134" s="8" t="s">
        <v>46</v>
      </c>
      <c r="H134" s="8" t="s">
        <v>47</v>
      </c>
      <c r="I134" s="33" t="s">
        <v>472</v>
      </c>
      <c r="J134" s="8"/>
      <c r="K134" s="8" t="s">
        <v>48</v>
      </c>
      <c r="L134" s="8" t="s">
        <v>49</v>
      </c>
      <c r="M134" s="8" t="s">
        <v>49</v>
      </c>
      <c r="N134" s="8"/>
      <c r="O134" s="8">
        <v>0</v>
      </c>
      <c r="P134" s="8">
        <v>0</v>
      </c>
      <c r="Q134" s="6" t="str">
        <f t="shared" si="3"/>
        <v>Murraya paniculata</v>
      </c>
      <c r="R134" s="12" t="s">
        <v>80</v>
      </c>
      <c r="U134" s="8"/>
      <c r="V134" s="8"/>
      <c r="W134" s="8"/>
      <c r="X134" s="8"/>
      <c r="Y134" s="8"/>
      <c r="Z134" s="5" t="s">
        <v>94</v>
      </c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</row>
    <row r="135" spans="1:48" ht="18.75" customHeight="1">
      <c r="A135" s="5" t="s">
        <v>93</v>
      </c>
      <c r="B135" s="32"/>
      <c r="D135" s="8"/>
      <c r="E135" s="8"/>
      <c r="F135" s="8"/>
      <c r="G135" s="8" t="s">
        <v>46</v>
      </c>
      <c r="H135" s="8" t="s">
        <v>47</v>
      </c>
      <c r="I135" s="33" t="s">
        <v>396</v>
      </c>
      <c r="J135" s="8"/>
      <c r="K135" s="8" t="s">
        <v>48</v>
      </c>
      <c r="L135" s="8" t="s">
        <v>49</v>
      </c>
      <c r="M135" s="8" t="s">
        <v>49</v>
      </c>
      <c r="N135" s="8"/>
      <c r="O135" s="8">
        <v>0</v>
      </c>
      <c r="P135" s="8">
        <v>0</v>
      </c>
      <c r="Q135" s="6" t="str">
        <f t="shared" si="3"/>
        <v>Naringi crenulata</v>
      </c>
      <c r="R135" s="12" t="s">
        <v>80</v>
      </c>
      <c r="U135" s="8"/>
      <c r="V135" s="8"/>
      <c r="W135" s="8"/>
      <c r="X135" s="8"/>
      <c r="Y135" s="8"/>
      <c r="Z135" s="5" t="s">
        <v>93</v>
      </c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</row>
    <row r="136" spans="1:48" ht="18.75" customHeight="1">
      <c r="A136" s="14" t="s">
        <v>156</v>
      </c>
      <c r="B136" s="31"/>
      <c r="D136" s="8"/>
      <c r="E136" s="8"/>
      <c r="F136" s="8"/>
      <c r="G136" s="8" t="s">
        <v>46</v>
      </c>
      <c r="H136" s="8" t="s">
        <v>47</v>
      </c>
      <c r="I136" s="33" t="s">
        <v>397</v>
      </c>
      <c r="J136" s="8"/>
      <c r="K136" s="8" t="s">
        <v>48</v>
      </c>
      <c r="L136" s="8" t="s">
        <v>49</v>
      </c>
      <c r="M136" s="8" t="s">
        <v>49</v>
      </c>
      <c r="N136" s="8"/>
      <c r="O136" s="8">
        <v>0</v>
      </c>
      <c r="P136" s="8">
        <v>0</v>
      </c>
      <c r="Q136" s="6" t="str">
        <f t="shared" si="3"/>
        <v>Neolamarckia cadamba</v>
      </c>
      <c r="R136" s="12" t="s">
        <v>155</v>
      </c>
      <c r="U136" s="8"/>
      <c r="V136" s="8"/>
      <c r="W136" s="8"/>
      <c r="X136" s="8"/>
      <c r="Y136" s="8"/>
      <c r="Z136" s="14" t="s">
        <v>156</v>
      </c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</row>
    <row r="137" spans="1:48" ht="18.75" customHeight="1">
      <c r="A137" s="21" t="s">
        <v>236</v>
      </c>
      <c r="B137" s="31"/>
      <c r="D137" s="8"/>
      <c r="E137" s="8"/>
      <c r="F137" s="8"/>
      <c r="G137" s="8" t="s">
        <v>46</v>
      </c>
      <c r="H137" s="8" t="s">
        <v>47</v>
      </c>
      <c r="I137" s="33" t="s">
        <v>398</v>
      </c>
      <c r="J137" s="8"/>
      <c r="K137" s="8" t="s">
        <v>48</v>
      </c>
      <c r="L137" s="8" t="s">
        <v>49</v>
      </c>
      <c r="M137" s="8" t="s">
        <v>49</v>
      </c>
      <c r="N137" s="8"/>
      <c r="O137" s="8">
        <v>0</v>
      </c>
      <c r="P137" s="8">
        <v>0</v>
      </c>
      <c r="Q137" s="6" t="str">
        <f t="shared" ref="Q137:Q168" si="4">A137</f>
        <v>Ophioglossum reticulatum</v>
      </c>
      <c r="R137" s="7" t="s">
        <v>207</v>
      </c>
      <c r="T137" s="7" t="s">
        <v>235</v>
      </c>
      <c r="U137" s="8"/>
      <c r="V137" s="8"/>
      <c r="W137" s="8"/>
      <c r="X137" s="8"/>
      <c r="Y137" s="8"/>
      <c r="Z137" s="21" t="s">
        <v>236</v>
      </c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</row>
    <row r="138" spans="1:48" ht="18.75" customHeight="1">
      <c r="A138" s="14" t="s">
        <v>119</v>
      </c>
      <c r="B138" s="31"/>
      <c r="D138" s="8"/>
      <c r="E138" s="8"/>
      <c r="F138" s="8"/>
      <c r="G138" s="8" t="s">
        <v>46</v>
      </c>
      <c r="H138" s="8" t="s">
        <v>47</v>
      </c>
      <c r="I138" s="33" t="s">
        <v>399</v>
      </c>
      <c r="J138" s="8"/>
      <c r="K138" s="8" t="s">
        <v>48</v>
      </c>
      <c r="L138" s="8" t="s">
        <v>49</v>
      </c>
      <c r="M138" s="8" t="s">
        <v>49</v>
      </c>
      <c r="N138" s="8"/>
      <c r="O138" s="8">
        <v>0</v>
      </c>
      <c r="P138" s="8">
        <v>0</v>
      </c>
      <c r="Q138" s="6" t="str">
        <f t="shared" si="4"/>
        <v>Orophea erythrocarpa</v>
      </c>
      <c r="R138" s="12" t="s">
        <v>114</v>
      </c>
      <c r="U138" s="8"/>
      <c r="V138" s="8"/>
      <c r="W138" s="8"/>
      <c r="X138" s="8"/>
      <c r="Y138" s="8"/>
      <c r="Z138" s="14" t="s">
        <v>119</v>
      </c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</row>
    <row r="139" spans="1:48" ht="18.75" customHeight="1">
      <c r="A139" s="14" t="s">
        <v>124</v>
      </c>
      <c r="B139" s="31"/>
      <c r="D139" s="8"/>
      <c r="E139" s="8"/>
      <c r="F139" s="8"/>
      <c r="G139" s="8" t="s">
        <v>46</v>
      </c>
      <c r="H139" s="8" t="s">
        <v>47</v>
      </c>
      <c r="I139" s="33" t="s">
        <v>400</v>
      </c>
      <c r="J139" s="8"/>
      <c r="K139" s="8" t="s">
        <v>48</v>
      </c>
      <c r="L139" s="8" t="s">
        <v>49</v>
      </c>
      <c r="M139" s="8" t="s">
        <v>49</v>
      </c>
      <c r="N139" s="8"/>
      <c r="O139" s="8">
        <v>0</v>
      </c>
      <c r="P139" s="8">
        <v>0</v>
      </c>
      <c r="Q139" s="6" t="str">
        <f t="shared" si="4"/>
        <v>Palaquium ellipticum</v>
      </c>
      <c r="R139" s="12" t="s">
        <v>114</v>
      </c>
      <c r="T139" s="7" t="s">
        <v>125</v>
      </c>
      <c r="U139" s="8"/>
      <c r="V139" s="8"/>
      <c r="W139" s="8"/>
      <c r="X139" s="8"/>
      <c r="Y139" s="8"/>
      <c r="Z139" s="14" t="s">
        <v>124</v>
      </c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</row>
    <row r="140" spans="1:48" ht="18.75" customHeight="1">
      <c r="A140" s="21" t="s">
        <v>264</v>
      </c>
      <c r="B140" s="31"/>
      <c r="D140" s="8"/>
      <c r="E140" s="8"/>
      <c r="F140" s="8"/>
      <c r="G140" s="8" t="s">
        <v>46</v>
      </c>
      <c r="H140" s="8" t="s">
        <v>47</v>
      </c>
      <c r="I140" s="33" t="s">
        <v>401</v>
      </c>
      <c r="J140" s="8"/>
      <c r="K140" s="8" t="s">
        <v>48</v>
      </c>
      <c r="L140" s="8" t="s">
        <v>49</v>
      </c>
      <c r="M140" s="8" t="s">
        <v>49</v>
      </c>
      <c r="N140" s="8"/>
      <c r="O140" s="8">
        <v>0</v>
      </c>
      <c r="P140" s="8">
        <v>0</v>
      </c>
      <c r="Q140" s="6" t="str">
        <f t="shared" si="4"/>
        <v>Panicum turgidum</v>
      </c>
      <c r="R140" s="7" t="s">
        <v>217</v>
      </c>
      <c r="T140" s="18" t="s">
        <v>254</v>
      </c>
      <c r="U140" s="8"/>
      <c r="V140" s="8"/>
      <c r="W140" s="8"/>
      <c r="X140" s="8"/>
      <c r="Y140" s="8"/>
      <c r="Z140" s="21" t="s">
        <v>264</v>
      </c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</row>
    <row r="141" spans="1:48" ht="18.75" customHeight="1">
      <c r="A141" s="14" t="s">
        <v>166</v>
      </c>
      <c r="B141" s="31"/>
      <c r="D141" s="8"/>
      <c r="E141" s="8"/>
      <c r="F141" s="8"/>
      <c r="G141" s="8" t="s">
        <v>46</v>
      </c>
      <c r="H141" s="8" t="s">
        <v>47</v>
      </c>
      <c r="I141" s="33" t="s">
        <v>402</v>
      </c>
      <c r="J141" s="8"/>
      <c r="K141" s="8" t="s">
        <v>48</v>
      </c>
      <c r="L141" s="8" t="s">
        <v>49</v>
      </c>
      <c r="M141" s="8" t="s">
        <v>49</v>
      </c>
      <c r="N141" s="8"/>
      <c r="O141" s="8">
        <v>0</v>
      </c>
      <c r="P141" s="8">
        <v>0</v>
      </c>
      <c r="Q141" s="6" t="str">
        <f t="shared" si="4"/>
        <v>Pavetta crassicaulis</v>
      </c>
      <c r="R141" s="12" t="s">
        <v>155</v>
      </c>
      <c r="U141" s="8"/>
      <c r="V141" s="8"/>
      <c r="W141" s="8"/>
      <c r="X141" s="8"/>
      <c r="Y141" s="8"/>
      <c r="Z141" s="14" t="s">
        <v>166</v>
      </c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</row>
    <row r="142" spans="1:48" ht="18.75" customHeight="1">
      <c r="A142" s="21" t="s">
        <v>256</v>
      </c>
      <c r="B142" s="31"/>
      <c r="D142" s="8"/>
      <c r="E142" s="8"/>
      <c r="F142" s="8"/>
      <c r="G142" s="8" t="s">
        <v>46</v>
      </c>
      <c r="H142" s="8" t="s">
        <v>47</v>
      </c>
      <c r="I142" s="33" t="s">
        <v>403</v>
      </c>
      <c r="J142" s="8"/>
      <c r="K142" s="8" t="s">
        <v>48</v>
      </c>
      <c r="L142" s="8" t="s">
        <v>49</v>
      </c>
      <c r="M142" s="8" t="s">
        <v>49</v>
      </c>
      <c r="N142" s="8"/>
      <c r="O142" s="8">
        <v>0</v>
      </c>
      <c r="P142" s="8">
        <v>0</v>
      </c>
      <c r="Q142" s="6" t="str">
        <f t="shared" si="4"/>
        <v>Pennisetum divisum</v>
      </c>
      <c r="R142" s="7" t="s">
        <v>217</v>
      </c>
      <c r="T142" s="18" t="s">
        <v>254</v>
      </c>
      <c r="U142" s="8"/>
      <c r="V142" s="8"/>
      <c r="W142" s="8"/>
      <c r="X142" s="8"/>
      <c r="Y142" s="8"/>
      <c r="Z142" s="21" t="s">
        <v>256</v>
      </c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</row>
    <row r="143" spans="1:48" ht="18.75" customHeight="1">
      <c r="A143" s="5" t="s">
        <v>92</v>
      </c>
      <c r="B143" s="31"/>
      <c r="D143" s="8"/>
      <c r="E143" s="8"/>
      <c r="F143" s="8"/>
      <c r="G143" s="8" t="s">
        <v>46</v>
      </c>
      <c r="H143" s="8" t="s">
        <v>47</v>
      </c>
      <c r="I143" s="33" t="s">
        <v>404</v>
      </c>
      <c r="J143" s="8"/>
      <c r="K143" s="8" t="s">
        <v>48</v>
      </c>
      <c r="L143" s="8" t="s">
        <v>49</v>
      </c>
      <c r="M143" s="8" t="s">
        <v>49</v>
      </c>
      <c r="N143" s="8"/>
      <c r="O143" s="8">
        <v>0</v>
      </c>
      <c r="P143" s="8">
        <v>0</v>
      </c>
      <c r="Q143" s="6" t="str">
        <f t="shared" si="4"/>
        <v>Phyllanthus polyphyllus</v>
      </c>
      <c r="R143" s="12" t="s">
        <v>80</v>
      </c>
      <c r="U143" s="8"/>
      <c r="V143" s="8"/>
      <c r="W143" s="8"/>
      <c r="X143" s="8"/>
      <c r="Y143" s="8"/>
      <c r="Z143" s="5" t="s">
        <v>92</v>
      </c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</row>
    <row r="144" spans="1:48" ht="18.75" customHeight="1">
      <c r="A144" s="14" t="s">
        <v>143</v>
      </c>
      <c r="B144" s="31"/>
      <c r="D144" s="8"/>
      <c r="E144" s="8"/>
      <c r="F144" s="8"/>
      <c r="G144" s="8" t="s">
        <v>46</v>
      </c>
      <c r="H144" s="8" t="s">
        <v>47</v>
      </c>
      <c r="I144" s="33" t="s">
        <v>473</v>
      </c>
      <c r="J144" s="8"/>
      <c r="K144" s="8" t="s">
        <v>48</v>
      </c>
      <c r="L144" s="8" t="s">
        <v>49</v>
      </c>
      <c r="M144" s="8" t="s">
        <v>49</v>
      </c>
      <c r="N144" s="8"/>
      <c r="O144" s="8">
        <v>0</v>
      </c>
      <c r="P144" s="8">
        <v>0</v>
      </c>
      <c r="Q144" s="6" t="str">
        <f t="shared" si="4"/>
        <v>Poeciloneuron indicum</v>
      </c>
      <c r="R144" s="12" t="s">
        <v>142</v>
      </c>
      <c r="U144" s="8"/>
      <c r="V144" s="8"/>
      <c r="W144" s="8"/>
      <c r="X144" s="8"/>
      <c r="Y144" s="8"/>
      <c r="Z144" s="14" t="s">
        <v>143</v>
      </c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</row>
    <row r="145" spans="1:48" ht="18.75" customHeight="1">
      <c r="A145" s="21" t="s">
        <v>194</v>
      </c>
      <c r="B145" s="31"/>
      <c r="D145" s="8"/>
      <c r="E145" s="8"/>
      <c r="F145" s="8"/>
      <c r="G145" s="8" t="s">
        <v>46</v>
      </c>
      <c r="H145" s="8" t="s">
        <v>47</v>
      </c>
      <c r="I145" s="33" t="s">
        <v>474</v>
      </c>
      <c r="J145" s="8"/>
      <c r="K145" s="8" t="s">
        <v>48</v>
      </c>
      <c r="L145" s="8" t="s">
        <v>49</v>
      </c>
      <c r="M145" s="8" t="s">
        <v>49</v>
      </c>
      <c r="N145" s="8"/>
      <c r="O145" s="8">
        <v>0</v>
      </c>
      <c r="P145" s="8">
        <v>0</v>
      </c>
      <c r="Q145" s="6" t="str">
        <f t="shared" si="4"/>
        <v>Polyalthia simiarum</v>
      </c>
      <c r="R145" s="18" t="s">
        <v>187</v>
      </c>
      <c r="T145" s="18" t="s">
        <v>188</v>
      </c>
      <c r="U145" s="8"/>
      <c r="V145" s="8"/>
      <c r="W145" s="8"/>
      <c r="X145" s="8"/>
      <c r="Y145" s="8"/>
      <c r="Z145" s="21" t="s">
        <v>194</v>
      </c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</row>
    <row r="146" spans="1:48" ht="18.75" customHeight="1">
      <c r="A146" s="14" t="s">
        <v>140</v>
      </c>
      <c r="B146" s="31"/>
      <c r="D146" s="8"/>
      <c r="E146" s="8"/>
      <c r="F146" s="8"/>
      <c r="G146" s="8" t="s">
        <v>46</v>
      </c>
      <c r="H146" s="8" t="s">
        <v>47</v>
      </c>
      <c r="I146" s="33" t="s">
        <v>475</v>
      </c>
      <c r="J146" s="8"/>
      <c r="K146" s="8" t="s">
        <v>48</v>
      </c>
      <c r="L146" s="8" t="s">
        <v>49</v>
      </c>
      <c r="M146" s="8" t="s">
        <v>49</v>
      </c>
      <c r="N146" s="8"/>
      <c r="O146" s="8">
        <v>0</v>
      </c>
      <c r="P146" s="8">
        <v>0</v>
      </c>
      <c r="Q146" s="6" t="str">
        <f t="shared" si="4"/>
        <v>Polygala japonica</v>
      </c>
      <c r="R146" s="12" t="s">
        <v>114</v>
      </c>
      <c r="U146" s="8"/>
      <c r="V146" s="8"/>
      <c r="W146" s="8"/>
      <c r="X146" s="8"/>
      <c r="Y146" s="8"/>
      <c r="Z146" s="14" t="s">
        <v>140</v>
      </c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</row>
    <row r="147" spans="1:48" ht="18.75" customHeight="1">
      <c r="A147" s="5" t="s">
        <v>86</v>
      </c>
      <c r="B147" s="31"/>
      <c r="D147" s="8"/>
      <c r="E147" s="8"/>
      <c r="F147" s="8"/>
      <c r="G147" s="8" t="s">
        <v>46</v>
      </c>
      <c r="H147" s="8" t="s">
        <v>47</v>
      </c>
      <c r="I147" s="33" t="s">
        <v>405</v>
      </c>
      <c r="J147" s="8"/>
      <c r="K147" s="8" t="s">
        <v>48</v>
      </c>
      <c r="L147" s="8" t="s">
        <v>49</v>
      </c>
      <c r="M147" s="8" t="s">
        <v>49</v>
      </c>
      <c r="N147" s="8"/>
      <c r="O147" s="8">
        <v>0</v>
      </c>
      <c r="P147" s="8">
        <v>0</v>
      </c>
      <c r="Q147" s="6" t="str">
        <f t="shared" si="4"/>
        <v>Premna tomentosa</v>
      </c>
      <c r="R147" s="12" t="s">
        <v>80</v>
      </c>
      <c r="U147" s="8"/>
      <c r="V147" s="8"/>
      <c r="W147" s="8"/>
      <c r="X147" s="8"/>
      <c r="Y147" s="8"/>
      <c r="Z147" s="5" t="s">
        <v>86</v>
      </c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</row>
    <row r="148" spans="1:48" ht="18.75" customHeight="1">
      <c r="A148" s="21" t="s">
        <v>195</v>
      </c>
      <c r="B148" s="31"/>
      <c r="D148" s="8"/>
      <c r="E148" s="8"/>
      <c r="F148" s="8"/>
      <c r="G148" s="8" t="s">
        <v>46</v>
      </c>
      <c r="H148" s="8" t="s">
        <v>47</v>
      </c>
      <c r="I148" s="33" t="s">
        <v>406</v>
      </c>
      <c r="J148" s="8"/>
      <c r="K148" s="8" t="s">
        <v>48</v>
      </c>
      <c r="L148" s="8" t="s">
        <v>49</v>
      </c>
      <c r="M148" s="8" t="s">
        <v>49</v>
      </c>
      <c r="N148" s="8"/>
      <c r="O148" s="8">
        <v>0</v>
      </c>
      <c r="P148" s="8">
        <v>0</v>
      </c>
      <c r="Q148" s="6" t="str">
        <f t="shared" si="4"/>
        <v>Prunus ceylanica</v>
      </c>
      <c r="R148" s="18" t="s">
        <v>187</v>
      </c>
      <c r="T148" s="18" t="s">
        <v>188</v>
      </c>
      <c r="U148" s="8"/>
      <c r="V148" s="8"/>
      <c r="W148" s="8"/>
      <c r="X148" s="8"/>
      <c r="Y148" s="8"/>
      <c r="Z148" s="21" t="s">
        <v>195</v>
      </c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</row>
    <row r="149" spans="1:48" ht="18.75" customHeight="1">
      <c r="A149" s="5" t="s">
        <v>68</v>
      </c>
      <c r="B149" s="31"/>
      <c r="D149" s="8"/>
      <c r="E149" s="8"/>
      <c r="F149" s="8"/>
      <c r="G149" s="8" t="s">
        <v>46</v>
      </c>
      <c r="H149" s="8" t="s">
        <v>47</v>
      </c>
      <c r="I149" s="33" t="s">
        <v>476</v>
      </c>
      <c r="J149" s="8"/>
      <c r="K149" s="8" t="s">
        <v>48</v>
      </c>
      <c r="L149" s="8" t="s">
        <v>49</v>
      </c>
      <c r="M149" s="8" t="s">
        <v>49</v>
      </c>
      <c r="N149" s="8"/>
      <c r="O149" s="8">
        <v>0</v>
      </c>
      <c r="P149" s="8">
        <v>0</v>
      </c>
      <c r="Q149" s="6" t="str">
        <f t="shared" si="4"/>
        <v>Pterocarpus marsupium</v>
      </c>
      <c r="R149" s="12" t="s">
        <v>67</v>
      </c>
      <c r="U149" s="8"/>
      <c r="V149" s="8"/>
      <c r="W149" s="8"/>
      <c r="X149" s="8"/>
      <c r="Y149" s="8"/>
      <c r="Z149" s="5" t="s">
        <v>68</v>
      </c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</row>
    <row r="150" spans="1:48" ht="18.75" customHeight="1">
      <c r="A150" s="5" t="s">
        <v>76</v>
      </c>
      <c r="B150" s="31"/>
      <c r="D150" s="8"/>
      <c r="E150" s="8"/>
      <c r="F150" s="8"/>
      <c r="G150" s="8" t="s">
        <v>46</v>
      </c>
      <c r="H150" s="8" t="s">
        <v>47</v>
      </c>
      <c r="I150" s="33" t="s">
        <v>407</v>
      </c>
      <c r="J150" s="8"/>
      <c r="K150" s="8" t="s">
        <v>48</v>
      </c>
      <c r="L150" s="8" t="s">
        <v>49</v>
      </c>
      <c r="M150" s="8" t="s">
        <v>49</v>
      </c>
      <c r="N150" s="8"/>
      <c r="O150" s="8">
        <v>0</v>
      </c>
      <c r="P150" s="8">
        <v>0</v>
      </c>
      <c r="Q150" s="6" t="str">
        <f t="shared" si="4"/>
        <v>Pterolobium hexapetalum</v>
      </c>
      <c r="R150" s="12" t="s">
        <v>67</v>
      </c>
      <c r="U150" s="8"/>
      <c r="V150" s="8"/>
      <c r="W150" s="8"/>
      <c r="X150" s="8"/>
      <c r="Y150" s="8"/>
      <c r="Z150" s="5" t="s">
        <v>76</v>
      </c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</row>
    <row r="151" spans="1:48" ht="18.75" customHeight="1">
      <c r="A151" s="5" t="s">
        <v>54</v>
      </c>
      <c r="B151" s="31"/>
      <c r="D151" s="8"/>
      <c r="E151" s="8"/>
      <c r="F151" s="8"/>
      <c r="G151" s="8" t="s">
        <v>46</v>
      </c>
      <c r="H151" s="8" t="s">
        <v>47</v>
      </c>
      <c r="I151" s="33" t="s">
        <v>477</v>
      </c>
      <c r="J151" s="8"/>
      <c r="K151" s="8" t="s">
        <v>48</v>
      </c>
      <c r="L151" s="8" t="s">
        <v>49</v>
      </c>
      <c r="M151" s="8" t="s">
        <v>49</v>
      </c>
      <c r="N151" s="8"/>
      <c r="O151" s="8">
        <v>0</v>
      </c>
      <c r="P151" s="8">
        <v>0</v>
      </c>
      <c r="Q151" s="6" t="str">
        <f t="shared" si="4"/>
        <v>Pterospermum suberifolium</v>
      </c>
      <c r="R151" s="10" t="s">
        <v>45</v>
      </c>
      <c r="U151" s="8"/>
      <c r="V151" s="8"/>
      <c r="W151" s="8"/>
      <c r="X151" s="8"/>
      <c r="Y151" s="8"/>
      <c r="Z151" s="5" t="s">
        <v>54</v>
      </c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</row>
    <row r="152" spans="1:48" ht="18.75" customHeight="1">
      <c r="A152" s="5" t="s">
        <v>64</v>
      </c>
      <c r="B152" s="31"/>
      <c r="D152" s="8"/>
      <c r="E152" s="8"/>
      <c r="F152" s="8"/>
      <c r="G152" s="8" t="s">
        <v>46</v>
      </c>
      <c r="H152" s="8" t="s">
        <v>47</v>
      </c>
      <c r="I152" s="33" t="s">
        <v>408</v>
      </c>
      <c r="J152" s="8"/>
      <c r="K152" s="8" t="s">
        <v>48</v>
      </c>
      <c r="L152" s="8" t="s">
        <v>49</v>
      </c>
      <c r="M152" s="8" t="s">
        <v>49</v>
      </c>
      <c r="N152" s="8"/>
      <c r="O152" s="8">
        <v>0</v>
      </c>
      <c r="P152" s="8">
        <v>0</v>
      </c>
      <c r="Q152" s="6" t="str">
        <f t="shared" si="4"/>
        <v>Reissantia indica</v>
      </c>
      <c r="R152" s="10" t="s">
        <v>45</v>
      </c>
      <c r="U152" s="8"/>
      <c r="V152" s="8"/>
      <c r="W152" s="8"/>
      <c r="X152" s="8"/>
      <c r="Y152" s="8"/>
      <c r="Z152" s="5" t="s">
        <v>64</v>
      </c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</row>
    <row r="153" spans="1:48" ht="18.75" customHeight="1">
      <c r="A153" s="14" t="s">
        <v>134</v>
      </c>
      <c r="B153" s="31"/>
      <c r="D153" s="8"/>
      <c r="E153" s="8"/>
      <c r="F153" s="8"/>
      <c r="G153" s="8" t="s">
        <v>46</v>
      </c>
      <c r="H153" s="8" t="s">
        <v>47</v>
      </c>
      <c r="I153" s="33" t="s">
        <v>409</v>
      </c>
      <c r="J153" s="8"/>
      <c r="K153" s="8" t="s">
        <v>48</v>
      </c>
      <c r="L153" s="8" t="s">
        <v>49</v>
      </c>
      <c r="M153" s="8" t="s">
        <v>49</v>
      </c>
      <c r="N153" s="8"/>
      <c r="O153" s="8">
        <v>0</v>
      </c>
      <c r="P153" s="8">
        <v>0</v>
      </c>
      <c r="Q153" s="6" t="str">
        <f t="shared" si="4"/>
        <v>Rhododendron arboreum</v>
      </c>
      <c r="R153" s="12" t="s">
        <v>114</v>
      </c>
      <c r="U153" s="8"/>
      <c r="V153" s="8"/>
      <c r="W153" s="8"/>
      <c r="X153" s="8"/>
      <c r="Y153" s="8"/>
      <c r="Z153" s="14" t="s">
        <v>134</v>
      </c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</row>
    <row r="154" spans="1:48" ht="18.75" customHeight="1">
      <c r="A154" s="21" t="s">
        <v>253</v>
      </c>
      <c r="B154" s="31"/>
      <c r="D154" s="8"/>
      <c r="E154" s="8"/>
      <c r="F154" s="8"/>
      <c r="G154" s="8" t="s">
        <v>46</v>
      </c>
      <c r="H154" s="8" t="s">
        <v>47</v>
      </c>
      <c r="I154" s="33" t="s">
        <v>410</v>
      </c>
      <c r="J154" s="8"/>
      <c r="K154" s="8" t="s">
        <v>48</v>
      </c>
      <c r="L154" s="8" t="s">
        <v>49</v>
      </c>
      <c r="M154" s="8" t="s">
        <v>49</v>
      </c>
      <c r="N154" s="8"/>
      <c r="O154" s="8">
        <v>0</v>
      </c>
      <c r="P154" s="8">
        <v>0</v>
      </c>
      <c r="Q154" s="6" t="str">
        <f t="shared" si="4"/>
        <v>Saccharum benghalense</v>
      </c>
      <c r="R154" s="7" t="s">
        <v>217</v>
      </c>
      <c r="T154" s="18" t="s">
        <v>254</v>
      </c>
      <c r="U154" s="8"/>
      <c r="V154" s="8"/>
      <c r="W154" s="8"/>
      <c r="X154" s="8"/>
      <c r="Y154" s="8"/>
      <c r="Z154" s="21" t="s">
        <v>253</v>
      </c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</row>
    <row r="155" spans="1:48" ht="18.75" customHeight="1">
      <c r="A155" s="21" t="s">
        <v>184</v>
      </c>
      <c r="B155" s="31"/>
      <c r="D155" s="8"/>
      <c r="E155" s="8"/>
      <c r="F155" s="8"/>
      <c r="G155" s="8" t="s">
        <v>46</v>
      </c>
      <c r="H155" s="8" t="s">
        <v>47</v>
      </c>
      <c r="I155" s="33" t="s">
        <v>411</v>
      </c>
      <c r="J155" s="8"/>
      <c r="K155" s="8" t="s">
        <v>48</v>
      </c>
      <c r="L155" s="8" t="s">
        <v>49</v>
      </c>
      <c r="M155" s="8" t="s">
        <v>49</v>
      </c>
      <c r="N155" s="8"/>
      <c r="O155" s="8">
        <v>0</v>
      </c>
      <c r="P155" s="8">
        <v>0</v>
      </c>
      <c r="Q155" s="6" t="str">
        <f t="shared" si="4"/>
        <v>Salvadora persica</v>
      </c>
      <c r="R155" s="7" t="s">
        <v>182</v>
      </c>
      <c r="S155" s="21"/>
      <c r="T155" s="7" t="s">
        <v>183</v>
      </c>
      <c r="U155" s="8"/>
      <c r="V155" s="8"/>
      <c r="W155" s="8"/>
      <c r="X155" s="8"/>
      <c r="Y155" s="8"/>
      <c r="Z155" s="21" t="s">
        <v>184</v>
      </c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</row>
    <row r="156" spans="1:48" ht="18.75" customHeight="1">
      <c r="A156" s="21" t="s">
        <v>244</v>
      </c>
      <c r="B156" s="31"/>
      <c r="D156" s="8"/>
      <c r="E156" s="8"/>
      <c r="F156" s="8"/>
      <c r="G156" s="8" t="s">
        <v>46</v>
      </c>
      <c r="H156" s="8" t="s">
        <v>47</v>
      </c>
      <c r="I156" s="33" t="s">
        <v>412</v>
      </c>
      <c r="J156" s="8"/>
      <c r="K156" s="8" t="s">
        <v>48</v>
      </c>
      <c r="L156" s="8" t="s">
        <v>49</v>
      </c>
      <c r="M156" s="8" t="s">
        <v>49</v>
      </c>
      <c r="N156" s="8"/>
      <c r="O156" s="8">
        <v>0</v>
      </c>
      <c r="P156" s="8">
        <v>0</v>
      </c>
      <c r="Q156" s="6" t="str">
        <f t="shared" si="4"/>
        <v>Sarcostemma acidum</v>
      </c>
      <c r="R156" s="7" t="s">
        <v>242</v>
      </c>
      <c r="T156" s="18" t="s">
        <v>243</v>
      </c>
      <c r="U156" s="8"/>
      <c r="V156" s="8"/>
      <c r="W156" s="8"/>
      <c r="X156" s="8"/>
      <c r="Y156" s="8"/>
      <c r="Z156" s="21" t="s">
        <v>244</v>
      </c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</row>
    <row r="157" spans="1:48" ht="18.75" customHeight="1">
      <c r="A157" s="14" t="s">
        <v>153</v>
      </c>
      <c r="B157" s="31"/>
      <c r="D157" s="8"/>
      <c r="E157" s="8"/>
      <c r="F157" s="8"/>
      <c r="G157" s="8" t="s">
        <v>46</v>
      </c>
      <c r="H157" s="8" t="s">
        <v>47</v>
      </c>
      <c r="I157" s="33" t="s">
        <v>413</v>
      </c>
      <c r="J157" s="8"/>
      <c r="K157" s="8" t="s">
        <v>48</v>
      </c>
      <c r="L157" s="8" t="s">
        <v>49</v>
      </c>
      <c r="M157" s="8" t="s">
        <v>49</v>
      </c>
      <c r="N157" s="8"/>
      <c r="O157" s="8">
        <v>0</v>
      </c>
      <c r="P157" s="8">
        <v>0</v>
      </c>
      <c r="Q157" s="6" t="str">
        <f t="shared" si="4"/>
        <v>Schefflera venulosa</v>
      </c>
      <c r="R157" s="12" t="s">
        <v>142</v>
      </c>
      <c r="U157" s="8"/>
      <c r="V157" s="8"/>
      <c r="W157" s="8"/>
      <c r="X157" s="8"/>
      <c r="Y157" s="8"/>
      <c r="Z157" s="14" t="s">
        <v>153</v>
      </c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</row>
    <row r="158" spans="1:48" ht="18.75" customHeight="1">
      <c r="A158" s="5" t="s">
        <v>99</v>
      </c>
      <c r="B158" s="31"/>
      <c r="D158" s="8"/>
      <c r="E158" s="8"/>
      <c r="F158" s="8"/>
      <c r="G158" s="8" t="s">
        <v>46</v>
      </c>
      <c r="H158" s="8" t="s">
        <v>47</v>
      </c>
      <c r="I158" s="33" t="s">
        <v>414</v>
      </c>
      <c r="J158" s="8"/>
      <c r="K158" s="8" t="s">
        <v>48</v>
      </c>
      <c r="L158" s="8" t="s">
        <v>49</v>
      </c>
      <c r="M158" s="8" t="s">
        <v>49</v>
      </c>
      <c r="N158" s="8"/>
      <c r="O158" s="8">
        <v>0</v>
      </c>
      <c r="P158" s="8">
        <v>0</v>
      </c>
      <c r="Q158" s="6" t="str">
        <f t="shared" si="4"/>
        <v>Schleichera oleosa</v>
      </c>
      <c r="R158" s="12" t="s">
        <v>98</v>
      </c>
      <c r="U158" s="8"/>
      <c r="V158" s="8"/>
      <c r="W158" s="8"/>
      <c r="X158" s="8"/>
      <c r="Y158" s="8"/>
      <c r="Z158" s="5" t="s">
        <v>99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</row>
    <row r="159" spans="1:48" ht="18.75" customHeight="1">
      <c r="A159" s="21" t="s">
        <v>266</v>
      </c>
      <c r="B159" s="31"/>
      <c r="D159" s="8"/>
      <c r="E159" s="8"/>
      <c r="F159" s="8"/>
      <c r="G159" s="8" t="s">
        <v>46</v>
      </c>
      <c r="H159" s="8" t="s">
        <v>47</v>
      </c>
      <c r="I159" s="33" t="s">
        <v>415</v>
      </c>
      <c r="J159" s="8"/>
      <c r="K159" s="8" t="s">
        <v>48</v>
      </c>
      <c r="L159" s="8" t="s">
        <v>49</v>
      </c>
      <c r="M159" s="8" t="s">
        <v>49</v>
      </c>
      <c r="N159" s="8"/>
      <c r="O159" s="8">
        <v>0</v>
      </c>
      <c r="P159" s="8">
        <v>0</v>
      </c>
      <c r="Q159" s="6" t="str">
        <f t="shared" si="4"/>
        <v>Sericostoma pauciflorum</v>
      </c>
      <c r="R159" s="7" t="s">
        <v>217</v>
      </c>
      <c r="T159" s="18" t="s">
        <v>254</v>
      </c>
      <c r="U159" s="8"/>
      <c r="V159" s="8"/>
      <c r="W159" s="8"/>
      <c r="X159" s="8"/>
      <c r="Y159" s="8"/>
      <c r="Z159" s="21" t="s">
        <v>266</v>
      </c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</row>
    <row r="160" spans="1:48" ht="18.75" customHeight="1">
      <c r="A160" s="5" t="s">
        <v>111</v>
      </c>
      <c r="D160" s="8"/>
      <c r="E160" s="8"/>
      <c r="F160" s="8"/>
      <c r="G160" s="8" t="s">
        <v>46</v>
      </c>
      <c r="H160" s="8" t="s">
        <v>47</v>
      </c>
      <c r="I160" s="33" t="s">
        <v>416</v>
      </c>
      <c r="J160" s="8"/>
      <c r="K160" s="8" t="s">
        <v>48</v>
      </c>
      <c r="L160" s="8" t="s">
        <v>49</v>
      </c>
      <c r="M160" s="8" t="s">
        <v>49</v>
      </c>
      <c r="N160" s="8"/>
      <c r="O160" s="8">
        <v>0</v>
      </c>
      <c r="P160" s="8">
        <v>0</v>
      </c>
      <c r="Q160" s="6" t="str">
        <f t="shared" si="4"/>
        <v>Smilax zeylanica</v>
      </c>
      <c r="R160" s="12" t="s">
        <v>98</v>
      </c>
      <c r="U160" s="8"/>
      <c r="V160" s="8"/>
      <c r="W160" s="8"/>
      <c r="X160" s="8"/>
      <c r="Y160" s="8"/>
      <c r="Z160" s="5" t="s">
        <v>111</v>
      </c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</row>
    <row r="161" spans="1:48" ht="18.75" customHeight="1">
      <c r="A161" s="5" t="s">
        <v>108</v>
      </c>
      <c r="D161" s="8"/>
      <c r="E161" s="8"/>
      <c r="F161" s="8"/>
      <c r="G161" s="8" t="s">
        <v>46</v>
      </c>
      <c r="H161" s="8" t="s">
        <v>47</v>
      </c>
      <c r="I161" s="33" t="s">
        <v>478</v>
      </c>
      <c r="J161" s="8"/>
      <c r="K161" s="8" t="s">
        <v>48</v>
      </c>
      <c r="L161" s="8" t="s">
        <v>49</v>
      </c>
      <c r="M161" s="8" t="s">
        <v>49</v>
      </c>
      <c r="N161" s="8"/>
      <c r="O161" s="8">
        <v>0</v>
      </c>
      <c r="P161" s="8">
        <v>0</v>
      </c>
      <c r="Q161" s="6" t="str">
        <f t="shared" si="4"/>
        <v>Solanum verbascifolium</v>
      </c>
      <c r="R161" s="12" t="s">
        <v>98</v>
      </c>
      <c r="U161" s="8"/>
      <c r="V161" s="8"/>
      <c r="W161" s="8"/>
      <c r="X161" s="8"/>
      <c r="Y161" s="8"/>
      <c r="Z161" s="5" t="s">
        <v>108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</row>
    <row r="162" spans="1:48" ht="18.75" customHeight="1">
      <c r="A162" s="21" t="s">
        <v>213</v>
      </c>
      <c r="B162" s="30"/>
      <c r="D162" s="8"/>
      <c r="E162" s="8"/>
      <c r="F162" s="8"/>
      <c r="G162" s="8" t="s">
        <v>46</v>
      </c>
      <c r="H162" s="8" t="s">
        <v>47</v>
      </c>
      <c r="I162" s="33" t="s">
        <v>417</v>
      </c>
      <c r="J162" s="8"/>
      <c r="K162" s="8" t="s">
        <v>48</v>
      </c>
      <c r="L162" s="8" t="s">
        <v>49</v>
      </c>
      <c r="M162" s="8" t="s">
        <v>49</v>
      </c>
      <c r="N162" s="8"/>
      <c r="O162" s="8">
        <v>0</v>
      </c>
      <c r="P162" s="8">
        <v>0</v>
      </c>
      <c r="Q162" s="6" t="str">
        <f t="shared" si="4"/>
        <v>Sophora Galuca</v>
      </c>
      <c r="R162" s="7" t="s">
        <v>207</v>
      </c>
      <c r="T162" s="18" t="s">
        <v>138</v>
      </c>
      <c r="U162" s="8"/>
      <c r="V162" s="8"/>
      <c r="W162" s="8"/>
      <c r="X162" s="8"/>
      <c r="Y162" s="8"/>
      <c r="Z162" s="21" t="s">
        <v>213</v>
      </c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</row>
    <row r="163" spans="1:48" ht="18.75" customHeight="1">
      <c r="A163" s="7" t="s">
        <v>222</v>
      </c>
      <c r="B163" s="30"/>
      <c r="D163" s="8"/>
      <c r="E163" s="8"/>
      <c r="F163" s="8"/>
      <c r="G163" s="8" t="s">
        <v>46</v>
      </c>
      <c r="H163" s="8" t="s">
        <v>47</v>
      </c>
      <c r="I163" s="33" t="s">
        <v>418</v>
      </c>
      <c r="J163" s="8"/>
      <c r="K163" s="8" t="s">
        <v>48</v>
      </c>
      <c r="L163" s="8" t="s">
        <v>49</v>
      </c>
      <c r="M163" s="8" t="s">
        <v>49</v>
      </c>
      <c r="N163" s="8"/>
      <c r="O163" s="8">
        <v>0</v>
      </c>
      <c r="P163" s="8">
        <v>0</v>
      </c>
      <c r="Q163" s="6" t="str">
        <f t="shared" si="4"/>
        <v>Sterculia urens</v>
      </c>
      <c r="R163" s="7" t="s">
        <v>217</v>
      </c>
      <c r="T163" s="18" t="s">
        <v>218</v>
      </c>
      <c r="U163" s="8"/>
      <c r="V163" s="8"/>
      <c r="W163" s="8"/>
      <c r="X163" s="8"/>
      <c r="Y163" s="8"/>
      <c r="Z163" s="7" t="s">
        <v>222</v>
      </c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</row>
    <row r="164" spans="1:48" ht="18.75" customHeight="1">
      <c r="A164" s="14" t="s">
        <v>162</v>
      </c>
      <c r="D164" s="8"/>
      <c r="E164" s="8"/>
      <c r="F164" s="8"/>
      <c r="G164" s="8" t="s">
        <v>46</v>
      </c>
      <c r="H164" s="8" t="s">
        <v>47</v>
      </c>
      <c r="I164" s="33" t="s">
        <v>479</v>
      </c>
      <c r="J164" s="8"/>
      <c r="K164" s="8" t="s">
        <v>48</v>
      </c>
      <c r="L164" s="8" t="s">
        <v>49</v>
      </c>
      <c r="M164" s="8" t="s">
        <v>49</v>
      </c>
      <c r="N164" s="8"/>
      <c r="O164" s="8">
        <v>0</v>
      </c>
      <c r="P164" s="8">
        <v>0</v>
      </c>
      <c r="Q164" s="6" t="str">
        <f t="shared" si="4"/>
        <v>Stereospermum colais</v>
      </c>
      <c r="R164" s="12" t="s">
        <v>155</v>
      </c>
      <c r="U164" s="8"/>
      <c r="V164" s="8"/>
      <c r="W164" s="8"/>
      <c r="X164" s="8"/>
      <c r="Y164" s="8"/>
      <c r="Z164" s="14" t="s">
        <v>162</v>
      </c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</row>
    <row r="165" spans="1:48" ht="18.75" customHeight="1">
      <c r="A165" s="21" t="s">
        <v>200</v>
      </c>
      <c r="B165" s="30"/>
      <c r="D165" s="8"/>
      <c r="E165" s="8"/>
      <c r="F165" s="8"/>
      <c r="G165" s="8" t="s">
        <v>46</v>
      </c>
      <c r="H165" s="8" t="s">
        <v>47</v>
      </c>
      <c r="I165" s="33" t="s">
        <v>419</v>
      </c>
      <c r="J165" s="8"/>
      <c r="K165" s="8" t="s">
        <v>48</v>
      </c>
      <c r="L165" s="8" t="s">
        <v>49</v>
      </c>
      <c r="M165" s="8" t="s">
        <v>49</v>
      </c>
      <c r="N165" s="8"/>
      <c r="O165" s="8">
        <v>0</v>
      </c>
      <c r="P165" s="8">
        <v>0</v>
      </c>
      <c r="Q165" s="6" t="str">
        <f t="shared" si="4"/>
        <v>Stereospermum personatum</v>
      </c>
      <c r="R165" s="18" t="s">
        <v>199</v>
      </c>
      <c r="T165" s="19" t="s">
        <v>56</v>
      </c>
      <c r="U165" s="8"/>
      <c r="V165" s="8"/>
      <c r="W165" s="8"/>
      <c r="X165" s="8"/>
      <c r="Y165" s="8"/>
      <c r="Z165" s="21" t="s">
        <v>200</v>
      </c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</row>
    <row r="166" spans="1:48" ht="18.75" customHeight="1">
      <c r="A166" s="17" t="s">
        <v>214</v>
      </c>
      <c r="B166" s="30"/>
      <c r="D166" s="8"/>
      <c r="E166" s="8"/>
      <c r="F166" s="8"/>
      <c r="G166" s="8" t="s">
        <v>46</v>
      </c>
      <c r="H166" s="8" t="s">
        <v>47</v>
      </c>
      <c r="I166" s="33" t="s">
        <v>420</v>
      </c>
      <c r="J166" s="8"/>
      <c r="K166" s="8" t="s">
        <v>48</v>
      </c>
      <c r="L166" s="8" t="s">
        <v>49</v>
      </c>
      <c r="M166" s="8" t="s">
        <v>49</v>
      </c>
      <c r="N166" s="8"/>
      <c r="O166" s="8">
        <v>0</v>
      </c>
      <c r="P166" s="8">
        <v>0</v>
      </c>
      <c r="Q166" s="6" t="str">
        <f t="shared" si="4"/>
        <v>Stobilanthes sp.</v>
      </c>
      <c r="R166" s="7" t="s">
        <v>207</v>
      </c>
      <c r="T166" s="18" t="s">
        <v>138</v>
      </c>
      <c r="U166" s="8"/>
      <c r="V166" s="8"/>
      <c r="W166" s="8"/>
      <c r="X166" s="8"/>
      <c r="Y166" s="8"/>
      <c r="Z166" s="21" t="s">
        <v>214</v>
      </c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</row>
    <row r="167" spans="1:48" ht="18.75" customHeight="1">
      <c r="A167" s="5" t="s">
        <v>57</v>
      </c>
      <c r="D167" s="8"/>
      <c r="E167" s="8"/>
      <c r="F167" s="8"/>
      <c r="G167" s="8" t="s">
        <v>46</v>
      </c>
      <c r="H167" s="8" t="s">
        <v>47</v>
      </c>
      <c r="I167" s="33" t="s">
        <v>421</v>
      </c>
      <c r="J167" s="8"/>
      <c r="K167" s="8" t="s">
        <v>48</v>
      </c>
      <c r="L167" s="8" t="s">
        <v>49</v>
      </c>
      <c r="M167" s="8" t="s">
        <v>49</v>
      </c>
      <c r="N167" s="8"/>
      <c r="O167" s="8">
        <v>0</v>
      </c>
      <c r="P167" s="8">
        <v>0</v>
      </c>
      <c r="Q167" s="6" t="str">
        <f t="shared" si="4"/>
        <v>Streblus asper</v>
      </c>
      <c r="R167" s="10" t="s">
        <v>45</v>
      </c>
      <c r="U167" s="8"/>
      <c r="V167" s="8"/>
      <c r="W167" s="8"/>
      <c r="X167" s="8"/>
      <c r="Y167" s="8"/>
      <c r="Z167" s="5" t="s">
        <v>57</v>
      </c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</row>
    <row r="168" spans="1:48" ht="18.75" customHeight="1">
      <c r="A168" s="5" t="s">
        <v>63</v>
      </c>
      <c r="D168" s="8"/>
      <c r="E168" s="8"/>
      <c r="F168" s="8"/>
      <c r="G168" s="8" t="s">
        <v>46</v>
      </c>
      <c r="H168" s="8" t="s">
        <v>47</v>
      </c>
      <c r="I168" s="33" t="s">
        <v>422</v>
      </c>
      <c r="J168" s="8"/>
      <c r="K168" s="8" t="s">
        <v>48</v>
      </c>
      <c r="L168" s="8" t="s">
        <v>49</v>
      </c>
      <c r="M168" s="8" t="s">
        <v>49</v>
      </c>
      <c r="N168" s="8"/>
      <c r="O168" s="8">
        <v>0</v>
      </c>
      <c r="P168" s="8">
        <v>0</v>
      </c>
      <c r="Q168" s="6" t="str">
        <f t="shared" si="4"/>
        <v>Strychnos minor</v>
      </c>
      <c r="R168" s="10" t="s">
        <v>45</v>
      </c>
      <c r="U168" s="8"/>
      <c r="V168" s="8"/>
      <c r="W168" s="8"/>
      <c r="X168" s="8"/>
      <c r="Y168" s="8"/>
      <c r="Z168" s="5" t="s">
        <v>63</v>
      </c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</row>
    <row r="169" spans="1:48" ht="18.75" customHeight="1">
      <c r="A169" s="21" t="s">
        <v>215</v>
      </c>
      <c r="B169" s="30"/>
      <c r="D169" s="8"/>
      <c r="E169" s="8"/>
      <c r="F169" s="8"/>
      <c r="G169" s="8" t="s">
        <v>46</v>
      </c>
      <c r="H169" s="8" t="s">
        <v>47</v>
      </c>
      <c r="I169" s="33" t="s">
        <v>423</v>
      </c>
      <c r="J169" s="8"/>
      <c r="K169" s="8" t="s">
        <v>48</v>
      </c>
      <c r="L169" s="8" t="s">
        <v>49</v>
      </c>
      <c r="M169" s="8" t="s">
        <v>49</v>
      </c>
      <c r="N169" s="8"/>
      <c r="O169" s="8">
        <v>0</v>
      </c>
      <c r="P169" s="8">
        <v>0</v>
      </c>
      <c r="Q169" s="6" t="str">
        <f t="shared" ref="Q169:Q185" si="5">A169</f>
        <v>Syzygium Cumini</v>
      </c>
      <c r="R169" s="7" t="s">
        <v>207</v>
      </c>
      <c r="T169" s="18" t="s">
        <v>138</v>
      </c>
      <c r="U169" s="8"/>
      <c r="V169" s="8"/>
      <c r="W169" s="8"/>
      <c r="X169" s="8"/>
      <c r="Y169" s="8"/>
      <c r="Z169" s="21" t="s">
        <v>215</v>
      </c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</row>
    <row r="170" spans="1:48" ht="18.75" customHeight="1">
      <c r="A170" s="14" t="s">
        <v>133</v>
      </c>
      <c r="D170" s="8"/>
      <c r="E170" s="8"/>
      <c r="F170" s="8"/>
      <c r="G170" s="8" t="s">
        <v>46</v>
      </c>
      <c r="H170" s="8" t="s">
        <v>47</v>
      </c>
      <c r="I170" s="33" t="s">
        <v>488</v>
      </c>
      <c r="J170" s="8"/>
      <c r="K170" s="8" t="s">
        <v>48</v>
      </c>
      <c r="L170" s="8" t="s">
        <v>49</v>
      </c>
      <c r="M170" s="8" t="s">
        <v>49</v>
      </c>
      <c r="N170" s="8"/>
      <c r="O170" s="8">
        <v>0</v>
      </c>
      <c r="P170" s="8">
        <v>0</v>
      </c>
      <c r="Q170" s="6" t="str">
        <f t="shared" si="5"/>
        <v>Syzygium densiflorum</v>
      </c>
      <c r="R170" s="10" t="s">
        <v>114</v>
      </c>
      <c r="U170" s="8"/>
      <c r="V170" s="8"/>
      <c r="W170" s="8"/>
      <c r="X170" s="8"/>
      <c r="Y170" s="8"/>
      <c r="Z170" s="14" t="s">
        <v>133</v>
      </c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</row>
    <row r="171" spans="1:48" ht="18.75" customHeight="1">
      <c r="A171" s="5" t="s">
        <v>100</v>
      </c>
      <c r="D171" s="8"/>
      <c r="E171" s="8"/>
      <c r="F171" s="8"/>
      <c r="G171" s="8" t="s">
        <v>46</v>
      </c>
      <c r="H171" s="8" t="s">
        <v>47</v>
      </c>
      <c r="I171" s="33" t="s">
        <v>424</v>
      </c>
      <c r="J171" s="8"/>
      <c r="K171" s="8" t="s">
        <v>48</v>
      </c>
      <c r="L171" s="8" t="s">
        <v>49</v>
      </c>
      <c r="M171" s="8" t="s">
        <v>49</v>
      </c>
      <c r="N171" s="8"/>
      <c r="O171" s="8">
        <v>0</v>
      </c>
      <c r="P171" s="8">
        <v>0</v>
      </c>
      <c r="Q171" s="6" t="str">
        <f t="shared" si="5"/>
        <v>Terminalia bellirica</v>
      </c>
      <c r="R171" s="12" t="s">
        <v>98</v>
      </c>
      <c r="U171" s="8"/>
      <c r="V171" s="8"/>
      <c r="W171" s="8"/>
      <c r="X171" s="8"/>
      <c r="Y171" s="8"/>
      <c r="Z171" s="5" t="s">
        <v>100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</row>
    <row r="172" spans="1:48" ht="18.75" customHeight="1">
      <c r="A172" s="17" t="s">
        <v>196</v>
      </c>
      <c r="D172" s="8"/>
      <c r="E172" s="8"/>
      <c r="F172" s="8"/>
      <c r="G172" s="8" t="s">
        <v>46</v>
      </c>
      <c r="H172" s="8" t="s">
        <v>47</v>
      </c>
      <c r="I172" s="33" t="s">
        <v>480</v>
      </c>
      <c r="J172" s="8"/>
      <c r="K172" s="8" t="s">
        <v>48</v>
      </c>
      <c r="L172" s="8" t="s">
        <v>49</v>
      </c>
      <c r="M172" s="8" t="s">
        <v>49</v>
      </c>
      <c r="N172" s="8"/>
      <c r="O172" s="8">
        <v>0</v>
      </c>
      <c r="P172" s="8">
        <v>0</v>
      </c>
      <c r="Q172" s="6" t="str">
        <f t="shared" si="5"/>
        <v>Tetrameles nudiflora</v>
      </c>
      <c r="R172" s="18" t="s">
        <v>187</v>
      </c>
      <c r="T172" s="18" t="s">
        <v>188</v>
      </c>
      <c r="U172" s="8"/>
      <c r="V172" s="8"/>
      <c r="W172" s="8"/>
      <c r="X172" s="8"/>
      <c r="Y172" s="8"/>
      <c r="Z172" s="21" t="s">
        <v>196</v>
      </c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</row>
    <row r="173" spans="1:48" ht="18.75" customHeight="1">
      <c r="A173" s="14" t="s">
        <v>180</v>
      </c>
      <c r="D173" s="8"/>
      <c r="E173" s="8"/>
      <c r="F173" s="8"/>
      <c r="G173" s="8" t="s">
        <v>46</v>
      </c>
      <c r="H173" s="8" t="s">
        <v>47</v>
      </c>
      <c r="I173" s="33" t="s">
        <v>425</v>
      </c>
      <c r="J173" s="8"/>
      <c r="K173" s="8" t="s">
        <v>48</v>
      </c>
      <c r="L173" s="8" t="s">
        <v>49</v>
      </c>
      <c r="M173" s="8" t="s">
        <v>49</v>
      </c>
      <c r="N173" s="8"/>
      <c r="O173" s="8">
        <v>0</v>
      </c>
      <c r="P173" s="8">
        <v>0</v>
      </c>
      <c r="Q173" s="6" t="str">
        <f t="shared" si="5"/>
        <v>Utricularia arcuata</v>
      </c>
      <c r="R173" s="7" t="s">
        <v>177</v>
      </c>
      <c r="T173" s="7" t="s">
        <v>178</v>
      </c>
      <c r="U173" s="8"/>
      <c r="V173" s="8"/>
      <c r="W173" s="8"/>
      <c r="X173" s="8"/>
      <c r="Y173" s="8"/>
      <c r="Z173" s="14" t="s">
        <v>180</v>
      </c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</row>
    <row r="174" spans="1:48" ht="18.75" customHeight="1">
      <c r="A174" s="21" t="s">
        <v>197</v>
      </c>
      <c r="D174" s="8"/>
      <c r="E174" s="8"/>
      <c r="F174" s="8"/>
      <c r="G174" s="8" t="s">
        <v>46</v>
      </c>
      <c r="H174" s="8" t="s">
        <v>47</v>
      </c>
      <c r="I174" s="33" t="s">
        <v>481</v>
      </c>
      <c r="J174" s="8"/>
      <c r="K174" s="8" t="s">
        <v>48</v>
      </c>
      <c r="L174" s="8" t="s">
        <v>49</v>
      </c>
      <c r="M174" s="8" t="s">
        <v>49</v>
      </c>
      <c r="N174" s="8"/>
      <c r="O174" s="8">
        <v>0</v>
      </c>
      <c r="P174" s="8">
        <v>0</v>
      </c>
      <c r="Q174" s="6" t="str">
        <f t="shared" si="5"/>
        <v>Vatica lanceifolia</v>
      </c>
      <c r="R174" s="18" t="s">
        <v>187</v>
      </c>
      <c r="T174" s="18" t="s">
        <v>188</v>
      </c>
      <c r="U174" s="8"/>
      <c r="V174" s="8"/>
      <c r="W174" s="8"/>
      <c r="X174" s="8"/>
      <c r="Y174" s="8"/>
      <c r="Z174" s="21" t="s">
        <v>197</v>
      </c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</row>
    <row r="175" spans="1:48" ht="18.75" customHeight="1">
      <c r="A175" s="5" t="s">
        <v>77</v>
      </c>
      <c r="D175" s="8"/>
      <c r="E175" s="8"/>
      <c r="F175" s="8"/>
      <c r="G175" s="8" t="s">
        <v>46</v>
      </c>
      <c r="H175" s="8" t="s">
        <v>47</v>
      </c>
      <c r="I175" s="33" t="s">
        <v>426</v>
      </c>
      <c r="J175" s="8"/>
      <c r="K175" s="8" t="s">
        <v>48</v>
      </c>
      <c r="L175" s="8" t="s">
        <v>49</v>
      </c>
      <c r="M175" s="8" t="s">
        <v>49</v>
      </c>
      <c r="N175" s="8"/>
      <c r="O175" s="8">
        <v>0</v>
      </c>
      <c r="P175" s="8">
        <v>0</v>
      </c>
      <c r="Q175" s="6" t="str">
        <f t="shared" si="5"/>
        <v>Ventilago maderaspatana</v>
      </c>
      <c r="R175" s="12" t="s">
        <v>67</v>
      </c>
      <c r="U175" s="8"/>
      <c r="V175" s="8"/>
      <c r="W175" s="8"/>
      <c r="X175" s="8"/>
      <c r="Y175" s="8"/>
      <c r="Z175" s="5" t="s">
        <v>77</v>
      </c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</row>
    <row r="176" spans="1:48" ht="18.75" customHeight="1">
      <c r="A176" s="14" t="s">
        <v>135</v>
      </c>
      <c r="D176" s="8"/>
      <c r="E176" s="8"/>
      <c r="F176" s="8"/>
      <c r="G176" s="8" t="s">
        <v>46</v>
      </c>
      <c r="H176" s="8" t="s">
        <v>47</v>
      </c>
      <c r="I176" s="33" t="s">
        <v>482</v>
      </c>
      <c r="J176" s="8"/>
      <c r="K176" s="8" t="s">
        <v>48</v>
      </c>
      <c r="L176" s="8" t="s">
        <v>49</v>
      </c>
      <c r="M176" s="8" t="s">
        <v>49</v>
      </c>
      <c r="N176" s="8"/>
      <c r="O176" s="8">
        <v>0</v>
      </c>
      <c r="P176" s="8">
        <v>0</v>
      </c>
      <c r="Q176" s="6" t="str">
        <f t="shared" si="5"/>
        <v>Viburnum cylindricum</v>
      </c>
      <c r="R176" s="12" t="s">
        <v>114</v>
      </c>
      <c r="U176" s="8"/>
      <c r="V176" s="8"/>
      <c r="W176" s="8"/>
      <c r="X176" s="8"/>
      <c r="Y176" s="8"/>
      <c r="Z176" s="14" t="s">
        <v>135</v>
      </c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</row>
    <row r="177" spans="1:48" ht="18.75" customHeight="1">
      <c r="A177" s="14" t="s">
        <v>130</v>
      </c>
      <c r="D177" s="8"/>
      <c r="E177" s="8"/>
      <c r="F177" s="8"/>
      <c r="G177" s="8" t="s">
        <v>46</v>
      </c>
      <c r="H177" s="8" t="s">
        <v>47</v>
      </c>
      <c r="I177" s="33" t="s">
        <v>427</v>
      </c>
      <c r="J177" s="8"/>
      <c r="K177" s="8" t="s">
        <v>48</v>
      </c>
      <c r="L177" s="8" t="s">
        <v>49</v>
      </c>
      <c r="M177" s="8" t="s">
        <v>49</v>
      </c>
      <c r="N177" s="8"/>
      <c r="O177" s="8">
        <v>0</v>
      </c>
      <c r="P177" s="8">
        <v>0</v>
      </c>
      <c r="Q177" s="6" t="str">
        <f t="shared" si="5"/>
        <v>Villebrunea  integrifolia</v>
      </c>
      <c r="R177" s="12" t="s">
        <v>114</v>
      </c>
      <c r="U177" s="8"/>
      <c r="V177" s="8"/>
      <c r="W177" s="8"/>
      <c r="X177" s="8"/>
      <c r="Y177" s="8"/>
      <c r="Z177" s="14" t="s">
        <v>130</v>
      </c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</row>
    <row r="178" spans="1:48" ht="18.75" customHeight="1">
      <c r="A178" s="5" t="s">
        <v>91</v>
      </c>
      <c r="D178" s="8"/>
      <c r="E178" s="8"/>
      <c r="F178" s="8"/>
      <c r="G178" s="8" t="s">
        <v>46</v>
      </c>
      <c r="H178" s="8" t="s">
        <v>47</v>
      </c>
      <c r="I178" s="33" t="s">
        <v>428</v>
      </c>
      <c r="J178" s="8"/>
      <c r="K178" s="8" t="s">
        <v>48</v>
      </c>
      <c r="L178" s="8" t="s">
        <v>49</v>
      </c>
      <c r="M178" s="8" t="s">
        <v>49</v>
      </c>
      <c r="N178" s="8"/>
      <c r="O178" s="8">
        <v>0</v>
      </c>
      <c r="P178" s="8">
        <v>0</v>
      </c>
      <c r="Q178" s="6" t="str">
        <f t="shared" si="5"/>
        <v>Walsura trifoliata</v>
      </c>
      <c r="R178" s="12" t="s">
        <v>80</v>
      </c>
      <c r="U178" s="8"/>
      <c r="V178" s="8"/>
      <c r="W178" s="8"/>
      <c r="X178" s="8"/>
      <c r="Y178" s="8"/>
      <c r="Z178" s="5" t="s">
        <v>91</v>
      </c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</row>
    <row r="179" spans="1:48" ht="18.75" customHeight="1">
      <c r="A179" s="14" t="s">
        <v>149</v>
      </c>
      <c r="D179" s="8"/>
      <c r="E179" s="8"/>
      <c r="F179" s="8"/>
      <c r="G179" s="8" t="s">
        <v>46</v>
      </c>
      <c r="H179" s="8" t="s">
        <v>47</v>
      </c>
      <c r="I179" s="33" t="s">
        <v>429</v>
      </c>
      <c r="J179" s="8"/>
      <c r="K179" s="8" t="s">
        <v>48</v>
      </c>
      <c r="L179" s="8" t="s">
        <v>49</v>
      </c>
      <c r="M179" s="8" t="s">
        <v>49</v>
      </c>
      <c r="N179" s="8"/>
      <c r="O179" s="8">
        <v>0</v>
      </c>
      <c r="P179" s="8">
        <v>0</v>
      </c>
      <c r="Q179" s="6" t="str">
        <f t="shared" si="5"/>
        <v>Wendlandia thyrsoidea</v>
      </c>
      <c r="R179" s="12" t="s">
        <v>142</v>
      </c>
      <c r="U179" s="8"/>
      <c r="V179" s="8"/>
      <c r="W179" s="8"/>
      <c r="X179" s="8"/>
      <c r="Y179" s="8"/>
      <c r="Z179" s="14" t="s">
        <v>149</v>
      </c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</row>
    <row r="180" spans="1:48" ht="18.75" customHeight="1">
      <c r="A180" s="7" t="s">
        <v>230</v>
      </c>
      <c r="B180" s="30"/>
      <c r="D180" s="8"/>
      <c r="E180" s="8"/>
      <c r="F180" s="8"/>
      <c r="G180" s="8" t="s">
        <v>46</v>
      </c>
      <c r="H180" s="8" t="s">
        <v>47</v>
      </c>
      <c r="I180" s="33" t="s">
        <v>430</v>
      </c>
      <c r="J180" s="8"/>
      <c r="K180" s="8" t="s">
        <v>48</v>
      </c>
      <c r="L180" s="8" t="s">
        <v>49</v>
      </c>
      <c r="M180" s="8" t="s">
        <v>49</v>
      </c>
      <c r="N180" s="8"/>
      <c r="O180" s="8">
        <v>0</v>
      </c>
      <c r="P180" s="8">
        <v>0</v>
      </c>
      <c r="Q180" s="6" t="str">
        <f t="shared" si="5"/>
        <v>Wrightia arborea</v>
      </c>
      <c r="R180" s="7" t="s">
        <v>217</v>
      </c>
      <c r="T180" s="18" t="s">
        <v>218</v>
      </c>
      <c r="U180" s="8"/>
      <c r="V180" s="8"/>
      <c r="W180" s="8"/>
      <c r="X180" s="8"/>
      <c r="Y180" s="8"/>
      <c r="Z180" s="7" t="s">
        <v>230</v>
      </c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</row>
    <row r="181" spans="1:48" ht="18.75" customHeight="1">
      <c r="A181" s="14" t="s">
        <v>116</v>
      </c>
      <c r="D181" s="8"/>
      <c r="E181" s="8"/>
      <c r="F181" s="8"/>
      <c r="G181" s="8" t="s">
        <v>46</v>
      </c>
      <c r="H181" s="8" t="s">
        <v>47</v>
      </c>
      <c r="I181" s="33" t="s">
        <v>483</v>
      </c>
      <c r="J181" s="8"/>
      <c r="K181" s="8" t="s">
        <v>48</v>
      </c>
      <c r="L181" s="8" t="s">
        <v>49</v>
      </c>
      <c r="M181" s="8" t="s">
        <v>49</v>
      </c>
      <c r="N181" s="8"/>
      <c r="O181" s="8">
        <v>0</v>
      </c>
      <c r="P181" s="8">
        <v>0</v>
      </c>
      <c r="Q181" s="6" t="str">
        <f t="shared" si="5"/>
        <v>Xanthophyllum flavescens</v>
      </c>
      <c r="R181" s="12" t="s">
        <v>114</v>
      </c>
      <c r="U181" s="8"/>
      <c r="V181" s="8"/>
      <c r="W181" s="8"/>
      <c r="X181" s="8"/>
      <c r="Y181" s="8"/>
      <c r="Z181" s="14" t="s">
        <v>116</v>
      </c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</row>
    <row r="182" spans="1:48" ht="18.75" customHeight="1">
      <c r="A182" s="14" t="s">
        <v>145</v>
      </c>
      <c r="D182" s="8"/>
      <c r="E182" s="8"/>
      <c r="F182" s="8"/>
      <c r="G182" s="8" t="s">
        <v>46</v>
      </c>
      <c r="H182" s="8" t="s">
        <v>47</v>
      </c>
      <c r="I182" s="33" t="s">
        <v>484</v>
      </c>
      <c r="J182" s="8"/>
      <c r="K182" s="8" t="s">
        <v>48</v>
      </c>
      <c r="L182" s="8" t="s">
        <v>49</v>
      </c>
      <c r="M182" s="8" t="s">
        <v>49</v>
      </c>
      <c r="N182" s="8"/>
      <c r="O182" s="8">
        <v>0</v>
      </c>
      <c r="P182" s="8">
        <v>0</v>
      </c>
      <c r="Q182" s="6" t="str">
        <f t="shared" si="5"/>
        <v>Xantolis tomentosa</v>
      </c>
      <c r="R182" s="10" t="s">
        <v>142</v>
      </c>
      <c r="U182" s="8"/>
      <c r="V182" s="8"/>
      <c r="W182" s="8"/>
      <c r="X182" s="8"/>
      <c r="Y182" s="8"/>
      <c r="Z182" s="14" t="s">
        <v>145</v>
      </c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</row>
    <row r="183" spans="1:48" ht="18.75" customHeight="1">
      <c r="A183" s="14" t="s">
        <v>154</v>
      </c>
      <c r="D183" s="8"/>
      <c r="E183" s="8"/>
      <c r="F183" s="8"/>
      <c r="G183" s="8" t="s">
        <v>46</v>
      </c>
      <c r="H183" s="8" t="s">
        <v>47</v>
      </c>
      <c r="I183" s="33" t="s">
        <v>485</v>
      </c>
      <c r="J183" s="8"/>
      <c r="K183" s="8" t="s">
        <v>48</v>
      </c>
      <c r="L183" s="8" t="s">
        <v>49</v>
      </c>
      <c r="M183" s="8" t="s">
        <v>49</v>
      </c>
      <c r="N183" s="8"/>
      <c r="O183" s="8">
        <v>0</v>
      </c>
      <c r="P183" s="8">
        <v>0</v>
      </c>
      <c r="Q183" s="6" t="str">
        <f t="shared" si="5"/>
        <v>Xylia xylocarpa</v>
      </c>
      <c r="R183" s="10" t="s">
        <v>155</v>
      </c>
      <c r="U183" s="8"/>
      <c r="V183" s="8"/>
      <c r="W183" s="8"/>
      <c r="X183" s="8"/>
      <c r="Y183" s="8"/>
      <c r="Z183" s="14" t="s">
        <v>154</v>
      </c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</row>
    <row r="184" spans="1:48" ht="18.75" customHeight="1">
      <c r="A184" s="5" t="s">
        <v>78</v>
      </c>
      <c r="D184" s="8"/>
      <c r="E184" s="8"/>
      <c r="F184" s="8"/>
      <c r="G184" s="8" t="s">
        <v>46</v>
      </c>
      <c r="H184" s="8" t="s">
        <v>47</v>
      </c>
      <c r="I184" s="33" t="s">
        <v>431</v>
      </c>
      <c r="J184" s="8"/>
      <c r="K184" s="8" t="s">
        <v>48</v>
      </c>
      <c r="L184" s="8" t="s">
        <v>49</v>
      </c>
      <c r="M184" s="8" t="s">
        <v>49</v>
      </c>
      <c r="N184" s="8"/>
      <c r="O184" s="8">
        <v>0</v>
      </c>
      <c r="P184" s="8">
        <v>0</v>
      </c>
      <c r="Q184" s="6" t="str">
        <f t="shared" si="5"/>
        <v>Ziziphus oenoplia</v>
      </c>
      <c r="R184" s="12" t="s">
        <v>67</v>
      </c>
      <c r="U184" s="8"/>
      <c r="V184" s="8"/>
      <c r="W184" s="8"/>
      <c r="X184" s="8"/>
      <c r="Y184" s="8"/>
      <c r="Z184" s="5" t="s">
        <v>78</v>
      </c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</row>
    <row r="185" spans="1:48" ht="18.75" customHeight="1">
      <c r="A185" s="5" t="s">
        <v>87</v>
      </c>
      <c r="D185" s="8"/>
      <c r="E185" s="8"/>
      <c r="F185" s="8"/>
      <c r="G185" s="8" t="s">
        <v>46</v>
      </c>
      <c r="H185" s="8" t="s">
        <v>47</v>
      </c>
      <c r="I185" s="33" t="s">
        <v>432</v>
      </c>
      <c r="J185" s="8"/>
      <c r="K185" s="8" t="s">
        <v>48</v>
      </c>
      <c r="L185" s="8" t="s">
        <v>49</v>
      </c>
      <c r="M185" s="8" t="s">
        <v>49</v>
      </c>
      <c r="N185" s="8"/>
      <c r="O185" s="8">
        <v>0</v>
      </c>
      <c r="P185" s="8">
        <v>0</v>
      </c>
      <c r="Q185" s="6" t="str">
        <f t="shared" si="5"/>
        <v>Ziziphus xylopyrus</v>
      </c>
      <c r="R185" s="12" t="s">
        <v>80</v>
      </c>
      <c r="U185" s="8"/>
      <c r="V185" s="8"/>
      <c r="W185" s="8"/>
      <c r="X185" s="8"/>
      <c r="Y185" s="8"/>
      <c r="Z185" s="5" t="s">
        <v>87</v>
      </c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</row>
    <row r="186" spans="1:48" ht="18.75" customHeight="1">
      <c r="A186" s="22"/>
      <c r="D186" s="8"/>
      <c r="E186" s="8"/>
      <c r="F186" s="8"/>
      <c r="G186" s="8"/>
      <c r="H186" s="8"/>
      <c r="J186" s="8"/>
      <c r="K186" s="8"/>
      <c r="L186" s="8"/>
      <c r="M186" s="8"/>
      <c r="N186" s="8"/>
      <c r="O186" s="8"/>
      <c r="P186" s="8"/>
      <c r="U186" s="8"/>
      <c r="V186" s="8"/>
      <c r="W186" s="8"/>
      <c r="X186" s="8"/>
      <c r="Y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</row>
    <row r="187" spans="1:48" ht="18.75" customHeight="1">
      <c r="A187" s="22"/>
      <c r="D187" s="8"/>
      <c r="E187" s="8"/>
      <c r="F187" s="8"/>
      <c r="G187" s="8"/>
      <c r="H187" s="8"/>
      <c r="J187" s="8"/>
      <c r="K187" s="8"/>
      <c r="L187" s="8"/>
      <c r="M187" s="8"/>
      <c r="N187" s="8"/>
      <c r="O187" s="8"/>
      <c r="P187" s="8"/>
      <c r="U187" s="8"/>
      <c r="V187" s="8"/>
      <c r="W187" s="8"/>
      <c r="X187" s="8"/>
      <c r="Y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</row>
    <row r="188" spans="1:48" ht="18.75" customHeight="1">
      <c r="A188" s="22"/>
      <c r="D188" s="8"/>
      <c r="E188" s="8"/>
      <c r="F188" s="8"/>
      <c r="G188" s="8"/>
      <c r="H188" s="8"/>
      <c r="J188" s="8"/>
      <c r="K188" s="8"/>
      <c r="L188" s="8"/>
      <c r="M188" s="8"/>
      <c r="N188" s="8"/>
      <c r="O188" s="8"/>
      <c r="P188" s="8"/>
      <c r="U188" s="8"/>
      <c r="V188" s="8"/>
      <c r="W188" s="8"/>
      <c r="X188" s="8"/>
      <c r="Y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</row>
    <row r="189" spans="1:48" ht="18.75" customHeight="1">
      <c r="A189" s="22"/>
      <c r="D189" s="8"/>
      <c r="E189" s="8"/>
      <c r="F189" s="8"/>
      <c r="G189" s="8"/>
      <c r="H189" s="8"/>
      <c r="J189" s="8"/>
      <c r="K189" s="8"/>
      <c r="L189" s="8"/>
      <c r="M189" s="8"/>
      <c r="N189" s="8"/>
      <c r="O189" s="8"/>
      <c r="P189" s="8"/>
      <c r="U189" s="8"/>
      <c r="V189" s="8"/>
      <c r="W189" s="8"/>
      <c r="X189" s="8"/>
      <c r="Y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</row>
    <row r="190" spans="1:48" ht="18.75" customHeight="1">
      <c r="A190" s="22"/>
      <c r="D190" s="8"/>
      <c r="E190" s="8"/>
      <c r="F190" s="8"/>
      <c r="G190" s="8"/>
      <c r="H190" s="8"/>
      <c r="J190" s="8"/>
      <c r="K190" s="8"/>
      <c r="L190" s="8"/>
      <c r="M190" s="8"/>
      <c r="N190" s="8"/>
      <c r="O190" s="8"/>
      <c r="P190" s="8"/>
      <c r="U190" s="8"/>
      <c r="V190" s="8"/>
      <c r="W190" s="8"/>
      <c r="X190" s="8"/>
      <c r="Y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</row>
    <row r="191" spans="1:48" ht="18.75" customHeight="1">
      <c r="A191" s="22"/>
      <c r="D191" s="8"/>
      <c r="E191" s="8"/>
      <c r="F191" s="8"/>
      <c r="G191" s="8"/>
      <c r="H191" s="8"/>
      <c r="J191" s="8"/>
      <c r="K191" s="8"/>
      <c r="L191" s="8"/>
      <c r="M191" s="8"/>
      <c r="N191" s="8"/>
      <c r="O191" s="8"/>
      <c r="P191" s="8"/>
      <c r="U191" s="8"/>
      <c r="V191" s="8"/>
      <c r="W191" s="8"/>
      <c r="X191" s="8"/>
      <c r="Y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</row>
    <row r="192" spans="1:48" ht="18.75" customHeight="1">
      <c r="A192" s="22"/>
      <c r="D192" s="8"/>
      <c r="E192" s="8"/>
      <c r="F192" s="8"/>
      <c r="G192" s="8"/>
      <c r="H192" s="8"/>
      <c r="J192" s="8"/>
      <c r="K192" s="8"/>
      <c r="L192" s="8"/>
      <c r="M192" s="8"/>
      <c r="N192" s="8"/>
      <c r="O192" s="8"/>
      <c r="P192" s="8"/>
      <c r="U192" s="8"/>
      <c r="V192" s="8"/>
      <c r="W192" s="8"/>
      <c r="X192" s="8"/>
      <c r="Y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</row>
    <row r="193" spans="1:48" ht="18.75" customHeight="1">
      <c r="A193" s="22"/>
      <c r="D193" s="8"/>
      <c r="E193" s="8"/>
      <c r="F193" s="8"/>
      <c r="G193" s="8"/>
      <c r="H193" s="8"/>
      <c r="J193" s="8"/>
      <c r="K193" s="8"/>
      <c r="L193" s="8"/>
      <c r="M193" s="8"/>
      <c r="N193" s="8"/>
      <c r="O193" s="8"/>
      <c r="P193" s="8"/>
      <c r="U193" s="8"/>
      <c r="V193" s="8"/>
      <c r="W193" s="8"/>
      <c r="X193" s="8"/>
      <c r="Y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</row>
  </sheetData>
  <sortState xmlns:xlrd2="http://schemas.microsoft.com/office/spreadsheetml/2017/richdata2" ref="A2:AV193">
    <sortCondition ref="A2:A193"/>
  </sortState>
  <hyperlinks>
    <hyperlink ref="I89" r:id="rId1" xr:uid="{EC4DEDA5-7B23-43F6-B92D-E4C3F3DA2215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N148"/>
  <sheetViews>
    <sheetView workbookViewId="0"/>
  </sheetViews>
  <sheetFormatPr defaultColWidth="14.453125" defaultRowHeight="15" customHeight="1"/>
  <cols>
    <col min="1" max="1" width="6.26953125" customWidth="1"/>
    <col min="3" max="3" width="26.54296875" customWidth="1"/>
  </cols>
  <sheetData>
    <row r="2" spans="2:14">
      <c r="B2" s="23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14">
      <c r="B3" s="24"/>
    </row>
    <row r="4" spans="2:14">
      <c r="B4" s="23" t="s">
        <v>274</v>
      </c>
    </row>
    <row r="5" spans="2:14">
      <c r="B5" s="16" t="s">
        <v>275</v>
      </c>
    </row>
    <row r="6" spans="2:14">
      <c r="B6" s="16" t="s">
        <v>276</v>
      </c>
    </row>
    <row r="7" spans="2:14">
      <c r="B7" s="16" t="s">
        <v>277</v>
      </c>
    </row>
    <row r="8" spans="2:14">
      <c r="B8" s="16" t="s">
        <v>278</v>
      </c>
    </row>
    <row r="9" spans="2:14">
      <c r="B9" s="16" t="s">
        <v>279</v>
      </c>
    </row>
    <row r="10" spans="2:14">
      <c r="B10" s="16" t="s">
        <v>280</v>
      </c>
    </row>
    <row r="11" spans="2:14">
      <c r="B11" s="16" t="s">
        <v>281</v>
      </c>
    </row>
    <row r="12" spans="2:14">
      <c r="B12" s="16" t="s">
        <v>175</v>
      </c>
    </row>
    <row r="13" spans="2:14">
      <c r="B13" s="16" t="s">
        <v>282</v>
      </c>
    </row>
    <row r="14" spans="2:14">
      <c r="B14" s="24"/>
    </row>
    <row r="15" spans="2:14">
      <c r="B15" s="25" t="str">
        <f ca="1">IFERROR(__xludf.DUMMYFUNCTION("split(""https://drive.google.com/open?id=1PjPKM3iziMpG_-yDKvfiE2IfmQD79awl, https://drive.google.com/open?id=1CCuMYam7Vgne2ijKtZMyZLUsy2rAnjpU, https://drive.google.com/open?id=1W-7t6VAn2nD_oWNH2qrVBDVjO7KJBbfl, https://drive.google.com/open?id=1TsvPVdOcH"&amp;"IHy4H12ee4ivxsI4jun28NH, https://drive.google.com/open?id=1KsM5Lx7IQ_q6OjqnWahjA3Bel66b5CtB, https://drive.google.com/open?id=1b5gX2NIPxCPivYMJe7qXINDR2P-FFoKR, https://drive.google.com/open?id=1ceLLfCEPCFIW_fJCgjVyB3aHygddmnA3, https://drive.google.com/o"&amp;"pen?id=163pUan47ez4sRZBfuMQSOK4UmyC3r7Z7, https://drive.google.com/open?id=1U_54qlYJQMj2vQkgzj0yuL-DQzFGMRhe, https://drive.google.com/open?id=1Ua-fdNI-zJs3aW1kIJksam9VlF3qajss"","", "")"),"https://drive.google.com/open?id=1PjPKM3iziMpG_-yDKvfiE2IfmQD79awl")</f>
        <v>https://drive.google.com/open?id=1PjPKM3iziMpG_-yDKvfiE2IfmQD79awl</v>
      </c>
      <c r="C15" s="26" t="str">
        <f ca="1">IFERROR(__xludf.DUMMYFUNCTION("""COMPUTED_VALUE"""),"https://drive.google.com/open?id=1CCuMYam7Vgne2ijKtZMyZLUsy2rAnjpU")</f>
        <v>https://drive.google.com/open?id=1CCuMYam7Vgne2ijKtZMyZLUsy2rAnjpU</v>
      </c>
      <c r="D15" s="26" t="str">
        <f ca="1">IFERROR(__xludf.DUMMYFUNCTION("""COMPUTED_VALUE"""),"https://drive.google.com/open?id=1W-7t6VAn2nD_oWNH2qrVBDVjO7KJBbfl")</f>
        <v>https://drive.google.com/open?id=1W-7t6VAn2nD_oWNH2qrVBDVjO7KJBbfl</v>
      </c>
      <c r="E15" s="26" t="str">
        <f ca="1">IFERROR(__xludf.DUMMYFUNCTION("""COMPUTED_VALUE"""),"https://drive.google.com/open?id=1TsvPVdOcHIHy4H12ee4ivxsI4jun28NH")</f>
        <v>https://drive.google.com/open?id=1TsvPVdOcHIHy4H12ee4ivxsI4jun28NH</v>
      </c>
      <c r="F15" s="26" t="str">
        <f ca="1">IFERROR(__xludf.DUMMYFUNCTION("""COMPUTED_VALUE"""),"https://drive.google.com/open?id=1KsM5Lx7IQ_q6OjqnWahjA3Bel66b5CtB")</f>
        <v>https://drive.google.com/open?id=1KsM5Lx7IQ_q6OjqnWahjA3Bel66b5CtB</v>
      </c>
      <c r="G15" s="26" t="str">
        <f ca="1">IFERROR(__xludf.DUMMYFUNCTION("""COMPUTED_VALUE"""),"https://drive.google.com/open?id=1b5gX2NIPxCPivYMJe7qXINDR2P-FFoKR")</f>
        <v>https://drive.google.com/open?id=1b5gX2NIPxCPivYMJe7qXINDR2P-FFoKR</v>
      </c>
      <c r="H15" s="26" t="str">
        <f ca="1">IFERROR(__xludf.DUMMYFUNCTION("""COMPUTED_VALUE"""),"https://drive.google.com/open?id=1ceLLfCEPCFIW_fJCgjVyB3aHygddmnA3")</f>
        <v>https://drive.google.com/open?id=1ceLLfCEPCFIW_fJCgjVyB3aHygddmnA3</v>
      </c>
      <c r="I15" s="26" t="str">
        <f ca="1">IFERROR(__xludf.DUMMYFUNCTION("""COMPUTED_VALUE"""),"https://drive.google.com/open?id=163pUan47ez4sRZBfuMQSOK4UmyC3r7Z7")</f>
        <v>https://drive.google.com/open?id=163pUan47ez4sRZBfuMQSOK4UmyC3r7Z7</v>
      </c>
      <c r="J15" s="26" t="str">
        <f ca="1">IFERROR(__xludf.DUMMYFUNCTION("""COMPUTED_VALUE"""),"https://drive.google.com/open?id=1U_54qlYJQMj2vQkgzj0yuL-DQzFGMRhe")</f>
        <v>https://drive.google.com/open?id=1U_54qlYJQMj2vQkgzj0yuL-DQzFGMRhe</v>
      </c>
      <c r="K15" s="26" t="str">
        <f ca="1">IFERROR(__xludf.DUMMYFUNCTION("""COMPUTED_VALUE"""),"https://drive.google.com/open?id=1Ua-fdNI-zJs3aW1kIJksam9VlF3qajss")</f>
        <v>https://drive.google.com/open?id=1Ua-fdNI-zJs3aW1kIJksam9VlF3qajss</v>
      </c>
    </row>
    <row r="16" spans="2:14">
      <c r="B16" s="24"/>
    </row>
    <row r="17" spans="2:14">
      <c r="B17" s="24"/>
    </row>
    <row r="18" spans="2:14">
      <c r="B18" s="16" t="s">
        <v>253</v>
      </c>
      <c r="C18" s="15" t="s">
        <v>255</v>
      </c>
      <c r="E18" s="16"/>
      <c r="F18" s="16"/>
      <c r="G18" s="16"/>
      <c r="H18" s="16"/>
      <c r="I18" s="16"/>
      <c r="J18" s="21"/>
      <c r="K18" s="16"/>
      <c r="L18" s="16"/>
      <c r="M18" s="16"/>
      <c r="N18" s="16"/>
    </row>
    <row r="19" spans="2:14">
      <c r="B19" s="16" t="s">
        <v>256</v>
      </c>
      <c r="C19" s="15" t="s">
        <v>257</v>
      </c>
    </row>
    <row r="20" spans="2:14">
      <c r="B20" s="16" t="s">
        <v>258</v>
      </c>
      <c r="C20" s="15" t="s">
        <v>259</v>
      </c>
    </row>
    <row r="21" spans="2:14">
      <c r="B21" s="16" t="s">
        <v>260</v>
      </c>
      <c r="C21" s="15" t="s">
        <v>261</v>
      </c>
    </row>
    <row r="22" spans="2:14">
      <c r="B22" s="16" t="s">
        <v>262</v>
      </c>
      <c r="C22" s="15" t="s">
        <v>263</v>
      </c>
    </row>
    <row r="23" spans="2:14">
      <c r="B23" s="21" t="s">
        <v>264</v>
      </c>
      <c r="C23" s="15" t="s">
        <v>265</v>
      </c>
    </row>
    <row r="24" spans="2:14">
      <c r="B24" s="16" t="s">
        <v>266</v>
      </c>
      <c r="C24" s="15" t="s">
        <v>267</v>
      </c>
    </row>
    <row r="25" spans="2:14">
      <c r="B25" s="16" t="s">
        <v>268</v>
      </c>
      <c r="C25" s="15" t="s">
        <v>269</v>
      </c>
    </row>
    <row r="26" spans="2:14">
      <c r="B26" s="16" t="s">
        <v>270</v>
      </c>
      <c r="C26" s="15" t="s">
        <v>271</v>
      </c>
    </row>
    <row r="27" spans="2:14">
      <c r="B27" s="16" t="s">
        <v>272</v>
      </c>
      <c r="C27" s="15" t="s">
        <v>273</v>
      </c>
    </row>
    <row r="28" spans="2:14">
      <c r="B28" s="24"/>
    </row>
    <row r="29" spans="2:14">
      <c r="B29" s="24"/>
      <c r="D29" s="16" t="s">
        <v>283</v>
      </c>
      <c r="E29" s="16" t="s">
        <v>284</v>
      </c>
      <c r="F29" s="16" t="s">
        <v>285</v>
      </c>
      <c r="G29" s="16" t="s">
        <v>286</v>
      </c>
      <c r="H29" s="16" t="s">
        <v>287</v>
      </c>
      <c r="I29" s="16" t="s">
        <v>288</v>
      </c>
      <c r="J29" s="16" t="s">
        <v>289</v>
      </c>
      <c r="K29" s="16" t="s">
        <v>290</v>
      </c>
      <c r="L29" s="16" t="s">
        <v>291</v>
      </c>
      <c r="M29" s="16" t="s">
        <v>252</v>
      </c>
    </row>
    <row r="30" spans="2:14">
      <c r="B30" s="24"/>
    </row>
    <row r="31" spans="2:14">
      <c r="B31" s="24"/>
      <c r="D31" s="6" t="s">
        <v>219</v>
      </c>
      <c r="E31" s="6" t="s">
        <v>292</v>
      </c>
      <c r="F31" s="6" t="s">
        <v>293</v>
      </c>
      <c r="G31" s="6" t="s">
        <v>294</v>
      </c>
      <c r="H31" s="6" t="s">
        <v>295</v>
      </c>
      <c r="I31" s="6" t="s">
        <v>296</v>
      </c>
      <c r="J31" s="6" t="s">
        <v>297</v>
      </c>
      <c r="K31" s="6" t="s">
        <v>298</v>
      </c>
      <c r="L31" s="6" t="s">
        <v>299</v>
      </c>
      <c r="M31" s="6" t="s">
        <v>232</v>
      </c>
    </row>
    <row r="32" spans="2:14">
      <c r="B32" s="24"/>
    </row>
    <row r="33" spans="2:3">
      <c r="B33" s="24"/>
    </row>
    <row r="34" spans="2:3">
      <c r="B34" s="24"/>
      <c r="C34" s="6" t="s">
        <v>219</v>
      </c>
    </row>
    <row r="35" spans="2:3">
      <c r="B35" s="24"/>
      <c r="C35" s="19" t="s">
        <v>221</v>
      </c>
    </row>
    <row r="36" spans="2:3">
      <c r="B36" s="24"/>
      <c r="C36" s="19" t="s">
        <v>223</v>
      </c>
    </row>
    <row r="37" spans="2:3">
      <c r="B37" s="24"/>
      <c r="C37" s="19" t="s">
        <v>225</v>
      </c>
    </row>
    <row r="38" spans="2:3">
      <c r="B38" s="24"/>
      <c r="C38" s="20" t="s">
        <v>227</v>
      </c>
    </row>
    <row r="39" spans="2:3">
      <c r="B39" s="24"/>
      <c r="C39" s="19" t="s">
        <v>229</v>
      </c>
    </row>
    <row r="40" spans="2:3">
      <c r="B40" s="24"/>
      <c r="C40" s="7" t="s">
        <v>231</v>
      </c>
    </row>
    <row r="41" spans="2:3">
      <c r="B41" s="24"/>
      <c r="C41" s="19" t="s">
        <v>300</v>
      </c>
    </row>
    <row r="42" spans="2:3">
      <c r="B42" s="24"/>
      <c r="C42" s="19" t="s">
        <v>233</v>
      </c>
    </row>
    <row r="43" spans="2:3">
      <c r="B43" s="24"/>
    </row>
    <row r="44" spans="2:3">
      <c r="B44" s="24"/>
    </row>
    <row r="45" spans="2:3">
      <c r="B45" s="24"/>
    </row>
    <row r="50" spans="3:13">
      <c r="C50" s="27" t="str">
        <f ca="1">IFERROR(__xludf.DUMMYFUNCTION("importrange(""https://docs.google.com/spreadsheets/d/12Og0g36-ItT4IIuP7I_hkuikdiyqpirBR8QdX7yPUgk/edit?resourcekey#gid=1715140919"",""Form Responses 2!F2:F100"")"),"https://drive.google.com/open?id=19UFc2pTHsvD9R-ErybEtJfKVtBrJ1kWb, https://drive.google.com/open?id=1OIjNy7DIDcpnBzYMLm8oSDbQNhivBo2K, https://drive.google.com/open?id=1MshYyhO0gyhmlfH1g37da4nJD8Zw1Kh_, https://drive.google.com/open?id=1rNmjiPfDCtOQHnwUO"&amp;"dyutB4kplLd0Zev, https://drive.google.com/open?id=188sDUigHojCtWaIjkDf1GId5SgwfWxk_, https://drive.google.com/open?id=1A2sO9KUWxx2qNA5WdkRsRCXa2xPYNS12, https://drive.google.com/open?id=1Kgr4z62jy1BS0zuhy4tiQ5imwv8y-bxM, https://drive.google.com/open?id=1"&amp;"6l_A2IEq3mbqVK_y0U823PJMnFKZvg-Q, https://drive.google.com/open?id=1UvFTUVgG_leaU5yqT_6XPtKNsI04AzqJ, https://drive.google.com/open?id=13AYPSrftmQl2E_UetOf0g8m0LCwRHF0h")</f>
        <v>https://drive.google.com/open?id=19UFc2pTHsvD9R-ErybEtJfKVtBrJ1kWb, https://drive.google.com/open?id=1OIjNy7DIDcpnBzYMLm8oSDbQNhivBo2K, https://drive.google.com/open?id=1MshYyhO0gyhmlfH1g37da4nJD8Zw1Kh_, https://drive.google.com/open?id=1rNmjiPfDCtOQHnwUOdyutB4kplLd0Zev, https://drive.google.com/open?id=188sDUigHojCtWaIjkDf1GId5SgwfWxk_, https://drive.google.com/open?id=1A2sO9KUWxx2qNA5WdkRsRCXa2xPYNS12, https://drive.google.com/open?id=1Kgr4z62jy1BS0zuhy4tiQ5imwv8y-bxM, https://drive.google.com/open?id=16l_A2IEq3mbqVK_y0U823PJMnFKZvg-Q, https://drive.google.com/open?id=1UvFTUVgG_leaU5yqT_6XPtKNsI04AzqJ, https://drive.google.com/open?id=13AYPSrftmQl2E_UetOf0g8m0LCwRHF0h</v>
      </c>
      <c r="D50" s="28" t="str">
        <f ca="1">IFERROR(__xludf.DUMMYFUNCTION("split(C50, "", "")"),"https://drive.google.com/open?id=19UFc2pTHsvD9R-ErybEtJfKVtBrJ1kWb")</f>
        <v>https://drive.google.com/open?id=19UFc2pTHsvD9R-ErybEtJfKVtBrJ1kWb</v>
      </c>
      <c r="E50" s="26" t="str">
        <f ca="1">IFERROR(__xludf.DUMMYFUNCTION("""COMPUTED_VALUE"""),"https://drive.google.com/open?id=1OIjNy7DIDcpnBzYMLm8oSDbQNhivBo2K")</f>
        <v>https://drive.google.com/open?id=1OIjNy7DIDcpnBzYMLm8oSDbQNhivBo2K</v>
      </c>
      <c r="F50" s="26" t="str">
        <f ca="1">IFERROR(__xludf.DUMMYFUNCTION("""COMPUTED_VALUE"""),"https://drive.google.com/open?id=1MshYyhO0gyhmlfH1g37da4nJD8Zw1Kh_")</f>
        <v>https://drive.google.com/open?id=1MshYyhO0gyhmlfH1g37da4nJD8Zw1Kh_</v>
      </c>
      <c r="G50" s="26" t="str">
        <f ca="1">IFERROR(__xludf.DUMMYFUNCTION("""COMPUTED_VALUE"""),"https://drive.google.com/open?id=1rNmjiPfDCtOQHnwUOdyutB4kplLd0Zev")</f>
        <v>https://drive.google.com/open?id=1rNmjiPfDCtOQHnwUOdyutB4kplLd0Zev</v>
      </c>
      <c r="H50" s="26" t="str">
        <f ca="1">IFERROR(__xludf.DUMMYFUNCTION("""COMPUTED_VALUE"""),"https://drive.google.com/open?id=188sDUigHojCtWaIjkDf1GId5SgwfWxk_")</f>
        <v>https://drive.google.com/open?id=188sDUigHojCtWaIjkDf1GId5SgwfWxk_</v>
      </c>
      <c r="I50" s="26" t="str">
        <f ca="1">IFERROR(__xludf.DUMMYFUNCTION("""COMPUTED_VALUE"""),"https://drive.google.com/open?id=1A2sO9KUWxx2qNA5WdkRsRCXa2xPYNS12")</f>
        <v>https://drive.google.com/open?id=1A2sO9KUWxx2qNA5WdkRsRCXa2xPYNS12</v>
      </c>
      <c r="J50" s="26" t="str">
        <f ca="1">IFERROR(__xludf.DUMMYFUNCTION("""COMPUTED_VALUE"""),"https://drive.google.com/open?id=1Kgr4z62jy1BS0zuhy4tiQ5imwv8y-bxM")</f>
        <v>https://drive.google.com/open?id=1Kgr4z62jy1BS0zuhy4tiQ5imwv8y-bxM</v>
      </c>
      <c r="K50" s="26" t="str">
        <f ca="1">IFERROR(__xludf.DUMMYFUNCTION("""COMPUTED_VALUE"""),"https://drive.google.com/open?id=16l_A2IEq3mbqVK_y0U823PJMnFKZvg-Q")</f>
        <v>https://drive.google.com/open?id=16l_A2IEq3mbqVK_y0U823PJMnFKZvg-Q</v>
      </c>
      <c r="L50" s="26" t="str">
        <f ca="1">IFERROR(__xludf.DUMMYFUNCTION("""COMPUTED_VALUE"""),"https://drive.google.com/open?id=1UvFTUVgG_leaU5yqT_6XPtKNsI04AzqJ")</f>
        <v>https://drive.google.com/open?id=1UvFTUVgG_leaU5yqT_6XPtKNsI04AzqJ</v>
      </c>
      <c r="M50" s="26" t="str">
        <f ca="1">IFERROR(__xludf.DUMMYFUNCTION("""COMPUTED_VALUE"""),"https://drive.google.com/open?id=13AYPSrftmQl2E_UetOf0g8m0LCwRHF0h")</f>
        <v>https://drive.google.com/open?id=13AYPSrftmQl2E_UetOf0g8m0LCwRHF0h</v>
      </c>
    </row>
    <row r="51" spans="3:13">
      <c r="C51" s="6"/>
      <c r="D51" s="28"/>
    </row>
    <row r="52" spans="3:13">
      <c r="C52" s="6" t="str">
        <f ca="1">IFERROR(__xludf.DUMMYFUNCTION("""COMPUTED_VALUE"""),"https://drive.google.com/open?id=1PsaAGuYuvoPytQ_MQ1ucUfM0ylZM-iaH, https://drive.google.com/open?id=1fprqDJjqvbVD0rjYP-vPjhnPBxgCRpKc, https://drive.google.com/open?id=1qzNlAhWJZA17kGlIEeQ5LeT3WtHRDv1V, https://drive.google.com/open?id=1gWgxhS5w4iROW0IR2"&amp;"IU7D7R5wgE3wkgW")</f>
        <v>https://drive.google.com/open?id=1PsaAGuYuvoPytQ_MQ1ucUfM0ylZM-iaH, https://drive.google.com/open?id=1fprqDJjqvbVD0rjYP-vPjhnPBxgCRpKc, https://drive.google.com/open?id=1qzNlAhWJZA17kGlIEeQ5LeT3WtHRDv1V, https://drive.google.com/open?id=1gWgxhS5w4iROW0IR2IU7D7R5wgE3wkgW</v>
      </c>
      <c r="D52" s="28" t="str">
        <f ca="1">IFERROR(__xludf.DUMMYFUNCTION("split(C52, "", "")"),"https://drive.google.com/open?id=1PsaAGuYuvoPytQ_MQ1ucUfM0ylZM-iaH")</f>
        <v>https://drive.google.com/open?id=1PsaAGuYuvoPytQ_MQ1ucUfM0ylZM-iaH</v>
      </c>
      <c r="E52" s="26" t="str">
        <f ca="1">IFERROR(__xludf.DUMMYFUNCTION("""COMPUTED_VALUE"""),"https://drive.google.com/open?id=1fprqDJjqvbVD0rjYP-vPjhnPBxgCRpKc")</f>
        <v>https://drive.google.com/open?id=1fprqDJjqvbVD0rjYP-vPjhnPBxgCRpKc</v>
      </c>
      <c r="F52" s="26" t="str">
        <f ca="1">IFERROR(__xludf.DUMMYFUNCTION("""COMPUTED_VALUE"""),"https://drive.google.com/open?id=1qzNlAhWJZA17kGlIEeQ5LeT3WtHRDv1V")</f>
        <v>https://drive.google.com/open?id=1qzNlAhWJZA17kGlIEeQ5LeT3WtHRDv1V</v>
      </c>
      <c r="G52" s="26" t="str">
        <f ca="1">IFERROR(__xludf.DUMMYFUNCTION("""COMPUTED_VALUE"""),"https://drive.google.com/open?id=1gWgxhS5w4iROW0IR2IU7D7R5wgE3wkgW")</f>
        <v>https://drive.google.com/open?id=1gWgxhS5w4iROW0IR2IU7D7R5wgE3wkgW</v>
      </c>
    </row>
    <row r="53" spans="3:13">
      <c r="C53" s="6"/>
      <c r="D53" s="28"/>
    </row>
    <row r="54" spans="3:13">
      <c r="C54" s="6" t="str">
        <f ca="1">IFERROR(__xludf.DUMMYFUNCTION("""COMPUTED_VALUE"""),"https://drive.google.com/open?id=1OG3aWjsBon_zrpMdla1tNen-D2njGl-h, https://drive.google.com/open?id=130QYs69yUBfGR9lqvN_zhIbqCiT0ohKR, https://drive.google.com/open?id=1eHnzOfMFTqA0iwhiN_2mPQFhclE8lV3p")</f>
        <v>https://drive.google.com/open?id=1OG3aWjsBon_zrpMdla1tNen-D2njGl-h, https://drive.google.com/open?id=130QYs69yUBfGR9lqvN_zhIbqCiT0ohKR, https://drive.google.com/open?id=1eHnzOfMFTqA0iwhiN_2mPQFhclE8lV3p</v>
      </c>
      <c r="D54" s="28" t="str">
        <f ca="1">IFERROR(__xludf.DUMMYFUNCTION("split(C54, "", "")"),"https://drive.google.com/open?id=1OG3aWjsBon_zrpMdla1tNen-D2njGl-h")</f>
        <v>https://drive.google.com/open?id=1OG3aWjsBon_zrpMdla1tNen-D2njGl-h</v>
      </c>
      <c r="E54" s="26" t="str">
        <f ca="1">IFERROR(__xludf.DUMMYFUNCTION("""COMPUTED_VALUE"""),"https://drive.google.com/open?id=130QYs69yUBfGR9lqvN_zhIbqCiT0ohKR")</f>
        <v>https://drive.google.com/open?id=130QYs69yUBfGR9lqvN_zhIbqCiT0ohKR</v>
      </c>
      <c r="F54" s="26" t="str">
        <f ca="1">IFERROR(__xludf.DUMMYFUNCTION("""COMPUTED_VALUE"""),"https://drive.google.com/open?id=1eHnzOfMFTqA0iwhiN_2mPQFhclE8lV3p")</f>
        <v>https://drive.google.com/open?id=1eHnzOfMFTqA0iwhiN_2mPQFhclE8lV3p</v>
      </c>
    </row>
    <row r="55" spans="3:13">
      <c r="C55" s="6" t="str">
        <f ca="1">IFERROR(__xludf.DUMMYFUNCTION("""COMPUTED_VALUE"""),"https://drive.google.com/open?id=1PZWnUqekEkoBcUFPQC6taublCHeQ5YpG, https://drive.google.com/open?id=1Si_0k-2I8gsiAVfzN1NUpfpW6M2bVwGs, https://drive.google.com/open?id=1h-uCFGJF0Qo_u7_91IPzmo02pKhPaPMX, https://drive.google.com/open?id=1ZE5sXxOcLKLYGbkmt"&amp;"CIF8x1E9un-tGLr, https://drive.google.com/open?id=1mQSUbj34XMYE-GOyxVTnUZkRIkG8pFuC, https://drive.google.com/open?id=1z2Q51onR2AzLHC6rUx8te-p0FAa4c5im, https://drive.google.com/open?id=1-Lmasee7o2PqHwYHPKmbaeWkRgB-OOvB, https://drive.google.com/open?id=1"&amp;"nNBwyBoeKt0vmC57Nplbrpejiw0EBwUM, https://drive.google.com/open?id=1PJQy49eI_KbXM053JOyQNiDTj1edIEda, https://drive.google.com/open?id=1MeZwGBYchzSaflHHmSsWT7-CsrsmPOzM")</f>
        <v>https://drive.google.com/open?id=1PZWnUqekEkoBcUFPQC6taublCHeQ5YpG, https://drive.google.com/open?id=1Si_0k-2I8gsiAVfzN1NUpfpW6M2bVwGs, https://drive.google.com/open?id=1h-uCFGJF0Qo_u7_91IPzmo02pKhPaPMX, https://drive.google.com/open?id=1ZE5sXxOcLKLYGbkmtCIF8x1E9un-tGLr, https://drive.google.com/open?id=1mQSUbj34XMYE-GOyxVTnUZkRIkG8pFuC, https://drive.google.com/open?id=1z2Q51onR2AzLHC6rUx8te-p0FAa4c5im, https://drive.google.com/open?id=1-Lmasee7o2PqHwYHPKmbaeWkRgB-OOvB, https://drive.google.com/open?id=1nNBwyBoeKt0vmC57Nplbrpejiw0EBwUM, https://drive.google.com/open?id=1PJQy49eI_KbXM053JOyQNiDTj1edIEda, https://drive.google.com/open?id=1MeZwGBYchzSaflHHmSsWT7-CsrsmPOzM</v>
      </c>
      <c r="D55" s="28" t="str">
        <f ca="1">IFERROR(__xludf.DUMMYFUNCTION("split(C55, "", "")"),"https://drive.google.com/open?id=1PZWnUqekEkoBcUFPQC6taublCHeQ5YpG")</f>
        <v>https://drive.google.com/open?id=1PZWnUqekEkoBcUFPQC6taublCHeQ5YpG</v>
      </c>
      <c r="E55" s="26" t="str">
        <f ca="1">IFERROR(__xludf.DUMMYFUNCTION("""COMPUTED_VALUE"""),"https://drive.google.com/open?id=1Si_0k-2I8gsiAVfzN1NUpfpW6M2bVwGs")</f>
        <v>https://drive.google.com/open?id=1Si_0k-2I8gsiAVfzN1NUpfpW6M2bVwGs</v>
      </c>
      <c r="F55" s="26" t="str">
        <f ca="1">IFERROR(__xludf.DUMMYFUNCTION("""COMPUTED_VALUE"""),"https://drive.google.com/open?id=1h-uCFGJF0Qo_u7_91IPzmo02pKhPaPMX")</f>
        <v>https://drive.google.com/open?id=1h-uCFGJF0Qo_u7_91IPzmo02pKhPaPMX</v>
      </c>
      <c r="G55" s="26" t="str">
        <f ca="1">IFERROR(__xludf.DUMMYFUNCTION("""COMPUTED_VALUE"""),"https://drive.google.com/open?id=1ZE5sXxOcLKLYGbkmtCIF8x1E9un-tGLr")</f>
        <v>https://drive.google.com/open?id=1ZE5sXxOcLKLYGbkmtCIF8x1E9un-tGLr</v>
      </c>
      <c r="H55" s="26" t="str">
        <f ca="1">IFERROR(__xludf.DUMMYFUNCTION("""COMPUTED_VALUE"""),"https://drive.google.com/open?id=1mQSUbj34XMYE-GOyxVTnUZkRIkG8pFuC")</f>
        <v>https://drive.google.com/open?id=1mQSUbj34XMYE-GOyxVTnUZkRIkG8pFuC</v>
      </c>
      <c r="I55" s="26" t="str">
        <f ca="1">IFERROR(__xludf.DUMMYFUNCTION("""COMPUTED_VALUE"""),"https://drive.google.com/open?id=1z2Q51onR2AzLHC6rUx8te-p0FAa4c5im")</f>
        <v>https://drive.google.com/open?id=1z2Q51onR2AzLHC6rUx8te-p0FAa4c5im</v>
      </c>
      <c r="J55" s="26" t="str">
        <f ca="1">IFERROR(__xludf.DUMMYFUNCTION("""COMPUTED_VALUE"""),"https://drive.google.com/open?id=1-Lmasee7o2PqHwYHPKmbaeWkRgB-OOvB")</f>
        <v>https://drive.google.com/open?id=1-Lmasee7o2PqHwYHPKmbaeWkRgB-OOvB</v>
      </c>
      <c r="K55" s="26" t="str">
        <f ca="1">IFERROR(__xludf.DUMMYFUNCTION("""COMPUTED_VALUE"""),"https://drive.google.com/open?id=1nNBwyBoeKt0vmC57Nplbrpejiw0EBwUM")</f>
        <v>https://drive.google.com/open?id=1nNBwyBoeKt0vmC57Nplbrpejiw0EBwUM</v>
      </c>
      <c r="L55" s="26" t="str">
        <f ca="1">IFERROR(__xludf.DUMMYFUNCTION("""COMPUTED_VALUE"""),"https://drive.google.com/open?id=1PJQy49eI_KbXM053JOyQNiDTj1edIEda")</f>
        <v>https://drive.google.com/open?id=1PJQy49eI_KbXM053JOyQNiDTj1edIEda</v>
      </c>
      <c r="M55" s="26" t="str">
        <f ca="1">IFERROR(__xludf.DUMMYFUNCTION("""COMPUTED_VALUE"""),"https://drive.google.com/open?id=1MeZwGBYchzSaflHHmSsWT7-CsrsmPOzM")</f>
        <v>https://drive.google.com/open?id=1MeZwGBYchzSaflHHmSsWT7-CsrsmPOzM</v>
      </c>
    </row>
    <row r="56" spans="3:13">
      <c r="C56" s="26" t="str">
        <f ca="1">IFERROR(__xludf.DUMMYFUNCTION("""COMPUTED_VALUE"""),"https://drive.google.com/open?id=1VptlMlKOdt9ntbJhbxHrSrBeewWrk9Z7, https://drive.google.com/open?id=1FyOiy6B236_O-QItpBKFoHtcClWdV6Zn, https://drive.google.com/open?id=1VVwkCfBs6w3Jp1kwEI7N_IUuHWFqOjL9, https://drive.google.com/open?id=1af-_R4OpHYsswLDhs"&amp;"lDv-Bb7JIo73OIo, https://drive.google.com/open?id=1lyoKhdMlhPtuLU30S50IyjWyeNHgysRI, https://drive.google.com/open?id=1hd2uSlOB6axdrg_ZVoE0YB7v_nugsmZe, https://drive.google.com/open?id=1JxvOfiCpNjT50i65yOD0h-9t9Wnb3lXz, https://drive.google.com/open?id=1"&amp;"QJU6ma6Fo9LveJZXdpGfQxEORcJ-xxYp, https://drive.google.com/open?id=1wZHXVZShORrn_Uxgs2lLNkr2SpO94fDO, https://drive.google.com/open?id=1wI19FoFLsQMQsSSDlzmCYiCLcyUrr17K")</f>
        <v>https://drive.google.com/open?id=1VptlMlKOdt9ntbJhbxHrSrBeewWrk9Z7, https://drive.google.com/open?id=1FyOiy6B236_O-QItpBKFoHtcClWdV6Zn, https://drive.google.com/open?id=1VVwkCfBs6w3Jp1kwEI7N_IUuHWFqOjL9, https://drive.google.com/open?id=1af-_R4OpHYsswLDhslDv-Bb7JIo73OIo, https://drive.google.com/open?id=1lyoKhdMlhPtuLU30S50IyjWyeNHgysRI, https://drive.google.com/open?id=1hd2uSlOB6axdrg_ZVoE0YB7v_nugsmZe, https://drive.google.com/open?id=1JxvOfiCpNjT50i65yOD0h-9t9Wnb3lXz, https://drive.google.com/open?id=1QJU6ma6Fo9LveJZXdpGfQxEORcJ-xxYp, https://drive.google.com/open?id=1wZHXVZShORrn_Uxgs2lLNkr2SpO94fDO, https://drive.google.com/open?id=1wI19FoFLsQMQsSSDlzmCYiCLcyUrr17K</v>
      </c>
      <c r="D56" s="28" t="str">
        <f ca="1">IFERROR(__xludf.DUMMYFUNCTION("split(C56, "", "")"),"https://drive.google.com/open?id=1VptlMlKOdt9ntbJhbxHrSrBeewWrk9Z7")</f>
        <v>https://drive.google.com/open?id=1VptlMlKOdt9ntbJhbxHrSrBeewWrk9Z7</v>
      </c>
      <c r="E56" s="26" t="str">
        <f ca="1">IFERROR(__xludf.DUMMYFUNCTION("""COMPUTED_VALUE"""),"https://drive.google.com/open?id=1FyOiy6B236_O-QItpBKFoHtcClWdV6Zn")</f>
        <v>https://drive.google.com/open?id=1FyOiy6B236_O-QItpBKFoHtcClWdV6Zn</v>
      </c>
      <c r="F56" s="26" t="str">
        <f ca="1">IFERROR(__xludf.DUMMYFUNCTION("""COMPUTED_VALUE"""),"https://drive.google.com/open?id=1VVwkCfBs6w3Jp1kwEI7N_IUuHWFqOjL9")</f>
        <v>https://drive.google.com/open?id=1VVwkCfBs6w3Jp1kwEI7N_IUuHWFqOjL9</v>
      </c>
      <c r="G56" s="26" t="str">
        <f ca="1">IFERROR(__xludf.DUMMYFUNCTION("""COMPUTED_VALUE"""),"https://drive.google.com/open?id=1af-_R4OpHYsswLDhslDv-Bb7JIo73OIo")</f>
        <v>https://drive.google.com/open?id=1af-_R4OpHYsswLDhslDv-Bb7JIo73OIo</v>
      </c>
      <c r="H56" s="26" t="str">
        <f ca="1">IFERROR(__xludf.DUMMYFUNCTION("""COMPUTED_VALUE"""),"https://drive.google.com/open?id=1lyoKhdMlhPtuLU30S50IyjWyeNHgysRI")</f>
        <v>https://drive.google.com/open?id=1lyoKhdMlhPtuLU30S50IyjWyeNHgysRI</v>
      </c>
      <c r="I56" s="26" t="str">
        <f ca="1">IFERROR(__xludf.DUMMYFUNCTION("""COMPUTED_VALUE"""),"https://drive.google.com/open?id=1hd2uSlOB6axdrg_ZVoE0YB7v_nugsmZe")</f>
        <v>https://drive.google.com/open?id=1hd2uSlOB6axdrg_ZVoE0YB7v_nugsmZe</v>
      </c>
      <c r="J56" s="26" t="str">
        <f ca="1">IFERROR(__xludf.DUMMYFUNCTION("""COMPUTED_VALUE"""),"https://drive.google.com/open?id=1JxvOfiCpNjT50i65yOD0h-9t9Wnb3lXz")</f>
        <v>https://drive.google.com/open?id=1JxvOfiCpNjT50i65yOD0h-9t9Wnb3lXz</v>
      </c>
      <c r="K56" s="26" t="str">
        <f ca="1">IFERROR(__xludf.DUMMYFUNCTION("""COMPUTED_VALUE"""),"https://drive.google.com/open?id=1QJU6ma6Fo9LveJZXdpGfQxEORcJ-xxYp")</f>
        <v>https://drive.google.com/open?id=1QJU6ma6Fo9LveJZXdpGfQxEORcJ-xxYp</v>
      </c>
      <c r="L56" s="26" t="str">
        <f ca="1">IFERROR(__xludf.DUMMYFUNCTION("""COMPUTED_VALUE"""),"https://drive.google.com/open?id=1wZHXVZShORrn_Uxgs2lLNkr2SpO94fDO")</f>
        <v>https://drive.google.com/open?id=1wZHXVZShORrn_Uxgs2lLNkr2SpO94fDO</v>
      </c>
      <c r="M56" s="26" t="str">
        <f ca="1">IFERROR(__xludf.DUMMYFUNCTION("""COMPUTED_VALUE"""),"https://drive.google.com/open?id=1wI19FoFLsQMQsSSDlzmCYiCLcyUrr17K")</f>
        <v>https://drive.google.com/open?id=1wI19FoFLsQMQsSSDlzmCYiCLcyUrr17K</v>
      </c>
    </row>
    <row r="57" spans="3:13">
      <c r="C57" s="6" t="str">
        <f ca="1">IFERROR(__xludf.DUMMYFUNCTION("""COMPUTED_VALUE"""),"https://drive.google.com/open?id=1wlF4vm_-gzbUxOydLdw0aSeDhrQdIUr_, https://drive.google.com/open?id=1WCBQr5WXf398fpgU48gqlwlIt_LoN7r7, https://drive.google.com/open?id=1SfsLzxubhraZrgBpL-eLnmCFrcrvueaz, https://drive.google.com/open?id=1cRAFGk1Qd5B2179NV"&amp;"uf15POoWqHbcYlZ, https://drive.google.com/open?id=1ijo-yaE8AJ0vyh6jvXE-v-52NH5gpK9o, https://drive.google.com/open?id=1kqruR8_Cs2dC6E4dV8ByhmKTmAIu9YYP, https://drive.google.com/open?id=1bLZZ_PJFopChrtAVkPs_P0erxooAqwKF, https://drive.google.com/open?id=1"&amp;"ylJaF8xbrZmyitwgzqP8EmUTSOu7Bfm9, https://drive.google.com/open?id=1y8BnHQLE14M8EBGEe1Nxoqj0tHWByr92, https://drive.google.com/open?id=1aJmFkPYw3UaY4wtdQ52aLkQ1BCNkkOQR")</f>
        <v>https://drive.google.com/open?id=1wlF4vm_-gzbUxOydLdw0aSeDhrQdIUr_, https://drive.google.com/open?id=1WCBQr5WXf398fpgU48gqlwlIt_LoN7r7, https://drive.google.com/open?id=1SfsLzxubhraZrgBpL-eLnmCFrcrvueaz, https://drive.google.com/open?id=1cRAFGk1Qd5B2179NVuf15POoWqHbcYlZ, https://drive.google.com/open?id=1ijo-yaE8AJ0vyh6jvXE-v-52NH5gpK9o, https://drive.google.com/open?id=1kqruR8_Cs2dC6E4dV8ByhmKTmAIu9YYP, https://drive.google.com/open?id=1bLZZ_PJFopChrtAVkPs_P0erxooAqwKF, https://drive.google.com/open?id=1ylJaF8xbrZmyitwgzqP8EmUTSOu7Bfm9, https://drive.google.com/open?id=1y8BnHQLE14M8EBGEe1Nxoqj0tHWByr92, https://drive.google.com/open?id=1aJmFkPYw3UaY4wtdQ52aLkQ1BCNkkOQR</v>
      </c>
      <c r="D57" s="28" t="str">
        <f ca="1">IFERROR(__xludf.DUMMYFUNCTION("split(C57, "", "")"),"https://drive.google.com/open?id=1wlF4vm_-gzbUxOydLdw0aSeDhrQdIUr_")</f>
        <v>https://drive.google.com/open?id=1wlF4vm_-gzbUxOydLdw0aSeDhrQdIUr_</v>
      </c>
      <c r="E57" s="26" t="str">
        <f ca="1">IFERROR(__xludf.DUMMYFUNCTION("""COMPUTED_VALUE"""),"https://drive.google.com/open?id=1WCBQr5WXf398fpgU48gqlwlIt_LoN7r7")</f>
        <v>https://drive.google.com/open?id=1WCBQr5WXf398fpgU48gqlwlIt_LoN7r7</v>
      </c>
      <c r="F57" s="26" t="str">
        <f ca="1">IFERROR(__xludf.DUMMYFUNCTION("""COMPUTED_VALUE"""),"https://drive.google.com/open?id=1SfsLzxubhraZrgBpL-eLnmCFrcrvueaz")</f>
        <v>https://drive.google.com/open?id=1SfsLzxubhraZrgBpL-eLnmCFrcrvueaz</v>
      </c>
      <c r="G57" s="26" t="str">
        <f ca="1">IFERROR(__xludf.DUMMYFUNCTION("""COMPUTED_VALUE"""),"https://drive.google.com/open?id=1cRAFGk1Qd5B2179NVuf15POoWqHbcYlZ")</f>
        <v>https://drive.google.com/open?id=1cRAFGk1Qd5B2179NVuf15POoWqHbcYlZ</v>
      </c>
      <c r="H57" s="26" t="str">
        <f ca="1">IFERROR(__xludf.DUMMYFUNCTION("""COMPUTED_VALUE"""),"https://drive.google.com/open?id=1ijo-yaE8AJ0vyh6jvXE-v-52NH5gpK9o")</f>
        <v>https://drive.google.com/open?id=1ijo-yaE8AJ0vyh6jvXE-v-52NH5gpK9o</v>
      </c>
      <c r="I57" s="26" t="str">
        <f ca="1">IFERROR(__xludf.DUMMYFUNCTION("""COMPUTED_VALUE"""),"https://drive.google.com/open?id=1kqruR8_Cs2dC6E4dV8ByhmKTmAIu9YYP")</f>
        <v>https://drive.google.com/open?id=1kqruR8_Cs2dC6E4dV8ByhmKTmAIu9YYP</v>
      </c>
      <c r="J57" s="26" t="str">
        <f ca="1">IFERROR(__xludf.DUMMYFUNCTION("""COMPUTED_VALUE"""),"https://drive.google.com/open?id=1bLZZ_PJFopChrtAVkPs_P0erxooAqwKF")</f>
        <v>https://drive.google.com/open?id=1bLZZ_PJFopChrtAVkPs_P0erxooAqwKF</v>
      </c>
      <c r="K57" s="26" t="str">
        <f ca="1">IFERROR(__xludf.DUMMYFUNCTION("""COMPUTED_VALUE"""),"https://drive.google.com/open?id=1ylJaF8xbrZmyitwgzqP8EmUTSOu7Bfm9")</f>
        <v>https://drive.google.com/open?id=1ylJaF8xbrZmyitwgzqP8EmUTSOu7Bfm9</v>
      </c>
      <c r="L57" s="26" t="str">
        <f ca="1">IFERROR(__xludf.DUMMYFUNCTION("""COMPUTED_VALUE"""),"https://drive.google.com/open?id=1y8BnHQLE14M8EBGEe1Nxoqj0tHWByr92")</f>
        <v>https://drive.google.com/open?id=1y8BnHQLE14M8EBGEe1Nxoqj0tHWByr92</v>
      </c>
      <c r="M57" s="26" t="str">
        <f ca="1">IFERROR(__xludf.DUMMYFUNCTION("""COMPUTED_VALUE"""),"https://drive.google.com/open?id=1aJmFkPYw3UaY4wtdQ52aLkQ1BCNkkOQR")</f>
        <v>https://drive.google.com/open?id=1aJmFkPYw3UaY4wtdQ52aLkQ1BCNkkOQR</v>
      </c>
    </row>
    <row r="58" spans="3:13">
      <c r="C58" s="6" t="str">
        <f ca="1">IFERROR(__xludf.DUMMYFUNCTION("""COMPUTED_VALUE"""),"https://drive.google.com/open?id=1R8t--aHZEytZGcCJyoejLNjaFQ7JKThW, https://drive.google.com/open?id=14MGkD57H3H-qsez2xyP9-kq-yjhj-X1h, https://drive.google.com/open?id=1l92FtzL2712Mi6Xw-Yq1TLtQSEiBQKV_, https://drive.google.com/open?id=1lnfJ10CbxeKIXgVhX"&amp;"7n7tGMA3c9h5_rD, https://drive.google.com/open?id=1U_xQqHt968umNeS0iJWd7txJYGXjLPdn, https://drive.google.com/open?id=1e7cUCkv6tW9CmKV4U9FVfC7Z0M5iieCZ, https://drive.google.com/open?id=1yn4vhTkSHHH2kqjlFodHMNvuP6c3CqBl, https://drive.google.com/open?id=1"&amp;"RqHoO5UZXdWYbFjBIt-M3wRXh8Fms_T8, https://drive.google.com/open?id=1lCfzV9-JBK9S7ZUrXSXQ8nKTYg8RzTMi, https://drive.google.com/open?id=1sUrLdpWzHiXIGb8dHv9aTxsQd6wKzQWa")</f>
        <v>https://drive.google.com/open?id=1R8t--aHZEytZGcCJyoejLNjaFQ7JKThW, https://drive.google.com/open?id=14MGkD57H3H-qsez2xyP9-kq-yjhj-X1h, https://drive.google.com/open?id=1l92FtzL2712Mi6Xw-Yq1TLtQSEiBQKV_, https://drive.google.com/open?id=1lnfJ10CbxeKIXgVhX7n7tGMA3c9h5_rD, https://drive.google.com/open?id=1U_xQqHt968umNeS0iJWd7txJYGXjLPdn, https://drive.google.com/open?id=1e7cUCkv6tW9CmKV4U9FVfC7Z0M5iieCZ, https://drive.google.com/open?id=1yn4vhTkSHHH2kqjlFodHMNvuP6c3CqBl, https://drive.google.com/open?id=1RqHoO5UZXdWYbFjBIt-M3wRXh8Fms_T8, https://drive.google.com/open?id=1lCfzV9-JBK9S7ZUrXSXQ8nKTYg8RzTMi, https://drive.google.com/open?id=1sUrLdpWzHiXIGb8dHv9aTxsQd6wKzQWa</v>
      </c>
      <c r="D58" s="28" t="str">
        <f ca="1">IFERROR(__xludf.DUMMYFUNCTION("split(C58, "", "")"),"https://drive.google.com/open?id=1R8t--aHZEytZGcCJyoejLNjaFQ7JKThW")</f>
        <v>https://drive.google.com/open?id=1R8t--aHZEytZGcCJyoejLNjaFQ7JKThW</v>
      </c>
      <c r="E58" s="26" t="str">
        <f ca="1">IFERROR(__xludf.DUMMYFUNCTION("""COMPUTED_VALUE"""),"https://drive.google.com/open?id=14MGkD57H3H-qsez2xyP9-kq-yjhj-X1h")</f>
        <v>https://drive.google.com/open?id=14MGkD57H3H-qsez2xyP9-kq-yjhj-X1h</v>
      </c>
      <c r="F58" s="26" t="str">
        <f ca="1">IFERROR(__xludf.DUMMYFUNCTION("""COMPUTED_VALUE"""),"https://drive.google.com/open?id=1l92FtzL2712Mi6Xw-Yq1TLtQSEiBQKV_")</f>
        <v>https://drive.google.com/open?id=1l92FtzL2712Mi6Xw-Yq1TLtQSEiBQKV_</v>
      </c>
      <c r="G58" s="26" t="str">
        <f ca="1">IFERROR(__xludf.DUMMYFUNCTION("""COMPUTED_VALUE"""),"https://drive.google.com/open?id=1lnfJ10CbxeKIXgVhX7n7tGMA3c9h5_rD")</f>
        <v>https://drive.google.com/open?id=1lnfJ10CbxeKIXgVhX7n7tGMA3c9h5_rD</v>
      </c>
      <c r="H58" s="26" t="str">
        <f ca="1">IFERROR(__xludf.DUMMYFUNCTION("""COMPUTED_VALUE"""),"https://drive.google.com/open?id=1U_xQqHt968umNeS0iJWd7txJYGXjLPdn")</f>
        <v>https://drive.google.com/open?id=1U_xQqHt968umNeS0iJWd7txJYGXjLPdn</v>
      </c>
      <c r="I58" s="26" t="str">
        <f ca="1">IFERROR(__xludf.DUMMYFUNCTION("""COMPUTED_VALUE"""),"https://drive.google.com/open?id=1e7cUCkv6tW9CmKV4U9FVfC7Z0M5iieCZ")</f>
        <v>https://drive.google.com/open?id=1e7cUCkv6tW9CmKV4U9FVfC7Z0M5iieCZ</v>
      </c>
      <c r="J58" s="26" t="str">
        <f ca="1">IFERROR(__xludf.DUMMYFUNCTION("""COMPUTED_VALUE"""),"https://drive.google.com/open?id=1yn4vhTkSHHH2kqjlFodHMNvuP6c3CqBl")</f>
        <v>https://drive.google.com/open?id=1yn4vhTkSHHH2kqjlFodHMNvuP6c3CqBl</v>
      </c>
      <c r="K58" s="26" t="str">
        <f ca="1">IFERROR(__xludf.DUMMYFUNCTION("""COMPUTED_VALUE"""),"https://drive.google.com/open?id=1RqHoO5UZXdWYbFjBIt-M3wRXh8Fms_T8")</f>
        <v>https://drive.google.com/open?id=1RqHoO5UZXdWYbFjBIt-M3wRXh8Fms_T8</v>
      </c>
      <c r="L58" s="26" t="str">
        <f ca="1">IFERROR(__xludf.DUMMYFUNCTION("""COMPUTED_VALUE"""),"https://drive.google.com/open?id=1lCfzV9-JBK9S7ZUrXSXQ8nKTYg8RzTMi")</f>
        <v>https://drive.google.com/open?id=1lCfzV9-JBK9S7ZUrXSXQ8nKTYg8RzTMi</v>
      </c>
      <c r="M58" s="26" t="str">
        <f ca="1">IFERROR(__xludf.DUMMYFUNCTION("""COMPUTED_VALUE"""),"https://drive.google.com/open?id=1sUrLdpWzHiXIGb8dHv9aTxsQd6wKzQWa")</f>
        <v>https://drive.google.com/open?id=1sUrLdpWzHiXIGb8dHv9aTxsQd6wKzQWa</v>
      </c>
    </row>
    <row r="59" spans="3:13">
      <c r="C59" s="26" t="str">
        <f ca="1">IFERROR(__xludf.DUMMYFUNCTION("""COMPUTED_VALUE"""),"https://drive.google.com/open?id=1T-UAwADWdCOznteQftou7zLxDtXJMXL1, https://drive.google.com/open?id=1weRTIUp5ujPDdoewBP2EyDyv8v6QltiJ, https://drive.google.com/open?id=18vb28quo2MSipbT-Z4477G7362kSI3Mk, https://drive.google.com/open?id=1mKNetT1Rpt_kkUF8U"&amp;"xeq5gDagTAsgLq9, https://drive.google.com/open?id=1m-QqVydGceoerZmt1Z6pRltI9qkpiWEM, https://drive.google.com/open?id=1-ULyBIDpmseKQ8v4YxNfHV02TudZrSAn, https://drive.google.com/open?id=1J1KWpyfrYVScnvsAOMM8PnfhK5DLatGI")</f>
        <v>https://drive.google.com/open?id=1T-UAwADWdCOznteQftou7zLxDtXJMXL1, https://drive.google.com/open?id=1weRTIUp5ujPDdoewBP2EyDyv8v6QltiJ, https://drive.google.com/open?id=18vb28quo2MSipbT-Z4477G7362kSI3Mk, https://drive.google.com/open?id=1mKNetT1Rpt_kkUF8Uxeq5gDagTAsgLq9, https://drive.google.com/open?id=1m-QqVydGceoerZmt1Z6pRltI9qkpiWEM, https://drive.google.com/open?id=1-ULyBIDpmseKQ8v4YxNfHV02TudZrSAn, https://drive.google.com/open?id=1J1KWpyfrYVScnvsAOMM8PnfhK5DLatGI</v>
      </c>
      <c r="D59" s="28" t="str">
        <f ca="1">IFERROR(__xludf.DUMMYFUNCTION("split(C59, "", "")"),"https://drive.google.com/open?id=1T-UAwADWdCOznteQftou7zLxDtXJMXL1")</f>
        <v>https://drive.google.com/open?id=1T-UAwADWdCOznteQftou7zLxDtXJMXL1</v>
      </c>
      <c r="E59" s="26" t="str">
        <f ca="1">IFERROR(__xludf.DUMMYFUNCTION("""COMPUTED_VALUE"""),"https://drive.google.com/open?id=1weRTIUp5ujPDdoewBP2EyDyv8v6QltiJ")</f>
        <v>https://drive.google.com/open?id=1weRTIUp5ujPDdoewBP2EyDyv8v6QltiJ</v>
      </c>
      <c r="F59" s="26" t="str">
        <f ca="1">IFERROR(__xludf.DUMMYFUNCTION("""COMPUTED_VALUE"""),"https://drive.google.com/open?id=18vb28quo2MSipbT-Z4477G7362kSI3Mk")</f>
        <v>https://drive.google.com/open?id=18vb28quo2MSipbT-Z4477G7362kSI3Mk</v>
      </c>
      <c r="G59" s="26" t="str">
        <f ca="1">IFERROR(__xludf.DUMMYFUNCTION("""COMPUTED_VALUE"""),"https://drive.google.com/open?id=1mKNetT1Rpt_kkUF8Uxeq5gDagTAsgLq9")</f>
        <v>https://drive.google.com/open?id=1mKNetT1Rpt_kkUF8Uxeq5gDagTAsgLq9</v>
      </c>
      <c r="H59" s="26" t="str">
        <f ca="1">IFERROR(__xludf.DUMMYFUNCTION("""COMPUTED_VALUE"""),"https://drive.google.com/open?id=1m-QqVydGceoerZmt1Z6pRltI9qkpiWEM")</f>
        <v>https://drive.google.com/open?id=1m-QqVydGceoerZmt1Z6pRltI9qkpiWEM</v>
      </c>
      <c r="I59" s="26" t="str">
        <f ca="1">IFERROR(__xludf.DUMMYFUNCTION("""COMPUTED_VALUE"""),"https://drive.google.com/open?id=1-ULyBIDpmseKQ8v4YxNfHV02TudZrSAn")</f>
        <v>https://drive.google.com/open?id=1-ULyBIDpmseKQ8v4YxNfHV02TudZrSAn</v>
      </c>
      <c r="J59" s="26" t="str">
        <f ca="1">IFERROR(__xludf.DUMMYFUNCTION("""COMPUTED_VALUE"""),"https://drive.google.com/open?id=1J1KWpyfrYVScnvsAOMM8PnfhK5DLatGI")</f>
        <v>https://drive.google.com/open?id=1J1KWpyfrYVScnvsAOMM8PnfhK5DLatGI</v>
      </c>
    </row>
    <row r="60" spans="3:13">
      <c r="C60" s="6" t="str">
        <f ca="1">IFERROR(__xludf.DUMMYFUNCTION("""COMPUTED_VALUE"""),"https://drive.google.com/open?id=15k0_G-jrE3pJtC9UOmSC-rYeODNYvoZ_, https://drive.google.com/open?id=17db3SPmpXTl094XmO7YYFoSrsFcbTFTd, https://drive.google.com/open?id=1Es8q-DNw5qtThdlvWBSlC6PxYxUXI_8f, https://drive.google.com/open?id=1WJHvihcps4Etr8EYT"&amp;"SlZLZH7cDOijqSB, https://drive.google.com/open?id=1LWCE07pXu6wnJte5k4YwWGJzfDK-Ap68, https://drive.google.com/open?id=1uHp_UDHAPgs_ceZxWenr3NH-_T9tzdq8, https://drive.google.com/open?id=1vBuzUL3qPbO9MyFELTGIx_dBCw7PGmwY, https://drive.google.com/open?id=1"&amp;"ZCQ98gZKuigmFoldPbIXDd7jBDqZVXBp, https://drive.google.com/open?id=1HpPThcs6MRdlowjRIXGpG_VP5AQPXdmR, https://drive.google.com/open?id=1Nnu1WlwqONbRgBBkO5M6dzwBenFjnVUQ")</f>
        <v>https://drive.google.com/open?id=15k0_G-jrE3pJtC9UOmSC-rYeODNYvoZ_, https://drive.google.com/open?id=17db3SPmpXTl094XmO7YYFoSrsFcbTFTd, https://drive.google.com/open?id=1Es8q-DNw5qtThdlvWBSlC6PxYxUXI_8f, https://drive.google.com/open?id=1WJHvihcps4Etr8EYTSlZLZH7cDOijqSB, https://drive.google.com/open?id=1LWCE07pXu6wnJte5k4YwWGJzfDK-Ap68, https://drive.google.com/open?id=1uHp_UDHAPgs_ceZxWenr3NH-_T9tzdq8, https://drive.google.com/open?id=1vBuzUL3qPbO9MyFELTGIx_dBCw7PGmwY, https://drive.google.com/open?id=1ZCQ98gZKuigmFoldPbIXDd7jBDqZVXBp, https://drive.google.com/open?id=1HpPThcs6MRdlowjRIXGpG_VP5AQPXdmR, https://drive.google.com/open?id=1Nnu1WlwqONbRgBBkO5M6dzwBenFjnVUQ</v>
      </c>
      <c r="D60" s="28" t="str">
        <f ca="1">IFERROR(__xludf.DUMMYFUNCTION("split(C60, "", "")"),"https://drive.google.com/open?id=15k0_G-jrE3pJtC9UOmSC-rYeODNYvoZ_")</f>
        <v>https://drive.google.com/open?id=15k0_G-jrE3pJtC9UOmSC-rYeODNYvoZ_</v>
      </c>
      <c r="E60" s="26" t="str">
        <f ca="1">IFERROR(__xludf.DUMMYFUNCTION("""COMPUTED_VALUE"""),"https://drive.google.com/open?id=17db3SPmpXTl094XmO7YYFoSrsFcbTFTd")</f>
        <v>https://drive.google.com/open?id=17db3SPmpXTl094XmO7YYFoSrsFcbTFTd</v>
      </c>
      <c r="F60" s="26" t="str">
        <f ca="1">IFERROR(__xludf.DUMMYFUNCTION("""COMPUTED_VALUE"""),"https://drive.google.com/open?id=1Es8q-DNw5qtThdlvWBSlC6PxYxUXI_8f")</f>
        <v>https://drive.google.com/open?id=1Es8q-DNw5qtThdlvWBSlC6PxYxUXI_8f</v>
      </c>
      <c r="G60" s="26" t="str">
        <f ca="1">IFERROR(__xludf.DUMMYFUNCTION("""COMPUTED_VALUE"""),"https://drive.google.com/open?id=1WJHvihcps4Etr8EYTSlZLZH7cDOijqSB")</f>
        <v>https://drive.google.com/open?id=1WJHvihcps4Etr8EYTSlZLZH7cDOijqSB</v>
      </c>
      <c r="H60" s="26" t="str">
        <f ca="1">IFERROR(__xludf.DUMMYFUNCTION("""COMPUTED_VALUE"""),"https://drive.google.com/open?id=1LWCE07pXu6wnJte5k4YwWGJzfDK-Ap68")</f>
        <v>https://drive.google.com/open?id=1LWCE07pXu6wnJte5k4YwWGJzfDK-Ap68</v>
      </c>
      <c r="I60" s="26" t="str">
        <f ca="1">IFERROR(__xludf.DUMMYFUNCTION("""COMPUTED_VALUE"""),"https://drive.google.com/open?id=1uHp_UDHAPgs_ceZxWenr3NH-_T9tzdq8")</f>
        <v>https://drive.google.com/open?id=1uHp_UDHAPgs_ceZxWenr3NH-_T9tzdq8</v>
      </c>
      <c r="J60" s="26" t="str">
        <f ca="1">IFERROR(__xludf.DUMMYFUNCTION("""COMPUTED_VALUE"""),"https://drive.google.com/open?id=1vBuzUL3qPbO9MyFELTGIx_dBCw7PGmwY")</f>
        <v>https://drive.google.com/open?id=1vBuzUL3qPbO9MyFELTGIx_dBCw7PGmwY</v>
      </c>
      <c r="K60" s="26" t="str">
        <f ca="1">IFERROR(__xludf.DUMMYFUNCTION("""COMPUTED_VALUE"""),"https://drive.google.com/open?id=1ZCQ98gZKuigmFoldPbIXDd7jBDqZVXBp")</f>
        <v>https://drive.google.com/open?id=1ZCQ98gZKuigmFoldPbIXDd7jBDqZVXBp</v>
      </c>
      <c r="L60" s="26" t="str">
        <f ca="1">IFERROR(__xludf.DUMMYFUNCTION("""COMPUTED_VALUE"""),"https://drive.google.com/open?id=1HpPThcs6MRdlowjRIXGpG_VP5AQPXdmR")</f>
        <v>https://drive.google.com/open?id=1HpPThcs6MRdlowjRIXGpG_VP5AQPXdmR</v>
      </c>
      <c r="M60" s="26" t="str">
        <f ca="1">IFERROR(__xludf.DUMMYFUNCTION("""COMPUTED_VALUE"""),"https://drive.google.com/open?id=1Nnu1WlwqONbRgBBkO5M6dzwBenFjnVUQ")</f>
        <v>https://drive.google.com/open?id=1Nnu1WlwqONbRgBBkO5M6dzwBenFjnVUQ</v>
      </c>
    </row>
    <row r="61" spans="3:13">
      <c r="C61" s="6" t="str">
        <f ca="1">IFERROR(__xludf.DUMMYFUNCTION("""COMPUTED_VALUE"""),"https://drive.google.com/open?id=1PjPKM3iziMpG_-yDKvfiE2IfmQD79awl, https://drive.google.com/open?id=1CCuMYam7Vgne2ijKtZMyZLUsy2rAnjpU, https://drive.google.com/open?id=1W-7t6VAn2nD_oWNH2qrVBDVjO7KJBbfl, https://drive.google.com/open?id=1TsvPVdOcHIHy4H12e"&amp;"e4ivxsI4jun28NH, https://drive.google.com/open?id=1KsM5Lx7IQ_q6OjqnWahjA3Bel66b5CtB, https://drive.google.com/open?id=1b5gX2NIPxCPivYMJe7qXINDR2P-FFoKR, https://drive.google.com/open?id=1ceLLfCEPCFIW_fJCgjVyB3aHygddmnA3, https://drive.google.com/open?id=1"&amp;"63pUan47ez4sRZBfuMQSOK4UmyC3r7Z7, https://drive.google.com/open?id=1U_54qlYJQMj2vQkgzj0yuL-DQzFGMRhe, https://drive.google.com/open?id=1Ua-fdNI-zJs3aW1kIJksam9VlF3qajss")</f>
        <v>https://drive.google.com/open?id=1PjPKM3iziMpG_-yDKvfiE2IfmQD79awl, https://drive.google.com/open?id=1CCuMYam7Vgne2ijKtZMyZLUsy2rAnjpU, https://drive.google.com/open?id=1W-7t6VAn2nD_oWNH2qrVBDVjO7KJBbfl, https://drive.google.com/open?id=1TsvPVdOcHIHy4H12ee4ivxsI4jun28NH, https://drive.google.com/open?id=1KsM5Lx7IQ_q6OjqnWahjA3Bel66b5CtB, https://drive.google.com/open?id=1b5gX2NIPxCPivYMJe7qXINDR2P-FFoKR, https://drive.google.com/open?id=1ceLLfCEPCFIW_fJCgjVyB3aHygddmnA3, https://drive.google.com/open?id=163pUan47ez4sRZBfuMQSOK4UmyC3r7Z7, https://drive.google.com/open?id=1U_54qlYJQMj2vQkgzj0yuL-DQzFGMRhe, https://drive.google.com/open?id=1Ua-fdNI-zJs3aW1kIJksam9VlF3qajss</v>
      </c>
      <c r="D61" s="28" t="str">
        <f ca="1">IFERROR(__xludf.DUMMYFUNCTION("split(C61, "", "")"),"https://drive.google.com/open?id=1PjPKM3iziMpG_-yDKvfiE2IfmQD79awl")</f>
        <v>https://drive.google.com/open?id=1PjPKM3iziMpG_-yDKvfiE2IfmQD79awl</v>
      </c>
      <c r="E61" s="26" t="str">
        <f ca="1">IFERROR(__xludf.DUMMYFUNCTION("""COMPUTED_VALUE"""),"https://drive.google.com/open?id=1CCuMYam7Vgne2ijKtZMyZLUsy2rAnjpU")</f>
        <v>https://drive.google.com/open?id=1CCuMYam7Vgne2ijKtZMyZLUsy2rAnjpU</v>
      </c>
      <c r="F61" s="26" t="str">
        <f ca="1">IFERROR(__xludf.DUMMYFUNCTION("""COMPUTED_VALUE"""),"https://drive.google.com/open?id=1W-7t6VAn2nD_oWNH2qrVBDVjO7KJBbfl")</f>
        <v>https://drive.google.com/open?id=1W-7t6VAn2nD_oWNH2qrVBDVjO7KJBbfl</v>
      </c>
      <c r="G61" s="26" t="str">
        <f ca="1">IFERROR(__xludf.DUMMYFUNCTION("""COMPUTED_VALUE"""),"https://drive.google.com/open?id=1TsvPVdOcHIHy4H12ee4ivxsI4jun28NH")</f>
        <v>https://drive.google.com/open?id=1TsvPVdOcHIHy4H12ee4ivxsI4jun28NH</v>
      </c>
      <c r="H61" s="26" t="str">
        <f ca="1">IFERROR(__xludf.DUMMYFUNCTION("""COMPUTED_VALUE"""),"https://drive.google.com/open?id=1KsM5Lx7IQ_q6OjqnWahjA3Bel66b5CtB")</f>
        <v>https://drive.google.com/open?id=1KsM5Lx7IQ_q6OjqnWahjA3Bel66b5CtB</v>
      </c>
      <c r="I61" s="26" t="str">
        <f ca="1">IFERROR(__xludf.DUMMYFUNCTION("""COMPUTED_VALUE"""),"https://drive.google.com/open?id=1b5gX2NIPxCPivYMJe7qXINDR2P-FFoKR")</f>
        <v>https://drive.google.com/open?id=1b5gX2NIPxCPivYMJe7qXINDR2P-FFoKR</v>
      </c>
      <c r="J61" s="26" t="str">
        <f ca="1">IFERROR(__xludf.DUMMYFUNCTION("""COMPUTED_VALUE"""),"https://drive.google.com/open?id=1ceLLfCEPCFIW_fJCgjVyB3aHygddmnA3")</f>
        <v>https://drive.google.com/open?id=1ceLLfCEPCFIW_fJCgjVyB3aHygddmnA3</v>
      </c>
      <c r="K61" s="26" t="str">
        <f ca="1">IFERROR(__xludf.DUMMYFUNCTION("""COMPUTED_VALUE"""),"https://drive.google.com/open?id=163pUan47ez4sRZBfuMQSOK4UmyC3r7Z7")</f>
        <v>https://drive.google.com/open?id=163pUan47ez4sRZBfuMQSOK4UmyC3r7Z7</v>
      </c>
      <c r="L61" s="26" t="str">
        <f ca="1">IFERROR(__xludf.DUMMYFUNCTION("""COMPUTED_VALUE"""),"https://drive.google.com/open?id=1U_54qlYJQMj2vQkgzj0yuL-DQzFGMRhe")</f>
        <v>https://drive.google.com/open?id=1U_54qlYJQMj2vQkgzj0yuL-DQzFGMRhe</v>
      </c>
      <c r="M61" s="26" t="str">
        <f ca="1">IFERROR(__xludf.DUMMYFUNCTION("""COMPUTED_VALUE"""),"https://drive.google.com/open?id=1Ua-fdNI-zJs3aW1kIJksam9VlF3qajss")</f>
        <v>https://drive.google.com/open?id=1Ua-fdNI-zJs3aW1kIJksam9VlF3qajss</v>
      </c>
    </row>
    <row r="62" spans="3:13">
      <c r="C62" s="6"/>
    </row>
    <row r="63" spans="3:13">
      <c r="C63" s="6"/>
    </row>
    <row r="64" spans="3:13">
      <c r="C64" s="6"/>
    </row>
    <row r="65" spans="2:3">
      <c r="C65" s="6"/>
    </row>
    <row r="66" spans="2:3">
      <c r="B66" s="29"/>
      <c r="C66" s="6"/>
    </row>
    <row r="67" spans="2:3">
      <c r="B67" s="28"/>
      <c r="C67" s="6"/>
    </row>
    <row r="68" spans="2:3">
      <c r="C68" s="6"/>
    </row>
    <row r="69" spans="2:3">
      <c r="C69" s="6"/>
    </row>
    <row r="70" spans="2:3">
      <c r="C70" s="6"/>
    </row>
    <row r="71" spans="2:3">
      <c r="C71" s="6"/>
    </row>
    <row r="72" spans="2:3">
      <c r="C72" s="6"/>
    </row>
    <row r="73" spans="2:3">
      <c r="C73" s="6"/>
    </row>
    <row r="74" spans="2:3">
      <c r="C74" s="6"/>
    </row>
    <row r="75" spans="2:3">
      <c r="C75" s="6"/>
    </row>
    <row r="76" spans="2:3">
      <c r="C76" s="6"/>
    </row>
    <row r="77" spans="2:3">
      <c r="C77" s="6"/>
    </row>
    <row r="78" spans="2:3">
      <c r="C78" s="6"/>
    </row>
    <row r="79" spans="2:3">
      <c r="C79" s="6"/>
    </row>
    <row r="80" spans="2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  <row r="109" spans="3:3">
      <c r="C109" s="6"/>
    </row>
    <row r="110" spans="3:3">
      <c r="C110" s="6"/>
    </row>
    <row r="111" spans="3:3">
      <c r="C111" s="6"/>
    </row>
    <row r="112" spans="3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33" spans="3:3">
      <c r="C133" s="6"/>
    </row>
    <row r="134" spans="3:3">
      <c r="C134" s="6"/>
    </row>
    <row r="135" spans="3:3">
      <c r="C135" s="6"/>
    </row>
    <row r="136" spans="3:3">
      <c r="C136" s="6"/>
    </row>
    <row r="137" spans="3:3">
      <c r="C137" s="6"/>
    </row>
    <row r="138" spans="3:3">
      <c r="C138" s="6"/>
    </row>
    <row r="139" spans="3:3">
      <c r="C139" s="6"/>
    </row>
    <row r="140" spans="3:3">
      <c r="C140" s="6"/>
    </row>
    <row r="141" spans="3:3">
      <c r="C141" s="6"/>
    </row>
    <row r="142" spans="3:3">
      <c r="C142" s="6"/>
    </row>
    <row r="143" spans="3:3">
      <c r="C143" s="6"/>
    </row>
    <row r="144" spans="3:3">
      <c r="C144" s="6"/>
    </row>
    <row r="145" spans="3:3">
      <c r="C145" s="6"/>
    </row>
    <row r="146" spans="3:3">
      <c r="C146" s="6"/>
    </row>
    <row r="147" spans="3:3">
      <c r="C147" s="6"/>
    </row>
    <row r="148" spans="3:3">
      <c r="C148" s="6"/>
    </row>
  </sheetData>
  <hyperlinks>
    <hyperlink ref="C15" r:id="rId1" display="https://drive.google.com/open?id=1CCuMYam7Vgne2ijKtZMyZLUsy2rAnjpU" xr:uid="{00000000-0004-0000-0100-000000000000}"/>
    <hyperlink ref="D15" r:id="rId2" display="https://drive.google.com/open?id=1W-7t6VAn2nD_oWNH2qrVBDVjO7KJBbfl" xr:uid="{00000000-0004-0000-0100-000001000000}"/>
    <hyperlink ref="E15" r:id="rId3" display="https://drive.google.com/open?id=1TsvPVdOcHIHy4H12ee4ivxsI4jun28NH" xr:uid="{00000000-0004-0000-0100-000002000000}"/>
    <hyperlink ref="F15" r:id="rId4" display="https://drive.google.com/open?id=1KsM5Lx7IQ_q6OjqnWahjA3Bel66b5CtB" xr:uid="{00000000-0004-0000-0100-000003000000}"/>
    <hyperlink ref="G15" r:id="rId5" display="https://drive.google.com/open?id=1b5gX2NIPxCPivYMJe7qXINDR2P-FFoKR" xr:uid="{00000000-0004-0000-0100-000004000000}"/>
    <hyperlink ref="H15" r:id="rId6" display="https://drive.google.com/open?id=1ceLLfCEPCFIW_fJCgjVyB3aHygddmnA3" xr:uid="{00000000-0004-0000-0100-000005000000}"/>
    <hyperlink ref="I15" r:id="rId7" display="https://drive.google.com/open?id=163pUan47ez4sRZBfuMQSOK4UmyC3r7Z7" xr:uid="{00000000-0004-0000-0100-000006000000}"/>
    <hyperlink ref="J15" r:id="rId8" display="https://drive.google.com/open?id=1U_54qlYJQMj2vQkgzj0yuL-DQzFGMRhe" xr:uid="{00000000-0004-0000-0100-000007000000}"/>
    <hyperlink ref="K15" r:id="rId9" display="https://drive.google.com/open?id=1Ua-fdNI-zJs3aW1kIJksam9VlF3qajss" xr:uid="{00000000-0004-0000-0100-000008000000}"/>
    <hyperlink ref="C18" r:id="rId10" xr:uid="{00000000-0004-0000-0100-000009000000}"/>
    <hyperlink ref="C19" r:id="rId11" xr:uid="{00000000-0004-0000-0100-00000A000000}"/>
    <hyperlink ref="C20" r:id="rId12" xr:uid="{00000000-0004-0000-0100-00000B000000}"/>
    <hyperlink ref="C21" r:id="rId13" xr:uid="{00000000-0004-0000-0100-00000C000000}"/>
    <hyperlink ref="C22" r:id="rId14" xr:uid="{00000000-0004-0000-0100-00000D000000}"/>
    <hyperlink ref="C23" r:id="rId15" xr:uid="{00000000-0004-0000-0100-00000E000000}"/>
    <hyperlink ref="C24" r:id="rId16" xr:uid="{00000000-0004-0000-0100-00000F000000}"/>
    <hyperlink ref="C25" r:id="rId17" xr:uid="{00000000-0004-0000-0100-000010000000}"/>
    <hyperlink ref="C26" r:id="rId18" xr:uid="{00000000-0004-0000-0100-000011000000}"/>
    <hyperlink ref="C27" r:id="rId19" xr:uid="{00000000-0004-0000-0100-000012000000}"/>
    <hyperlink ref="E50" r:id="rId20" display="https://drive.google.com/open?id=1OIjNy7DIDcpnBzYMLm8oSDbQNhivBo2K" xr:uid="{00000000-0004-0000-0100-000013000000}"/>
    <hyperlink ref="F50" r:id="rId21" display="https://drive.google.com/open?id=1MshYyhO0gyhmlfH1g37da4nJD8Zw1Kh_" xr:uid="{00000000-0004-0000-0100-000014000000}"/>
    <hyperlink ref="G50" r:id="rId22" display="https://drive.google.com/open?id=1rNmjiPfDCtOQHnwUOdyutB4kplLd0Zev" xr:uid="{00000000-0004-0000-0100-000015000000}"/>
    <hyperlink ref="H50" r:id="rId23" display="https://drive.google.com/open?id=188sDUigHojCtWaIjkDf1GId5SgwfWxk_" xr:uid="{00000000-0004-0000-0100-000016000000}"/>
    <hyperlink ref="I50" r:id="rId24" display="https://drive.google.com/open?id=1A2sO9KUWxx2qNA5WdkRsRCXa2xPYNS12" xr:uid="{00000000-0004-0000-0100-000017000000}"/>
    <hyperlink ref="J50" r:id="rId25" display="https://drive.google.com/open?id=1Kgr4z62jy1BS0zuhy4tiQ5imwv8y-bxM" xr:uid="{00000000-0004-0000-0100-000018000000}"/>
    <hyperlink ref="K50" r:id="rId26" display="https://drive.google.com/open?id=16l_A2IEq3mbqVK_y0U823PJMnFKZvg-Q" xr:uid="{00000000-0004-0000-0100-000019000000}"/>
    <hyperlink ref="L50" r:id="rId27" display="https://drive.google.com/open?id=1UvFTUVgG_leaU5yqT_6XPtKNsI04AzqJ" xr:uid="{00000000-0004-0000-0100-00001A000000}"/>
    <hyperlink ref="M50" r:id="rId28" display="https://drive.google.com/open?id=13AYPSrftmQl2E_UetOf0g8m0LCwRHF0h" xr:uid="{00000000-0004-0000-0100-00001B000000}"/>
    <hyperlink ref="E52" r:id="rId29" display="https://drive.google.com/open?id=1fprqDJjqvbVD0rjYP-vPjhnPBxgCRpKc" xr:uid="{00000000-0004-0000-0100-00001C000000}"/>
    <hyperlink ref="F52" r:id="rId30" display="https://drive.google.com/open?id=1qzNlAhWJZA17kGlIEeQ5LeT3WtHRDv1V" xr:uid="{00000000-0004-0000-0100-00001D000000}"/>
    <hyperlink ref="G52" r:id="rId31" display="https://drive.google.com/open?id=1gWgxhS5w4iROW0IR2IU7D7R5wgE3wkgW" xr:uid="{00000000-0004-0000-0100-00001E000000}"/>
    <hyperlink ref="E54" r:id="rId32" display="https://drive.google.com/open?id=130QYs69yUBfGR9lqvN_zhIbqCiT0ohKR" xr:uid="{00000000-0004-0000-0100-00001F000000}"/>
    <hyperlink ref="F54" r:id="rId33" display="https://drive.google.com/open?id=1eHnzOfMFTqA0iwhiN_2mPQFhclE8lV3p" xr:uid="{00000000-0004-0000-0100-000020000000}"/>
    <hyperlink ref="E55" r:id="rId34" display="https://drive.google.com/open?id=1Si_0k-2I8gsiAVfzN1NUpfpW6M2bVwGs" xr:uid="{00000000-0004-0000-0100-000021000000}"/>
    <hyperlink ref="F55" r:id="rId35" display="https://drive.google.com/open?id=1h-uCFGJF0Qo_u7_91IPzmo02pKhPaPMX" xr:uid="{00000000-0004-0000-0100-000022000000}"/>
    <hyperlink ref="G55" r:id="rId36" display="https://drive.google.com/open?id=1ZE5sXxOcLKLYGbkmtCIF8x1E9un-tGLr" xr:uid="{00000000-0004-0000-0100-000023000000}"/>
    <hyperlink ref="H55" r:id="rId37" display="https://drive.google.com/open?id=1mQSUbj34XMYE-GOyxVTnUZkRIkG8pFuC" xr:uid="{00000000-0004-0000-0100-000024000000}"/>
    <hyperlink ref="I55" r:id="rId38" display="https://drive.google.com/open?id=1z2Q51onR2AzLHC6rUx8te-p0FAa4c5im" xr:uid="{00000000-0004-0000-0100-000025000000}"/>
    <hyperlink ref="J55" r:id="rId39" display="https://drive.google.com/open?id=1-Lmasee7o2PqHwYHPKmbaeWkRgB-OOvB" xr:uid="{00000000-0004-0000-0100-000026000000}"/>
    <hyperlink ref="K55" r:id="rId40" display="https://drive.google.com/open?id=1nNBwyBoeKt0vmC57Nplbrpejiw0EBwUM" xr:uid="{00000000-0004-0000-0100-000027000000}"/>
    <hyperlink ref="L55" r:id="rId41" display="https://drive.google.com/open?id=1PJQy49eI_KbXM053JOyQNiDTj1edIEda" xr:uid="{00000000-0004-0000-0100-000028000000}"/>
    <hyperlink ref="M55" r:id="rId42" display="https://drive.google.com/open?id=1MeZwGBYchzSaflHHmSsWT7-CsrsmPOzM" xr:uid="{00000000-0004-0000-0100-000029000000}"/>
    <hyperlink ref="C56" r:id="rId43" display="https://drive.google.com/open?id=1VptlMlKOdt9ntbJhbxHrSrBeewWrk9Z7" xr:uid="{00000000-0004-0000-0100-00002A000000}"/>
    <hyperlink ref="E56" r:id="rId44" display="https://drive.google.com/open?id=1FyOiy6B236_O-QItpBKFoHtcClWdV6Zn" xr:uid="{00000000-0004-0000-0100-00002B000000}"/>
    <hyperlink ref="F56" r:id="rId45" display="https://drive.google.com/open?id=1VVwkCfBs6w3Jp1kwEI7N_IUuHWFqOjL9" xr:uid="{00000000-0004-0000-0100-00002C000000}"/>
    <hyperlink ref="G56" r:id="rId46" display="https://drive.google.com/open?id=1af-_R4OpHYsswLDhslDv-Bb7JIo73OIo" xr:uid="{00000000-0004-0000-0100-00002D000000}"/>
    <hyperlink ref="H56" r:id="rId47" display="https://drive.google.com/open?id=1lyoKhdMlhPtuLU30S50IyjWyeNHgysRI" xr:uid="{00000000-0004-0000-0100-00002E000000}"/>
    <hyperlink ref="I56" r:id="rId48" display="https://drive.google.com/open?id=1hd2uSlOB6axdrg_ZVoE0YB7v_nugsmZe" xr:uid="{00000000-0004-0000-0100-00002F000000}"/>
    <hyperlink ref="J56" r:id="rId49" display="https://drive.google.com/open?id=1JxvOfiCpNjT50i65yOD0h-9t9Wnb3lXz" xr:uid="{00000000-0004-0000-0100-000030000000}"/>
    <hyperlink ref="K56" r:id="rId50" display="https://drive.google.com/open?id=1QJU6ma6Fo9LveJZXdpGfQxEORcJ-xxYp" xr:uid="{00000000-0004-0000-0100-000031000000}"/>
    <hyperlink ref="L56" r:id="rId51" display="https://drive.google.com/open?id=1wZHXVZShORrn_Uxgs2lLNkr2SpO94fDO" xr:uid="{00000000-0004-0000-0100-000032000000}"/>
    <hyperlink ref="M56" r:id="rId52" display="https://drive.google.com/open?id=1wI19FoFLsQMQsSSDlzmCYiCLcyUrr17K" xr:uid="{00000000-0004-0000-0100-000033000000}"/>
    <hyperlink ref="E57" r:id="rId53" display="https://drive.google.com/open?id=1WCBQr5WXf398fpgU48gqlwlIt_LoN7r7" xr:uid="{00000000-0004-0000-0100-000034000000}"/>
    <hyperlink ref="F57" r:id="rId54" display="https://drive.google.com/open?id=1SfsLzxubhraZrgBpL-eLnmCFrcrvueaz" xr:uid="{00000000-0004-0000-0100-000035000000}"/>
    <hyperlink ref="G57" r:id="rId55" display="https://drive.google.com/open?id=1cRAFGk1Qd5B2179NVuf15POoWqHbcYlZ" xr:uid="{00000000-0004-0000-0100-000036000000}"/>
    <hyperlink ref="H57" r:id="rId56" display="https://drive.google.com/open?id=1ijo-yaE8AJ0vyh6jvXE-v-52NH5gpK9o" xr:uid="{00000000-0004-0000-0100-000037000000}"/>
    <hyperlink ref="I57" r:id="rId57" display="https://drive.google.com/open?id=1kqruR8_Cs2dC6E4dV8ByhmKTmAIu9YYP" xr:uid="{00000000-0004-0000-0100-000038000000}"/>
    <hyperlink ref="J57" r:id="rId58" display="https://drive.google.com/open?id=1bLZZ_PJFopChrtAVkPs_P0erxooAqwKF" xr:uid="{00000000-0004-0000-0100-000039000000}"/>
    <hyperlink ref="K57" r:id="rId59" display="https://drive.google.com/open?id=1ylJaF8xbrZmyitwgzqP8EmUTSOu7Bfm9" xr:uid="{00000000-0004-0000-0100-00003A000000}"/>
    <hyperlink ref="L57" r:id="rId60" display="https://drive.google.com/open?id=1y8BnHQLE14M8EBGEe1Nxoqj0tHWByr92" xr:uid="{00000000-0004-0000-0100-00003B000000}"/>
    <hyperlink ref="M57" r:id="rId61" display="https://drive.google.com/open?id=1aJmFkPYw3UaY4wtdQ52aLkQ1BCNkkOQR" xr:uid="{00000000-0004-0000-0100-00003C000000}"/>
    <hyperlink ref="E58" r:id="rId62" display="https://drive.google.com/open?id=14MGkD57H3H-qsez2xyP9-kq-yjhj-X1h" xr:uid="{00000000-0004-0000-0100-00003D000000}"/>
    <hyperlink ref="F58" r:id="rId63" display="https://drive.google.com/open?id=1l92FtzL2712Mi6Xw-Yq1TLtQSEiBQKV_" xr:uid="{00000000-0004-0000-0100-00003E000000}"/>
    <hyperlink ref="G58" r:id="rId64" display="https://drive.google.com/open?id=1lnfJ10CbxeKIXgVhX7n7tGMA3c9h5_rD" xr:uid="{00000000-0004-0000-0100-00003F000000}"/>
    <hyperlink ref="H58" r:id="rId65" display="https://drive.google.com/open?id=1U_xQqHt968umNeS0iJWd7txJYGXjLPdn" xr:uid="{00000000-0004-0000-0100-000040000000}"/>
    <hyperlink ref="I58" r:id="rId66" display="https://drive.google.com/open?id=1e7cUCkv6tW9CmKV4U9FVfC7Z0M5iieCZ" xr:uid="{00000000-0004-0000-0100-000041000000}"/>
    <hyperlink ref="J58" r:id="rId67" display="https://drive.google.com/open?id=1yn4vhTkSHHH2kqjlFodHMNvuP6c3CqBl" xr:uid="{00000000-0004-0000-0100-000042000000}"/>
    <hyperlink ref="K58" r:id="rId68" display="https://drive.google.com/open?id=1RqHoO5UZXdWYbFjBIt-M3wRXh8Fms_T8" xr:uid="{00000000-0004-0000-0100-000043000000}"/>
    <hyperlink ref="L58" r:id="rId69" display="https://drive.google.com/open?id=1lCfzV9-JBK9S7ZUrXSXQ8nKTYg8RzTMi" xr:uid="{00000000-0004-0000-0100-000044000000}"/>
    <hyperlink ref="M58" r:id="rId70" display="https://drive.google.com/open?id=1sUrLdpWzHiXIGb8dHv9aTxsQd6wKzQWa" xr:uid="{00000000-0004-0000-0100-000045000000}"/>
    <hyperlink ref="C59" r:id="rId71" display="https://drive.google.com/open?id=1T-UAwADWdCOznteQftou7zLxDtXJMXL1" xr:uid="{00000000-0004-0000-0100-000046000000}"/>
    <hyperlink ref="E59" r:id="rId72" display="https://drive.google.com/open?id=1weRTIUp5ujPDdoewBP2EyDyv8v6QltiJ" xr:uid="{00000000-0004-0000-0100-000047000000}"/>
    <hyperlink ref="F59" r:id="rId73" display="https://drive.google.com/open?id=18vb28quo2MSipbT-Z4477G7362kSI3Mk" xr:uid="{00000000-0004-0000-0100-000048000000}"/>
    <hyperlink ref="G59" r:id="rId74" display="https://drive.google.com/open?id=1mKNetT1Rpt_kkUF8Uxeq5gDagTAsgLq9" xr:uid="{00000000-0004-0000-0100-000049000000}"/>
    <hyperlink ref="H59" r:id="rId75" display="https://drive.google.com/open?id=1m-QqVydGceoerZmt1Z6pRltI9qkpiWEM" xr:uid="{00000000-0004-0000-0100-00004A000000}"/>
    <hyperlink ref="I59" r:id="rId76" display="https://drive.google.com/open?id=1-ULyBIDpmseKQ8v4YxNfHV02TudZrSAn" xr:uid="{00000000-0004-0000-0100-00004B000000}"/>
    <hyperlink ref="J59" r:id="rId77" display="https://drive.google.com/open?id=1J1KWpyfrYVScnvsAOMM8PnfhK5DLatGI" xr:uid="{00000000-0004-0000-0100-00004C000000}"/>
    <hyperlink ref="E60" r:id="rId78" display="https://drive.google.com/open?id=17db3SPmpXTl094XmO7YYFoSrsFcbTFTd" xr:uid="{00000000-0004-0000-0100-00004D000000}"/>
    <hyperlink ref="F60" r:id="rId79" display="https://drive.google.com/open?id=1Es8q-DNw5qtThdlvWBSlC6PxYxUXI_8f" xr:uid="{00000000-0004-0000-0100-00004E000000}"/>
    <hyperlink ref="G60" r:id="rId80" display="https://drive.google.com/open?id=1WJHvihcps4Etr8EYTSlZLZH7cDOijqSB" xr:uid="{00000000-0004-0000-0100-00004F000000}"/>
    <hyperlink ref="H60" r:id="rId81" display="https://drive.google.com/open?id=1LWCE07pXu6wnJte5k4YwWGJzfDK-Ap68" xr:uid="{00000000-0004-0000-0100-000050000000}"/>
    <hyperlink ref="I60" r:id="rId82" display="https://drive.google.com/open?id=1uHp_UDHAPgs_ceZxWenr3NH-_T9tzdq8" xr:uid="{00000000-0004-0000-0100-000051000000}"/>
    <hyperlink ref="J60" r:id="rId83" display="https://drive.google.com/open?id=1vBuzUL3qPbO9MyFELTGIx_dBCw7PGmwY" xr:uid="{00000000-0004-0000-0100-000052000000}"/>
    <hyperlink ref="K60" r:id="rId84" display="https://drive.google.com/open?id=1ZCQ98gZKuigmFoldPbIXDd7jBDqZVXBp" xr:uid="{00000000-0004-0000-0100-000053000000}"/>
    <hyperlink ref="L60" r:id="rId85" display="https://drive.google.com/open?id=1HpPThcs6MRdlowjRIXGpG_VP5AQPXdmR" xr:uid="{00000000-0004-0000-0100-000054000000}"/>
    <hyperlink ref="M60" r:id="rId86" display="https://drive.google.com/open?id=1Nnu1WlwqONbRgBBkO5M6dzwBenFjnVUQ" xr:uid="{00000000-0004-0000-0100-000055000000}"/>
    <hyperlink ref="E61" r:id="rId87" display="https://drive.google.com/open?id=1CCuMYam7Vgne2ijKtZMyZLUsy2rAnjpU" xr:uid="{00000000-0004-0000-0100-000056000000}"/>
    <hyperlink ref="F61" r:id="rId88" display="https://drive.google.com/open?id=1W-7t6VAn2nD_oWNH2qrVBDVjO7KJBbfl" xr:uid="{00000000-0004-0000-0100-000057000000}"/>
    <hyperlink ref="G61" r:id="rId89" display="https://drive.google.com/open?id=1TsvPVdOcHIHy4H12ee4ivxsI4jun28NH" xr:uid="{00000000-0004-0000-0100-000058000000}"/>
    <hyperlink ref="H61" r:id="rId90" display="https://drive.google.com/open?id=1KsM5Lx7IQ_q6OjqnWahjA3Bel66b5CtB" xr:uid="{00000000-0004-0000-0100-000059000000}"/>
    <hyperlink ref="I61" r:id="rId91" display="https://drive.google.com/open?id=1b5gX2NIPxCPivYMJe7qXINDR2P-FFoKR" xr:uid="{00000000-0004-0000-0100-00005A000000}"/>
    <hyperlink ref="J61" r:id="rId92" display="https://drive.google.com/open?id=1ceLLfCEPCFIW_fJCgjVyB3aHygddmnA3" xr:uid="{00000000-0004-0000-0100-00005B000000}"/>
    <hyperlink ref="K61" r:id="rId93" display="https://drive.google.com/open?id=163pUan47ez4sRZBfuMQSOK4UmyC3r7Z7" xr:uid="{00000000-0004-0000-0100-00005C000000}"/>
    <hyperlink ref="L61" r:id="rId94" display="https://drive.google.com/open?id=1U_54qlYJQMj2vQkgzj0yuL-DQzFGMRhe" xr:uid="{00000000-0004-0000-0100-00005D000000}"/>
    <hyperlink ref="M61" r:id="rId95" display="https://drive.google.com/open?id=1Ua-fdNI-zJs3aW1kIJksam9VlF3qajss" xr:uid="{00000000-0004-0000-0100-00005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species_export_27_05_2022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 T470S</cp:lastModifiedBy>
  <dcterms:modified xsi:type="dcterms:W3CDTF">2022-06-16T15:07:12Z</dcterms:modified>
</cp:coreProperties>
</file>