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Users\andavis\Documents\GitHub\FlaskTest\backend\daq\"/>
    </mc:Choice>
  </mc:AlternateContent>
  <xr:revisionPtr revIDLastSave="0" documentId="13_ncr:1_{CE806856-2B6D-4404-8350-A09A9082DF3F}" xr6:coauthVersionLast="36" xr6:coauthVersionMax="36" xr10:uidLastSave="{00000000-0000-0000-0000-000000000000}"/>
  <bookViews>
    <workbookView xWindow="-15" yWindow="-15" windowWidth="7560" windowHeight="6480" tabRatio="789" xr2:uid="{00000000-000D-0000-FFFF-FFFF00000000}"/>
  </bookViews>
  <sheets>
    <sheet name="Datasheet" sheetId="19" r:id="rId1"/>
  </sheets>
  <definedNames>
    <definedName name="_xlnm.Print_Area" localSheetId="0">Datasheet!$A$1:$H$39</definedName>
  </definedNames>
  <calcPr calcId="191029"/>
</workbook>
</file>

<file path=xl/calcChain.xml><?xml version="1.0" encoding="utf-8"?>
<calcChain xmlns="http://schemas.openxmlformats.org/spreadsheetml/2006/main">
  <c r="AC30" i="19" l="1"/>
  <c r="AC31" i="19"/>
  <c r="AC32" i="19"/>
  <c r="AC33" i="19"/>
  <c r="AC29" i="19"/>
  <c r="AA30" i="19"/>
  <c r="AA31" i="19"/>
  <c r="AA32" i="19"/>
  <c r="AA33" i="19"/>
  <c r="AA29" i="19"/>
  <c r="AC24" i="19"/>
  <c r="AC25" i="19"/>
  <c r="AC26" i="19"/>
  <c r="AC27" i="19"/>
  <c r="AC23" i="19"/>
  <c r="AA24" i="19"/>
  <c r="AA25" i="19"/>
  <c r="AA26" i="19"/>
  <c r="AA27" i="19"/>
  <c r="AA23" i="19"/>
  <c r="AC18" i="19"/>
  <c r="AC19" i="19"/>
  <c r="AC20" i="19"/>
  <c r="AC21" i="19"/>
  <c r="AC17" i="19"/>
  <c r="AA18" i="19"/>
  <c r="AA19" i="19"/>
  <c r="AA20" i="19"/>
  <c r="AA21" i="19"/>
  <c r="AA17" i="19"/>
  <c r="AC12" i="19"/>
  <c r="AC13" i="19"/>
  <c r="AC14" i="19"/>
  <c r="AC15" i="19"/>
  <c r="AC11" i="19"/>
  <c r="AA12" i="19"/>
  <c r="AA13" i="19"/>
  <c r="AA14" i="19"/>
  <c r="AA15" i="19"/>
  <c r="AA11" i="19"/>
  <c r="J18" i="19" l="1"/>
  <c r="J19" i="19"/>
  <c r="J20" i="19"/>
  <c r="J12" i="19"/>
  <c r="J13" i="19"/>
  <c r="J14" i="19"/>
  <c r="C33" i="19"/>
  <c r="C29" i="19"/>
  <c r="C23" i="19"/>
  <c r="C21" i="19"/>
  <c r="C17" i="19"/>
  <c r="C15" i="19"/>
  <c r="C11" i="19"/>
  <c r="J15" i="19" l="1"/>
  <c r="J21" i="19"/>
  <c r="AG9" i="19"/>
  <c r="AF9" i="19"/>
  <c r="AE18" i="19"/>
  <c r="AE19" i="19"/>
  <c r="AE20" i="19"/>
  <c r="AE24" i="19"/>
  <c r="AE25" i="19"/>
  <c r="AE26" i="19"/>
  <c r="AE27" i="19"/>
  <c r="AE30" i="19"/>
  <c r="AE31" i="19"/>
  <c r="AE32" i="19"/>
  <c r="AE12" i="19"/>
  <c r="AE13" i="19"/>
  <c r="AE14" i="19"/>
  <c r="L9" i="19" l="1"/>
  <c r="AF12" i="19"/>
  <c r="AG12" i="19" s="1"/>
  <c r="AF13" i="19"/>
  <c r="AG13" i="19" s="1"/>
  <c r="AF14" i="19"/>
  <c r="AG14" i="19" s="1"/>
  <c r="AF18" i="19"/>
  <c r="AG18" i="19" s="1"/>
  <c r="AF19" i="19"/>
  <c r="AG19" i="19" s="1"/>
  <c r="AF20" i="19"/>
  <c r="AG20" i="19" s="1"/>
  <c r="AF24" i="19"/>
  <c r="AG24" i="19" s="1"/>
  <c r="AF25" i="19"/>
  <c r="AG25" i="19" s="1"/>
  <c r="AF26" i="19"/>
  <c r="AG26" i="19" s="1"/>
  <c r="AF27" i="19"/>
  <c r="AG27" i="19" s="1"/>
  <c r="AF30" i="19"/>
  <c r="AG30" i="19" s="1"/>
  <c r="AF31" i="19"/>
  <c r="AG31" i="19" s="1"/>
  <c r="AF32" i="19"/>
  <c r="AG32" i="19" s="1"/>
  <c r="N38" i="19"/>
  <c r="Y33" i="19" l="1"/>
  <c r="X33" i="19"/>
  <c r="D33" i="19" s="1"/>
  <c r="E33" i="19" s="1"/>
  <c r="AE33" i="19"/>
  <c r="Y32" i="19"/>
  <c r="X32" i="19"/>
  <c r="D32" i="19" s="1"/>
  <c r="E32" i="19" s="1"/>
  <c r="R32" i="19"/>
  <c r="Y31" i="19"/>
  <c r="X31" i="19"/>
  <c r="R31" i="19"/>
  <c r="P31" i="19"/>
  <c r="M31" i="19"/>
  <c r="L31" i="19"/>
  <c r="J29" i="19" s="1"/>
  <c r="D31" i="19"/>
  <c r="E31" i="19" s="1"/>
  <c r="Y30" i="19"/>
  <c r="X30" i="19"/>
  <c r="R30" i="19"/>
  <c r="Y29" i="19"/>
  <c r="X29" i="19"/>
  <c r="D29" i="19" s="1"/>
  <c r="E29" i="19" s="1"/>
  <c r="AE29" i="19"/>
  <c r="B29" i="19"/>
  <c r="Y28" i="19"/>
  <c r="X28" i="19"/>
  <c r="Y27" i="19"/>
  <c r="X27" i="19"/>
  <c r="R27" i="19"/>
  <c r="Y26" i="19"/>
  <c r="X26" i="19"/>
  <c r="R26" i="19"/>
  <c r="Y25" i="19"/>
  <c r="X25" i="19"/>
  <c r="D25" i="19" s="1"/>
  <c r="E25" i="19" s="1"/>
  <c r="R25" i="19"/>
  <c r="P25" i="19"/>
  <c r="M25" i="19"/>
  <c r="L25" i="19"/>
  <c r="J23" i="19" s="1"/>
  <c r="Y24" i="19"/>
  <c r="X24" i="19"/>
  <c r="R24" i="19"/>
  <c r="Y23" i="19"/>
  <c r="X23" i="19"/>
  <c r="D23" i="19" s="1"/>
  <c r="E23" i="19" s="1"/>
  <c r="AE23" i="19"/>
  <c r="B23" i="19"/>
  <c r="Y22" i="19"/>
  <c r="X22" i="19"/>
  <c r="Y21" i="19"/>
  <c r="X21" i="19"/>
  <c r="D21" i="19" s="1"/>
  <c r="E21" i="19" s="1"/>
  <c r="AE21" i="19"/>
  <c r="Y20" i="19"/>
  <c r="X20" i="19"/>
  <c r="R20" i="19"/>
  <c r="Y19" i="19"/>
  <c r="X19" i="19"/>
  <c r="D19" i="19" s="1"/>
  <c r="E19" i="19" s="1"/>
  <c r="R19" i="19"/>
  <c r="L19" i="19"/>
  <c r="J17" i="19" s="1"/>
  <c r="Y18" i="19"/>
  <c r="X18" i="19"/>
  <c r="R18" i="19"/>
  <c r="D18" i="19"/>
  <c r="E18" i="19" s="1"/>
  <c r="Y17" i="19"/>
  <c r="X17" i="19"/>
  <c r="AE17" i="19"/>
  <c r="B17" i="19"/>
  <c r="Y16" i="19"/>
  <c r="X16" i="19"/>
  <c r="Y15" i="19"/>
  <c r="X15" i="19"/>
  <c r="D15" i="19" s="1"/>
  <c r="E15" i="19" s="1"/>
  <c r="AE15" i="19"/>
  <c r="Y14" i="19"/>
  <c r="X14" i="19"/>
  <c r="R14" i="19"/>
  <c r="Y13" i="19"/>
  <c r="X13" i="19"/>
  <c r="R13" i="19"/>
  <c r="L13" i="19"/>
  <c r="J11" i="19" s="1"/>
  <c r="D13" i="19"/>
  <c r="E13" i="19" s="1"/>
  <c r="Y12" i="19"/>
  <c r="X12" i="19"/>
  <c r="D12" i="19" s="1"/>
  <c r="E12" i="19" s="1"/>
  <c r="R12" i="19"/>
  <c r="Y11" i="19"/>
  <c r="X11" i="19"/>
  <c r="AE11" i="19"/>
  <c r="B11" i="19"/>
  <c r="AG3" i="19"/>
  <c r="H9" i="19" l="1"/>
  <c r="J24" i="19"/>
  <c r="J26" i="19"/>
  <c r="J25" i="19"/>
  <c r="J27" i="19"/>
  <c r="J30" i="19"/>
  <c r="J31" i="19"/>
  <c r="J32" i="19"/>
  <c r="J33" i="19"/>
  <c r="AH18" i="19"/>
  <c r="AI18" i="19" s="1"/>
  <c r="AH12" i="19"/>
  <c r="AI12" i="19" s="1"/>
  <c r="AH20" i="19"/>
  <c r="AI20" i="19" s="1"/>
  <c r="AH14" i="19"/>
  <c r="AI14" i="19" s="1"/>
  <c r="AH13" i="19"/>
  <c r="AI13" i="19" s="1"/>
  <c r="R15" i="19"/>
  <c r="AF15" i="19"/>
  <c r="AG15" i="19" s="1"/>
  <c r="R29" i="19"/>
  <c r="AF29" i="19"/>
  <c r="AG29" i="19" s="1"/>
  <c r="R23" i="19"/>
  <c r="AF23" i="19"/>
  <c r="AG23" i="19" s="1"/>
  <c r="R33" i="19"/>
  <c r="AF33" i="19"/>
  <c r="AG33" i="19" s="1"/>
  <c r="R21" i="19"/>
  <c r="AF21" i="19"/>
  <c r="AG21" i="19" s="1"/>
  <c r="R11" i="19"/>
  <c r="AF11" i="19"/>
  <c r="AG11" i="19" s="1"/>
  <c r="R17" i="19"/>
  <c r="AF17" i="19"/>
  <c r="AG17" i="19" s="1"/>
  <c r="D14" i="19"/>
  <c r="E14" i="19" s="1"/>
  <c r="D11" i="19"/>
  <c r="E11" i="19" s="1"/>
  <c r="D24" i="19"/>
  <c r="E24" i="19" s="1"/>
  <c r="D20" i="19"/>
  <c r="E20" i="19" s="1"/>
  <c r="D26" i="19"/>
  <c r="E26" i="19" s="1"/>
  <c r="D27" i="19"/>
  <c r="E27" i="19" s="1"/>
  <c r="AH19" i="19"/>
  <c r="AI19" i="19" s="1"/>
  <c r="D30" i="19"/>
  <c r="E30" i="19" s="1"/>
  <c r="D17" i="19"/>
  <c r="E17" i="19" s="1"/>
  <c r="AH26" i="19" l="1"/>
  <c r="AI26" i="19" s="1"/>
  <c r="AH30" i="19"/>
  <c r="AI30" i="19" s="1"/>
  <c r="AH11" i="19"/>
  <c r="AH21" i="19"/>
  <c r="AI21" i="19" s="1"/>
  <c r="AH29" i="19"/>
  <c r="AI29" i="19" s="1"/>
  <c r="AH23" i="19"/>
  <c r="AI23" i="19" s="1"/>
  <c r="AH17" i="19"/>
  <c r="AI17" i="19" s="1"/>
  <c r="AH15" i="19"/>
  <c r="AI15" i="19" s="1"/>
  <c r="AH32" i="19"/>
  <c r="AH31" i="19"/>
  <c r="AI31" i="19" s="1"/>
  <c r="H14" i="19"/>
  <c r="H12" i="19"/>
  <c r="H19" i="19"/>
  <c r="AH24" i="19"/>
  <c r="AI24" i="19" s="1"/>
  <c r="H18" i="19"/>
  <c r="AH33" i="19"/>
  <c r="AI33" i="19" s="1"/>
  <c r="H20" i="19"/>
  <c r="AH27" i="19"/>
  <c r="AI27" i="19" s="1"/>
  <c r="H13" i="19"/>
  <c r="AH25" i="19"/>
  <c r="AI25" i="19" s="1"/>
  <c r="AI11" i="19" l="1"/>
  <c r="F8" i="19"/>
  <c r="H26" i="19"/>
  <c r="H30" i="19"/>
  <c r="H32" i="19"/>
  <c r="AI32" i="19"/>
  <c r="H29" i="19"/>
  <c r="H15" i="19"/>
  <c r="H11" i="19"/>
  <c r="H23" i="19"/>
  <c r="H21" i="19"/>
  <c r="H17" i="19"/>
  <c r="H31" i="19"/>
  <c r="H33" i="19"/>
  <c r="H24" i="19"/>
  <c r="H25" i="19"/>
  <c r="H27" i="19"/>
  <c r="F13" i="19" l="1"/>
  <c r="G13" i="19" s="1"/>
  <c r="F14" i="19"/>
  <c r="G14" i="19" s="1"/>
  <c r="F15" i="19"/>
  <c r="F17" i="19"/>
  <c r="F21" i="19"/>
  <c r="G21" i="19" s="1"/>
  <c r="F29" i="19"/>
  <c r="G29" i="19" s="1"/>
  <c r="F18" i="19"/>
  <c r="G18" i="19" s="1"/>
  <c r="F25" i="19"/>
  <c r="F32" i="19"/>
  <c r="G32" i="19" s="1"/>
  <c r="F19" i="19"/>
  <c r="G19" i="19" s="1"/>
  <c r="F27" i="19"/>
  <c r="G27" i="19" s="1"/>
  <c r="F30" i="19"/>
  <c r="G30" i="19" s="1"/>
  <c r="F33" i="19"/>
  <c r="G33" i="19" s="1"/>
  <c r="F12" i="19"/>
  <c r="G12" i="19" s="1"/>
  <c r="F20" i="19"/>
  <c r="G20" i="19" s="1"/>
  <c r="F26" i="19"/>
  <c r="G26" i="19" s="1"/>
  <c r="F31" i="19"/>
  <c r="G31" i="19" s="1"/>
  <c r="F11" i="19"/>
  <c r="G11" i="19" s="1"/>
  <c r="F23" i="19"/>
  <c r="G23" i="19" s="1"/>
  <c r="F24" i="19"/>
  <c r="G24" i="19" s="1"/>
  <c r="B39" i="19"/>
  <c r="G25" i="19"/>
  <c r="G17" i="19"/>
  <c r="G15" i="19"/>
</calcChain>
</file>

<file path=xl/sharedStrings.xml><?xml version="1.0" encoding="utf-8"?>
<sst xmlns="http://schemas.openxmlformats.org/spreadsheetml/2006/main" count="120" uniqueCount="86">
  <si>
    <t>Plug-in Module</t>
  </si>
  <si>
    <t>MANUFACTURER</t>
  </si>
  <si>
    <t>SL0881</t>
  </si>
  <si>
    <t>Ectron</t>
  </si>
  <si>
    <t>1140A</t>
  </si>
  <si>
    <t>Keysight</t>
  </si>
  <si>
    <t>Standard Deviation</t>
  </si>
  <si>
    <t>Accuracy</t>
  </si>
  <si>
    <t>TUR</t>
  </si>
  <si>
    <t>DATE:</t>
  </si>
  <si>
    <t>PERFORMED BY:</t>
  </si>
  <si>
    <t>MODEL</t>
  </si>
  <si>
    <t>Average</t>
  </si>
  <si>
    <t>Tested</t>
  </si>
  <si>
    <t>Input Function</t>
  </si>
  <si>
    <t>°C</t>
  </si>
  <si>
    <t>±°C</t>
  </si>
  <si>
    <t>Error</t>
  </si>
  <si>
    <t>OEM</t>
  </si>
  <si>
    <t>Tolerance</t>
  </si>
  <si>
    <t>Pass/Fail</t>
  </si>
  <si>
    <t>Acceptance</t>
  </si>
  <si>
    <t>Criteria</t>
  </si>
  <si>
    <t>Reading</t>
  </si>
  <si>
    <t>UUT</t>
  </si>
  <si>
    <t>Applied</t>
  </si>
  <si>
    <t>Temperature</t>
  </si>
  <si>
    <t>Temp Range</t>
  </si>
  <si>
    <t>CALIBRATION STATUS:</t>
  </si>
  <si>
    <t>AS RECEIVED / FINAL</t>
  </si>
  <si>
    <t>Measurement 1</t>
  </si>
  <si>
    <t>Measurement 2</t>
  </si>
  <si>
    <t>Measurement 3</t>
  </si>
  <si>
    <t>Measurement 4</t>
  </si>
  <si>
    <t>Measurement 5</t>
  </si>
  <si>
    <t>Remarks:</t>
  </si>
  <si>
    <t>Ratio</t>
  </si>
  <si>
    <t>Adequacy of Calibration</t>
  </si>
  <si>
    <t>Manufacturer</t>
  </si>
  <si>
    <t>Combined</t>
  </si>
  <si>
    <t>Standard</t>
  </si>
  <si>
    <t>Uncertainty</t>
  </si>
  <si>
    <t>Guardband</t>
  </si>
  <si>
    <t>Range</t>
  </si>
  <si>
    <t>1 year</t>
  </si>
  <si>
    <t>Factor</t>
  </si>
  <si>
    <t>-</t>
  </si>
  <si>
    <t>floor (°C)</t>
  </si>
  <si>
    <t>resolution (°C)</t>
  </si>
  <si>
    <t>± °C</t>
  </si>
  <si>
    <t>± Temp (°C)</t>
  </si>
  <si>
    <t>Accuracy (Ectron 1140A)</t>
  </si>
  <si>
    <t>STANDARDS USED:</t>
  </si>
  <si>
    <t>Confidence Level</t>
  </si>
  <si>
    <t>p Value</t>
  </si>
  <si>
    <t>k Value</t>
  </si>
  <si>
    <t>TEMP</t>
  </si>
  <si>
    <t>HUMIDITY</t>
  </si>
  <si>
    <t>MANUFACTURER:</t>
  </si>
  <si>
    <t>DESCRIPTION:</t>
  </si>
  <si>
    <t>MODEL NUMBER:</t>
  </si>
  <si>
    <t>SERIAL NUMBER:</t>
  </si>
  <si>
    <t>PROCEDURE:</t>
  </si>
  <si>
    <t>CALIBRATION DATA</t>
  </si>
  <si>
    <t>Test Performed: Temperature</t>
  </si>
  <si>
    <t>Lab Assign</t>
  </si>
  <si>
    <t>-200 to -150</t>
  </si>
  <si>
    <t>-150 to 1000</t>
  </si>
  <si>
    <t>-150 to 1200</t>
  </si>
  <si>
    <t>-210 to -150</t>
  </si>
  <si>
    <t>-200 to -100</t>
  </si>
  <si>
    <t>-100 to 1000</t>
  </si>
  <si>
    <t>-100 to 400</t>
  </si>
  <si>
    <t>ASSET NUMBER:</t>
  </si>
  <si>
    <t>IDENTIFICATION</t>
  </si>
  <si>
    <t>Resolution</t>
  </si>
  <si>
    <t xml:space="preserve">† Having a TUR ≥ 4.6:1 will make sure that the probability of false accept will stay below 2%. </t>
  </si>
  <si>
    <t>* The user needs to take into account the calibration tolerance for thermocouple wire used during their test</t>
  </si>
  <si>
    <t>Select Model</t>
  </si>
  <si>
    <t xml:space="preserve">   to determine the overall tolerance of the temperature measurement.</t>
  </si>
  <si>
    <t>Type E</t>
  </si>
  <si>
    <t>Type J</t>
  </si>
  <si>
    <t>Type K</t>
  </si>
  <si>
    <t>Type T</t>
  </si>
  <si>
    <t>Fluke</t>
  </si>
  <si>
    <t>2626-S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</si>
</sst>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"/>
    <numFmt numFmtId="166" formatCode="0.0000"/>
    <numFmt numFmtId="167" formatCode="0.00000"/>
    <numFmt numFmtId="168" formatCode="0.000"/>
  </numFmts>
  <fonts count="12">
    <font>
      <sz val="10"/>
      <name val="Genev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E5F2FF"/>
        <bgColor indexed="64"/>
      </patternFill>
    </fill>
    <fill>
      <patternFill patternType="solid">
        <fgColor rgb="FFFDF1D9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71">
    <xf numFmtId="0" fontId="0" fillId="0" borderId="0" xfId="0"/>
    <xf numFmtId="0" fontId="3" fillId="0" borderId="0" xfId="0" applyFont="1" applyAlignment="1">
      <alignment vertical="center"/>
    </xf>
    <xf numFmtId="2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65" fontId="3" fillId="0" borderId="13" xfId="0" applyNumberFormat="1" applyFont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2" fontId="3" fillId="0" borderId="13" xfId="0" applyNumberFormat="1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164" fontId="3" fillId="0" borderId="13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165" fontId="3" fillId="0" borderId="3" xfId="0" applyNumberFormat="1" applyFont="1" applyBorder="1" applyAlignment="1">
      <alignment horizontal="right" vertical="center"/>
    </xf>
    <xf numFmtId="0" fontId="5" fillId="0" borderId="15" xfId="0" applyFont="1" applyBorder="1" applyAlignment="1">
      <alignment vertical="center" wrapText="1"/>
    </xf>
    <xf numFmtId="165" fontId="3" fillId="0" borderId="0" xfId="0" applyNumberFormat="1" applyFont="1" applyBorder="1" applyAlignment="1">
      <alignment vertical="center"/>
    </xf>
    <xf numFmtId="165" fontId="3" fillId="0" borderId="0" xfId="0" applyNumberFormat="1" applyFont="1" applyBorder="1" applyAlignment="1">
      <alignment horizontal="right" vertical="center"/>
    </xf>
    <xf numFmtId="49" fontId="3" fillId="0" borderId="0" xfId="0" applyNumberFormat="1" applyFont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165" fontId="8" fillId="0" borderId="13" xfId="0" applyNumberFormat="1" applyFont="1" applyBorder="1" applyAlignment="1">
      <alignment horizontal="right" vertical="center"/>
    </xf>
    <xf numFmtId="0" fontId="3" fillId="0" borderId="14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7" fillId="0" borderId="5" xfId="0" applyFont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0" fontId="3" fillId="0" borderId="5" xfId="0" quotePrefix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164" fontId="3" fillId="3" borderId="5" xfId="0" applyNumberFormat="1" applyFont="1" applyFill="1" applyBorder="1" applyAlignment="1">
      <alignment horizontal="center" vertical="center"/>
    </xf>
    <xf numFmtId="0" fontId="3" fillId="3" borderId="5" xfId="0" quotePrefix="1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2" fontId="7" fillId="3" borderId="5" xfId="0" applyNumberFormat="1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5" xfId="0" quotePrefix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vertical="center"/>
    </xf>
    <xf numFmtId="0" fontId="6" fillId="3" borderId="10" xfId="0" applyFont="1" applyFill="1" applyBorder="1" applyAlignment="1">
      <alignment horizontal="center" vertical="center"/>
    </xf>
    <xf numFmtId="2" fontId="7" fillId="3" borderId="7" xfId="0" applyNumberFormat="1" applyFont="1" applyFill="1" applyBorder="1" applyAlignment="1">
      <alignment horizontal="center" vertical="center"/>
    </xf>
    <xf numFmtId="2" fontId="7" fillId="3" borderId="9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167" fontId="7" fillId="0" borderId="29" xfId="0" applyNumberFormat="1" applyFont="1" applyBorder="1" applyAlignment="1">
      <alignment horizontal="center" vertical="center"/>
    </xf>
    <xf numFmtId="166" fontId="7" fillId="0" borderId="30" xfId="0" applyNumberFormat="1" applyFont="1" applyBorder="1" applyAlignment="1">
      <alignment horizontal="center" vertical="center"/>
    </xf>
    <xf numFmtId="168" fontId="7" fillId="0" borderId="30" xfId="0" applyNumberFormat="1" applyFont="1" applyBorder="1" applyAlignment="1">
      <alignment horizontal="center" vertical="center"/>
    </xf>
    <xf numFmtId="168" fontId="7" fillId="0" borderId="31" xfId="0" applyNumberFormat="1" applyFont="1" applyBorder="1" applyAlignment="1">
      <alignment horizontal="center" vertical="center"/>
    </xf>
    <xf numFmtId="2" fontId="7" fillId="0" borderId="29" xfId="0" applyNumberFormat="1" applyFont="1" applyBorder="1" applyAlignment="1">
      <alignment horizontal="center" vertical="center"/>
    </xf>
    <xf numFmtId="2" fontId="7" fillId="0" borderId="30" xfId="0" applyNumberFormat="1" applyFont="1" applyBorder="1" applyAlignment="1">
      <alignment horizontal="center" vertical="center"/>
    </xf>
    <xf numFmtId="2" fontId="7" fillId="0" borderId="31" xfId="0" applyNumberFormat="1" applyFont="1" applyBorder="1" applyAlignment="1">
      <alignment horizontal="center" vertical="center"/>
    </xf>
    <xf numFmtId="2" fontId="7" fillId="0" borderId="32" xfId="0" applyNumberFormat="1" applyFont="1" applyBorder="1" applyAlignment="1">
      <alignment horizontal="center" vertical="center"/>
    </xf>
    <xf numFmtId="164" fontId="7" fillId="2" borderId="29" xfId="0" applyNumberFormat="1" applyFont="1" applyFill="1" applyBorder="1" applyAlignment="1">
      <alignment horizontal="center" vertical="center"/>
    </xf>
    <xf numFmtId="164" fontId="7" fillId="2" borderId="30" xfId="0" applyNumberFormat="1" applyFont="1" applyFill="1" applyBorder="1" applyAlignment="1">
      <alignment horizontal="center" vertical="center"/>
    </xf>
    <xf numFmtId="164" fontId="7" fillId="2" borderId="31" xfId="0" applyNumberFormat="1" applyFont="1" applyFill="1" applyBorder="1" applyAlignment="1">
      <alignment horizontal="center" vertical="center"/>
    </xf>
    <xf numFmtId="164" fontId="7" fillId="2" borderId="32" xfId="0" applyNumberFormat="1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/>
    </xf>
    <xf numFmtId="2" fontId="7" fillId="4" borderId="10" xfId="0" applyNumberFormat="1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2" fontId="7" fillId="4" borderId="11" xfId="0" applyNumberFormat="1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2" fontId="7" fillId="4" borderId="6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quotePrefix="1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164" fontId="3" fillId="5" borderId="13" xfId="0" applyNumberFormat="1" applyFont="1" applyFill="1" applyBorder="1" applyAlignment="1">
      <alignment horizontal="center" vertical="center"/>
    </xf>
    <xf numFmtId="164" fontId="7" fillId="5" borderId="22" xfId="0" applyNumberFormat="1" applyFont="1" applyFill="1" applyBorder="1" applyAlignment="1">
      <alignment horizontal="center" vertical="center"/>
    </xf>
    <xf numFmtId="164" fontId="7" fillId="5" borderId="23" xfId="0" applyNumberFormat="1" applyFont="1" applyFill="1" applyBorder="1" applyAlignment="1">
      <alignment horizontal="center" vertical="center"/>
    </xf>
    <xf numFmtId="164" fontId="7" fillId="5" borderId="27" xfId="0" applyNumberFormat="1" applyFont="1" applyFill="1" applyBorder="1" applyAlignment="1">
      <alignment horizontal="center" vertical="center"/>
    </xf>
    <xf numFmtId="164" fontId="7" fillId="5" borderId="24" xfId="0" applyNumberFormat="1" applyFont="1" applyFill="1" applyBorder="1" applyAlignment="1">
      <alignment horizontal="center" vertical="center"/>
    </xf>
    <xf numFmtId="164" fontId="7" fillId="5" borderId="18" xfId="0" applyNumberFormat="1" applyFont="1" applyFill="1" applyBorder="1" applyAlignment="1">
      <alignment horizontal="center" vertical="center"/>
    </xf>
    <xf numFmtId="164" fontId="7" fillId="5" borderId="19" xfId="0" applyNumberFormat="1" applyFont="1" applyFill="1" applyBorder="1" applyAlignment="1">
      <alignment horizontal="center" vertical="center"/>
    </xf>
    <xf numFmtId="164" fontId="7" fillId="5" borderId="33" xfId="0" applyNumberFormat="1" applyFont="1" applyFill="1" applyBorder="1" applyAlignment="1">
      <alignment horizontal="center" vertical="center"/>
    </xf>
    <xf numFmtId="164" fontId="7" fillId="5" borderId="20" xfId="0" applyNumberFormat="1" applyFont="1" applyFill="1" applyBorder="1" applyAlignment="1">
      <alignment horizontal="center" vertical="center"/>
    </xf>
    <xf numFmtId="164" fontId="7" fillId="5" borderId="21" xfId="0" applyNumberFormat="1" applyFont="1" applyFill="1" applyBorder="1" applyAlignment="1">
      <alignment horizontal="center" vertical="center"/>
    </xf>
    <xf numFmtId="164" fontId="7" fillId="5" borderId="34" xfId="0" applyNumberFormat="1" applyFont="1" applyFill="1" applyBorder="1" applyAlignment="1">
      <alignment horizontal="center" vertical="center"/>
    </xf>
    <xf numFmtId="164" fontId="7" fillId="5" borderId="16" xfId="0" applyNumberFormat="1" applyFont="1" applyFill="1" applyBorder="1" applyAlignment="1">
      <alignment horizontal="center" vertical="center"/>
    </xf>
    <xf numFmtId="164" fontId="7" fillId="5" borderId="17" xfId="0" applyNumberFormat="1" applyFont="1" applyFill="1" applyBorder="1" applyAlignment="1">
      <alignment horizontal="center" vertical="center"/>
    </xf>
    <xf numFmtId="164" fontId="7" fillId="5" borderId="25" xfId="0" applyNumberFormat="1" applyFont="1" applyFill="1" applyBorder="1" applyAlignment="1">
      <alignment horizontal="center" vertical="center"/>
    </xf>
    <xf numFmtId="164" fontId="7" fillId="5" borderId="26" xfId="0" applyNumberFormat="1" applyFont="1" applyFill="1" applyBorder="1" applyAlignment="1">
      <alignment horizontal="center" vertical="center"/>
    </xf>
    <xf numFmtId="164" fontId="7" fillId="5" borderId="28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14" fontId="3" fillId="0" borderId="14" xfId="0" applyNumberFormat="1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right" vertical="center"/>
    </xf>
    <xf numFmtId="0" fontId="3" fillId="0" borderId="15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2" fontId="3" fillId="3" borderId="13" xfId="0" applyNumberFormat="1" applyFont="1" applyFill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0" fontId="0" fillId="0" borderId="0" xfId="0" quotePrefix="1"/>
    <xf numFmtId="0" fontId="3" fillId="0" borderId="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165" fontId="4" fillId="0" borderId="13" xfId="0" applyNumberFormat="1" applyFont="1" applyBorder="1" applyAlignment="1">
      <alignment horizontal="right" vertical="center"/>
    </xf>
    <xf numFmtId="0" fontId="3" fillId="3" borderId="1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164" fontId="3" fillId="0" borderId="10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4" xfId="0" quotePrefix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quotePrefix="1" applyFont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4" borderId="12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165" fontId="9" fillId="3" borderId="3" xfId="0" applyNumberFormat="1" applyFont="1" applyFill="1" applyBorder="1" applyAlignment="1">
      <alignment horizontal="right" vertical="center"/>
    </xf>
    <xf numFmtId="165" fontId="9" fillId="3" borderId="1" xfId="0" applyNumberFormat="1" applyFont="1" applyFill="1" applyBorder="1" applyAlignment="1">
      <alignment horizontal="right" vertical="center"/>
    </xf>
    <xf numFmtId="165" fontId="9" fillId="3" borderId="1" xfId="0" applyNumberFormat="1" applyFont="1" applyFill="1" applyBorder="1" applyAlignment="1">
      <alignment horizontal="left" vertical="center"/>
    </xf>
    <xf numFmtId="165" fontId="9" fillId="3" borderId="15" xfId="0" applyNumberFormat="1" applyFont="1" applyFill="1" applyBorder="1" applyAlignment="1">
      <alignment horizontal="left" vertical="center"/>
    </xf>
  </cellXfs>
  <cellStyles count="3">
    <cellStyle name="Normal" xfId="0" builtinId="0"/>
    <cellStyle name="Normal 2" xfId="1" xr:uid="{610F71A7-1F83-4BC2-9DE1-07E6AAF5732E}"/>
    <cellStyle name="Normal 3" xfId="2" xr:uid="{94699803-EF98-4922-810D-76D313772A31}"/>
  </cellStyles>
  <dxfs count="8">
    <dxf>
      <numFmt numFmtId="2" formatCode="0.00"/>
    </dxf>
    <dxf>
      <font>
        <color rgb="FFFF0000"/>
      </font>
    </dxf>
    <dxf>
      <font>
        <color rgb="FFFF0000"/>
      </font>
      <fill>
        <patternFill>
          <bgColor rgb="FFFDF1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0000"/>
      </font>
    </dxf>
    <dxf>
      <numFmt numFmtId="2" formatCode="0.00"/>
    </dxf>
    <dxf>
      <font>
        <color rgb="FFFF0000"/>
      </font>
    </dxf>
    <dxf>
      <font>
        <color rgb="FFFF0000"/>
      </font>
      <fill>
        <patternFill>
          <bgColor rgb="FFFDF1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00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E6E6E6"/>
      <color rgb="FFE5F2FF"/>
      <color rgb="FFFDF1D9"/>
      <color rgb="FFFFF3CD"/>
      <color rgb="FFE4F1FA"/>
      <color rgb="FFFFFFEB"/>
      <color rgb="FF0000FF"/>
      <color rgb="FFFFFFCC"/>
      <color rgb="FFFF7575"/>
      <color rgb="FFFFCD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104775</xdr:rowOff>
    </xdr:from>
    <xdr:to>
      <xdr:col>0</xdr:col>
      <xdr:colOff>1108786</xdr:colOff>
      <xdr:row>1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F8EA84-F649-4298-B9C5-4B3CF53A15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104775"/>
          <a:ext cx="946861" cy="285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36178-45F6-440F-B06F-1EDC986A274E}">
  <sheetPr>
    <pageSetUpPr fitToPage="1"/>
  </sheetPr>
  <dimension ref="A1:AK371"/>
  <sheetViews>
    <sheetView tabSelected="1" zoomScaleNormal="100" workbookViewId="0">
      <selection activeCell="H4" sqref="H4"/>
    </sheetView>
  </sheetViews>
  <sheetFormatPr defaultRowHeight="12.75"/>
  <cols>
    <col min="1" max="6" width="17.85546875" style="1" customWidth="1"/>
    <col min="7" max="7" width="17.85546875" style="18" customWidth="1"/>
    <col min="8" max="8" width="17.85546875" style="7" customWidth="1"/>
    <col min="9" max="9" width="5" style="1" customWidth="1"/>
    <col min="10" max="10" width="15.7109375" style="1" customWidth="1"/>
    <col min="11" max="11" width="5" style="1" customWidth="1"/>
    <col min="12" max="13" width="17.85546875" style="1" customWidth="1"/>
    <col min="14" max="14" width="3.5703125" style="1" customWidth="1"/>
    <col min="15" max="16" width="17.85546875" style="1" customWidth="1"/>
    <col min="17" max="17" width="5" style="1" customWidth="1"/>
    <col min="18" max="18" width="17.140625" style="1" customWidth="1"/>
    <col min="19" max="24" width="17.85546875" style="1" customWidth="1"/>
    <col min="25" max="25" width="21.42578125" style="1" customWidth="1"/>
    <col min="26" max="26" width="6.42578125" style="1" customWidth="1"/>
    <col min="27" max="35" width="15.7109375" style="1" customWidth="1"/>
    <col min="36" max="36" width="5" style="1" customWidth="1"/>
    <col min="38" max="16384" width="9.140625" style="1"/>
  </cols>
  <sheetData>
    <row r="1" spans="1:37" ht="18.75" customHeight="1">
      <c r="A1" s="161" t="s">
        <v>63</v>
      </c>
      <c r="B1" s="162"/>
      <c r="C1" s="162"/>
      <c r="D1" s="162"/>
      <c r="E1" s="162"/>
      <c r="F1" s="162"/>
      <c r="G1" s="162"/>
      <c r="H1" s="163"/>
      <c r="AF1" s="138" t="s">
        <v>53</v>
      </c>
      <c r="AG1" s="139"/>
      <c r="AI1" s="101" t="s">
        <v>42</v>
      </c>
    </row>
    <row r="2" spans="1:37" customFormat="1" ht="18.75" customHeight="1">
      <c r="A2" s="164"/>
      <c r="B2" s="165"/>
      <c r="C2" s="165"/>
      <c r="D2" s="165"/>
      <c r="E2" s="165"/>
      <c r="F2" s="165"/>
      <c r="G2" s="165"/>
      <c r="H2" s="166"/>
      <c r="I2" s="1"/>
      <c r="J2" s="1"/>
      <c r="K2" s="1"/>
      <c r="L2" s="1"/>
      <c r="M2" s="1"/>
      <c r="N2" s="1"/>
      <c r="O2" s="1"/>
      <c r="P2" s="72"/>
      <c r="Q2" s="72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31" t="s">
        <v>54</v>
      </c>
      <c r="AG2" s="31" t="s">
        <v>55</v>
      </c>
      <c r="AH2" s="1"/>
      <c r="AI2" s="31" t="s">
        <v>19</v>
      </c>
      <c r="AJ2" s="1"/>
    </row>
    <row r="3" spans="1:37" customFormat="1" ht="7.5" customHeight="1">
      <c r="A3" s="110"/>
      <c r="B3" s="111"/>
      <c r="C3" s="111"/>
      <c r="D3" s="111"/>
      <c r="E3" s="111"/>
      <c r="F3" s="111"/>
      <c r="G3" s="111"/>
      <c r="H3" s="112"/>
      <c r="I3" s="1"/>
      <c r="J3" s="1"/>
      <c r="K3" s="1"/>
      <c r="L3" s="1"/>
      <c r="M3" s="1"/>
      <c r="N3" s="1"/>
      <c r="O3" s="1"/>
      <c r="P3" s="72"/>
      <c r="Q3" s="72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31">
        <v>0.95</v>
      </c>
      <c r="AG3" s="131">
        <f>IF(AF3=0.95,2,2.5)</f>
        <v>2</v>
      </c>
      <c r="AH3" s="1"/>
      <c r="AI3" s="131">
        <v>4.5999999999999996</v>
      </c>
      <c r="AJ3" s="1"/>
    </row>
    <row r="4" spans="1:37" customFormat="1" ht="18.75" customHeight="1">
      <c r="A4" s="102" t="s">
        <v>58</v>
      </c>
      <c r="B4" s="80" t="s">
        <v>5</v>
      </c>
      <c r="C4" s="103" t="s">
        <v>60</v>
      </c>
      <c r="D4" s="80" t="s">
        <v>78</v>
      </c>
      <c r="E4" s="103" t="s">
        <v>73</v>
      </c>
      <c r="F4" s="80"/>
      <c r="G4" s="103" t="s">
        <v>9</v>
      </c>
      <c r="H4" s="104"/>
      <c r="I4" s="1"/>
      <c r="J4" s="1"/>
      <c r="K4" s="1"/>
      <c r="L4" s="73" t="s">
        <v>56</v>
      </c>
      <c r="M4" s="73" t="s">
        <v>57</v>
      </c>
      <c r="N4" s="72"/>
      <c r="O4" s="1"/>
      <c r="P4" s="8"/>
      <c r="Q4" s="8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33"/>
      <c r="AG4" s="133"/>
      <c r="AH4" s="1"/>
      <c r="AI4" s="133"/>
      <c r="AJ4" s="1"/>
    </row>
    <row r="5" spans="1:37" customFormat="1" ht="18.75" customHeight="1">
      <c r="A5" s="102" t="s">
        <v>59</v>
      </c>
      <c r="B5" s="80" t="s">
        <v>0</v>
      </c>
      <c r="C5" s="103" t="s">
        <v>61</v>
      </c>
      <c r="D5" s="80"/>
      <c r="E5" s="103" t="s">
        <v>62</v>
      </c>
      <c r="F5" s="80" t="s">
        <v>2</v>
      </c>
      <c r="G5" s="103" t="s">
        <v>10</v>
      </c>
      <c r="H5" s="105"/>
      <c r="I5" s="1"/>
      <c r="J5" s="1"/>
      <c r="K5" s="1"/>
      <c r="L5" s="120"/>
      <c r="M5" s="120"/>
      <c r="N5" s="72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40" t="s">
        <v>37</v>
      </c>
      <c r="AB5" s="141"/>
      <c r="AC5" s="141"/>
      <c r="AD5" s="141"/>
      <c r="AE5" s="141"/>
      <c r="AF5" s="141"/>
      <c r="AG5" s="141"/>
      <c r="AH5" s="141"/>
      <c r="AI5" s="142"/>
      <c r="AJ5" s="1"/>
    </row>
    <row r="6" spans="1:37" customFormat="1" ht="7.5" customHeight="1">
      <c r="A6" s="106"/>
      <c r="B6" s="107"/>
      <c r="C6" s="108"/>
      <c r="D6" s="107"/>
      <c r="E6" s="108"/>
      <c r="F6" s="107"/>
      <c r="G6" s="108"/>
      <c r="H6" s="109"/>
      <c r="I6" s="1"/>
      <c r="J6" s="1"/>
      <c r="K6" s="1"/>
      <c r="L6" s="76"/>
      <c r="M6" s="76"/>
      <c r="N6" s="76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43"/>
      <c r="AB6" s="144"/>
      <c r="AC6" s="144"/>
      <c r="AD6" s="144"/>
      <c r="AE6" s="144"/>
      <c r="AF6" s="144"/>
      <c r="AG6" s="144"/>
      <c r="AH6" s="144"/>
      <c r="AI6" s="145"/>
      <c r="AJ6" s="1"/>
    </row>
    <row r="7" spans="1:37" customFormat="1" ht="22.5" customHeight="1">
      <c r="A7" s="167" t="s">
        <v>28</v>
      </c>
      <c r="B7" s="168"/>
      <c r="C7" s="168"/>
      <c r="D7" s="168"/>
      <c r="E7" s="169" t="s">
        <v>29</v>
      </c>
      <c r="F7" s="169"/>
      <c r="G7" s="169"/>
      <c r="H7" s="170"/>
      <c r="I7" s="1"/>
      <c r="J7" s="113"/>
      <c r="K7" s="1"/>
      <c r="L7" s="100" t="s">
        <v>18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2"/>
      <c r="Y7" s="1"/>
      <c r="Z7" s="1"/>
      <c r="AA7" s="140" t="s">
        <v>38</v>
      </c>
      <c r="AB7" s="141"/>
      <c r="AC7" s="141"/>
      <c r="AD7" s="142"/>
      <c r="AE7" s="59"/>
      <c r="AF7" s="114" t="s">
        <v>40</v>
      </c>
      <c r="AG7" s="115" t="s">
        <v>39</v>
      </c>
      <c r="AH7" s="59"/>
      <c r="AI7" s="60"/>
      <c r="AJ7" s="24"/>
      <c r="AK7" s="119"/>
    </row>
    <row r="8" spans="1:37" customFormat="1" ht="15" customHeight="1">
      <c r="A8" s="55" t="s">
        <v>14</v>
      </c>
      <c r="B8" s="55" t="s">
        <v>24</v>
      </c>
      <c r="C8" s="55" t="s">
        <v>25</v>
      </c>
      <c r="D8" s="56" t="s">
        <v>24</v>
      </c>
      <c r="E8" s="55"/>
      <c r="F8" s="55" t="str">
        <f>_xlfn.IFS(J8="Lab Assigned",J8,COUNTIF(AH11:AH33,"&lt;4.6"),"Guardband",TRUE,J8)</f>
        <v>OEM</v>
      </c>
      <c r="G8" s="55" t="s">
        <v>21</v>
      </c>
      <c r="H8" s="55"/>
      <c r="I8" s="1"/>
      <c r="J8" s="60" t="s">
        <v>18</v>
      </c>
      <c r="K8" s="1"/>
      <c r="L8" s="31" t="s">
        <v>75</v>
      </c>
      <c r="M8" s="1"/>
      <c r="N8" s="1"/>
      <c r="O8" s="1"/>
      <c r="P8" s="1"/>
      <c r="Q8" s="1"/>
      <c r="R8" s="55" t="s">
        <v>25</v>
      </c>
      <c r="S8" s="146" t="s">
        <v>64</v>
      </c>
      <c r="T8" s="147"/>
      <c r="U8" s="147"/>
      <c r="V8" s="147"/>
      <c r="W8" s="147"/>
      <c r="X8" s="147"/>
      <c r="Y8" s="148"/>
      <c r="Z8" s="1"/>
      <c r="AA8" s="143" t="s">
        <v>51</v>
      </c>
      <c r="AB8" s="144"/>
      <c r="AC8" s="144"/>
      <c r="AD8" s="145"/>
      <c r="AE8" s="61" t="s">
        <v>40</v>
      </c>
      <c r="AF8" s="114" t="s">
        <v>41</v>
      </c>
      <c r="AG8" s="114" t="s">
        <v>41</v>
      </c>
      <c r="AH8" s="61" t="s">
        <v>8</v>
      </c>
      <c r="AI8" s="62" t="s">
        <v>42</v>
      </c>
      <c r="AJ8" s="24"/>
      <c r="AK8" s="119"/>
    </row>
    <row r="9" spans="1:37" customFormat="1" ht="15" customHeight="1">
      <c r="A9" s="123" t="s">
        <v>13</v>
      </c>
      <c r="B9" s="57" t="s">
        <v>27</v>
      </c>
      <c r="C9" s="57" t="s">
        <v>26</v>
      </c>
      <c r="D9" s="58" t="s">
        <v>23</v>
      </c>
      <c r="E9" s="57" t="s">
        <v>17</v>
      </c>
      <c r="F9" s="57" t="s">
        <v>19</v>
      </c>
      <c r="G9" s="57" t="s">
        <v>22</v>
      </c>
      <c r="H9" s="57" t="str">
        <f>IF((COUNT(Y11:Y33)), "TUR", "TAR")</f>
        <v>TAR</v>
      </c>
      <c r="I9" s="1"/>
      <c r="J9" s="64" t="s">
        <v>19</v>
      </c>
      <c r="K9" s="1"/>
      <c r="L9" s="78">
        <f>IF(ISNUMBER(SEARCH("DAQ",$D$4)),0.01,0.1)</f>
        <v>0.1</v>
      </c>
      <c r="M9" s="1"/>
      <c r="N9" s="1"/>
      <c r="O9" s="1"/>
      <c r="P9" s="1"/>
      <c r="Q9" s="1"/>
      <c r="R9" s="57" t="s">
        <v>26</v>
      </c>
      <c r="S9" s="149"/>
      <c r="T9" s="150"/>
      <c r="U9" s="150"/>
      <c r="V9" s="150"/>
      <c r="W9" s="150"/>
      <c r="X9" s="150"/>
      <c r="Y9" s="151"/>
      <c r="Z9" s="4"/>
      <c r="AA9" s="75" t="s">
        <v>43</v>
      </c>
      <c r="AB9" s="152" t="s">
        <v>44</v>
      </c>
      <c r="AC9" s="153"/>
      <c r="AD9" s="154"/>
      <c r="AE9" s="63" t="s">
        <v>7</v>
      </c>
      <c r="AF9" s="116" t="str">
        <f>"p = " &amp; $AF$3</f>
        <v>p = 0.95</v>
      </c>
      <c r="AG9" s="116" t="str">
        <f>"k = " &amp; $AG$3</f>
        <v>k = 2</v>
      </c>
      <c r="AH9" s="63" t="s">
        <v>36</v>
      </c>
      <c r="AI9" s="64" t="s">
        <v>45</v>
      </c>
      <c r="AJ9" s="24"/>
      <c r="AK9" s="119"/>
    </row>
    <row r="10" spans="1:37" s="3" customFormat="1" ht="15" customHeight="1">
      <c r="A10" s="29"/>
      <c r="B10" s="122" t="s">
        <v>15</v>
      </c>
      <c r="C10" s="29" t="s">
        <v>15</v>
      </c>
      <c r="D10" s="30" t="s">
        <v>15</v>
      </c>
      <c r="E10" s="29" t="s">
        <v>16</v>
      </c>
      <c r="F10" s="126" t="s">
        <v>16</v>
      </c>
      <c r="G10" s="29" t="s">
        <v>20</v>
      </c>
      <c r="H10" s="29" t="s">
        <v>36</v>
      </c>
      <c r="J10" s="36" t="s">
        <v>49</v>
      </c>
      <c r="R10" s="29" t="s">
        <v>15</v>
      </c>
      <c r="S10" s="39" t="s">
        <v>30</v>
      </c>
      <c r="T10" s="39" t="s">
        <v>31</v>
      </c>
      <c r="U10" s="39" t="s">
        <v>32</v>
      </c>
      <c r="V10" s="39" t="s">
        <v>33</v>
      </c>
      <c r="W10" s="42" t="s">
        <v>34</v>
      </c>
      <c r="X10" s="34" t="s">
        <v>12</v>
      </c>
      <c r="Y10" s="34" t="s">
        <v>6</v>
      </c>
      <c r="Z10" s="1"/>
      <c r="AA10" s="36" t="s">
        <v>15</v>
      </c>
      <c r="AB10" s="36" t="s">
        <v>46</v>
      </c>
      <c r="AC10" s="37" t="s">
        <v>47</v>
      </c>
      <c r="AD10" s="36" t="s">
        <v>48</v>
      </c>
      <c r="AE10" s="36" t="s">
        <v>50</v>
      </c>
      <c r="AF10" s="36" t="s">
        <v>50</v>
      </c>
      <c r="AG10" s="36" t="s">
        <v>50</v>
      </c>
      <c r="AH10" s="36"/>
      <c r="AI10" s="35"/>
      <c r="AJ10" s="24"/>
      <c r="AK10" s="119"/>
    </row>
    <row r="11" spans="1:37" customFormat="1" ht="18.75" customHeight="1">
      <c r="A11" s="131" t="s">
        <v>80</v>
      </c>
      <c r="B11" s="160" t="str">
        <f>IF(ISNUMBER(SEARCH("DAQ",$D$4)),"-200°C to 1000°C","-190°C to 990°C")</f>
        <v>-190°C to 990°C</v>
      </c>
      <c r="C11" s="9">
        <f>IF(ISNUMBER(SEARCH("DAQ",$D$4)),-200,-190)</f>
        <v>-190</v>
      </c>
      <c r="D11" s="84" t="str">
        <f>X11</f>
        <v/>
      </c>
      <c r="E11" s="10" t="str">
        <f>IF(D11=""," ",IF(ISNUMBER(SEARCH("34",$D$4)),ROUND((D11-C11),1),ROUND((D11-C11),2)))</f>
        <v xml:space="preserve"> </v>
      </c>
      <c r="F11" s="128">
        <f>IF(ISNUMBER(SEARCH("34",$D$4)),IF($F$8="Guardband",ROUND((J11*AI11),1),ROUND((J11),1)),IF($F$8="Guardband",ROUND((J11*AI11),2),ROUND((J11),2)))</f>
        <v>1.5</v>
      </c>
      <c r="G11" s="11" t="str">
        <f>IFERROR(IF(ABS(E11)&gt;F11, "Fail", "Pass"), " ")</f>
        <v xml:space="preserve"> </v>
      </c>
      <c r="H11" s="10" t="str">
        <f>_xlfn.CONCAT(ROUND(AH11,1),":",1)</f>
        <v>12.8:1</v>
      </c>
      <c r="I11" s="1"/>
      <c r="J11" s="26">
        <f>IF($J$8="OEM",IF(C11&lt;-150,$L$13,$M$13),IF(C11&lt;-150,$O$13,$P$13))</f>
        <v>1.5</v>
      </c>
      <c r="K11" s="1"/>
      <c r="L11" s="158" t="s">
        <v>18</v>
      </c>
      <c r="M11" s="158"/>
      <c r="N11" s="80"/>
      <c r="O11" s="158" t="s">
        <v>65</v>
      </c>
      <c r="P11" s="158"/>
      <c r="Q11" s="1"/>
      <c r="R11" s="9">
        <f>C11</f>
        <v>-190</v>
      </c>
      <c r="S11" s="85"/>
      <c r="T11" s="86"/>
      <c r="U11" s="86"/>
      <c r="V11" s="86"/>
      <c r="W11" s="87"/>
      <c r="X11" s="51" t="str">
        <f>IFERROR(AVERAGE(S11:W11), "")</f>
        <v/>
      </c>
      <c r="Y11" s="43" t="str">
        <f>IFERROR(_xlfn.STDEV.S(S11:W11),"")</f>
        <v/>
      </c>
      <c r="Z11" s="1"/>
      <c r="AA11" s="27" t="str">
        <f>_xlfn.IFS(C11&lt;-245,"-270 &lt; -245",C11&lt;-195,"-245 &lt; -195",C11&lt;-155, "-195 &lt; -155",C11&lt;-90, "-155 &lt; -90",C11&lt;15, "-90 &lt; 15",C11&lt;890, "15 &lt; 890",TRUE, "890 - 1000")</f>
        <v>-195 &lt; -155</v>
      </c>
      <c r="AB11" s="74">
        <v>0</v>
      </c>
      <c r="AC11" s="28">
        <f>_xlfn.IFS(C11&lt;-245,1.2, C11&lt;-195,0.18, C11&lt;-155, 0.1, C11&lt;-90, 0.08, C11&lt;15, 0.07, C11&lt;890, 0.06,TRUE,0.07)</f>
        <v>0.1</v>
      </c>
      <c r="AD11" s="74">
        <v>0.01</v>
      </c>
      <c r="AE11" s="25">
        <f>((AB11*10^-6)*ABS(C11))+AC11</f>
        <v>0.1</v>
      </c>
      <c r="AF11" s="25">
        <f>(AE11)/(_xlfn.NORM.S.INV((1+$AF$3)/2))</f>
        <v>5.1021345692465407E-2</v>
      </c>
      <c r="AG11" s="25">
        <f>IFERROR((SQRT(SUMSQ(AF11,(AD11/SQRT(12)),($L$9/SQRT(12)),(Y11/SQRT(COUNT(S11:W11))))))*$AG$3,(SQRT(SUMSQ(AF11,(AD11/SQRT(12)),($L$9/SQRT(12)))))*$AG$3)</f>
        <v>0.11738559337391834</v>
      </c>
      <c r="AH11" s="19">
        <f>ROUND(J11/AG11,2)</f>
        <v>12.78</v>
      </c>
      <c r="AI11" s="19">
        <f>IF(AH11&lt;$AI$3,SQRT(1-1/AH11^2),1)</f>
        <v>1</v>
      </c>
      <c r="AJ11" s="24"/>
      <c r="AK11" s="119"/>
    </row>
    <row r="12" spans="1:37" customFormat="1" ht="18.75" customHeight="1">
      <c r="A12" s="132"/>
      <c r="B12" s="157"/>
      <c r="C12" s="9">
        <v>-80</v>
      </c>
      <c r="D12" s="84" t="str">
        <f t="shared" ref="D12:D33" si="0">X12</f>
        <v/>
      </c>
      <c r="E12" s="10" t="str">
        <f>IF(D12=""," ",IF(ISNUMBER(SEARCH("34",$D$4)),ROUND((D12-C12),1),ROUND((D12-C12),2)))</f>
        <v xml:space="preserve"> </v>
      </c>
      <c r="F12" s="10">
        <f t="shared" ref="F12:F33" si="1">IF(ISNUMBER(SEARCH("34",$D$4)),IF($F$8="Guardband",ROUND((J12*AI12),1),ROUND((J12),1)),IF($F$8="Guardband",ROUND((J12*AI12),2),ROUND((J12),2)))</f>
        <v>1</v>
      </c>
      <c r="G12" s="11" t="str">
        <f>IFERROR(IF(ABS(E12)&gt;F12, "Fail", "Pass"), " ")</f>
        <v xml:space="preserve"> </v>
      </c>
      <c r="H12" s="10" t="str">
        <f t="shared" ref="H12:H33" si="2">_xlfn.CONCAT(ROUND(AH12,1),":",1)</f>
        <v>10.9:1</v>
      </c>
      <c r="I12" s="1"/>
      <c r="J12" s="26">
        <f t="shared" ref="J12:J15" si="3">IF($J$8="OEM",IF(C12&lt;-150,$L$13,$M$13),IF(C12&lt;-150,$O$13,$P$13))</f>
        <v>1</v>
      </c>
      <c r="K12" s="1"/>
      <c r="L12" s="33" t="s">
        <v>66</v>
      </c>
      <c r="M12" s="33" t="s">
        <v>67</v>
      </c>
      <c r="N12" s="81"/>
      <c r="O12" s="33" t="s">
        <v>66</v>
      </c>
      <c r="P12" s="33" t="s">
        <v>67</v>
      </c>
      <c r="Q12" s="1"/>
      <c r="R12" s="9">
        <f>C12</f>
        <v>-80</v>
      </c>
      <c r="S12" s="88"/>
      <c r="T12" s="89"/>
      <c r="U12" s="89"/>
      <c r="V12" s="89"/>
      <c r="W12" s="90"/>
      <c r="X12" s="52" t="str">
        <f t="shared" ref="X12:X33" si="4">IFERROR(AVERAGE(S12:W12), "")</f>
        <v/>
      </c>
      <c r="Y12" s="44" t="str">
        <f t="shared" ref="Y12:Y33" si="5">IFERROR(_xlfn.STDEV.S(S12:W12),"")</f>
        <v/>
      </c>
      <c r="Z12" s="1"/>
      <c r="AA12" s="27" t="str">
        <f t="shared" ref="AA12:AA15" si="6">_xlfn.IFS(C12&lt;-245,"-270 &lt; -245",C12&lt;-195,"-245 &lt; -195",C12&lt;-155, "-195 &lt; -155",C12&lt;-90, "-155 &lt; -90",C12&lt;15, "-90 &lt; 15",C12&lt;890, "15 &lt; 890",TRUE, "890 - 1000")</f>
        <v>-90 &lt; 15</v>
      </c>
      <c r="AB12" s="74">
        <v>0</v>
      </c>
      <c r="AC12" s="28">
        <f t="shared" ref="AC12:AC15" si="7">_xlfn.IFS(C12&lt;-245,1.2, C12&lt;-195,0.18, C12&lt;-155, 0.1, C12&lt;-90, 0.08, C12&lt;15, 0.07, C12&lt;890, 0.06,TRUE,0.07)</f>
        <v>7.0000000000000007E-2</v>
      </c>
      <c r="AD12" s="74">
        <v>0.01</v>
      </c>
      <c r="AE12" s="25">
        <f t="shared" ref="AE12:AE33" si="8">((AB12*10^-6)*ABS(C12))+AC12</f>
        <v>7.0000000000000007E-2</v>
      </c>
      <c r="AF12" s="25">
        <f t="shared" ref="AF12:AF33" si="9">(AE12)/(_xlfn.NORM.S.INV((1+$AF$3)/2))</f>
        <v>3.5714941984725787E-2</v>
      </c>
      <c r="AG12" s="25">
        <f>IFERROR((SQRT(SUMSQ(AF12,(AD12/SQRT(12)),($L$9/SQRT(12)),(Y12/SQRT(COUNT(S12:W12))))))*$AG$3,(SQRT(SUMSQ(AF12,(AD12/SQRT(12)),($L$9/SQRT(12)))))*$AG$3)</f>
        <v>9.2026599364292402E-2</v>
      </c>
      <c r="AH12" s="19">
        <f>ROUND(J12/AG12,2)</f>
        <v>10.87</v>
      </c>
      <c r="AI12" s="19">
        <f t="shared" ref="AI12:AI33" si="10">IF(AH12&lt;$AI$3,SQRT(1-1/AH12^2),1)</f>
        <v>1</v>
      </c>
      <c r="AJ12" s="24"/>
      <c r="AK12" s="119"/>
    </row>
    <row r="13" spans="1:37" customFormat="1" ht="18.75" customHeight="1">
      <c r="A13" s="132"/>
      <c r="B13" s="157"/>
      <c r="C13" s="9">
        <v>0</v>
      </c>
      <c r="D13" s="84" t="str">
        <f t="shared" si="0"/>
        <v/>
      </c>
      <c r="E13" s="10" t="str">
        <f>IF(D13=""," ",IF(ISNUMBER(SEARCH("34",$D$4)),ROUND((D13-C13),1),ROUND((D13-C13),2)))</f>
        <v xml:space="preserve"> </v>
      </c>
      <c r="F13" s="10">
        <f t="shared" si="1"/>
        <v>1</v>
      </c>
      <c r="G13" s="6" t="str">
        <f>IFERROR(IF(ABS(E13)&gt;F13, "Fail", "Pass"), " ")</f>
        <v xml:space="preserve"> </v>
      </c>
      <c r="H13" s="10" t="str">
        <f t="shared" si="2"/>
        <v>10.9:1</v>
      </c>
      <c r="I13" s="1"/>
      <c r="J13" s="26">
        <f t="shared" si="3"/>
        <v>1</v>
      </c>
      <c r="K13" s="1"/>
      <c r="L13" s="68">
        <f>ROUND(IF(ISNUMBER(SEARCH("DAQ",$D$4)),1.4,1.5),1)</f>
        <v>1.5</v>
      </c>
      <c r="M13" s="68">
        <v>1</v>
      </c>
      <c r="N13" s="79"/>
      <c r="O13" s="68">
        <v>1</v>
      </c>
      <c r="P13" s="68">
        <v>1</v>
      </c>
      <c r="Q13" s="1"/>
      <c r="R13" s="9">
        <f>C13</f>
        <v>0</v>
      </c>
      <c r="S13" s="88"/>
      <c r="T13" s="89"/>
      <c r="U13" s="89"/>
      <c r="V13" s="89"/>
      <c r="W13" s="90"/>
      <c r="X13" s="52" t="str">
        <f t="shared" si="4"/>
        <v/>
      </c>
      <c r="Y13" s="44" t="str">
        <f t="shared" si="5"/>
        <v/>
      </c>
      <c r="Z13" s="1"/>
      <c r="AA13" s="27" t="str">
        <f t="shared" si="6"/>
        <v>-90 &lt; 15</v>
      </c>
      <c r="AB13" s="74">
        <v>0</v>
      </c>
      <c r="AC13" s="28">
        <f t="shared" si="7"/>
        <v>7.0000000000000007E-2</v>
      </c>
      <c r="AD13" s="74">
        <v>0.01</v>
      </c>
      <c r="AE13" s="25">
        <f t="shared" si="8"/>
        <v>7.0000000000000007E-2</v>
      </c>
      <c r="AF13" s="25">
        <f t="shared" si="9"/>
        <v>3.5714941984725787E-2</v>
      </c>
      <c r="AG13" s="25">
        <f t="shared" ref="AG13:AG33" si="11">IFERROR((SQRT(SUMSQ(AF13,(AD13/SQRT(12)),($L$9/SQRT(12)),(Y13/SQRT(COUNT(S13:W13))))))*$AG$3,(SQRT(SUMSQ(AF13,(AD13/SQRT(12)),($L$9/SQRT(12)))))*$AG$3)</f>
        <v>9.2026599364292402E-2</v>
      </c>
      <c r="AH13" s="19">
        <f>ROUND(J13/AG13,2)</f>
        <v>10.87</v>
      </c>
      <c r="AI13" s="19">
        <f t="shared" si="10"/>
        <v>1</v>
      </c>
      <c r="AJ13" s="24"/>
      <c r="AK13" s="119"/>
    </row>
    <row r="14" spans="1:37" customFormat="1" ht="18.75" customHeight="1">
      <c r="A14" s="132"/>
      <c r="B14" s="157"/>
      <c r="C14" s="9">
        <v>200</v>
      </c>
      <c r="D14" s="84" t="str">
        <f t="shared" si="0"/>
        <v/>
      </c>
      <c r="E14" s="10" t="str">
        <f>IF(D14=""," ",IF(ISNUMBER(SEARCH("34",$D$4)),ROUND((D14-C14),1),ROUND((D14-C14),2)))</f>
        <v xml:space="preserve"> </v>
      </c>
      <c r="F14" s="10">
        <f t="shared" si="1"/>
        <v>1</v>
      </c>
      <c r="G14" s="6" t="str">
        <f>IFERROR(IF(ABS(E14)&gt;F14, "Fail", "Pass"), " ")</f>
        <v xml:space="preserve"> </v>
      </c>
      <c r="H14" s="10" t="str">
        <f t="shared" si="2"/>
        <v>11.9:1</v>
      </c>
      <c r="I14" s="1"/>
      <c r="J14" s="26">
        <f t="shared" si="3"/>
        <v>1</v>
      </c>
      <c r="K14" s="1"/>
      <c r="L14" s="1"/>
      <c r="M14" s="1"/>
      <c r="N14" s="8"/>
      <c r="O14" s="1"/>
      <c r="P14" s="1"/>
      <c r="Q14" s="1"/>
      <c r="R14" s="9">
        <f>C14</f>
        <v>200</v>
      </c>
      <c r="S14" s="88"/>
      <c r="T14" s="89"/>
      <c r="U14" s="89"/>
      <c r="V14" s="89"/>
      <c r="W14" s="90"/>
      <c r="X14" s="52" t="str">
        <f t="shared" si="4"/>
        <v/>
      </c>
      <c r="Y14" s="45" t="str">
        <f t="shared" si="5"/>
        <v/>
      </c>
      <c r="Z14" s="1"/>
      <c r="AA14" s="27" t="str">
        <f t="shared" si="6"/>
        <v>15 &lt; 890</v>
      </c>
      <c r="AB14" s="74">
        <v>0</v>
      </c>
      <c r="AC14" s="28">
        <f t="shared" si="7"/>
        <v>0.06</v>
      </c>
      <c r="AD14" s="74">
        <v>0.01</v>
      </c>
      <c r="AE14" s="25">
        <f t="shared" si="8"/>
        <v>0.06</v>
      </c>
      <c r="AF14" s="25">
        <f t="shared" si="9"/>
        <v>3.0612807415479244E-2</v>
      </c>
      <c r="AG14" s="25">
        <f t="shared" si="11"/>
        <v>8.4351897299915851E-2</v>
      </c>
      <c r="AH14" s="19">
        <f>ROUND(J14/AG14,2)</f>
        <v>11.86</v>
      </c>
      <c r="AI14" s="19">
        <f t="shared" si="10"/>
        <v>1</v>
      </c>
      <c r="AJ14" s="24"/>
    </row>
    <row r="15" spans="1:37" customFormat="1" ht="18.75" customHeight="1">
      <c r="A15" s="133"/>
      <c r="B15" s="157"/>
      <c r="C15" s="13">
        <f>IF(ISNUMBER(SEARCH("DAQ",$D$4)),1000,990)</f>
        <v>990</v>
      </c>
      <c r="D15" s="84" t="str">
        <f t="shared" si="0"/>
        <v/>
      </c>
      <c r="E15" s="10" t="str">
        <f>IF(D15=""," ",IF(ISNUMBER(SEARCH("34",$D$4)),ROUND((D15-C15),1),ROUND((D15-C15),2)))</f>
        <v xml:space="preserve"> </v>
      </c>
      <c r="F15" s="12">
        <f t="shared" si="1"/>
        <v>1</v>
      </c>
      <c r="G15" s="67" t="str">
        <f>IFERROR(IF(ABS(E15)&gt;F15, "Fail", "Pass"), " ")</f>
        <v xml:space="preserve"> </v>
      </c>
      <c r="H15" s="10" t="str">
        <f t="shared" si="2"/>
        <v>10.9:1</v>
      </c>
      <c r="I15" s="1"/>
      <c r="J15" s="26">
        <f t="shared" si="3"/>
        <v>1</v>
      </c>
      <c r="K15" s="1"/>
      <c r="L15" s="1"/>
      <c r="M15" s="1"/>
      <c r="N15" s="8"/>
      <c r="O15" s="1"/>
      <c r="P15" s="1"/>
      <c r="Q15" s="1"/>
      <c r="R15" s="13">
        <f>C15</f>
        <v>990</v>
      </c>
      <c r="S15" s="91"/>
      <c r="T15" s="92"/>
      <c r="U15" s="92"/>
      <c r="V15" s="92"/>
      <c r="W15" s="93"/>
      <c r="X15" s="53" t="str">
        <f t="shared" si="4"/>
        <v/>
      </c>
      <c r="Y15" s="46" t="str">
        <f t="shared" si="5"/>
        <v/>
      </c>
      <c r="Z15" s="1"/>
      <c r="AA15" s="27" t="str">
        <f t="shared" si="6"/>
        <v>890 - 1000</v>
      </c>
      <c r="AB15" s="74">
        <v>0</v>
      </c>
      <c r="AC15" s="28">
        <f t="shared" si="7"/>
        <v>7.0000000000000007E-2</v>
      </c>
      <c r="AD15" s="74">
        <v>0.01</v>
      </c>
      <c r="AE15" s="25">
        <f t="shared" si="8"/>
        <v>7.0000000000000007E-2</v>
      </c>
      <c r="AF15" s="25">
        <f t="shared" si="9"/>
        <v>3.5714941984725787E-2</v>
      </c>
      <c r="AG15" s="25">
        <f t="shared" si="11"/>
        <v>9.2026599364292402E-2</v>
      </c>
      <c r="AH15" s="19">
        <f>ROUND(J15/AG15,2)</f>
        <v>10.87</v>
      </c>
      <c r="AI15" s="19">
        <f t="shared" si="10"/>
        <v>1</v>
      </c>
      <c r="AJ15" s="24"/>
    </row>
    <row r="16" spans="1:37" customFormat="1" ht="7.5" customHeight="1">
      <c r="A16" s="31"/>
      <c r="B16" s="121"/>
      <c r="C16" s="117"/>
      <c r="D16" s="32"/>
      <c r="E16" s="32"/>
      <c r="F16" s="32"/>
      <c r="G16" s="69"/>
      <c r="H16" s="32"/>
      <c r="I16" s="1"/>
      <c r="J16" s="32"/>
      <c r="K16" s="1"/>
      <c r="L16" s="1"/>
      <c r="M16" s="1"/>
      <c r="N16" s="8"/>
      <c r="O16" s="1"/>
      <c r="P16" s="1"/>
      <c r="Q16" s="1"/>
      <c r="R16" s="117"/>
      <c r="S16" s="40"/>
      <c r="T16" s="41"/>
      <c r="U16" s="41"/>
      <c r="V16" s="41"/>
      <c r="W16" s="41"/>
      <c r="X16" s="35" t="str">
        <f t="shared" si="4"/>
        <v/>
      </c>
      <c r="Y16" s="35" t="str">
        <f t="shared" si="5"/>
        <v/>
      </c>
      <c r="Z16" s="1"/>
      <c r="AA16" s="36"/>
      <c r="AB16" s="36"/>
      <c r="AC16" s="36"/>
      <c r="AD16" s="36"/>
      <c r="AE16" s="36"/>
      <c r="AF16" s="36"/>
      <c r="AG16" s="36"/>
      <c r="AH16" s="35"/>
      <c r="AI16" s="35"/>
      <c r="AJ16" s="24"/>
    </row>
    <row r="17" spans="1:36" customFormat="1" ht="18.75" customHeight="1">
      <c r="A17" s="131" t="s">
        <v>81</v>
      </c>
      <c r="B17" s="156" t="str">
        <f>IF(ISNUMBER(SEARCH("DAQ",$D$4)),"-210°C to 1200°C","-200°C to 1190°C")</f>
        <v>-200°C to 1190°C</v>
      </c>
      <c r="C17" s="118">
        <f>IF(ISNUMBER(SEARCH("DAQ",$D$4)),-210,-200)</f>
        <v>-200</v>
      </c>
      <c r="D17" s="84" t="str">
        <f t="shared" si="0"/>
        <v/>
      </c>
      <c r="E17" s="10" t="str">
        <f>IF(D17=""," ",IF(ISNUMBER(SEARCH("34",$D$4)),ROUND((D17-C17),1),ROUND((D17-C17),2)))</f>
        <v xml:space="preserve"> </v>
      </c>
      <c r="F17" s="128">
        <f t="shared" si="1"/>
        <v>1.2</v>
      </c>
      <c r="G17" s="66" t="str">
        <f>IFERROR(IF(ABS(E17)&gt;F17, "Fail", "Pass"), " ")</f>
        <v xml:space="preserve"> </v>
      </c>
      <c r="H17" s="10" t="str">
        <f t="shared" si="2"/>
        <v>8.9:1</v>
      </c>
      <c r="I17" s="1"/>
      <c r="J17" s="26">
        <f>IF($J$8="OEM",IF(C17&lt;-150,$L$19,$M$19),IF(C17&lt;-150,$O$19,$P$19))</f>
        <v>1.2</v>
      </c>
      <c r="K17" s="1"/>
      <c r="L17" s="158" t="s">
        <v>18</v>
      </c>
      <c r="M17" s="158"/>
      <c r="N17" s="80"/>
      <c r="O17" s="158" t="s">
        <v>65</v>
      </c>
      <c r="P17" s="158"/>
      <c r="Q17" s="1"/>
      <c r="R17" s="118">
        <f>C17</f>
        <v>-200</v>
      </c>
      <c r="S17" s="94"/>
      <c r="T17" s="95"/>
      <c r="U17" s="95"/>
      <c r="V17" s="95"/>
      <c r="W17" s="96"/>
      <c r="X17" s="51" t="str">
        <f t="shared" si="4"/>
        <v/>
      </c>
      <c r="Y17" s="47" t="str">
        <f t="shared" si="5"/>
        <v/>
      </c>
      <c r="Z17" s="1"/>
      <c r="AA17" s="27" t="str">
        <f>_xlfn.IFS(C17&lt;-180,"-210 &lt; -180", C17&lt;-120,"-180 &lt; -120", C17&lt;-50, "-120 &lt; -50", C17&lt;990, "-50 &lt; 990",TRUE, "990 - 1200")</f>
        <v>-210 &lt; -180</v>
      </c>
      <c r="AB17" s="74">
        <v>0</v>
      </c>
      <c r="AC17" s="74">
        <f>_xlfn.IFS(C17&lt;-180, 0.12, C17&lt;-120, 0.1, C17&lt;-50, 0.08, TRUE,0.07)</f>
        <v>0.12</v>
      </c>
      <c r="AD17" s="74">
        <v>0.01</v>
      </c>
      <c r="AE17" s="25">
        <f t="shared" si="8"/>
        <v>0.12</v>
      </c>
      <c r="AF17" s="25">
        <f t="shared" si="9"/>
        <v>6.1225614830958487E-2</v>
      </c>
      <c r="AG17" s="25">
        <f t="shared" si="11"/>
        <v>0.13550265795320104</v>
      </c>
      <c r="AH17" s="19">
        <f>ROUND(J17/AG17,2)</f>
        <v>8.86</v>
      </c>
      <c r="AI17" s="19">
        <f t="shared" si="10"/>
        <v>1</v>
      </c>
      <c r="AJ17" s="24"/>
    </row>
    <row r="18" spans="1:36" customFormat="1" ht="18.75" customHeight="1">
      <c r="A18" s="132"/>
      <c r="B18" s="157"/>
      <c r="C18" s="9">
        <v>-80</v>
      </c>
      <c r="D18" s="84" t="str">
        <f t="shared" si="0"/>
        <v/>
      </c>
      <c r="E18" s="10" t="str">
        <f>IF(D18=""," ",IF(ISNUMBER(SEARCH("34",$D$4)),ROUND((D18-C18),1),ROUND((D18-C18),2)))</f>
        <v xml:space="preserve"> </v>
      </c>
      <c r="F18" s="10">
        <f t="shared" si="1"/>
        <v>1</v>
      </c>
      <c r="G18" s="6" t="str">
        <f>IFERROR(IF(ABS(E18)&gt;F18, "Fail", "Pass"), " ")</f>
        <v xml:space="preserve"> </v>
      </c>
      <c r="H18" s="10" t="str">
        <f t="shared" si="2"/>
        <v>10:1</v>
      </c>
      <c r="I18" s="1"/>
      <c r="J18" s="26">
        <f t="shared" ref="J18:J21" si="12">IF($J$8="OEM",IF(C18&lt;-150,$L$19,$M$19),IF(C18&lt;-150,$O$19,$P$19))</f>
        <v>1</v>
      </c>
      <c r="K18" s="1"/>
      <c r="L18" s="33" t="s">
        <v>69</v>
      </c>
      <c r="M18" s="33" t="s">
        <v>68</v>
      </c>
      <c r="N18" s="81"/>
      <c r="O18" s="33" t="s">
        <v>69</v>
      </c>
      <c r="P18" s="33" t="s">
        <v>68</v>
      </c>
      <c r="Q18" s="1"/>
      <c r="R18" s="9">
        <f>C18</f>
        <v>-80</v>
      </c>
      <c r="S18" s="88"/>
      <c r="T18" s="89"/>
      <c r="U18" s="89"/>
      <c r="V18" s="89"/>
      <c r="W18" s="90"/>
      <c r="X18" s="52" t="str">
        <f t="shared" si="4"/>
        <v/>
      </c>
      <c r="Y18" s="48" t="str">
        <f t="shared" si="5"/>
        <v/>
      </c>
      <c r="Z18" s="1"/>
      <c r="AA18" s="27" t="str">
        <f t="shared" ref="AA18:AA21" si="13">_xlfn.IFS(C18&lt;-180,"-210 &lt; -180", C18&lt;-120,"-180 &lt; -120", C18&lt;-50, "-120 &lt; -50", C18&lt;990, "-50 &lt; 990",TRUE, "990 - 1200")</f>
        <v>-120 &lt; -50</v>
      </c>
      <c r="AB18" s="74">
        <v>0</v>
      </c>
      <c r="AC18" s="124">
        <f t="shared" ref="AC18:AC21" si="14">_xlfn.IFS(C18&lt;-180, 0.12, C18&lt;-120, 0.1, C18&lt;-50, 0.08, TRUE,0.07)</f>
        <v>0.08</v>
      </c>
      <c r="AD18" s="74">
        <v>0.01</v>
      </c>
      <c r="AE18" s="25">
        <f t="shared" si="8"/>
        <v>0.08</v>
      </c>
      <c r="AF18" s="25">
        <f t="shared" si="9"/>
        <v>4.0817076553972327E-2</v>
      </c>
      <c r="AG18" s="25">
        <f t="shared" si="11"/>
        <v>0.10015388969140449</v>
      </c>
      <c r="AH18" s="19">
        <f>ROUND(J18/AG18,2)</f>
        <v>9.98</v>
      </c>
      <c r="AI18" s="19">
        <f t="shared" si="10"/>
        <v>1</v>
      </c>
      <c r="AJ18" s="24"/>
    </row>
    <row r="19" spans="1:36" customFormat="1" ht="18.75" customHeight="1">
      <c r="A19" s="132"/>
      <c r="B19" s="157"/>
      <c r="C19" s="9">
        <v>0</v>
      </c>
      <c r="D19" s="84" t="str">
        <f t="shared" si="0"/>
        <v/>
      </c>
      <c r="E19" s="10" t="str">
        <f>IF(D19=""," ",IF(ISNUMBER(SEARCH("34",$D$4)),ROUND((D19-C19),1),ROUND((D19-C19),2)))</f>
        <v xml:space="preserve"> </v>
      </c>
      <c r="F19" s="10">
        <f t="shared" si="1"/>
        <v>1</v>
      </c>
      <c r="G19" s="6" t="str">
        <f>IFERROR(IF(ABS(E19)&gt;F19, "Fail", "Pass"), " ")</f>
        <v xml:space="preserve"> </v>
      </c>
      <c r="H19" s="10" t="str">
        <f t="shared" si="2"/>
        <v>10.9:1</v>
      </c>
      <c r="I19" s="1"/>
      <c r="J19" s="26">
        <f t="shared" si="12"/>
        <v>1</v>
      </c>
      <c r="K19" s="1"/>
      <c r="L19" s="68">
        <f>ROUND(IF(ISNUMBER(SEARCH("DAQ",$D$4)),1.6,1.2),1)</f>
        <v>1.2</v>
      </c>
      <c r="M19" s="68">
        <v>1</v>
      </c>
      <c r="N19" s="79"/>
      <c r="O19" s="68">
        <v>1</v>
      </c>
      <c r="P19" s="68">
        <v>1</v>
      </c>
      <c r="Q19" s="1"/>
      <c r="R19" s="9">
        <f>C19</f>
        <v>0</v>
      </c>
      <c r="S19" s="88"/>
      <c r="T19" s="89"/>
      <c r="U19" s="89"/>
      <c r="V19" s="89"/>
      <c r="W19" s="90"/>
      <c r="X19" s="52" t="str">
        <f t="shared" si="4"/>
        <v/>
      </c>
      <c r="Y19" s="48" t="str">
        <f t="shared" si="5"/>
        <v/>
      </c>
      <c r="Z19" s="1"/>
      <c r="AA19" s="27" t="str">
        <f t="shared" si="13"/>
        <v>-50 &lt; 990</v>
      </c>
      <c r="AB19" s="74">
        <v>0</v>
      </c>
      <c r="AC19" s="124">
        <f t="shared" si="14"/>
        <v>7.0000000000000007E-2</v>
      </c>
      <c r="AD19" s="74">
        <v>0.01</v>
      </c>
      <c r="AE19" s="25">
        <f t="shared" si="8"/>
        <v>7.0000000000000007E-2</v>
      </c>
      <c r="AF19" s="25">
        <f t="shared" si="9"/>
        <v>3.5714941984725787E-2</v>
      </c>
      <c r="AG19" s="25">
        <f t="shared" si="11"/>
        <v>9.2026599364292402E-2</v>
      </c>
      <c r="AH19" s="19">
        <f>ROUND(J19/AG19,2)</f>
        <v>10.87</v>
      </c>
      <c r="AI19" s="19">
        <f t="shared" si="10"/>
        <v>1</v>
      </c>
      <c r="AJ19" s="1"/>
    </row>
    <row r="20" spans="1:36" customFormat="1" ht="18.75" customHeight="1">
      <c r="A20" s="132"/>
      <c r="B20" s="157"/>
      <c r="C20" s="9">
        <v>200</v>
      </c>
      <c r="D20" s="84" t="str">
        <f t="shared" si="0"/>
        <v/>
      </c>
      <c r="E20" s="10" t="str">
        <f>IF(D20=""," ",IF(ISNUMBER(SEARCH("34",$D$4)),ROUND((D20-C20),1),ROUND((D20-C20),2)))</f>
        <v xml:space="preserve"> </v>
      </c>
      <c r="F20" s="10">
        <f t="shared" si="1"/>
        <v>1</v>
      </c>
      <c r="G20" s="6" t="str">
        <f>IFERROR(IF(ABS(E20)&gt;F20, "Fail", "Pass"), " ")</f>
        <v xml:space="preserve"> </v>
      </c>
      <c r="H20" s="10" t="str">
        <f t="shared" si="2"/>
        <v>10.9:1</v>
      </c>
      <c r="I20" s="1"/>
      <c r="J20" s="26">
        <f t="shared" si="12"/>
        <v>1</v>
      </c>
      <c r="K20" s="1"/>
      <c r="L20" s="1"/>
      <c r="M20" s="1"/>
      <c r="N20" s="8"/>
      <c r="O20" s="1"/>
      <c r="P20" s="1"/>
      <c r="Q20" s="1"/>
      <c r="R20" s="9">
        <f>C20</f>
        <v>200</v>
      </c>
      <c r="S20" s="88"/>
      <c r="T20" s="89"/>
      <c r="U20" s="89"/>
      <c r="V20" s="89"/>
      <c r="W20" s="90"/>
      <c r="X20" s="52" t="str">
        <f t="shared" si="4"/>
        <v/>
      </c>
      <c r="Y20" s="48" t="str">
        <f t="shared" si="5"/>
        <v/>
      </c>
      <c r="Z20" s="1"/>
      <c r="AA20" s="27" t="str">
        <f t="shared" si="13"/>
        <v>-50 &lt; 990</v>
      </c>
      <c r="AB20" s="74">
        <v>0</v>
      </c>
      <c r="AC20" s="124">
        <f t="shared" si="14"/>
        <v>7.0000000000000007E-2</v>
      </c>
      <c r="AD20" s="74">
        <v>0.01</v>
      </c>
      <c r="AE20" s="25">
        <f t="shared" si="8"/>
        <v>7.0000000000000007E-2</v>
      </c>
      <c r="AF20" s="25">
        <f t="shared" si="9"/>
        <v>3.5714941984725787E-2</v>
      </c>
      <c r="AG20" s="25">
        <f t="shared" si="11"/>
        <v>9.2026599364292402E-2</v>
      </c>
      <c r="AH20" s="19">
        <f>ROUND(J20/AG20,2)</f>
        <v>10.87</v>
      </c>
      <c r="AI20" s="19">
        <f t="shared" si="10"/>
        <v>1</v>
      </c>
      <c r="AJ20" s="1"/>
    </row>
    <row r="21" spans="1:36" customFormat="1" ht="18.75" customHeight="1">
      <c r="A21" s="133"/>
      <c r="B21" s="157"/>
      <c r="C21" s="13">
        <f>IF(ISNUMBER(SEARCH("DAQ",$D$4)),1200,1190)</f>
        <v>1190</v>
      </c>
      <c r="D21" s="84" t="str">
        <f t="shared" si="0"/>
        <v/>
      </c>
      <c r="E21" s="10" t="str">
        <f>IF(D21=""," ",IF(ISNUMBER(SEARCH("34",$D$4)),ROUND((D21-C21),1),ROUND((D21-C21),2)))</f>
        <v xml:space="preserve"> </v>
      </c>
      <c r="F21" s="12">
        <f t="shared" si="1"/>
        <v>1</v>
      </c>
      <c r="G21" s="67" t="str">
        <f>IFERROR(IF(ABS(E21)&gt;F21, "Fail", "Pass"), " ")</f>
        <v xml:space="preserve"> </v>
      </c>
      <c r="H21" s="10" t="str">
        <f t="shared" si="2"/>
        <v>10.9:1</v>
      </c>
      <c r="I21" s="1"/>
      <c r="J21" s="26">
        <f t="shared" si="12"/>
        <v>1</v>
      </c>
      <c r="K21" s="1"/>
      <c r="L21" s="1"/>
      <c r="M21" s="1"/>
      <c r="N21" s="8"/>
      <c r="O21" s="1"/>
      <c r="P21" s="1"/>
      <c r="Q21" s="1"/>
      <c r="R21" s="13">
        <f>C21</f>
        <v>1190</v>
      </c>
      <c r="S21" s="91"/>
      <c r="T21" s="92"/>
      <c r="U21" s="92"/>
      <c r="V21" s="92"/>
      <c r="W21" s="93"/>
      <c r="X21" s="53" t="str">
        <f t="shared" si="4"/>
        <v/>
      </c>
      <c r="Y21" s="49" t="str">
        <f t="shared" si="5"/>
        <v/>
      </c>
      <c r="Z21" s="1"/>
      <c r="AA21" s="27" t="str">
        <f t="shared" si="13"/>
        <v>990 - 1200</v>
      </c>
      <c r="AB21" s="74">
        <v>0</v>
      </c>
      <c r="AC21" s="124">
        <f t="shared" si="14"/>
        <v>7.0000000000000007E-2</v>
      </c>
      <c r="AD21" s="74">
        <v>0.01</v>
      </c>
      <c r="AE21" s="25">
        <f t="shared" si="8"/>
        <v>7.0000000000000007E-2</v>
      </c>
      <c r="AF21" s="25">
        <f t="shared" si="9"/>
        <v>3.5714941984725787E-2</v>
      </c>
      <c r="AG21" s="25">
        <f t="shared" si="11"/>
        <v>9.2026599364292402E-2</v>
      </c>
      <c r="AH21" s="19">
        <f>ROUND(J21/AG21,2)</f>
        <v>10.87</v>
      </c>
      <c r="AI21" s="19">
        <f t="shared" si="10"/>
        <v>1</v>
      </c>
      <c r="AJ21" s="1"/>
    </row>
    <row r="22" spans="1:36" customFormat="1" ht="7.5" customHeight="1">
      <c r="A22" s="31"/>
      <c r="B22" s="121"/>
      <c r="C22" s="117"/>
      <c r="D22" s="32"/>
      <c r="E22" s="32"/>
      <c r="F22" s="32"/>
      <c r="G22" s="69"/>
      <c r="H22" s="32"/>
      <c r="I22" s="1"/>
      <c r="J22" s="32"/>
      <c r="K22" s="1"/>
      <c r="L22" s="1"/>
      <c r="M22" s="1"/>
      <c r="N22" s="8"/>
      <c r="O22" s="1"/>
      <c r="P22" s="1"/>
      <c r="Q22" s="1"/>
      <c r="R22" s="117"/>
      <c r="S22" s="40"/>
      <c r="T22" s="41"/>
      <c r="U22" s="41"/>
      <c r="V22" s="41"/>
      <c r="W22" s="41"/>
      <c r="X22" s="35" t="str">
        <f t="shared" si="4"/>
        <v/>
      </c>
      <c r="Y22" s="35" t="str">
        <f t="shared" si="5"/>
        <v/>
      </c>
      <c r="Z22" s="1"/>
      <c r="AA22" s="38"/>
      <c r="AB22" s="38"/>
      <c r="AC22" s="38"/>
      <c r="AD22" s="38"/>
      <c r="AE22" s="38"/>
      <c r="AF22" s="36"/>
      <c r="AG22" s="36"/>
      <c r="AH22" s="38"/>
      <c r="AI22" s="38"/>
      <c r="AJ22" s="1"/>
    </row>
    <row r="23" spans="1:36" customFormat="1" ht="18.75" customHeight="1">
      <c r="A23" s="131" t="s">
        <v>82</v>
      </c>
      <c r="B23" s="156" t="str">
        <f>IF(ISNUMBER(SEARCH("DAQ",$D$4)),"-195°C to 1200°C","-190°C to 1200°C")</f>
        <v>-190°C to 1200°C</v>
      </c>
      <c r="C23" s="118">
        <f>IF(ISNUMBER(SEARCH("DAQ",$D$4)),-195,-190)</f>
        <v>-190</v>
      </c>
      <c r="D23" s="84" t="str">
        <f t="shared" si="0"/>
        <v/>
      </c>
      <c r="E23" s="10" t="str">
        <f>IF(D23=""," ",IF(ISNUMBER(SEARCH("34",$D$4)),ROUND((D23-C23),1),ROUND((D23-C23),2)))</f>
        <v xml:space="preserve"> </v>
      </c>
      <c r="F23" s="128">
        <f t="shared" si="1"/>
        <v>1.5</v>
      </c>
      <c r="G23" s="66" t="str">
        <f>IFERROR(IF(ABS(E23)&gt;F23, "Fail", "Pass"), " ")</f>
        <v xml:space="preserve"> </v>
      </c>
      <c r="H23" s="10" t="str">
        <f t="shared" si="2"/>
        <v>11.1:1</v>
      </c>
      <c r="I23" s="1"/>
      <c r="J23" s="26">
        <f>IF($J$8="OEM",IF(C23&lt;-100,$L$25,$M$25),IF(C23&lt;-100,$O$25,$P$25))</f>
        <v>1.5</v>
      </c>
      <c r="K23" s="1"/>
      <c r="L23" s="158" t="s">
        <v>18</v>
      </c>
      <c r="M23" s="158"/>
      <c r="N23" s="80"/>
      <c r="O23" s="158" t="s">
        <v>65</v>
      </c>
      <c r="P23" s="158"/>
      <c r="Q23" s="1"/>
      <c r="R23" s="118">
        <f>C23</f>
        <v>-190</v>
      </c>
      <c r="S23" s="94"/>
      <c r="T23" s="95"/>
      <c r="U23" s="95"/>
      <c r="V23" s="95"/>
      <c r="W23" s="96"/>
      <c r="X23" s="51" t="str">
        <f t="shared" si="4"/>
        <v/>
      </c>
      <c r="Y23" s="47" t="str">
        <f t="shared" si="5"/>
        <v/>
      </c>
      <c r="Z23" s="1"/>
      <c r="AA23" s="27" t="str">
        <f>_xlfn.IFS(C23&lt;-255,"-270 &lt; -255", C23&lt;-195,"-255 &lt; -195", C23&lt;-115, "-195 &lt; -115", C23&lt;-55, "-115 &lt; -55", C23&lt;1000, "-55 &lt; 1000",TRUE, "1000 - 1372")</f>
        <v>-195 &lt; -115</v>
      </c>
      <c r="AB23" s="74">
        <v>0</v>
      </c>
      <c r="AC23" s="74">
        <f>_xlfn.IFS(C23&lt;-255, 2.2, C23&lt;-195, 0.7, C23&lt;-115, 0.12, C23&lt;-55, 0.09, C23&lt;1000, 0.07, TRUE,0.08)</f>
        <v>0.12</v>
      </c>
      <c r="AD23" s="74">
        <v>0.01</v>
      </c>
      <c r="AE23" s="25">
        <f t="shared" si="8"/>
        <v>0.12</v>
      </c>
      <c r="AF23" s="25">
        <f t="shared" si="9"/>
        <v>6.1225614830958487E-2</v>
      </c>
      <c r="AG23" s="25">
        <f t="shared" si="11"/>
        <v>0.13550265795320104</v>
      </c>
      <c r="AH23" s="19">
        <f>ROUND(J23/AG23,2)</f>
        <v>11.07</v>
      </c>
      <c r="AI23" s="19">
        <f t="shared" si="10"/>
        <v>1</v>
      </c>
      <c r="AJ23" s="1"/>
    </row>
    <row r="24" spans="1:36" customFormat="1" ht="18.75" customHeight="1">
      <c r="A24" s="132"/>
      <c r="B24" s="157"/>
      <c r="C24" s="9">
        <v>-80</v>
      </c>
      <c r="D24" s="84" t="str">
        <f t="shared" si="0"/>
        <v/>
      </c>
      <c r="E24" s="10" t="str">
        <f>IF(D24=""," ",IF(ISNUMBER(SEARCH("34",$D$4)),ROUND((D24-C24),1),ROUND((D24-C24),2)))</f>
        <v xml:space="preserve"> </v>
      </c>
      <c r="F24" s="10">
        <f t="shared" si="1"/>
        <v>1</v>
      </c>
      <c r="G24" s="6" t="str">
        <f>IFERROR(IF(ABS(E24)&gt;F24, "Fail", "Pass"), " ")</f>
        <v xml:space="preserve"> </v>
      </c>
      <c r="H24" s="10" t="str">
        <f t="shared" si="2"/>
        <v>9.2:1</v>
      </c>
      <c r="I24" s="1"/>
      <c r="J24" s="26">
        <f t="shared" ref="J24:J27" si="15">IF($J$8="OEM",IF(C24&lt;-100,$L$25,$M$25),IF(C24&lt;-100,$O$25,$P$25))</f>
        <v>1</v>
      </c>
      <c r="K24" s="1"/>
      <c r="L24" s="33" t="s">
        <v>70</v>
      </c>
      <c r="M24" s="33" t="s">
        <v>71</v>
      </c>
      <c r="N24" s="81"/>
      <c r="O24" s="33" t="s">
        <v>70</v>
      </c>
      <c r="P24" s="33" t="s">
        <v>71</v>
      </c>
      <c r="Q24" s="1"/>
      <c r="R24" s="9">
        <f>C24</f>
        <v>-80</v>
      </c>
      <c r="S24" s="88"/>
      <c r="T24" s="89"/>
      <c r="U24" s="89"/>
      <c r="V24" s="89"/>
      <c r="W24" s="90"/>
      <c r="X24" s="52" t="str">
        <f t="shared" si="4"/>
        <v/>
      </c>
      <c r="Y24" s="48" t="str">
        <f t="shared" si="5"/>
        <v/>
      </c>
      <c r="Z24" s="1"/>
      <c r="AA24" s="27" t="str">
        <f t="shared" ref="AA24:AA27" si="16">_xlfn.IFS(C24&lt;-255,"-270 &lt; -255", C24&lt;-195,"-255 &lt; -195", C24&lt;-115, "-195 &lt; -115", C24&lt;-55, "-115 &lt; -55", C24&lt;1000, "-55 &lt; 1000",TRUE, "1000 - 1372")</f>
        <v>-115 &lt; -55</v>
      </c>
      <c r="AB24" s="74">
        <v>0</v>
      </c>
      <c r="AC24" s="124">
        <f t="shared" ref="AC24:AC27" si="17">_xlfn.IFS(C24&lt;-255, 2.2, C24&lt;-195, 0.7, C24&lt;-115, 0.12, C24&lt;-55, 0.09, C24&lt;1000, 0.07, TRUE,0.08)</f>
        <v>0.09</v>
      </c>
      <c r="AD24" s="74">
        <v>0.01</v>
      </c>
      <c r="AE24" s="25">
        <f t="shared" si="8"/>
        <v>0.09</v>
      </c>
      <c r="AF24" s="25">
        <f t="shared" si="9"/>
        <v>4.5919211123218867E-2</v>
      </c>
      <c r="AG24" s="25">
        <f t="shared" si="11"/>
        <v>0.10863223493688076</v>
      </c>
      <c r="AH24" s="19">
        <f>ROUND(J24/AG24,2)</f>
        <v>9.2100000000000009</v>
      </c>
      <c r="AI24" s="19">
        <f t="shared" si="10"/>
        <v>1</v>
      </c>
      <c r="AJ24" s="1"/>
    </row>
    <row r="25" spans="1:36" customFormat="1" ht="18.75" customHeight="1">
      <c r="A25" s="132"/>
      <c r="B25" s="157"/>
      <c r="C25" s="9">
        <v>0</v>
      </c>
      <c r="D25" s="84" t="str">
        <f t="shared" si="0"/>
        <v/>
      </c>
      <c r="E25" s="10" t="str">
        <f>IF(D25=""," ",IF(ISNUMBER(SEARCH("34",$D$4)),ROUND((D25-C25),1),ROUND((D25-C25),2)))</f>
        <v xml:space="preserve"> </v>
      </c>
      <c r="F25" s="10">
        <f t="shared" si="1"/>
        <v>1</v>
      </c>
      <c r="G25" s="6" t="str">
        <f>IFERROR(IF(ABS(E25)&gt;F25, "Fail", "Pass"), " ")</f>
        <v xml:space="preserve"> </v>
      </c>
      <c r="H25" s="10" t="str">
        <f t="shared" si="2"/>
        <v>10.9:1</v>
      </c>
      <c r="I25" s="1"/>
      <c r="J25" s="26">
        <f t="shared" si="15"/>
        <v>1</v>
      </c>
      <c r="K25" s="1"/>
      <c r="L25" s="68">
        <f>ROUND(IF(ISNUMBER(SEARCH("DAQ",$D$4)),1.7,1.5),1)</f>
        <v>1.5</v>
      </c>
      <c r="M25" s="68">
        <f>ROUND(IF(ISNUMBER(SEARCH("DAQ",$D$4)),0.9,1),1)</f>
        <v>1</v>
      </c>
      <c r="N25" s="79"/>
      <c r="O25" s="68">
        <v>1</v>
      </c>
      <c r="P25" s="68">
        <f>ROUND(IF(ISNUMBER(SEARCH("DAQ",$D$4)),0.9,1),1)</f>
        <v>1</v>
      </c>
      <c r="Q25" s="1"/>
      <c r="R25" s="9">
        <f>C25</f>
        <v>0</v>
      </c>
      <c r="S25" s="88"/>
      <c r="T25" s="89"/>
      <c r="U25" s="89"/>
      <c r="V25" s="89"/>
      <c r="W25" s="90"/>
      <c r="X25" s="52" t="str">
        <f t="shared" si="4"/>
        <v/>
      </c>
      <c r="Y25" s="48" t="str">
        <f t="shared" si="5"/>
        <v/>
      </c>
      <c r="Z25" s="1"/>
      <c r="AA25" s="27" t="str">
        <f t="shared" si="16"/>
        <v>-55 &lt; 1000</v>
      </c>
      <c r="AB25" s="74">
        <v>0</v>
      </c>
      <c r="AC25" s="124">
        <f t="shared" si="17"/>
        <v>7.0000000000000007E-2</v>
      </c>
      <c r="AD25" s="74">
        <v>0.01</v>
      </c>
      <c r="AE25" s="25">
        <f t="shared" si="8"/>
        <v>7.0000000000000007E-2</v>
      </c>
      <c r="AF25" s="25">
        <f t="shared" si="9"/>
        <v>3.5714941984725787E-2</v>
      </c>
      <c r="AG25" s="25">
        <f t="shared" si="11"/>
        <v>9.2026599364292402E-2</v>
      </c>
      <c r="AH25" s="19">
        <f>ROUND(J25/AG25,2)</f>
        <v>10.87</v>
      </c>
      <c r="AI25" s="19">
        <f t="shared" si="10"/>
        <v>1</v>
      </c>
      <c r="AJ25" s="1"/>
    </row>
    <row r="26" spans="1:36" customFormat="1" ht="18.75" customHeight="1">
      <c r="A26" s="132"/>
      <c r="B26" s="157"/>
      <c r="C26" s="9">
        <v>200</v>
      </c>
      <c r="D26" s="84" t="str">
        <f t="shared" si="0"/>
        <v/>
      </c>
      <c r="E26" s="10" t="str">
        <f>IF(D26=""," ",IF(ISNUMBER(SEARCH("34",$D$4)),ROUND((D26-C26),1),ROUND((D26-C26),2)))</f>
        <v xml:space="preserve"> </v>
      </c>
      <c r="F26" s="10">
        <f t="shared" si="1"/>
        <v>1</v>
      </c>
      <c r="G26" s="6" t="str">
        <f>IFERROR(IF(ABS(E26)&gt;F26, "Fail", "Pass"), " ")</f>
        <v xml:space="preserve"> </v>
      </c>
      <c r="H26" s="10" t="str">
        <f t="shared" si="2"/>
        <v>10.9:1</v>
      </c>
      <c r="I26" s="1"/>
      <c r="J26" s="26">
        <f t="shared" si="15"/>
        <v>1</v>
      </c>
      <c r="K26" s="1"/>
      <c r="L26" s="1"/>
      <c r="M26" s="1"/>
      <c r="N26" s="8"/>
      <c r="O26" s="1"/>
      <c r="P26" s="1"/>
      <c r="Q26" s="1"/>
      <c r="R26" s="9">
        <f>C26</f>
        <v>200</v>
      </c>
      <c r="S26" s="88"/>
      <c r="T26" s="89"/>
      <c r="U26" s="89"/>
      <c r="V26" s="89"/>
      <c r="W26" s="90"/>
      <c r="X26" s="52" t="str">
        <f t="shared" si="4"/>
        <v/>
      </c>
      <c r="Y26" s="48" t="str">
        <f t="shared" si="5"/>
        <v/>
      </c>
      <c r="Z26" s="1"/>
      <c r="AA26" s="27" t="str">
        <f t="shared" si="16"/>
        <v>-55 &lt; 1000</v>
      </c>
      <c r="AB26" s="74">
        <v>0</v>
      </c>
      <c r="AC26" s="124">
        <f t="shared" si="17"/>
        <v>7.0000000000000007E-2</v>
      </c>
      <c r="AD26" s="74">
        <v>0.01</v>
      </c>
      <c r="AE26" s="25">
        <f t="shared" si="8"/>
        <v>7.0000000000000007E-2</v>
      </c>
      <c r="AF26" s="25">
        <f t="shared" si="9"/>
        <v>3.5714941984725787E-2</v>
      </c>
      <c r="AG26" s="25">
        <f t="shared" si="11"/>
        <v>9.2026599364292402E-2</v>
      </c>
      <c r="AH26" s="19">
        <f>ROUND(J26/AG26,2)</f>
        <v>10.87</v>
      </c>
      <c r="AI26" s="19">
        <f t="shared" si="10"/>
        <v>1</v>
      </c>
      <c r="AJ26" s="1"/>
    </row>
    <row r="27" spans="1:36" customFormat="1" ht="18.75" customHeight="1">
      <c r="A27" s="133"/>
      <c r="B27" s="157"/>
      <c r="C27" s="13">
        <v>1200</v>
      </c>
      <c r="D27" s="84" t="str">
        <f t="shared" si="0"/>
        <v/>
      </c>
      <c r="E27" s="10" t="str">
        <f>IF(D27=""," ",IF(ISNUMBER(SEARCH("34",$D$4)),ROUND((D27-C27),1),ROUND((D27-C27),2)))</f>
        <v xml:space="preserve"> </v>
      </c>
      <c r="F27" s="12">
        <f t="shared" si="1"/>
        <v>1</v>
      </c>
      <c r="G27" s="67" t="str">
        <f>IFERROR(IF(ABS(E27)&gt;F27, "Fail", "Pass"), " ")</f>
        <v xml:space="preserve"> </v>
      </c>
      <c r="H27" s="10" t="str">
        <f t="shared" si="2"/>
        <v>10:1</v>
      </c>
      <c r="I27" s="1"/>
      <c r="J27" s="26">
        <f t="shared" si="15"/>
        <v>1</v>
      </c>
      <c r="K27" s="1"/>
      <c r="L27" s="1"/>
      <c r="M27" s="1"/>
      <c r="N27" s="8"/>
      <c r="O27" s="1"/>
      <c r="P27" s="1"/>
      <c r="Q27" s="1"/>
      <c r="R27" s="13">
        <f>C27</f>
        <v>1200</v>
      </c>
      <c r="S27" s="91"/>
      <c r="T27" s="92"/>
      <c r="U27" s="92"/>
      <c r="V27" s="92"/>
      <c r="W27" s="93"/>
      <c r="X27" s="53" t="str">
        <f t="shared" si="4"/>
        <v/>
      </c>
      <c r="Y27" s="49" t="str">
        <f t="shared" si="5"/>
        <v/>
      </c>
      <c r="Z27" s="1"/>
      <c r="AA27" s="27" t="str">
        <f t="shared" si="16"/>
        <v>1000 - 1372</v>
      </c>
      <c r="AB27" s="74">
        <v>0</v>
      </c>
      <c r="AC27" s="124">
        <f t="shared" si="17"/>
        <v>0.08</v>
      </c>
      <c r="AD27" s="74">
        <v>0.01</v>
      </c>
      <c r="AE27" s="25">
        <f t="shared" si="8"/>
        <v>0.08</v>
      </c>
      <c r="AF27" s="25">
        <f t="shared" si="9"/>
        <v>4.0817076553972327E-2</v>
      </c>
      <c r="AG27" s="25">
        <f t="shared" si="11"/>
        <v>0.10015388969140449</v>
      </c>
      <c r="AH27" s="19">
        <f>ROUND(J27/AG27,2)</f>
        <v>9.98</v>
      </c>
      <c r="AI27" s="19">
        <f t="shared" si="10"/>
        <v>1</v>
      </c>
      <c r="AJ27" s="1"/>
    </row>
    <row r="28" spans="1:36" customFormat="1" ht="7.5" customHeight="1">
      <c r="A28" s="33"/>
      <c r="B28" s="121"/>
      <c r="C28" s="117"/>
      <c r="D28" s="32"/>
      <c r="E28" s="32"/>
      <c r="F28" s="32"/>
      <c r="G28" s="69"/>
      <c r="H28" s="32"/>
      <c r="I28" s="1"/>
      <c r="J28" s="32"/>
      <c r="K28" s="1"/>
      <c r="L28" s="1"/>
      <c r="M28" s="1"/>
      <c r="N28" s="8"/>
      <c r="O28" s="1"/>
      <c r="P28" s="1"/>
      <c r="Q28" s="1"/>
      <c r="R28" s="117"/>
      <c r="S28" s="40"/>
      <c r="T28" s="41"/>
      <c r="U28" s="41"/>
      <c r="V28" s="41"/>
      <c r="W28" s="41"/>
      <c r="X28" s="35" t="str">
        <f t="shared" si="4"/>
        <v/>
      </c>
      <c r="Y28" s="35" t="str">
        <f t="shared" si="5"/>
        <v/>
      </c>
      <c r="Z28" s="1"/>
      <c r="AA28" s="38"/>
      <c r="AB28" s="38"/>
      <c r="AC28" s="38"/>
      <c r="AD28" s="38"/>
      <c r="AE28" s="38"/>
      <c r="AF28" s="36"/>
      <c r="AG28" s="36"/>
      <c r="AH28" s="38"/>
      <c r="AI28" s="38"/>
      <c r="AJ28" s="1"/>
    </row>
    <row r="29" spans="1:36" customFormat="1" ht="18.75" customHeight="1">
      <c r="A29" s="131" t="s">
        <v>83</v>
      </c>
      <c r="B29" s="156" t="str">
        <f>IF(ISNUMBER(SEARCH("DAQ",$D$4)),"-200°C to 400°C","-190°C to 395°C")</f>
        <v>-190°C to 395°C</v>
      </c>
      <c r="C29" s="118">
        <f>IF(ISNUMBER(SEARCH("DAQ",$D$4)),-200,-190)</f>
        <v>-190</v>
      </c>
      <c r="D29" s="84" t="str">
        <f t="shared" si="0"/>
        <v/>
      </c>
      <c r="E29" s="10" t="str">
        <f>IF(D29=""," ",IF(ISNUMBER(SEARCH("34",$D$4)),ROUND((D29-C29),1),ROUND((D29-C29),2)))</f>
        <v xml:space="preserve"> </v>
      </c>
      <c r="F29" s="128">
        <f t="shared" si="1"/>
        <v>1.5</v>
      </c>
      <c r="G29" s="66" t="str">
        <f>IFERROR(IF(ABS(E29)&gt;F29, "Fail", "Pass"), " ")</f>
        <v xml:space="preserve"> </v>
      </c>
      <c r="H29" s="10" t="str">
        <f t="shared" si="2"/>
        <v>7.8:1</v>
      </c>
      <c r="I29" s="1"/>
      <c r="J29" s="26">
        <f>IF($J$8="OEM",IF(C29&lt;-100,$L$31,$M$31),IF(C29&lt;-100,$O$31,$P$31))</f>
        <v>1.5</v>
      </c>
      <c r="K29" s="1"/>
      <c r="L29" s="158" t="s">
        <v>18</v>
      </c>
      <c r="M29" s="158"/>
      <c r="N29" s="80"/>
      <c r="O29" s="158" t="s">
        <v>65</v>
      </c>
      <c r="P29" s="158"/>
      <c r="Q29" s="1"/>
      <c r="R29" s="118">
        <f>C29</f>
        <v>-190</v>
      </c>
      <c r="S29" s="94"/>
      <c r="T29" s="95"/>
      <c r="U29" s="95"/>
      <c r="V29" s="95"/>
      <c r="W29" s="96"/>
      <c r="X29" s="51" t="str">
        <f t="shared" si="4"/>
        <v/>
      </c>
      <c r="Y29" s="47" t="str">
        <f t="shared" si="5"/>
        <v/>
      </c>
      <c r="Z29" s="1"/>
      <c r="AA29" s="27" t="str">
        <f>_xlfn.IFS(C29&lt;-255,"-270 &lt; -255", C29&lt;-240,"-255 &lt; -240", C29&lt;-210, "-240 &lt; -210", C29&lt;-150, "-210 &lt; -150", C29&lt;-40, "-150 &lt; -40", C29&lt;100, "-40 &lt; 100",TRUE, "100 - 400")</f>
        <v>-210 &lt; -150</v>
      </c>
      <c r="AB29" s="74">
        <v>0</v>
      </c>
      <c r="AC29" s="74">
        <f>_xlfn.IFS(C29&lt;-255, 1.8, C29&lt;-240, 0.49, C29&lt;-210, 0.3, C29&lt;-150, 0.18, C29&lt;-40, 0.12, C29&lt;100, 0.08,TRUE,0.07)</f>
        <v>0.18</v>
      </c>
      <c r="AD29" s="74">
        <v>0.01</v>
      </c>
      <c r="AE29" s="25">
        <f t="shared" si="8"/>
        <v>0.18</v>
      </c>
      <c r="AF29" s="25">
        <f t="shared" si="9"/>
        <v>9.1838422246437734E-2</v>
      </c>
      <c r="AG29" s="25">
        <f t="shared" si="11"/>
        <v>0.19262359634667459</v>
      </c>
      <c r="AH29" s="19">
        <f>ROUND(J29/AG29,2)</f>
        <v>7.79</v>
      </c>
      <c r="AI29" s="19">
        <f t="shared" si="10"/>
        <v>1</v>
      </c>
      <c r="AJ29" s="1"/>
    </row>
    <row r="30" spans="1:36" customFormat="1" ht="18.75" customHeight="1">
      <c r="A30" s="132"/>
      <c r="B30" s="157"/>
      <c r="C30" s="9">
        <v>-80</v>
      </c>
      <c r="D30" s="84" t="str">
        <f t="shared" si="0"/>
        <v/>
      </c>
      <c r="E30" s="10" t="str">
        <f>IF(D30=""," ",IF(ISNUMBER(SEARCH("34",$D$4)),ROUND((D30-C30),1),ROUND((D30-C30),2)))</f>
        <v xml:space="preserve"> </v>
      </c>
      <c r="F30" s="10">
        <f t="shared" si="1"/>
        <v>1</v>
      </c>
      <c r="G30" s="6" t="str">
        <f>IFERROR(IF(ABS(E30)&gt;F30, "Fail", "Pass"), " ")</f>
        <v xml:space="preserve"> </v>
      </c>
      <c r="H30" s="10" t="str">
        <f t="shared" si="2"/>
        <v>7.4:1</v>
      </c>
      <c r="I30" s="1"/>
      <c r="J30" s="26">
        <f t="shared" ref="J30:J33" si="18">IF($J$8="OEM",IF(C30&lt;-100,$L$31,$M$31),IF(C30&lt;-100,$O$31,$P$31))</f>
        <v>1</v>
      </c>
      <c r="K30" s="1"/>
      <c r="L30" s="33" t="s">
        <v>70</v>
      </c>
      <c r="M30" s="33" t="s">
        <v>72</v>
      </c>
      <c r="N30" s="81"/>
      <c r="O30" s="33" t="s">
        <v>70</v>
      </c>
      <c r="P30" s="33" t="s">
        <v>72</v>
      </c>
      <c r="Q30" s="1"/>
      <c r="R30" s="9">
        <f>C30</f>
        <v>-80</v>
      </c>
      <c r="S30" s="88"/>
      <c r="T30" s="89"/>
      <c r="U30" s="89"/>
      <c r="V30" s="89"/>
      <c r="W30" s="90"/>
      <c r="X30" s="52" t="str">
        <f t="shared" si="4"/>
        <v/>
      </c>
      <c r="Y30" s="48" t="str">
        <f t="shared" si="5"/>
        <v/>
      </c>
      <c r="Z30" s="1"/>
      <c r="AA30" s="27" t="str">
        <f t="shared" ref="AA30:AA33" si="19">_xlfn.IFS(C30&lt;-255,"-270 &lt; -255", C30&lt;-240,"-255 &lt; -240", C30&lt;-210, "-240 &lt; -210", C30&lt;-150, "-210 &lt; -150", C30&lt;-40, "-150 &lt; -40", C30&lt;100, "-40 &lt; 100",TRUE, "100 - 400")</f>
        <v>-150 &lt; -40</v>
      </c>
      <c r="AB30" s="74">
        <v>0</v>
      </c>
      <c r="AC30" s="124">
        <f t="shared" ref="AC30:AC33" si="20">_xlfn.IFS(C30&lt;-255, 1.8, C30&lt;-240, 0.49, C30&lt;-210, 0.3, C30&lt;-150, 0.18, C30&lt;-40, 0.12, C30&lt;100, 0.08,TRUE,0.07)</f>
        <v>0.12</v>
      </c>
      <c r="AD30" s="74">
        <v>0.01</v>
      </c>
      <c r="AE30" s="25">
        <f t="shared" si="8"/>
        <v>0.12</v>
      </c>
      <c r="AF30" s="25">
        <f t="shared" si="9"/>
        <v>6.1225614830958487E-2</v>
      </c>
      <c r="AG30" s="25">
        <f t="shared" si="11"/>
        <v>0.13550265795320104</v>
      </c>
      <c r="AH30" s="19">
        <f>ROUND(J30/AG30,2)</f>
        <v>7.38</v>
      </c>
      <c r="AI30" s="19">
        <f t="shared" si="10"/>
        <v>1</v>
      </c>
      <c r="AJ30" s="1"/>
    </row>
    <row r="31" spans="1:36" customFormat="1" ht="18.75" customHeight="1">
      <c r="A31" s="132"/>
      <c r="B31" s="157"/>
      <c r="C31" s="9">
        <v>0</v>
      </c>
      <c r="D31" s="84" t="str">
        <f t="shared" si="0"/>
        <v/>
      </c>
      <c r="E31" s="10" t="str">
        <f>IF(D31=""," ",IF(ISNUMBER(SEARCH("34",$D$4)),ROUND((D31-C31),1),ROUND((D31-C31),2)))</f>
        <v xml:space="preserve"> </v>
      </c>
      <c r="F31" s="10">
        <f t="shared" si="1"/>
        <v>1</v>
      </c>
      <c r="G31" s="6" t="str">
        <f>IFERROR(IF(ABS(E31)&gt;F31, "Fail", "Pass"), " ")</f>
        <v xml:space="preserve"> </v>
      </c>
      <c r="H31" s="10" t="str">
        <f t="shared" si="2"/>
        <v>10:1</v>
      </c>
      <c r="I31" s="1"/>
      <c r="J31" s="26">
        <f t="shared" si="18"/>
        <v>1</v>
      </c>
      <c r="K31" s="1"/>
      <c r="L31" s="68">
        <f>ROUND(IF(ISNUMBER(SEARCH("DAQ",$D$4)),1.7,1.5),1)</f>
        <v>1.5</v>
      </c>
      <c r="M31" s="68">
        <f>ROUND(IF(ISNUMBER(SEARCH("DAQ",$D$4)),0.9,1),1)</f>
        <v>1</v>
      </c>
      <c r="N31" s="79"/>
      <c r="O31" s="68">
        <v>1</v>
      </c>
      <c r="P31" s="68">
        <f>ROUND(IF(ISNUMBER(SEARCH("DAQ",$D$4)),0.9,1),1)</f>
        <v>1</v>
      </c>
      <c r="Q31" s="1"/>
      <c r="R31" s="9">
        <f>C31</f>
        <v>0</v>
      </c>
      <c r="S31" s="88"/>
      <c r="T31" s="89"/>
      <c r="U31" s="89"/>
      <c r="V31" s="89"/>
      <c r="W31" s="90"/>
      <c r="X31" s="52" t="str">
        <f t="shared" si="4"/>
        <v/>
      </c>
      <c r="Y31" s="48" t="str">
        <f t="shared" si="5"/>
        <v/>
      </c>
      <c r="Z31" s="1"/>
      <c r="AA31" s="27" t="str">
        <f t="shared" si="19"/>
        <v>-40 &lt; 100</v>
      </c>
      <c r="AB31" s="74">
        <v>0</v>
      </c>
      <c r="AC31" s="124">
        <f t="shared" si="20"/>
        <v>0.08</v>
      </c>
      <c r="AD31" s="74">
        <v>0.01</v>
      </c>
      <c r="AE31" s="25">
        <f t="shared" si="8"/>
        <v>0.08</v>
      </c>
      <c r="AF31" s="25">
        <f t="shared" si="9"/>
        <v>4.0817076553972327E-2</v>
      </c>
      <c r="AG31" s="25">
        <f t="shared" si="11"/>
        <v>0.10015388969140449</v>
      </c>
      <c r="AH31" s="19">
        <f>ROUND(J31/AG31,2)</f>
        <v>9.98</v>
      </c>
      <c r="AI31" s="19">
        <f t="shared" si="10"/>
        <v>1</v>
      </c>
      <c r="AJ31" s="1"/>
    </row>
    <row r="32" spans="1:36" customFormat="1" ht="18.75" customHeight="1">
      <c r="A32" s="132"/>
      <c r="B32" s="157"/>
      <c r="C32" s="9">
        <v>100</v>
      </c>
      <c r="D32" s="84" t="str">
        <f t="shared" si="0"/>
        <v/>
      </c>
      <c r="E32" s="10" t="str">
        <f>IF(D32=""," ",IF(ISNUMBER(SEARCH("34",$D$4)),ROUND((D32-C32),1),ROUND((D32-C32),2)))</f>
        <v xml:space="preserve"> </v>
      </c>
      <c r="F32" s="10">
        <f t="shared" si="1"/>
        <v>1</v>
      </c>
      <c r="G32" s="6" t="str">
        <f>IFERROR(IF(ABS(E32)&gt;F32, "Fail", "Pass"), " ")</f>
        <v xml:space="preserve"> </v>
      </c>
      <c r="H32" s="10" t="str">
        <f t="shared" si="2"/>
        <v>10.9:1</v>
      </c>
      <c r="I32" s="1"/>
      <c r="J32" s="26">
        <f t="shared" si="18"/>
        <v>1</v>
      </c>
      <c r="K32" s="1"/>
      <c r="L32" s="1"/>
      <c r="M32" s="1"/>
      <c r="N32" s="1"/>
      <c r="O32" s="1"/>
      <c r="P32" s="1"/>
      <c r="Q32" s="1"/>
      <c r="R32" s="9">
        <f>C32</f>
        <v>100</v>
      </c>
      <c r="S32" s="88"/>
      <c r="T32" s="89"/>
      <c r="U32" s="89"/>
      <c r="V32" s="89"/>
      <c r="W32" s="90"/>
      <c r="X32" s="52" t="str">
        <f t="shared" si="4"/>
        <v/>
      </c>
      <c r="Y32" s="48" t="str">
        <f t="shared" si="5"/>
        <v/>
      </c>
      <c r="Z32" s="1"/>
      <c r="AA32" s="27" t="str">
        <f t="shared" si="19"/>
        <v>100 - 400</v>
      </c>
      <c r="AB32" s="74">
        <v>0</v>
      </c>
      <c r="AC32" s="124">
        <f t="shared" si="20"/>
        <v>7.0000000000000007E-2</v>
      </c>
      <c r="AD32" s="74">
        <v>0.01</v>
      </c>
      <c r="AE32" s="25">
        <f t="shared" si="8"/>
        <v>7.0000000000000007E-2</v>
      </c>
      <c r="AF32" s="25">
        <f t="shared" si="9"/>
        <v>3.5714941984725787E-2</v>
      </c>
      <c r="AG32" s="25">
        <f t="shared" si="11"/>
        <v>9.2026599364292402E-2</v>
      </c>
      <c r="AH32" s="19">
        <f>ROUND(J32/AG32,2)</f>
        <v>10.87</v>
      </c>
      <c r="AI32" s="19">
        <f t="shared" si="10"/>
        <v>1</v>
      </c>
      <c r="AJ32" s="1"/>
    </row>
    <row r="33" spans="1:37" ht="18.75" customHeight="1">
      <c r="A33" s="133"/>
      <c r="B33" s="157"/>
      <c r="C33" s="13">
        <f>IF(ISNUMBER(SEARCH("DAQ",$D$4)),400,395)</f>
        <v>395</v>
      </c>
      <c r="D33" s="84" t="str">
        <f t="shared" si="0"/>
        <v/>
      </c>
      <c r="E33" s="12" t="str">
        <f>IF(D33=""," ",IF(ISNUMBER(SEARCH("34",$D$4)),ROUND((D33-C33),1),ROUND((D33-C33),2)))</f>
        <v xml:space="preserve"> </v>
      </c>
      <c r="F33" s="12">
        <f t="shared" si="1"/>
        <v>1</v>
      </c>
      <c r="G33" s="67" t="str">
        <f>IFERROR(IF(ABS(E33)&gt;F33, "Fail", "Pass"), " ")</f>
        <v xml:space="preserve"> </v>
      </c>
      <c r="H33" s="10" t="str">
        <f t="shared" si="2"/>
        <v>10.9:1</v>
      </c>
      <c r="J33" s="26">
        <f t="shared" si="18"/>
        <v>1</v>
      </c>
      <c r="R33" s="13">
        <f>C33</f>
        <v>395</v>
      </c>
      <c r="S33" s="97"/>
      <c r="T33" s="98"/>
      <c r="U33" s="98"/>
      <c r="V33" s="98"/>
      <c r="W33" s="99"/>
      <c r="X33" s="54" t="str">
        <f t="shared" si="4"/>
        <v/>
      </c>
      <c r="Y33" s="50" t="str">
        <f t="shared" si="5"/>
        <v/>
      </c>
      <c r="AA33" s="27" t="str">
        <f t="shared" si="19"/>
        <v>100 - 400</v>
      </c>
      <c r="AB33" s="74">
        <v>0</v>
      </c>
      <c r="AC33" s="124">
        <f t="shared" si="20"/>
        <v>7.0000000000000007E-2</v>
      </c>
      <c r="AD33" s="74">
        <v>0.01</v>
      </c>
      <c r="AE33" s="25">
        <f t="shared" si="8"/>
        <v>7.0000000000000007E-2</v>
      </c>
      <c r="AF33" s="25">
        <f t="shared" si="9"/>
        <v>3.5714941984725787E-2</v>
      </c>
      <c r="AG33" s="25">
        <f t="shared" si="11"/>
        <v>9.2026599364292402E-2</v>
      </c>
      <c r="AH33" s="19">
        <f>ROUND(J33/AG33,2)</f>
        <v>10.87</v>
      </c>
      <c r="AI33" s="19">
        <f t="shared" si="10"/>
        <v>1</v>
      </c>
    </row>
    <row r="34" spans="1:37" ht="11.25" customHeight="1">
      <c r="A34" s="5"/>
      <c r="B34" s="22"/>
      <c r="C34" s="22"/>
      <c r="D34" s="22"/>
      <c r="E34" s="22"/>
      <c r="F34" s="127"/>
      <c r="G34" s="70"/>
      <c r="H34" s="23"/>
    </row>
    <row r="35" spans="1:37" ht="18.75" customHeight="1">
      <c r="A35" s="125" t="s">
        <v>35</v>
      </c>
      <c r="B35" s="137"/>
      <c r="C35" s="137"/>
      <c r="D35" s="137"/>
      <c r="E35" s="137"/>
      <c r="F35" s="137"/>
      <c r="G35" s="137"/>
      <c r="H35" s="21"/>
      <c r="L35" s="134" t="s">
        <v>52</v>
      </c>
      <c r="M35" s="134"/>
      <c r="N35" s="134"/>
      <c r="O35" s="134"/>
      <c r="P35" s="83"/>
    </row>
    <row r="36" spans="1:37" ht="18.75" customHeight="1">
      <c r="A36" s="20"/>
      <c r="B36" s="136" t="s">
        <v>77</v>
      </c>
      <c r="C36" s="136"/>
      <c r="D36" s="136"/>
      <c r="E36" s="136"/>
      <c r="F36" s="136"/>
      <c r="G36" s="136"/>
      <c r="H36" s="21"/>
      <c r="L36" s="77" t="s">
        <v>74</v>
      </c>
      <c r="M36" s="77" t="s">
        <v>1</v>
      </c>
      <c r="N36" s="135" t="s">
        <v>11</v>
      </c>
      <c r="O36" s="135"/>
      <c r="P36" s="83"/>
    </row>
    <row r="37" spans="1:37" ht="18.75" customHeight="1">
      <c r="A37" s="20"/>
      <c r="B37" s="136" t="s">
        <v>79</v>
      </c>
      <c r="C37" s="136"/>
      <c r="D37" s="136"/>
      <c r="E37" s="136"/>
      <c r="F37" s="136"/>
      <c r="G37" s="136"/>
      <c r="H37" s="21"/>
      <c r="L37" s="82"/>
      <c r="M37" s="78" t="s">
        <v>3</v>
      </c>
      <c r="N37" s="159" t="s">
        <v>4</v>
      </c>
      <c r="O37" s="159"/>
      <c r="P37" s="8"/>
    </row>
    <row r="38" spans="1:37" ht="18.75" customHeight="1">
      <c r="A38" s="5"/>
      <c r="B38" s="136" t="s">
        <v>76</v>
      </c>
      <c r="C38" s="136"/>
      <c r="D38" s="136"/>
      <c r="E38" s="136"/>
      <c r="F38" s="136"/>
      <c r="G38" s="136"/>
      <c r="H38" s="21"/>
      <c r="L38" s="82"/>
      <c r="M38" s="78" t="s">
        <v>5</v>
      </c>
      <c r="N38" s="159" t="str">
        <f>IF(ISNUMBER(SEARCH("DAQ",$D$4)),"DAQ970A",IF(ISNUMBER(SEARCH("921",$D$4)),"34980A","34970A"))</f>
        <v>34970A</v>
      </c>
      <c r="O38" s="159"/>
      <c r="P38" s="8"/>
    </row>
    <row r="39" spans="1:37" ht="18.75" customHeight="1">
      <c r="A39" s="14"/>
      <c r="B39" s="155" t="str">
        <f>IF(COUNTIF(F8,"Guardband"),"‡ Where TUR's are less than 4.6, the Manufacturers tolerance has been guardbanded resulting in a false accept rate of 0.6%","")</f>
        <v/>
      </c>
      <c r="C39" s="155"/>
      <c r="D39" s="155"/>
      <c r="E39" s="155"/>
      <c r="F39" s="155"/>
      <c r="G39" s="155"/>
      <c r="H39" s="15"/>
      <c r="L39" s="124"/>
      <c r="M39" s="124" t="s">
        <v>84</v>
      </c>
      <c r="N39" s="129" t="s">
        <v>85</v>
      </c>
      <c r="O39" s="130"/>
      <c r="AK39" s="1"/>
    </row>
    <row r="40" spans="1:37" ht="18.75" customHeight="1">
      <c r="A40" s="17"/>
      <c r="B40" s="65"/>
      <c r="C40" s="65"/>
      <c r="D40" s="65"/>
      <c r="E40" s="65"/>
      <c r="F40" s="65"/>
      <c r="G40" s="71"/>
      <c r="H40" s="65"/>
      <c r="AK40" s="1"/>
    </row>
    <row r="41" spans="1:37" ht="18.75" customHeight="1">
      <c r="A41" s="16"/>
      <c r="H41" s="6"/>
      <c r="AK41" s="1"/>
    </row>
    <row r="42" spans="1:37" ht="18.75" customHeight="1">
      <c r="H42" s="6"/>
      <c r="AK42" s="1"/>
    </row>
    <row r="43" spans="1:37" ht="18.75" customHeight="1">
      <c r="H43" s="6"/>
      <c r="AK43" s="1"/>
    </row>
    <row r="44" spans="1:37" ht="18.75" customHeight="1">
      <c r="H44" s="6"/>
      <c r="AK44" s="1"/>
    </row>
    <row r="45" spans="1:37" ht="18.75" customHeight="1">
      <c r="H45" s="6"/>
      <c r="AK45" s="1"/>
    </row>
    <row r="46" spans="1:37" ht="18.75" customHeight="1">
      <c r="AK46" s="1"/>
    </row>
    <row r="47" spans="1:37" ht="18.75" customHeight="1">
      <c r="AK47" s="1"/>
    </row>
    <row r="48" spans="1:37" ht="18.75" customHeight="1">
      <c r="AK48" s="1"/>
    </row>
    <row r="49" spans="8:37">
      <c r="AK49" s="1"/>
    </row>
    <row r="52" spans="8:37">
      <c r="H52" s="6"/>
      <c r="AK52" s="1"/>
    </row>
    <row r="53" spans="8:37">
      <c r="H53" s="6"/>
      <c r="AK53" s="1"/>
    </row>
    <row r="54" spans="8:37">
      <c r="H54" s="6"/>
      <c r="AK54" s="1"/>
    </row>
    <row r="55" spans="8:37">
      <c r="H55" s="6"/>
      <c r="AK55" s="1"/>
    </row>
    <row r="56" spans="8:37">
      <c r="H56" s="6"/>
      <c r="AK56" s="1"/>
    </row>
    <row r="57" spans="8:37">
      <c r="H57" s="6"/>
      <c r="AK57" s="1"/>
    </row>
    <row r="58" spans="8:37">
      <c r="H58" s="6"/>
      <c r="AK58" s="1"/>
    </row>
    <row r="59" spans="8:37">
      <c r="H59" s="6"/>
      <c r="AK59" s="1"/>
    </row>
    <row r="60" spans="8:37">
      <c r="H60" s="6"/>
      <c r="AK60" s="1"/>
    </row>
    <row r="61" spans="8:37">
      <c r="H61" s="6"/>
      <c r="AK61" s="1"/>
    </row>
    <row r="62" spans="8:37">
      <c r="H62" s="6"/>
      <c r="AK62" s="1"/>
    </row>
    <row r="63" spans="8:37">
      <c r="H63" s="6"/>
      <c r="AK63" s="1"/>
    </row>
    <row r="64" spans="8:37">
      <c r="H64" s="6"/>
      <c r="AK64" s="1"/>
    </row>
    <row r="65" spans="8:37">
      <c r="H65" s="6"/>
      <c r="AK65" s="1"/>
    </row>
    <row r="66" spans="8:37">
      <c r="H66" s="6"/>
      <c r="AK66" s="1"/>
    </row>
    <row r="67" spans="8:37">
      <c r="H67" s="6"/>
      <c r="AK67" s="1"/>
    </row>
    <row r="68" spans="8:37">
      <c r="H68" s="6"/>
      <c r="AK68" s="1"/>
    </row>
    <row r="69" spans="8:37">
      <c r="H69" s="6"/>
      <c r="AK69" s="1"/>
    </row>
    <row r="70" spans="8:37">
      <c r="H70" s="6"/>
      <c r="AK70" s="1"/>
    </row>
    <row r="71" spans="8:37">
      <c r="H71" s="6"/>
      <c r="AK71" s="1"/>
    </row>
    <row r="72" spans="8:37">
      <c r="H72" s="6"/>
      <c r="AK72" s="1"/>
    </row>
    <row r="73" spans="8:37">
      <c r="H73" s="6"/>
      <c r="AK73" s="1"/>
    </row>
    <row r="74" spans="8:37">
      <c r="H74" s="6"/>
      <c r="AK74" s="1"/>
    </row>
    <row r="75" spans="8:37">
      <c r="H75" s="6"/>
      <c r="AK75" s="1"/>
    </row>
    <row r="76" spans="8:37">
      <c r="H76" s="6"/>
      <c r="AK76" s="1"/>
    </row>
    <row r="77" spans="8:37">
      <c r="H77" s="6"/>
      <c r="AK77" s="1"/>
    </row>
    <row r="78" spans="8:37">
      <c r="H78" s="6"/>
      <c r="AK78" s="1"/>
    </row>
    <row r="79" spans="8:37">
      <c r="H79" s="6"/>
      <c r="AK79" s="1"/>
    </row>
    <row r="80" spans="8:37">
      <c r="H80" s="6"/>
      <c r="AK80" s="1"/>
    </row>
    <row r="81" spans="8:37">
      <c r="H81" s="6"/>
      <c r="AK81" s="1"/>
    </row>
    <row r="82" spans="8:37">
      <c r="H82" s="6"/>
      <c r="AK82" s="1"/>
    </row>
    <row r="83" spans="8:37">
      <c r="H83" s="6"/>
      <c r="AK83" s="1"/>
    </row>
    <row r="84" spans="8:37">
      <c r="H84" s="6"/>
      <c r="AK84" s="1"/>
    </row>
    <row r="85" spans="8:37">
      <c r="H85" s="6"/>
      <c r="AK85" s="1"/>
    </row>
    <row r="86" spans="8:37">
      <c r="H86" s="6"/>
      <c r="AK86" s="1"/>
    </row>
    <row r="87" spans="8:37">
      <c r="H87" s="6"/>
      <c r="AK87" s="1"/>
    </row>
    <row r="88" spans="8:37">
      <c r="H88" s="6"/>
      <c r="AK88" s="1"/>
    </row>
    <row r="89" spans="8:37">
      <c r="H89" s="6"/>
      <c r="AK89" s="1"/>
    </row>
    <row r="90" spans="8:37">
      <c r="H90" s="6"/>
      <c r="AK90" s="1"/>
    </row>
    <row r="91" spans="8:37">
      <c r="H91" s="6"/>
      <c r="AK91" s="1"/>
    </row>
    <row r="92" spans="8:37">
      <c r="H92" s="6"/>
      <c r="AK92" s="1"/>
    </row>
    <row r="93" spans="8:37">
      <c r="H93" s="6"/>
      <c r="AK93" s="1"/>
    </row>
    <row r="94" spans="8:37">
      <c r="H94" s="6"/>
      <c r="AK94" s="1"/>
    </row>
    <row r="95" spans="8:37">
      <c r="H95" s="6"/>
      <c r="AK95" s="1"/>
    </row>
    <row r="96" spans="8:37">
      <c r="H96" s="6"/>
      <c r="AK96" s="1"/>
    </row>
    <row r="97" spans="8:37">
      <c r="H97" s="6"/>
      <c r="AK97" s="1"/>
    </row>
    <row r="98" spans="8:37">
      <c r="H98" s="6"/>
      <c r="AK98" s="1"/>
    </row>
    <row r="99" spans="8:37">
      <c r="H99" s="6"/>
      <c r="AK99" s="1"/>
    </row>
    <row r="100" spans="8:37">
      <c r="H100" s="6"/>
      <c r="AK100" s="1"/>
    </row>
    <row r="101" spans="8:37">
      <c r="H101" s="6"/>
      <c r="AK101" s="1"/>
    </row>
    <row r="102" spans="8:37">
      <c r="H102" s="6"/>
      <c r="AK102" s="1"/>
    </row>
    <row r="103" spans="8:37">
      <c r="H103" s="6"/>
      <c r="AK103" s="1"/>
    </row>
    <row r="104" spans="8:37">
      <c r="H104" s="6"/>
      <c r="AK104" s="1"/>
    </row>
    <row r="105" spans="8:37">
      <c r="H105" s="6"/>
      <c r="AK105" s="1"/>
    </row>
    <row r="106" spans="8:37">
      <c r="H106" s="6"/>
      <c r="AK106" s="1"/>
    </row>
    <row r="107" spans="8:37">
      <c r="H107" s="6"/>
      <c r="AK107" s="1"/>
    </row>
    <row r="108" spans="8:37">
      <c r="H108" s="6"/>
      <c r="AK108" s="1"/>
    </row>
    <row r="109" spans="8:37">
      <c r="H109" s="6"/>
      <c r="AK109" s="1"/>
    </row>
    <row r="110" spans="8:37">
      <c r="H110" s="6"/>
      <c r="AK110" s="1"/>
    </row>
    <row r="111" spans="8:37">
      <c r="H111" s="6"/>
      <c r="AK111" s="1"/>
    </row>
    <row r="112" spans="8:37">
      <c r="H112" s="6"/>
      <c r="AK112" s="1"/>
    </row>
    <row r="113" spans="8:37">
      <c r="H113" s="6"/>
      <c r="AK113" s="1"/>
    </row>
    <row r="114" spans="8:37">
      <c r="H114" s="6"/>
      <c r="AK114" s="1"/>
    </row>
    <row r="115" spans="8:37">
      <c r="H115" s="6"/>
      <c r="AK115" s="1"/>
    </row>
    <row r="116" spans="8:37">
      <c r="H116" s="6"/>
      <c r="AK116" s="1"/>
    </row>
    <row r="117" spans="8:37">
      <c r="H117" s="6"/>
      <c r="AK117" s="1"/>
    </row>
    <row r="118" spans="8:37">
      <c r="H118" s="6"/>
      <c r="AK118" s="1"/>
    </row>
    <row r="119" spans="8:37">
      <c r="H119" s="6"/>
      <c r="AK119" s="1"/>
    </row>
    <row r="120" spans="8:37">
      <c r="H120" s="6"/>
      <c r="AK120" s="1"/>
    </row>
    <row r="121" spans="8:37">
      <c r="H121" s="6"/>
      <c r="AK121" s="1"/>
    </row>
    <row r="122" spans="8:37">
      <c r="H122" s="6"/>
      <c r="AK122" s="1"/>
    </row>
    <row r="123" spans="8:37">
      <c r="H123" s="6"/>
      <c r="AK123" s="1"/>
    </row>
    <row r="124" spans="8:37">
      <c r="H124" s="6"/>
      <c r="AK124" s="1"/>
    </row>
    <row r="125" spans="8:37">
      <c r="H125" s="6"/>
      <c r="AK125" s="1"/>
    </row>
    <row r="126" spans="8:37">
      <c r="H126" s="6"/>
      <c r="AK126" s="1"/>
    </row>
    <row r="127" spans="8:37">
      <c r="H127" s="6"/>
      <c r="AK127" s="1"/>
    </row>
    <row r="128" spans="8:37">
      <c r="H128" s="6"/>
      <c r="AK128" s="1"/>
    </row>
    <row r="129" spans="8:37">
      <c r="H129" s="6"/>
      <c r="AK129" s="1"/>
    </row>
    <row r="130" spans="8:37">
      <c r="H130" s="6"/>
      <c r="AK130" s="1"/>
    </row>
    <row r="131" spans="8:37">
      <c r="H131" s="6"/>
      <c r="AK131" s="1"/>
    </row>
    <row r="132" spans="8:37">
      <c r="H132" s="6"/>
      <c r="AK132" s="1"/>
    </row>
    <row r="133" spans="8:37">
      <c r="H133" s="6"/>
      <c r="AK133" s="1"/>
    </row>
    <row r="134" spans="8:37">
      <c r="H134" s="6"/>
      <c r="AK134" s="1"/>
    </row>
    <row r="135" spans="8:37">
      <c r="H135" s="6"/>
      <c r="AK135" s="1"/>
    </row>
    <row r="136" spans="8:37">
      <c r="H136" s="6"/>
      <c r="AK136" s="1"/>
    </row>
    <row r="137" spans="8:37">
      <c r="H137" s="6"/>
      <c r="AK137" s="1"/>
    </row>
    <row r="138" spans="8:37">
      <c r="H138" s="6"/>
      <c r="AK138" s="1"/>
    </row>
    <row r="139" spans="8:37">
      <c r="H139" s="6"/>
      <c r="AK139" s="1"/>
    </row>
    <row r="140" spans="8:37">
      <c r="H140" s="6"/>
      <c r="AK140" s="1"/>
    </row>
    <row r="141" spans="8:37">
      <c r="H141" s="6"/>
      <c r="AK141" s="1"/>
    </row>
    <row r="142" spans="8:37">
      <c r="H142" s="6"/>
      <c r="AK142" s="1"/>
    </row>
    <row r="143" spans="8:37">
      <c r="H143" s="6"/>
      <c r="AK143" s="1"/>
    </row>
    <row r="144" spans="8:37">
      <c r="H144" s="6"/>
      <c r="AK144" s="1"/>
    </row>
    <row r="145" spans="8:37">
      <c r="H145" s="6"/>
      <c r="AK145" s="1"/>
    </row>
    <row r="146" spans="8:37">
      <c r="H146" s="6"/>
      <c r="AK146" s="1"/>
    </row>
    <row r="147" spans="8:37">
      <c r="H147" s="6"/>
      <c r="AK147" s="1"/>
    </row>
    <row r="148" spans="8:37">
      <c r="H148" s="6"/>
      <c r="AK148" s="1"/>
    </row>
    <row r="149" spans="8:37">
      <c r="H149" s="6"/>
      <c r="AK149" s="1"/>
    </row>
    <row r="150" spans="8:37">
      <c r="H150" s="6"/>
      <c r="AK150" s="1"/>
    </row>
    <row r="151" spans="8:37">
      <c r="H151" s="6"/>
      <c r="AK151" s="1"/>
    </row>
    <row r="152" spans="8:37">
      <c r="H152" s="6"/>
      <c r="AK152" s="1"/>
    </row>
    <row r="153" spans="8:37">
      <c r="H153" s="6"/>
      <c r="AK153" s="1"/>
    </row>
    <row r="154" spans="8:37">
      <c r="H154" s="6"/>
      <c r="AK154" s="1"/>
    </row>
    <row r="155" spans="8:37">
      <c r="H155" s="6"/>
      <c r="AK155" s="1"/>
    </row>
    <row r="156" spans="8:37">
      <c r="H156" s="6"/>
      <c r="AK156" s="1"/>
    </row>
    <row r="157" spans="8:37">
      <c r="H157" s="6"/>
      <c r="AK157" s="1"/>
    </row>
    <row r="158" spans="8:37">
      <c r="H158" s="6"/>
      <c r="AK158" s="1"/>
    </row>
    <row r="159" spans="8:37">
      <c r="H159" s="6"/>
      <c r="AK159" s="1"/>
    </row>
    <row r="160" spans="8:37">
      <c r="H160" s="6"/>
      <c r="AK160" s="1"/>
    </row>
    <row r="161" spans="8:37">
      <c r="H161" s="6"/>
      <c r="AK161" s="1"/>
    </row>
    <row r="162" spans="8:37">
      <c r="H162" s="6"/>
      <c r="AK162" s="1"/>
    </row>
    <row r="163" spans="8:37">
      <c r="H163" s="6"/>
      <c r="AK163" s="1"/>
    </row>
    <row r="164" spans="8:37">
      <c r="H164" s="6"/>
      <c r="AK164" s="1"/>
    </row>
    <row r="165" spans="8:37">
      <c r="H165" s="6"/>
      <c r="AK165" s="1"/>
    </row>
    <row r="166" spans="8:37">
      <c r="H166" s="6"/>
      <c r="AK166" s="1"/>
    </row>
    <row r="167" spans="8:37">
      <c r="H167" s="6"/>
      <c r="AK167" s="1"/>
    </row>
    <row r="168" spans="8:37">
      <c r="H168" s="6"/>
      <c r="AK168" s="1"/>
    </row>
    <row r="169" spans="8:37">
      <c r="H169" s="6"/>
      <c r="AK169" s="1"/>
    </row>
    <row r="170" spans="8:37">
      <c r="H170" s="6"/>
      <c r="AK170" s="1"/>
    </row>
    <row r="171" spans="8:37">
      <c r="H171" s="6"/>
      <c r="AK171" s="1"/>
    </row>
    <row r="172" spans="8:37">
      <c r="H172" s="6"/>
      <c r="AK172" s="1"/>
    </row>
    <row r="173" spans="8:37">
      <c r="H173" s="6"/>
      <c r="AK173" s="1"/>
    </row>
    <row r="174" spans="8:37">
      <c r="H174" s="6"/>
      <c r="AK174" s="1"/>
    </row>
    <row r="175" spans="8:37">
      <c r="H175" s="6"/>
      <c r="AK175" s="1"/>
    </row>
    <row r="176" spans="8:37">
      <c r="H176" s="6"/>
      <c r="AK176" s="1"/>
    </row>
    <row r="177" spans="8:37">
      <c r="H177" s="6"/>
      <c r="AK177" s="1"/>
    </row>
    <row r="178" spans="8:37">
      <c r="H178" s="6"/>
      <c r="AK178" s="1"/>
    </row>
    <row r="179" spans="8:37">
      <c r="H179" s="6"/>
      <c r="AK179" s="1"/>
    </row>
    <row r="180" spans="8:37">
      <c r="H180" s="6"/>
      <c r="AK180" s="1"/>
    </row>
    <row r="181" spans="8:37">
      <c r="H181" s="6"/>
      <c r="AK181" s="1"/>
    </row>
    <row r="182" spans="8:37">
      <c r="H182" s="6"/>
      <c r="AK182" s="1"/>
    </row>
    <row r="183" spans="8:37">
      <c r="H183" s="6"/>
      <c r="AK183" s="1"/>
    </row>
    <row r="184" spans="8:37">
      <c r="H184" s="6"/>
      <c r="AK184" s="1"/>
    </row>
    <row r="185" spans="8:37">
      <c r="H185" s="6"/>
      <c r="AK185" s="1"/>
    </row>
    <row r="186" spans="8:37">
      <c r="H186" s="6"/>
      <c r="AK186" s="1"/>
    </row>
    <row r="187" spans="8:37">
      <c r="H187" s="6"/>
      <c r="AK187" s="1"/>
    </row>
    <row r="188" spans="8:37">
      <c r="H188" s="6"/>
      <c r="AK188" s="1"/>
    </row>
    <row r="189" spans="8:37">
      <c r="H189" s="6"/>
      <c r="AK189" s="1"/>
    </row>
    <row r="190" spans="8:37">
      <c r="H190" s="6"/>
      <c r="AK190" s="1"/>
    </row>
    <row r="191" spans="8:37">
      <c r="H191" s="6"/>
      <c r="AK191" s="1"/>
    </row>
    <row r="192" spans="8:37">
      <c r="H192" s="6"/>
      <c r="AK192" s="1"/>
    </row>
    <row r="193" spans="8:37">
      <c r="H193" s="6"/>
      <c r="AK193" s="1"/>
    </row>
    <row r="194" spans="8:37">
      <c r="H194" s="6"/>
      <c r="AK194" s="1"/>
    </row>
    <row r="195" spans="8:37">
      <c r="H195" s="6"/>
      <c r="AK195" s="1"/>
    </row>
    <row r="196" spans="8:37">
      <c r="H196" s="6"/>
      <c r="AK196" s="1"/>
    </row>
    <row r="197" spans="8:37">
      <c r="H197" s="6"/>
      <c r="AK197" s="1"/>
    </row>
    <row r="198" spans="8:37">
      <c r="H198" s="6"/>
      <c r="AK198" s="1"/>
    </row>
    <row r="199" spans="8:37">
      <c r="H199" s="6"/>
      <c r="AK199" s="1"/>
    </row>
    <row r="200" spans="8:37">
      <c r="H200" s="6"/>
      <c r="AK200" s="1"/>
    </row>
    <row r="201" spans="8:37">
      <c r="H201" s="6"/>
      <c r="AK201" s="1"/>
    </row>
    <row r="202" spans="8:37">
      <c r="H202" s="6"/>
      <c r="AK202" s="1"/>
    </row>
    <row r="203" spans="8:37">
      <c r="H203" s="6"/>
      <c r="AK203" s="1"/>
    </row>
    <row r="204" spans="8:37">
      <c r="H204" s="6"/>
      <c r="AK204" s="1"/>
    </row>
    <row r="205" spans="8:37">
      <c r="H205" s="6"/>
      <c r="AK205" s="1"/>
    </row>
    <row r="206" spans="8:37">
      <c r="H206" s="6"/>
      <c r="AK206" s="1"/>
    </row>
    <row r="207" spans="8:37">
      <c r="H207" s="6"/>
      <c r="AK207" s="1"/>
    </row>
    <row r="208" spans="8:37">
      <c r="H208" s="6"/>
      <c r="AK208" s="1"/>
    </row>
    <row r="209" spans="8:37">
      <c r="H209" s="6"/>
      <c r="AK209" s="1"/>
    </row>
    <row r="210" spans="8:37">
      <c r="H210" s="6"/>
      <c r="AK210" s="1"/>
    </row>
    <row r="211" spans="8:37">
      <c r="H211" s="6"/>
      <c r="AK211" s="1"/>
    </row>
    <row r="212" spans="8:37">
      <c r="H212" s="6"/>
      <c r="AK212" s="1"/>
    </row>
    <row r="213" spans="8:37">
      <c r="H213" s="6"/>
      <c r="AK213" s="1"/>
    </row>
    <row r="214" spans="8:37">
      <c r="H214" s="6"/>
      <c r="AK214" s="1"/>
    </row>
    <row r="215" spans="8:37">
      <c r="H215" s="6"/>
      <c r="AK215" s="1"/>
    </row>
    <row r="216" spans="8:37">
      <c r="H216" s="6"/>
      <c r="AK216" s="1"/>
    </row>
    <row r="217" spans="8:37">
      <c r="H217" s="6"/>
      <c r="AK217" s="1"/>
    </row>
    <row r="218" spans="8:37">
      <c r="H218" s="6"/>
      <c r="AK218" s="1"/>
    </row>
    <row r="219" spans="8:37">
      <c r="H219" s="6"/>
      <c r="AK219" s="1"/>
    </row>
    <row r="220" spans="8:37">
      <c r="H220" s="6"/>
      <c r="AK220" s="1"/>
    </row>
    <row r="221" spans="8:37">
      <c r="H221" s="6"/>
      <c r="AK221" s="1"/>
    </row>
    <row r="222" spans="8:37">
      <c r="H222" s="6"/>
      <c r="AK222" s="1"/>
    </row>
    <row r="223" spans="8:37">
      <c r="H223" s="6"/>
      <c r="AK223" s="1"/>
    </row>
    <row r="224" spans="8:37">
      <c r="H224" s="6"/>
      <c r="AK224" s="1"/>
    </row>
    <row r="225" spans="8:37">
      <c r="H225" s="6"/>
      <c r="AK225" s="1"/>
    </row>
    <row r="226" spans="8:37">
      <c r="H226" s="6"/>
      <c r="AK226" s="1"/>
    </row>
    <row r="227" spans="8:37">
      <c r="H227" s="6"/>
      <c r="AK227" s="1"/>
    </row>
    <row r="228" spans="8:37">
      <c r="H228" s="6"/>
      <c r="AK228" s="1"/>
    </row>
    <row r="229" spans="8:37">
      <c r="H229" s="6"/>
      <c r="AK229" s="1"/>
    </row>
    <row r="230" spans="8:37">
      <c r="H230" s="6"/>
      <c r="AK230" s="1"/>
    </row>
    <row r="231" spans="8:37">
      <c r="H231" s="6"/>
      <c r="AK231" s="1"/>
    </row>
    <row r="232" spans="8:37">
      <c r="H232" s="6"/>
      <c r="AK232" s="1"/>
    </row>
    <row r="233" spans="8:37">
      <c r="H233" s="6"/>
      <c r="AK233" s="1"/>
    </row>
    <row r="234" spans="8:37">
      <c r="H234" s="6"/>
      <c r="AK234" s="1"/>
    </row>
    <row r="235" spans="8:37">
      <c r="H235" s="6"/>
      <c r="AK235" s="1"/>
    </row>
    <row r="236" spans="8:37">
      <c r="H236" s="6"/>
      <c r="AK236" s="1"/>
    </row>
    <row r="237" spans="8:37">
      <c r="H237" s="6"/>
      <c r="AK237" s="1"/>
    </row>
    <row r="238" spans="8:37">
      <c r="H238" s="6"/>
      <c r="AK238" s="1"/>
    </row>
    <row r="239" spans="8:37">
      <c r="H239" s="6"/>
      <c r="AK239" s="1"/>
    </row>
    <row r="240" spans="8:37">
      <c r="H240" s="6"/>
      <c r="AK240" s="1"/>
    </row>
    <row r="241" spans="8:37">
      <c r="H241" s="6"/>
      <c r="AK241" s="1"/>
    </row>
    <row r="242" spans="8:37">
      <c r="H242" s="6"/>
      <c r="AK242" s="1"/>
    </row>
    <row r="243" spans="8:37">
      <c r="H243" s="6"/>
      <c r="AK243" s="1"/>
    </row>
    <row r="244" spans="8:37">
      <c r="H244" s="6"/>
      <c r="AK244" s="1"/>
    </row>
    <row r="245" spans="8:37">
      <c r="H245" s="6"/>
      <c r="AK245" s="1"/>
    </row>
    <row r="246" spans="8:37">
      <c r="H246" s="6"/>
      <c r="AK246" s="1"/>
    </row>
    <row r="247" spans="8:37">
      <c r="H247" s="6"/>
      <c r="AK247" s="1"/>
    </row>
    <row r="248" spans="8:37">
      <c r="H248" s="6"/>
      <c r="AK248" s="1"/>
    </row>
    <row r="249" spans="8:37">
      <c r="H249" s="6"/>
      <c r="AK249" s="1"/>
    </row>
    <row r="250" spans="8:37">
      <c r="H250" s="6"/>
      <c r="AK250" s="1"/>
    </row>
    <row r="251" spans="8:37">
      <c r="H251" s="6"/>
      <c r="AK251" s="1"/>
    </row>
    <row r="252" spans="8:37">
      <c r="H252" s="6"/>
      <c r="AK252" s="1"/>
    </row>
    <row r="253" spans="8:37">
      <c r="H253" s="6"/>
      <c r="AK253" s="1"/>
    </row>
    <row r="254" spans="8:37">
      <c r="H254" s="6"/>
      <c r="AK254" s="1"/>
    </row>
    <row r="255" spans="8:37">
      <c r="H255" s="6"/>
      <c r="AK255" s="1"/>
    </row>
    <row r="256" spans="8:37">
      <c r="H256" s="6"/>
      <c r="AK256" s="1"/>
    </row>
    <row r="257" spans="8:37">
      <c r="H257" s="6"/>
      <c r="AK257" s="1"/>
    </row>
    <row r="258" spans="8:37">
      <c r="H258" s="6"/>
      <c r="AK258" s="1"/>
    </row>
    <row r="259" spans="8:37">
      <c r="H259" s="6"/>
      <c r="AK259" s="1"/>
    </row>
    <row r="260" spans="8:37">
      <c r="H260" s="6"/>
      <c r="AK260" s="1"/>
    </row>
    <row r="261" spans="8:37">
      <c r="H261" s="6"/>
      <c r="AK261" s="1"/>
    </row>
    <row r="262" spans="8:37">
      <c r="H262" s="6"/>
      <c r="AK262" s="1"/>
    </row>
    <row r="263" spans="8:37">
      <c r="H263" s="6"/>
      <c r="AK263" s="1"/>
    </row>
    <row r="264" spans="8:37">
      <c r="H264" s="6"/>
      <c r="AK264" s="1"/>
    </row>
    <row r="265" spans="8:37">
      <c r="H265" s="6"/>
      <c r="AK265" s="1"/>
    </row>
    <row r="266" spans="8:37">
      <c r="H266" s="6"/>
      <c r="AK266" s="1"/>
    </row>
    <row r="267" spans="8:37">
      <c r="H267" s="6"/>
      <c r="AK267" s="1"/>
    </row>
    <row r="268" spans="8:37">
      <c r="H268" s="6"/>
      <c r="AK268" s="1"/>
    </row>
    <row r="269" spans="8:37">
      <c r="H269" s="6"/>
      <c r="AK269" s="1"/>
    </row>
    <row r="270" spans="8:37">
      <c r="H270" s="6"/>
      <c r="AK270" s="1"/>
    </row>
    <row r="271" spans="8:37">
      <c r="H271" s="6"/>
      <c r="AK271" s="1"/>
    </row>
    <row r="272" spans="8:37">
      <c r="H272" s="6"/>
      <c r="AK272" s="1"/>
    </row>
    <row r="273" spans="8:37">
      <c r="H273" s="6"/>
      <c r="AK273" s="1"/>
    </row>
    <row r="274" spans="8:37">
      <c r="H274" s="6"/>
      <c r="AK274" s="1"/>
    </row>
    <row r="275" spans="8:37">
      <c r="H275" s="6"/>
      <c r="AK275" s="1"/>
    </row>
    <row r="276" spans="8:37">
      <c r="H276" s="6"/>
      <c r="AK276" s="1"/>
    </row>
    <row r="277" spans="8:37">
      <c r="H277" s="6"/>
      <c r="AK277" s="1"/>
    </row>
    <row r="278" spans="8:37">
      <c r="H278" s="6"/>
      <c r="AK278" s="1"/>
    </row>
    <row r="279" spans="8:37">
      <c r="H279" s="6"/>
      <c r="AK279" s="1"/>
    </row>
    <row r="280" spans="8:37">
      <c r="H280" s="6"/>
      <c r="AK280" s="1"/>
    </row>
    <row r="281" spans="8:37">
      <c r="H281" s="6"/>
      <c r="AK281" s="1"/>
    </row>
    <row r="282" spans="8:37">
      <c r="H282" s="6"/>
      <c r="AK282" s="1"/>
    </row>
    <row r="283" spans="8:37">
      <c r="H283" s="6"/>
      <c r="AK283" s="1"/>
    </row>
    <row r="284" spans="8:37">
      <c r="H284" s="6"/>
      <c r="AK284" s="1"/>
    </row>
    <row r="285" spans="8:37">
      <c r="H285" s="6"/>
      <c r="AK285" s="1"/>
    </row>
    <row r="286" spans="8:37">
      <c r="H286" s="6"/>
      <c r="AK286" s="1"/>
    </row>
    <row r="287" spans="8:37">
      <c r="H287" s="6"/>
      <c r="AK287" s="1"/>
    </row>
    <row r="288" spans="8:37">
      <c r="H288" s="6"/>
      <c r="AK288" s="1"/>
    </row>
    <row r="289" spans="8:37">
      <c r="H289" s="6"/>
      <c r="AK289" s="1"/>
    </row>
    <row r="290" spans="8:37">
      <c r="H290" s="6"/>
      <c r="AK290" s="1"/>
    </row>
    <row r="291" spans="8:37">
      <c r="H291" s="6"/>
      <c r="AK291" s="1"/>
    </row>
    <row r="292" spans="8:37">
      <c r="H292" s="6"/>
      <c r="AK292" s="1"/>
    </row>
    <row r="293" spans="8:37">
      <c r="H293" s="6"/>
      <c r="AK293" s="1"/>
    </row>
    <row r="294" spans="8:37">
      <c r="H294" s="6"/>
      <c r="AK294" s="1"/>
    </row>
    <row r="295" spans="8:37">
      <c r="H295" s="6"/>
      <c r="AK295" s="1"/>
    </row>
    <row r="296" spans="8:37">
      <c r="H296" s="6"/>
      <c r="AK296" s="1"/>
    </row>
    <row r="297" spans="8:37">
      <c r="H297" s="6"/>
      <c r="AK297" s="1"/>
    </row>
    <row r="298" spans="8:37">
      <c r="H298" s="6"/>
      <c r="AK298" s="1"/>
    </row>
    <row r="299" spans="8:37">
      <c r="H299" s="6"/>
      <c r="AK299" s="1"/>
    </row>
    <row r="300" spans="8:37">
      <c r="H300" s="6"/>
      <c r="AK300" s="1"/>
    </row>
    <row r="301" spans="8:37">
      <c r="H301" s="6"/>
      <c r="AK301" s="1"/>
    </row>
    <row r="302" spans="8:37">
      <c r="H302" s="6"/>
      <c r="AK302" s="1"/>
    </row>
    <row r="303" spans="8:37">
      <c r="H303" s="6"/>
      <c r="AK303" s="1"/>
    </row>
    <row r="304" spans="8:37">
      <c r="H304" s="6"/>
      <c r="AK304" s="1"/>
    </row>
    <row r="305" spans="8:37">
      <c r="H305" s="6"/>
      <c r="AK305" s="1"/>
    </row>
    <row r="306" spans="8:37">
      <c r="H306" s="6"/>
      <c r="AK306" s="1"/>
    </row>
    <row r="307" spans="8:37">
      <c r="H307" s="6"/>
      <c r="AK307" s="1"/>
    </row>
    <row r="308" spans="8:37">
      <c r="H308" s="6"/>
      <c r="AK308" s="1"/>
    </row>
    <row r="309" spans="8:37">
      <c r="H309" s="6"/>
      <c r="AK309" s="1"/>
    </row>
    <row r="310" spans="8:37">
      <c r="H310" s="6"/>
      <c r="AK310" s="1"/>
    </row>
    <row r="311" spans="8:37">
      <c r="H311" s="6"/>
      <c r="AK311" s="1"/>
    </row>
    <row r="312" spans="8:37">
      <c r="H312" s="6"/>
      <c r="AK312" s="1"/>
    </row>
    <row r="313" spans="8:37">
      <c r="H313" s="6"/>
      <c r="AK313" s="1"/>
    </row>
    <row r="314" spans="8:37">
      <c r="H314" s="6"/>
      <c r="AK314" s="1"/>
    </row>
    <row r="315" spans="8:37">
      <c r="H315" s="6"/>
      <c r="AK315" s="1"/>
    </row>
    <row r="316" spans="8:37">
      <c r="H316" s="6"/>
      <c r="AK316" s="1"/>
    </row>
    <row r="317" spans="8:37">
      <c r="H317" s="6"/>
      <c r="AK317" s="1"/>
    </row>
    <row r="318" spans="8:37">
      <c r="H318" s="6"/>
      <c r="AK318" s="1"/>
    </row>
    <row r="319" spans="8:37">
      <c r="H319" s="6"/>
      <c r="AK319" s="1"/>
    </row>
    <row r="320" spans="8:37">
      <c r="H320" s="6"/>
      <c r="AK320" s="1"/>
    </row>
    <row r="321" spans="8:37">
      <c r="H321" s="6"/>
      <c r="AK321" s="1"/>
    </row>
    <row r="322" spans="8:37">
      <c r="H322" s="6"/>
      <c r="AK322" s="1"/>
    </row>
    <row r="323" spans="8:37">
      <c r="H323" s="6"/>
      <c r="AK323" s="1"/>
    </row>
    <row r="324" spans="8:37">
      <c r="H324" s="6"/>
      <c r="AK324" s="1"/>
    </row>
    <row r="325" spans="8:37">
      <c r="H325" s="6"/>
      <c r="AK325" s="1"/>
    </row>
    <row r="326" spans="8:37">
      <c r="H326" s="6"/>
      <c r="AK326" s="1"/>
    </row>
    <row r="327" spans="8:37">
      <c r="H327" s="6"/>
      <c r="AK327" s="1"/>
    </row>
    <row r="328" spans="8:37">
      <c r="H328" s="6"/>
      <c r="AK328" s="1"/>
    </row>
    <row r="329" spans="8:37">
      <c r="H329" s="6"/>
      <c r="AK329" s="1"/>
    </row>
    <row r="330" spans="8:37">
      <c r="H330" s="6"/>
      <c r="AK330" s="1"/>
    </row>
    <row r="331" spans="8:37">
      <c r="H331" s="6"/>
      <c r="AK331" s="1"/>
    </row>
    <row r="332" spans="8:37">
      <c r="H332" s="6"/>
      <c r="AK332" s="1"/>
    </row>
    <row r="333" spans="8:37">
      <c r="H333" s="6"/>
      <c r="AK333" s="1"/>
    </row>
    <row r="334" spans="8:37">
      <c r="H334" s="6"/>
      <c r="AK334" s="1"/>
    </row>
    <row r="335" spans="8:37">
      <c r="H335" s="6"/>
      <c r="AK335" s="1"/>
    </row>
    <row r="336" spans="8:37">
      <c r="H336" s="6"/>
      <c r="AK336" s="1"/>
    </row>
    <row r="337" spans="8:37">
      <c r="H337" s="6"/>
      <c r="AK337" s="1"/>
    </row>
    <row r="338" spans="8:37">
      <c r="H338" s="6"/>
      <c r="AK338" s="1"/>
    </row>
    <row r="339" spans="8:37">
      <c r="H339" s="6"/>
      <c r="AK339" s="1"/>
    </row>
    <row r="340" spans="8:37">
      <c r="H340" s="6"/>
      <c r="AK340" s="1"/>
    </row>
    <row r="341" spans="8:37">
      <c r="H341" s="6"/>
      <c r="AK341" s="1"/>
    </row>
    <row r="342" spans="8:37">
      <c r="H342" s="6"/>
      <c r="AK342" s="1"/>
    </row>
    <row r="343" spans="8:37">
      <c r="H343" s="6"/>
      <c r="AK343" s="1"/>
    </row>
    <row r="344" spans="8:37">
      <c r="H344" s="6"/>
      <c r="AK344" s="1"/>
    </row>
    <row r="345" spans="8:37">
      <c r="H345" s="6"/>
      <c r="AK345" s="1"/>
    </row>
    <row r="346" spans="8:37">
      <c r="H346" s="6"/>
      <c r="AK346" s="1"/>
    </row>
    <row r="347" spans="8:37">
      <c r="H347" s="6"/>
      <c r="AK347" s="1"/>
    </row>
    <row r="348" spans="8:37">
      <c r="H348" s="6"/>
      <c r="AK348" s="1"/>
    </row>
    <row r="349" spans="8:37">
      <c r="H349" s="6"/>
      <c r="AK349" s="1"/>
    </row>
    <row r="350" spans="8:37">
      <c r="H350" s="6"/>
      <c r="AK350" s="1"/>
    </row>
    <row r="351" spans="8:37">
      <c r="H351" s="6"/>
      <c r="AK351" s="1"/>
    </row>
    <row r="352" spans="8:37">
      <c r="H352" s="6"/>
      <c r="AK352" s="1"/>
    </row>
    <row r="353" spans="8:37">
      <c r="H353" s="6"/>
      <c r="AK353" s="1"/>
    </row>
    <row r="354" spans="8:37">
      <c r="H354" s="6"/>
      <c r="AK354" s="1"/>
    </row>
    <row r="355" spans="8:37">
      <c r="H355" s="6"/>
      <c r="AK355" s="1"/>
    </row>
    <row r="356" spans="8:37">
      <c r="H356" s="6"/>
      <c r="AK356" s="1"/>
    </row>
    <row r="357" spans="8:37">
      <c r="H357" s="6"/>
      <c r="AK357" s="1"/>
    </row>
    <row r="358" spans="8:37">
      <c r="H358" s="6"/>
      <c r="AK358" s="1"/>
    </row>
    <row r="359" spans="8:37">
      <c r="H359" s="6"/>
      <c r="AK359" s="1"/>
    </row>
    <row r="360" spans="8:37">
      <c r="H360" s="6"/>
      <c r="AK360" s="1"/>
    </row>
    <row r="361" spans="8:37">
      <c r="H361" s="6"/>
      <c r="AK361" s="1"/>
    </row>
    <row r="362" spans="8:37">
      <c r="H362" s="6"/>
      <c r="AK362" s="1"/>
    </row>
    <row r="363" spans="8:37">
      <c r="H363" s="6"/>
      <c r="AK363" s="1"/>
    </row>
    <row r="364" spans="8:37">
      <c r="H364" s="6"/>
      <c r="AK364" s="1"/>
    </row>
    <row r="365" spans="8:37">
      <c r="H365" s="6"/>
      <c r="AK365" s="1"/>
    </row>
    <row r="366" spans="8:37">
      <c r="H366" s="6"/>
      <c r="AK366" s="1"/>
    </row>
    <row r="367" spans="8:37">
      <c r="H367" s="6"/>
      <c r="AK367" s="1"/>
    </row>
    <row r="368" spans="8:37">
      <c r="H368" s="6"/>
      <c r="AK368" s="1"/>
    </row>
    <row r="369" spans="8:37">
      <c r="H369" s="6"/>
      <c r="AK369" s="1"/>
    </row>
    <row r="370" spans="8:37">
      <c r="H370" s="6"/>
      <c r="AK370" s="1"/>
    </row>
    <row r="371" spans="8:37">
      <c r="H371" s="6"/>
      <c r="AK371" s="1"/>
    </row>
  </sheetData>
  <dataConsolidate/>
  <mergeCells count="38">
    <mergeCell ref="A11:A15"/>
    <mergeCell ref="B11:B15"/>
    <mergeCell ref="L11:M11"/>
    <mergeCell ref="O11:P11"/>
    <mergeCell ref="A1:H2"/>
    <mergeCell ref="A7:D7"/>
    <mergeCell ref="E7:H7"/>
    <mergeCell ref="N37:O37"/>
    <mergeCell ref="N38:O38"/>
    <mergeCell ref="B29:B33"/>
    <mergeCell ref="L29:M29"/>
    <mergeCell ref="O29:P29"/>
    <mergeCell ref="B38:G38"/>
    <mergeCell ref="AF1:AG1"/>
    <mergeCell ref="AA5:AI6"/>
    <mergeCell ref="AF3:AF4"/>
    <mergeCell ref="AG3:AG4"/>
    <mergeCell ref="S8:Y9"/>
    <mergeCell ref="AA8:AD8"/>
    <mergeCell ref="AB9:AD9"/>
    <mergeCell ref="AA7:AD7"/>
    <mergeCell ref="AI3:AI4"/>
    <mergeCell ref="N39:O39"/>
    <mergeCell ref="A17:A21"/>
    <mergeCell ref="A23:A27"/>
    <mergeCell ref="A29:A33"/>
    <mergeCell ref="L35:O35"/>
    <mergeCell ref="N36:O36"/>
    <mergeCell ref="B37:G37"/>
    <mergeCell ref="B36:G36"/>
    <mergeCell ref="B35:G35"/>
    <mergeCell ref="B39:G39"/>
    <mergeCell ref="B17:B21"/>
    <mergeCell ref="L17:M17"/>
    <mergeCell ref="O17:P17"/>
    <mergeCell ref="B23:B27"/>
    <mergeCell ref="L23:M23"/>
    <mergeCell ref="O23:P23"/>
  </mergeCells>
  <conditionalFormatting sqref="G11:G33">
    <cfRule type="containsText" dxfId="7" priority="4" operator="containsText" text="Fail">
      <formula>NOT(ISERROR(SEARCH("Fail",G11)))</formula>
    </cfRule>
  </conditionalFormatting>
  <conditionalFormatting sqref="B6 D4">
    <cfRule type="beginsWith" dxfId="6" priority="3" operator="beginsWith" text="Select">
      <formula>LEFT(B4,LEN("Select"))="Select"</formula>
    </cfRule>
  </conditionalFormatting>
  <conditionalFormatting sqref="AH11:AH15 AH17:AH21 AH23:AH27 AH29:AH33">
    <cfRule type="cellIs" dxfId="5" priority="2" operator="lessThan">
      <formula>4.6</formula>
    </cfRule>
  </conditionalFormatting>
  <conditionalFormatting sqref="R11:X15 R17:X21 R23:X27 R29:X33 C11:F15 C17:F21 C23:F27 C29:F33">
    <cfRule type="expression" dxfId="4" priority="10">
      <formula>ISNUMBER(SEARCH("DAQ",$D$4))</formula>
    </cfRule>
  </conditionalFormatting>
  <dataValidations count="5">
    <dataValidation type="list" allowBlank="1" showInputMessage="1" showErrorMessage="1" sqref="J8" xr:uid="{8BCA79B0-A5CF-4360-A156-3CBD03776FC1}">
      <formula1>"OEM, Lab Assign"</formula1>
    </dataValidation>
    <dataValidation type="list" allowBlank="1" showInputMessage="1" showErrorMessage="1" sqref="E7:H7" xr:uid="{E35507DE-9498-4082-8AAC-161050BB7E5B}">
      <formula1>"AS RECEIVED / FINAL, AS RECEIVED, FINAL"</formula1>
    </dataValidation>
    <dataValidation type="list" allowBlank="1" showInputMessage="1" showErrorMessage="1" sqref="AF3" xr:uid="{DA21B66A-B749-4429-848E-FF0F5D4059C1}">
      <formula1>"0.95,0.99"</formula1>
    </dataValidation>
    <dataValidation type="list" allowBlank="1" showInputMessage="1" showErrorMessage="1" sqref="B6 D4" xr:uid="{4151CF47-FDF9-46F2-94EB-55E4EC26BAAC}">
      <formula1>"Select Model, 34901A, 34902A, 34908A, 34921A, DAQM900A, DAQM901A, DAQM902A"</formula1>
    </dataValidation>
    <dataValidation type="list" allowBlank="1" showInputMessage="1" showErrorMessage="1" sqref="AI3:AI4" xr:uid="{B78FDEB5-1FD9-4814-AB87-0BBE6963E482}">
      <formula1>"4, 4.6"</formula1>
    </dataValidation>
  </dataValidations>
  <printOptions horizontalCentered="1"/>
  <pageMargins left="0.25" right="0.25" top="0.75" bottom="0.75" header="0.3" footer="0.3"/>
  <pageSetup scale="69" orientation="portrait" horizontalDpi="4294967295" verticalDpi="4294967295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Datasheet</vt:lpstr>
      <vt:lpstr>Datasheet!Print_Area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 Andy (US 356F)</dc:creator>
  <cp:lastModifiedBy>Davis, Andy (US 356F)</cp:lastModifiedBy>
  <cp:lastPrinted>2020-06-03T18:36:10Z</cp:lastPrinted>
  <dcterms:created xsi:type="dcterms:W3CDTF">1997-07-16T16:00:24Z</dcterms:created>
  <dcterms:modified xsi:type="dcterms:W3CDTF">2022-09-13T21:24:19Z</dcterms:modified>
</cp:coreProperties>
</file>