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9"/>
  <workbookPr date1904="1" codeName="ThisWorkbook"/>
  <mc:AlternateContent xmlns:mc="http://schemas.openxmlformats.org/markup-compatibility/2006">
    <mc:Choice Requires="x15">
      <x15ac:absPath xmlns:x15ac="http://schemas.microsoft.com/office/spreadsheetml/2010/11/ac" url="C:\Users\andavis\Creative Cloud Files\DAQ modules Solution\DAQ modules\"/>
    </mc:Choice>
  </mc:AlternateContent>
  <xr:revisionPtr revIDLastSave="0" documentId="8_{CB9345A9-40AE-4BA6-A83F-35C7E16DBCC9}" xr6:coauthVersionLast="36" xr6:coauthVersionMax="36" xr10:uidLastSave="{00000000-0000-0000-0000-000000000000}"/>
  <bookViews>
    <workbookView xWindow="-15" yWindow="-15" windowWidth="7560" windowHeight="6480" tabRatio="789" xr2:uid="{00000000-000D-0000-FFFF-FFFF00000000}"/>
  </bookViews>
  <sheets>
    <sheet name="Datasheet" sheetId="14" r:id="rId1"/>
    <sheet name="Total TUR" sheetId="38" r:id="rId2"/>
    <sheet name="Type E (-200°C)" sheetId="15" r:id="rId3"/>
    <sheet name="Type E (-80°C)" sheetId="19" r:id="rId4"/>
    <sheet name="Type E (0°C)" sheetId="20" r:id="rId5"/>
    <sheet name="Type E (200°C)" sheetId="21" r:id="rId6"/>
    <sheet name="Type E (1000°C)" sheetId="22" r:id="rId7"/>
    <sheet name="Type J (-210°C)" sheetId="23" r:id="rId8"/>
    <sheet name="Type J (-80°C)" sheetId="24" r:id="rId9"/>
    <sheet name="Type J (0°C)" sheetId="25" r:id="rId10"/>
    <sheet name="Type J (200°C)" sheetId="26" r:id="rId11"/>
    <sheet name="Type J (1200°C)" sheetId="27" r:id="rId12"/>
    <sheet name="Type K (-195°C)" sheetId="28" r:id="rId13"/>
    <sheet name="Type K (-80°C)" sheetId="29" r:id="rId14"/>
    <sheet name="Type K (0°C)" sheetId="30" r:id="rId15"/>
    <sheet name="Type K (200°C)" sheetId="31" r:id="rId16"/>
    <sheet name="Type K (1200°C)" sheetId="32" r:id="rId17"/>
    <sheet name="Type T (-200°C)" sheetId="33" r:id="rId18"/>
    <sheet name="Type T (-80°C)" sheetId="34" r:id="rId19"/>
    <sheet name="Type T (0°C)" sheetId="35" r:id="rId20"/>
    <sheet name="Type T (100°C)" sheetId="36" r:id="rId21"/>
    <sheet name="Type T (400°C)" sheetId="37" r:id="rId22"/>
    <sheet name="STD Info" sheetId="17" r:id="rId23"/>
    <sheet name="UUT Info" sheetId="18" r:id="rId24"/>
  </sheets>
  <definedNames>
    <definedName name="_xlnm.Print_Area" localSheetId="0">Datasheet!$A$1:$J$43</definedName>
    <definedName name="_xlnm.Print_Area" localSheetId="22">'STD Info'!$A$1:$M$35</definedName>
    <definedName name="_xlnm.Print_Area" localSheetId="4">'Type E (0°C)'!$A$1:$AE$20</definedName>
    <definedName name="_xlnm.Print_Area" localSheetId="6">'Type E (1000°C)'!$A$1:$AE$20</definedName>
    <definedName name="_xlnm.Print_Area" localSheetId="5">'Type E (200°C)'!$A$1:$AE$20</definedName>
    <definedName name="_xlnm.Print_Area" localSheetId="2">'Type E (-200°C)'!$A$1:$AE$20</definedName>
    <definedName name="_xlnm.Print_Area" localSheetId="3">'Type E (-80°C)'!$A$1:$AE$20</definedName>
    <definedName name="_xlnm.Print_Area" localSheetId="9">'Type J (0°C)'!$A$1:$AE$20</definedName>
    <definedName name="_xlnm.Print_Area" localSheetId="11">'Type J (1200°C)'!$A$1:$AE$20</definedName>
    <definedName name="_xlnm.Print_Area" localSheetId="10">'Type J (200°C)'!$A$1:$AE$20</definedName>
    <definedName name="_xlnm.Print_Area" localSheetId="7">'Type J (-210°C)'!$A$1:$AE$20</definedName>
    <definedName name="_xlnm.Print_Area" localSheetId="8">'Type J (-80°C)'!$A$1:$AE$20</definedName>
    <definedName name="_xlnm.Print_Area" localSheetId="14">'Type K (0°C)'!$A$1:$AE$20</definedName>
    <definedName name="_xlnm.Print_Area" localSheetId="16">'Type K (1200°C)'!$A$1:$AE$20</definedName>
    <definedName name="_xlnm.Print_Area" localSheetId="12">'Type K (-195°C)'!$A$1:$AE$20</definedName>
    <definedName name="_xlnm.Print_Area" localSheetId="15">'Type K (200°C)'!$A$1:$AE$20</definedName>
    <definedName name="_xlnm.Print_Area" localSheetId="13">'Type K (-80°C)'!$A$1:$AE$20</definedName>
    <definedName name="_xlnm.Print_Area" localSheetId="19">'Type T (0°C)'!$A$1:$AE$20</definedName>
    <definedName name="_xlnm.Print_Area" localSheetId="20">'Type T (100°C)'!$A$1:$AE$20</definedName>
    <definedName name="_xlnm.Print_Area" localSheetId="17">'Type T (-200°C)'!$A$1:$AE$20</definedName>
    <definedName name="_xlnm.Print_Area" localSheetId="21">'Type T (400°C)'!$A$1:$AE$20</definedName>
    <definedName name="_xlnm.Print_Area" localSheetId="18">'Type T (-80°C)'!$A$1:$AE$20</definedName>
    <definedName name="_xlnm.Print_Area" localSheetId="23">'UUT Info'!$A$1:$L$26</definedName>
    <definedName name="tolerance" localSheetId="4">Datasheet!#REF!</definedName>
    <definedName name="tolerance" localSheetId="6">Datasheet!#REF!</definedName>
    <definedName name="tolerance" localSheetId="5">Datasheet!#REF!</definedName>
    <definedName name="tolerance" localSheetId="3">Datasheet!#REF!</definedName>
    <definedName name="tolerance" localSheetId="9">Datasheet!#REF!</definedName>
    <definedName name="tolerance" localSheetId="11">Datasheet!#REF!</definedName>
    <definedName name="tolerance" localSheetId="10">Datasheet!#REF!</definedName>
    <definedName name="tolerance" localSheetId="8">Datasheet!#REF!</definedName>
    <definedName name="tolerance" localSheetId="14">Datasheet!#REF!</definedName>
    <definedName name="tolerance" localSheetId="16">Datasheet!#REF!</definedName>
    <definedName name="tolerance" localSheetId="15">Datasheet!#REF!</definedName>
    <definedName name="tolerance" localSheetId="13">Datasheet!#REF!</definedName>
    <definedName name="tolerance" localSheetId="19">Datasheet!#REF!</definedName>
    <definedName name="tolerance" localSheetId="20">Datasheet!#REF!</definedName>
    <definedName name="tolerance" localSheetId="21">Datasheet!#REF!</definedName>
    <definedName name="tolerance" localSheetId="18">Datasheet!#REF!</definedName>
    <definedName name="tolerance">Datasheet!#REF!</definedName>
  </definedNames>
  <calcPr calcId="191029"/>
</workbook>
</file>

<file path=xl/calcChain.xml><?xml version="1.0" encoding="utf-8"?>
<calcChain xmlns="http://schemas.openxmlformats.org/spreadsheetml/2006/main">
  <c r="G11" i="19" l="1"/>
  <c r="G11" i="20"/>
  <c r="G11" i="21"/>
  <c r="G11" i="22"/>
  <c r="G11" i="23"/>
  <c r="G11" i="24"/>
  <c r="G11" i="25"/>
  <c r="G11" i="26"/>
  <c r="G11" i="27"/>
  <c r="G11" i="28"/>
  <c r="G11" i="29"/>
  <c r="G11" i="30"/>
  <c r="G11" i="31"/>
  <c r="G11" i="32"/>
  <c r="G11" i="33"/>
  <c r="G11" i="34"/>
  <c r="G11" i="35"/>
  <c r="G11" i="36"/>
  <c r="G11" i="37"/>
  <c r="G11" i="15"/>
  <c r="D39" i="14" l="1"/>
  <c r="D38" i="14"/>
  <c r="D37" i="14"/>
  <c r="D36" i="14"/>
  <c r="D35" i="14"/>
  <c r="D33" i="14"/>
  <c r="D32" i="14"/>
  <c r="D31" i="14"/>
  <c r="D30" i="14"/>
  <c r="D29" i="14"/>
  <c r="D27" i="14"/>
  <c r="D26" i="14"/>
  <c r="E7" i="15" l="1"/>
  <c r="E7" i="19"/>
  <c r="E7" i="20"/>
  <c r="E7" i="21"/>
  <c r="E7" i="22"/>
  <c r="E7" i="23"/>
  <c r="E7" i="24"/>
  <c r="E7" i="25"/>
  <c r="E7" i="26"/>
  <c r="E7" i="27"/>
  <c r="E7" i="28"/>
  <c r="E7" i="29"/>
  <c r="E7" i="30"/>
  <c r="E7" i="31"/>
  <c r="E7" i="32"/>
  <c r="E7" i="33"/>
  <c r="E7" i="34"/>
  <c r="E7" i="35"/>
  <c r="E7" i="36"/>
  <c r="E7" i="37"/>
  <c r="G16" i="38" l="1"/>
  <c r="G6" i="38"/>
  <c r="H36" i="14" l="1"/>
  <c r="H35" i="14"/>
  <c r="H30" i="14"/>
  <c r="H29" i="14"/>
  <c r="H23" i="14"/>
  <c r="H17" i="14"/>
  <c r="G36" i="14"/>
  <c r="G35" i="14"/>
  <c r="G30" i="14"/>
  <c r="G29" i="14"/>
  <c r="G23" i="14"/>
  <c r="G17" i="14"/>
  <c r="B10" i="38" l="1"/>
  <c r="B40" i="38"/>
  <c r="B38" i="38"/>
  <c r="B36" i="38"/>
  <c r="B32" i="38"/>
  <c r="B30" i="38"/>
  <c r="B28" i="38"/>
  <c r="B26" i="38"/>
  <c r="B20" i="38"/>
  <c r="B18" i="38"/>
  <c r="B16" i="38"/>
  <c r="B8" i="38"/>
  <c r="B6" i="38"/>
  <c r="O7" i="31" l="1"/>
  <c r="S7" i="31" s="1"/>
  <c r="O7" i="33"/>
  <c r="S7" i="33" s="1"/>
  <c r="E5" i="37"/>
  <c r="E5" i="36"/>
  <c r="B2" i="36"/>
  <c r="E5" i="35"/>
  <c r="O5" i="35" s="1"/>
  <c r="S5" i="35" s="1"/>
  <c r="E5" i="34"/>
  <c r="E5" i="33"/>
  <c r="AC13" i="37"/>
  <c r="AC15" i="37" s="1"/>
  <c r="E8" i="37" s="1"/>
  <c r="O8" i="37" s="1"/>
  <c r="S8" i="37" s="1"/>
  <c r="AC11" i="37"/>
  <c r="U8" i="37"/>
  <c r="M7" i="37"/>
  <c r="M6" i="37"/>
  <c r="E6" i="37"/>
  <c r="M5" i="37"/>
  <c r="AC13" i="36"/>
  <c r="AC15" i="36" s="1"/>
  <c r="E8" i="36" s="1"/>
  <c r="O8" i="36" s="1"/>
  <c r="S8" i="36" s="1"/>
  <c r="AC11" i="36"/>
  <c r="U8" i="36"/>
  <c r="O7" i="36"/>
  <c r="S7" i="36" s="1"/>
  <c r="M7" i="36"/>
  <c r="M6" i="36"/>
  <c r="E6" i="36"/>
  <c r="O6" i="36" s="1"/>
  <c r="S6" i="36" s="1"/>
  <c r="M5" i="36"/>
  <c r="AC13" i="35"/>
  <c r="AC15" i="35" s="1"/>
  <c r="E8" i="35" s="1"/>
  <c r="O8" i="35" s="1"/>
  <c r="S8" i="35" s="1"/>
  <c r="AC11" i="35"/>
  <c r="U8" i="35"/>
  <c r="M7" i="35"/>
  <c r="O7" i="35"/>
  <c r="S7" i="35" s="1"/>
  <c r="M6" i="35"/>
  <c r="E6" i="35"/>
  <c r="O6" i="35" s="1"/>
  <c r="S6" i="35" s="1"/>
  <c r="M5" i="35"/>
  <c r="AC13" i="34"/>
  <c r="AC15" i="34" s="1"/>
  <c r="E8" i="34" s="1"/>
  <c r="O8" i="34" s="1"/>
  <c r="S8" i="34" s="1"/>
  <c r="AC11" i="34"/>
  <c r="U8" i="34"/>
  <c r="M7" i="34"/>
  <c r="O7" i="34"/>
  <c r="S7" i="34" s="1"/>
  <c r="M6" i="34"/>
  <c r="E6" i="34"/>
  <c r="M5" i="34"/>
  <c r="AC13" i="33"/>
  <c r="AC15" i="33" s="1"/>
  <c r="E8" i="33" s="1"/>
  <c r="O8" i="33" s="1"/>
  <c r="S8" i="33" s="1"/>
  <c r="AC11" i="33"/>
  <c r="U8" i="33"/>
  <c r="M7" i="33"/>
  <c r="M6" i="33"/>
  <c r="E6" i="33"/>
  <c r="O6" i="33" s="1"/>
  <c r="S6" i="33" s="1"/>
  <c r="M5" i="33"/>
  <c r="O5" i="33" s="1"/>
  <c r="S5" i="33" s="1"/>
  <c r="E5" i="32"/>
  <c r="O5" i="32" s="1"/>
  <c r="S5" i="32" s="1"/>
  <c r="E5" i="31"/>
  <c r="B2" i="31"/>
  <c r="E5" i="30"/>
  <c r="E5" i="29"/>
  <c r="E5" i="28"/>
  <c r="AC13" i="32"/>
  <c r="AC15" i="32" s="1"/>
  <c r="E8" i="32" s="1"/>
  <c r="O8" i="32" s="1"/>
  <c r="S8" i="32" s="1"/>
  <c r="AC11" i="32"/>
  <c r="U8" i="32"/>
  <c r="M7" i="32"/>
  <c r="O7" i="32"/>
  <c r="S7" i="32" s="1"/>
  <c r="M6" i="32"/>
  <c r="E6" i="32"/>
  <c r="O6" i="32" s="1"/>
  <c r="S6" i="32" s="1"/>
  <c r="M5" i="32"/>
  <c r="AC13" i="31"/>
  <c r="AC15" i="31" s="1"/>
  <c r="E8" i="31" s="1"/>
  <c r="O8" i="31" s="1"/>
  <c r="S8" i="31" s="1"/>
  <c r="AC11" i="31"/>
  <c r="U8" i="31"/>
  <c r="M7" i="31"/>
  <c r="O6" i="31"/>
  <c r="S6" i="31" s="1"/>
  <c r="M6" i="31"/>
  <c r="E6" i="31"/>
  <c r="M5" i="31"/>
  <c r="AC13" i="30"/>
  <c r="AC15" i="30" s="1"/>
  <c r="E8" i="30" s="1"/>
  <c r="O8" i="30" s="1"/>
  <c r="S8" i="30" s="1"/>
  <c r="AC11" i="30"/>
  <c r="U8" i="30"/>
  <c r="M7" i="30"/>
  <c r="O7" i="30" s="1"/>
  <c r="S7" i="30" s="1"/>
  <c r="M6" i="30"/>
  <c r="E6" i="30"/>
  <c r="O6" i="30" s="1"/>
  <c r="S6" i="30" s="1"/>
  <c r="M5" i="30"/>
  <c r="O5" i="30"/>
  <c r="S5" i="30" s="1"/>
  <c r="AC13" i="29"/>
  <c r="AC15" i="29" s="1"/>
  <c r="E8" i="29" s="1"/>
  <c r="O8" i="29" s="1"/>
  <c r="S8" i="29" s="1"/>
  <c r="AC11" i="29"/>
  <c r="U8" i="29"/>
  <c r="M7" i="29"/>
  <c r="M6" i="29"/>
  <c r="E6" i="29"/>
  <c r="M5" i="29"/>
  <c r="AC13" i="28"/>
  <c r="AC15" i="28" s="1"/>
  <c r="E8" i="28" s="1"/>
  <c r="O8" i="28" s="1"/>
  <c r="S8" i="28" s="1"/>
  <c r="AC11" i="28"/>
  <c r="U8" i="28"/>
  <c r="M7" i="28"/>
  <c r="M6" i="28"/>
  <c r="E6" i="28"/>
  <c r="O6" i="28" s="1"/>
  <c r="S6" i="28" s="1"/>
  <c r="O5" i="28"/>
  <c r="S5" i="28" s="1"/>
  <c r="M5" i="28"/>
  <c r="E5" i="27"/>
  <c r="E5" i="26"/>
  <c r="E5" i="25"/>
  <c r="E5" i="24"/>
  <c r="E5" i="23"/>
  <c r="E30" i="38" l="1"/>
  <c r="E36" i="38"/>
  <c r="E34" i="38"/>
  <c r="E40" i="38"/>
  <c r="E42" i="38"/>
  <c r="E24" i="38"/>
  <c r="O5" i="34"/>
  <c r="S5" i="34" s="1"/>
  <c r="O6" i="29"/>
  <c r="S6" i="29" s="1"/>
  <c r="B2" i="35"/>
  <c r="E38" i="38"/>
  <c r="B2" i="34"/>
  <c r="B2" i="32"/>
  <c r="E32" i="38"/>
  <c r="B2" i="30"/>
  <c r="E28" i="38"/>
  <c r="B2" i="29"/>
  <c r="E26" i="38"/>
  <c r="O7" i="28"/>
  <c r="S7" i="28" s="1"/>
  <c r="G9" i="28" s="1"/>
  <c r="I19" i="28" s="1"/>
  <c r="I20" i="28" s="1"/>
  <c r="O6" i="37"/>
  <c r="S6" i="37" s="1"/>
  <c r="O5" i="36"/>
  <c r="S5" i="36" s="1"/>
  <c r="G9" i="36" s="1"/>
  <c r="I19" i="36" s="1"/>
  <c r="I20" i="36" s="1"/>
  <c r="O5" i="37"/>
  <c r="S5" i="37" s="1"/>
  <c r="O5" i="29"/>
  <c r="S5" i="29" s="1"/>
  <c r="O7" i="37"/>
  <c r="S7" i="37" s="1"/>
  <c r="G9" i="37" s="1"/>
  <c r="I19" i="37" s="1"/>
  <c r="I20" i="37" s="1"/>
  <c r="O5" i="31"/>
  <c r="O6" i="34"/>
  <c r="O7" i="29"/>
  <c r="S7" i="29" s="1"/>
  <c r="G9" i="35"/>
  <c r="I19" i="35" s="1"/>
  <c r="I20" i="35" s="1"/>
  <c r="G9" i="33"/>
  <c r="I19" i="33" s="1"/>
  <c r="I20" i="33" s="1"/>
  <c r="G9" i="32"/>
  <c r="I19" i="32" s="1"/>
  <c r="I20" i="32" s="1"/>
  <c r="G9" i="30"/>
  <c r="I19" i="30" s="1"/>
  <c r="I20" i="30" s="1"/>
  <c r="S6" i="34" l="1"/>
  <c r="G9" i="34" s="1"/>
  <c r="I19" i="34" s="1"/>
  <c r="I20" i="34" s="1"/>
  <c r="S5" i="31"/>
  <c r="G9" i="31" s="1"/>
  <c r="I19" i="31" s="1"/>
  <c r="I20" i="31" s="1"/>
  <c r="G10" i="36"/>
  <c r="I40" i="38"/>
  <c r="G10" i="28"/>
  <c r="I24" i="38"/>
  <c r="G10" i="35"/>
  <c r="I38" i="38"/>
  <c r="G10" i="37"/>
  <c r="I42" i="38"/>
  <c r="G10" i="30"/>
  <c r="I28" i="38"/>
  <c r="G10" i="32"/>
  <c r="I32" i="38"/>
  <c r="G10" i="33"/>
  <c r="I34" i="38"/>
  <c r="G9" i="29"/>
  <c r="I19" i="29" s="1"/>
  <c r="I20" i="29" s="1"/>
  <c r="AC13" i="27"/>
  <c r="AC15" i="27" s="1"/>
  <c r="E8" i="27" s="1"/>
  <c r="O8" i="27" s="1"/>
  <c r="S8" i="27" s="1"/>
  <c r="AC11" i="27"/>
  <c r="U8" i="27"/>
  <c r="M7" i="27"/>
  <c r="O7" i="27"/>
  <c r="S7" i="27" s="1"/>
  <c r="M6" i="27"/>
  <c r="E6" i="27"/>
  <c r="M5" i="27"/>
  <c r="O5" i="27"/>
  <c r="S5" i="27" s="1"/>
  <c r="AC13" i="26"/>
  <c r="AC15" i="26" s="1"/>
  <c r="E8" i="26" s="1"/>
  <c r="O8" i="26" s="1"/>
  <c r="S8" i="26" s="1"/>
  <c r="AC11" i="26"/>
  <c r="U8" i="26"/>
  <c r="M7" i="26"/>
  <c r="O7" i="26" s="1"/>
  <c r="S7" i="26" s="1"/>
  <c r="M6" i="26"/>
  <c r="E6" i="26"/>
  <c r="O6" i="26" s="1"/>
  <c r="S6" i="26" s="1"/>
  <c r="O5" i="26"/>
  <c r="S5" i="26" s="1"/>
  <c r="M5" i="26"/>
  <c r="AC13" i="25"/>
  <c r="AC15" i="25" s="1"/>
  <c r="E8" i="25" s="1"/>
  <c r="O8" i="25" s="1"/>
  <c r="S8" i="25" s="1"/>
  <c r="AC11" i="25"/>
  <c r="D25" i="14" s="1"/>
  <c r="U8" i="25"/>
  <c r="M7" i="25"/>
  <c r="O7" i="25" s="1"/>
  <c r="S7" i="25" s="1"/>
  <c r="M6" i="25"/>
  <c r="E6" i="25"/>
  <c r="M5" i="25"/>
  <c r="O5" i="25" s="1"/>
  <c r="S5" i="25" s="1"/>
  <c r="AC13" i="24"/>
  <c r="AC15" i="24" s="1"/>
  <c r="E8" i="24" s="1"/>
  <c r="O8" i="24" s="1"/>
  <c r="S8" i="24" s="1"/>
  <c r="AC11" i="24"/>
  <c r="D24" i="14" s="1"/>
  <c r="U8" i="24"/>
  <c r="M7" i="24"/>
  <c r="O7" i="24" s="1"/>
  <c r="S7" i="24" s="1"/>
  <c r="M6" i="24"/>
  <c r="E6" i="24"/>
  <c r="O5" i="24"/>
  <c r="S5" i="24" s="1"/>
  <c r="M5" i="24"/>
  <c r="AC13" i="23"/>
  <c r="AC15" i="23" s="1"/>
  <c r="E8" i="23" s="1"/>
  <c r="O8" i="23" s="1"/>
  <c r="S8" i="23" s="1"/>
  <c r="AC11" i="23"/>
  <c r="U8" i="23"/>
  <c r="M7" i="23"/>
  <c r="O7" i="23" s="1"/>
  <c r="S7" i="23" s="1"/>
  <c r="M6" i="23"/>
  <c r="E6" i="23"/>
  <c r="O6" i="23" s="1"/>
  <c r="S6" i="23" s="1"/>
  <c r="M5" i="23"/>
  <c r="O5" i="23"/>
  <c r="S5" i="23" s="1"/>
  <c r="E22" i="38" l="1"/>
  <c r="E14" i="38"/>
  <c r="D23" i="14"/>
  <c r="G10" i="34"/>
  <c r="I36" i="38"/>
  <c r="G10" i="31"/>
  <c r="I30" i="38"/>
  <c r="O6" i="24"/>
  <c r="S6" i="24" s="1"/>
  <c r="G9" i="24" s="1"/>
  <c r="I19" i="24" s="1"/>
  <c r="I20" i="24" s="1"/>
  <c r="B2" i="26"/>
  <c r="E20" i="38"/>
  <c r="B2" i="25"/>
  <c r="E18" i="38"/>
  <c r="B2" i="24"/>
  <c r="E16" i="38"/>
  <c r="G10" i="29"/>
  <c r="I26" i="38"/>
  <c r="O6" i="27"/>
  <c r="O6" i="25"/>
  <c r="G9" i="23"/>
  <c r="I19" i="23" s="1"/>
  <c r="I20" i="23" s="1"/>
  <c r="G9" i="26"/>
  <c r="I19" i="26" s="1"/>
  <c r="I20" i="26" s="1"/>
  <c r="S6" i="27" l="1"/>
  <c r="G9" i="27" s="1"/>
  <c r="I19" i="27" s="1"/>
  <c r="I20" i="27" s="1"/>
  <c r="I22" i="38" s="1"/>
  <c r="S6" i="25"/>
  <c r="G9" i="25" s="1"/>
  <c r="I19" i="25" s="1"/>
  <c r="I20" i="25" s="1"/>
  <c r="G10" i="26"/>
  <c r="I20" i="38"/>
  <c r="G10" i="23"/>
  <c r="I14" i="38"/>
  <c r="G10" i="24"/>
  <c r="I16" i="38"/>
  <c r="K16" i="38" s="1"/>
  <c r="M5" i="15"/>
  <c r="G10" i="25" l="1"/>
  <c r="I18" i="38"/>
  <c r="G10" i="27"/>
  <c r="E5" i="22"/>
  <c r="O5" i="22" s="1"/>
  <c r="S5" i="22" s="1"/>
  <c r="AC13" i="22"/>
  <c r="AC15" i="22" s="1"/>
  <c r="E8" i="22" s="1"/>
  <c r="O8" i="22" s="1"/>
  <c r="S8" i="22" s="1"/>
  <c r="AC11" i="22"/>
  <c r="U8" i="22"/>
  <c r="M7" i="22"/>
  <c r="O7" i="22"/>
  <c r="S7" i="22" s="1"/>
  <c r="M6" i="22"/>
  <c r="E6" i="22"/>
  <c r="O6" i="22" s="1"/>
  <c r="S6" i="22" s="1"/>
  <c r="M5" i="22"/>
  <c r="E5" i="21"/>
  <c r="O5" i="21" s="1"/>
  <c r="S5" i="21" s="1"/>
  <c r="AC13" i="21"/>
  <c r="AC15" i="21" s="1"/>
  <c r="E8" i="21" s="1"/>
  <c r="O8" i="21" s="1"/>
  <c r="S8" i="21" s="1"/>
  <c r="AC11" i="21"/>
  <c r="D20" i="14" s="1"/>
  <c r="U8" i="21"/>
  <c r="M7" i="21"/>
  <c r="O7" i="21"/>
  <c r="S7" i="21" s="1"/>
  <c r="M6" i="21"/>
  <c r="E6" i="21"/>
  <c r="M5" i="21"/>
  <c r="E5" i="20"/>
  <c r="O5" i="20" s="1"/>
  <c r="S5" i="20" s="1"/>
  <c r="AC13" i="20"/>
  <c r="AC15" i="20" s="1"/>
  <c r="E8" i="20" s="1"/>
  <c r="O8" i="20" s="1"/>
  <c r="S8" i="20" s="1"/>
  <c r="AC11" i="20"/>
  <c r="U8" i="20"/>
  <c r="M7" i="20"/>
  <c r="O7" i="20"/>
  <c r="S7" i="20" s="1"/>
  <c r="M6" i="20"/>
  <c r="E6" i="20"/>
  <c r="O6" i="20" s="1"/>
  <c r="S6" i="20" s="1"/>
  <c r="M5" i="20"/>
  <c r="E5" i="19"/>
  <c r="AC13" i="19"/>
  <c r="AC15" i="19" s="1"/>
  <c r="E8" i="19" s="1"/>
  <c r="O8" i="19" s="1"/>
  <c r="S8" i="19" s="1"/>
  <c r="AC11" i="19"/>
  <c r="D18" i="14" s="1"/>
  <c r="U8" i="19"/>
  <c r="M7" i="19"/>
  <c r="O7" i="19"/>
  <c r="S7" i="19" s="1"/>
  <c r="M6" i="19"/>
  <c r="E6" i="19"/>
  <c r="M5" i="19"/>
  <c r="E6" i="15"/>
  <c r="E5" i="15"/>
  <c r="E8" i="38" l="1"/>
  <c r="D19" i="14"/>
  <c r="E12" i="38"/>
  <c r="D21" i="14"/>
  <c r="B2" i="21"/>
  <c r="E10" i="38"/>
  <c r="B2" i="20"/>
  <c r="B2" i="19"/>
  <c r="E6" i="38"/>
  <c r="O5" i="19"/>
  <c r="O6" i="21"/>
  <c r="O6" i="19"/>
  <c r="S6" i="19" s="1"/>
  <c r="G9" i="22"/>
  <c r="G9" i="20"/>
  <c r="AC13" i="15"/>
  <c r="AC15" i="15" s="1"/>
  <c r="E8" i="15" s="1"/>
  <c r="O8" i="15" s="1"/>
  <c r="S8" i="15" s="1"/>
  <c r="AC11" i="15"/>
  <c r="U8" i="15"/>
  <c r="M7" i="15"/>
  <c r="O7" i="15" s="1"/>
  <c r="M6" i="15"/>
  <c r="O6" i="15" s="1"/>
  <c r="S6" i="15" s="1"/>
  <c r="O5" i="15"/>
  <c r="S5" i="15" s="1"/>
  <c r="E4" i="38" l="1"/>
  <c r="D17" i="14"/>
  <c r="S6" i="21"/>
  <c r="G9" i="21" s="1"/>
  <c r="I19" i="21" s="1"/>
  <c r="I20" i="21" s="1"/>
  <c r="S5" i="19"/>
  <c r="G9" i="19" s="1"/>
  <c r="I19" i="19" s="1"/>
  <c r="I20" i="19" s="1"/>
  <c r="S7" i="15"/>
  <c r="G9" i="15" s="1"/>
  <c r="I19" i="15" s="1"/>
  <c r="I20" i="15" s="1"/>
  <c r="I19" i="20"/>
  <c r="I20" i="20" s="1"/>
  <c r="I19" i="22"/>
  <c r="I20" i="22" s="1"/>
  <c r="G10" i="20" l="1"/>
  <c r="I8" i="38"/>
  <c r="G10" i="22"/>
  <c r="I12" i="38"/>
  <c r="G10" i="21"/>
  <c r="I10" i="38"/>
  <c r="G10" i="19"/>
  <c r="I6" i="38"/>
  <c r="K6" i="38" s="1"/>
  <c r="G10" i="15"/>
  <c r="I4" i="38"/>
  <c r="B35" i="14"/>
  <c r="B29" i="14"/>
  <c r="B23" i="14"/>
  <c r="B17" i="14"/>
  <c r="C39" i="14"/>
  <c r="C35" i="14"/>
  <c r="C29" i="14"/>
  <c r="C27" i="14"/>
  <c r="C23" i="14"/>
  <c r="C21" i="14"/>
  <c r="C17" i="14"/>
  <c r="B2" i="15" s="1"/>
  <c r="E11" i="14"/>
  <c r="A11" i="14" l="1"/>
  <c r="H11" i="14"/>
  <c r="B14" i="38"/>
  <c r="B2" i="23"/>
  <c r="B4" i="38"/>
  <c r="B24" i="38"/>
  <c r="B2" i="28"/>
  <c r="B34" i="38"/>
  <c r="B2" i="33"/>
  <c r="B22" i="38"/>
  <c r="B2" i="27"/>
  <c r="B2" i="22"/>
  <c r="B12" i="38"/>
  <c r="B42" i="38"/>
  <c r="B2" i="37"/>
  <c r="F11" i="14"/>
  <c r="F36" i="14" l="1"/>
  <c r="G36" i="38" s="1"/>
  <c r="K36" i="38" s="1"/>
  <c r="F30" i="14"/>
  <c r="G26" i="38" s="1"/>
  <c r="K26" i="38" s="1"/>
  <c r="F35" i="14" l="1"/>
  <c r="G34" i="38" s="1"/>
  <c r="K34" i="38" s="1"/>
  <c r="F29" i="14"/>
  <c r="G24" i="38" s="1"/>
  <c r="K24" i="38" s="1"/>
  <c r="E39" i="14"/>
  <c r="E38" i="14"/>
  <c r="E37" i="14"/>
  <c r="E36" i="14"/>
  <c r="E35" i="14"/>
  <c r="E33" i="14"/>
  <c r="E32" i="14"/>
  <c r="E31" i="14"/>
  <c r="E30" i="14"/>
  <c r="E29" i="14"/>
  <c r="E24" i="14"/>
  <c r="E25" i="14"/>
  <c r="E26" i="14"/>
  <c r="E27" i="14"/>
  <c r="E23" i="14"/>
  <c r="F23" i="14"/>
  <c r="G14" i="38" s="1"/>
  <c r="K14" i="38" s="1"/>
  <c r="E18" i="14" l="1"/>
  <c r="E19" i="14"/>
  <c r="E20" i="14"/>
  <c r="E21" i="14"/>
  <c r="F17" i="14"/>
  <c r="G4" i="38" s="1"/>
  <c r="K4" i="38" s="1"/>
  <c r="E17" i="14" l="1"/>
  <c r="I17" i="14" s="1"/>
  <c r="F33" i="14"/>
  <c r="G32" i="38" s="1"/>
  <c r="K32" i="38" s="1"/>
  <c r="F26" i="14"/>
  <c r="G20" i="38" s="1"/>
  <c r="K20" i="38" s="1"/>
  <c r="F27" i="14"/>
  <c r="G22" i="38" s="1"/>
  <c r="K22" i="38" s="1"/>
  <c r="F25" i="14"/>
  <c r="G18" i="38" s="1"/>
  <c r="K18" i="38" s="1"/>
  <c r="F20" i="14"/>
  <c r="G10" i="38" s="1"/>
  <c r="K10" i="38" s="1"/>
  <c r="F21" i="14"/>
  <c r="G12" i="38" s="1"/>
  <c r="K12" i="38" s="1"/>
  <c r="F19" i="14"/>
  <c r="G8" i="38" s="1"/>
  <c r="K8" i="38" s="1"/>
  <c r="F37" i="14" l="1"/>
  <c r="G38" i="38" s="1"/>
  <c r="K38" i="38" s="1"/>
  <c r="F39" i="14"/>
  <c r="G42" i="38" s="1"/>
  <c r="K42" i="38" s="1"/>
  <c r="F38" i="14"/>
  <c r="G40" i="38" s="1"/>
  <c r="K40" i="38" s="1"/>
  <c r="F32" i="14"/>
  <c r="G30" i="38" s="1"/>
  <c r="K30" i="38" s="1"/>
  <c r="F31" i="14"/>
  <c r="G31" i="14" l="1"/>
  <c r="G28" i="38"/>
  <c r="K28" i="38" s="1"/>
  <c r="H37" i="14" l="1"/>
  <c r="H38" i="14"/>
  <c r="H39" i="14"/>
  <c r="G37" i="14"/>
  <c r="G38" i="14"/>
  <c r="G39" i="14"/>
  <c r="H31" i="14"/>
  <c r="H32" i="14"/>
  <c r="H33" i="14"/>
  <c r="G32" i="14"/>
  <c r="G33" i="14"/>
  <c r="H25" i="14"/>
  <c r="H26" i="14"/>
  <c r="H27" i="14"/>
  <c r="H24" i="14"/>
  <c r="G25" i="14"/>
  <c r="G26" i="14"/>
  <c r="G27" i="14"/>
  <c r="G24" i="14"/>
  <c r="H19" i="14"/>
  <c r="H20" i="14"/>
  <c r="H21" i="14"/>
  <c r="H18" i="14"/>
  <c r="G19" i="14"/>
  <c r="G20" i="14"/>
  <c r="G21" i="14"/>
  <c r="G18" i="14"/>
  <c r="I19" i="14" l="1"/>
  <c r="I24" i="14" l="1"/>
  <c r="I25" i="14"/>
  <c r="I26" i="14"/>
  <c r="I27" i="14"/>
  <c r="I18" i="14"/>
  <c r="I20" i="14"/>
  <c r="I21" i="14"/>
  <c r="I23" i="14" l="1"/>
  <c r="I29" i="14"/>
  <c r="I30" i="14"/>
  <c r="I31" i="14"/>
  <c r="I32" i="14"/>
  <c r="I33" i="14"/>
  <c r="I35" i="14"/>
  <c r="I36" i="14"/>
  <c r="I37" i="14"/>
  <c r="I38" i="14"/>
  <c r="I39" i="14"/>
</calcChain>
</file>

<file path=xl/sharedStrings.xml><?xml version="1.0" encoding="utf-8"?>
<sst xmlns="http://schemas.openxmlformats.org/spreadsheetml/2006/main" count="1206" uniqueCount="157">
  <si>
    <t>Notes:</t>
  </si>
  <si>
    <t>Acceptance Criteria
Pass / Fail</t>
  </si>
  <si>
    <t>Temp/Humdity</t>
  </si>
  <si>
    <t>Fluke</t>
  </si>
  <si>
    <t>2626S</t>
  </si>
  <si>
    <t>Working Standard Information</t>
  </si>
  <si>
    <t>Comments:</t>
  </si>
  <si>
    <t>Calibrator</t>
  </si>
  <si>
    <t>Data Acq Unit</t>
  </si>
  <si>
    <t>Plug-in Module</t>
  </si>
  <si>
    <t>Test Performed</t>
  </si>
  <si>
    <t>Input Function Tested</t>
  </si>
  <si>
    <t>Applied Temperature
( °C )</t>
  </si>
  <si>
    <t>UUT Measured Value
( °C )</t>
  </si>
  <si>
    <t>UUT Error
( °C )</t>
  </si>
  <si>
    <t>OEM Minimum Value</t>
  </si>
  <si>
    <t>OEM Maximum Value</t>
  </si>
  <si>
    <t>OEM Tolerance
( +/- °C )</t>
  </si>
  <si>
    <t>Type E
(Channel #1)</t>
  </si>
  <si>
    <t>The user needs to take into account the calibration tolerance for thermocouple wire used during their test to determine the overall tolerance of the temperature measurement.</t>
  </si>
  <si>
    <t>Type J
(Channel #6)</t>
  </si>
  <si>
    <t>Type K
(Channel #11)</t>
  </si>
  <si>
    <t>SERIAL NO.</t>
  </si>
  <si>
    <t>MODEL NO.</t>
  </si>
  <si>
    <t>DESCRIPTION</t>
  </si>
  <si>
    <t>MANUFACTURER</t>
  </si>
  <si>
    <t>INSTRUCTION NO</t>
  </si>
  <si>
    <t>DATE</t>
  </si>
  <si>
    <t>BY</t>
  </si>
  <si>
    <t>HUMIDITY (%RH)</t>
  </si>
  <si>
    <t>IDENTIFICATION NO.</t>
  </si>
  <si>
    <t>INSTRUMENT</t>
  </si>
  <si>
    <t>DUE DATE</t>
  </si>
  <si>
    <t>NOTES</t>
  </si>
  <si>
    <t>Type T
(Channel #17)</t>
  </si>
  <si>
    <t>SL0881</t>
  </si>
  <si>
    <t>IS033375</t>
  </si>
  <si>
    <t>B28385</t>
  </si>
  <si>
    <t xml:space="preserve">CALIBRATION DATA      JPL STANDARDS LABORATORY </t>
  </si>
  <si>
    <r>
      <t>TEMP (</t>
    </r>
    <r>
      <rPr>
        <b/>
        <sz val="10"/>
        <rFont val="Calibri"/>
        <family val="2"/>
      </rPr>
      <t>°</t>
    </r>
    <r>
      <rPr>
        <b/>
        <sz val="10"/>
        <rFont val="Geneva"/>
      </rPr>
      <t>C)</t>
    </r>
  </si>
  <si>
    <t>Ectron</t>
  </si>
  <si>
    <t>1140A</t>
  </si>
  <si>
    <t>Keysight</t>
  </si>
  <si>
    <t>UUT Temp Range
( °C )</t>
  </si>
  <si>
    <t>DAQM901A</t>
  </si>
  <si>
    <t>Error Source</t>
  </si>
  <si>
    <t>Error Limit</t>
  </si>
  <si>
    <t>Containment Probability</t>
  </si>
  <si>
    <t>Uncertainty Type</t>
  </si>
  <si>
    <t>Distribution</t>
  </si>
  <si>
    <t>Divisor</t>
  </si>
  <si>
    <t>Standard Uncertainty</t>
  </si>
  <si>
    <r>
      <t>C</t>
    </r>
    <r>
      <rPr>
        <b/>
        <vertAlign val="subscript"/>
        <sz val="11"/>
        <color theme="1"/>
        <rFont val="Calibri"/>
        <family val="2"/>
        <scheme val="minor"/>
      </rPr>
      <t>i</t>
    </r>
  </si>
  <si>
    <r>
      <t>U</t>
    </r>
    <r>
      <rPr>
        <b/>
        <vertAlign val="subscript"/>
        <sz val="11"/>
        <color theme="1"/>
        <rFont val="Calibri"/>
        <family val="2"/>
        <scheme val="minor"/>
      </rPr>
      <t>i</t>
    </r>
  </si>
  <si>
    <t>Degrees of Freedom</t>
  </si>
  <si>
    <t>Test Run (n)</t>
  </si>
  <si>
    <t>UUT Reading (°C)</t>
  </si>
  <si>
    <r>
      <t>U</t>
    </r>
    <r>
      <rPr>
        <vertAlign val="subscript"/>
        <sz val="11"/>
        <color theme="1"/>
        <rFont val="Calibri"/>
        <family val="2"/>
        <scheme val="minor"/>
      </rPr>
      <t>1</t>
    </r>
  </si>
  <si>
    <r>
      <t>ε</t>
    </r>
    <r>
      <rPr>
        <vertAlign val="subscript"/>
        <sz val="11"/>
        <color theme="1"/>
        <rFont val="Calibri"/>
        <family val="2"/>
        <scheme val="minor"/>
      </rPr>
      <t>Std_bias_1140A</t>
    </r>
  </si>
  <si>
    <t>B</t>
  </si>
  <si>
    <t>Normal</t>
  </si>
  <si>
    <t>∞</t>
  </si>
  <si>
    <r>
      <t>U</t>
    </r>
    <r>
      <rPr>
        <vertAlign val="subscript"/>
        <sz val="11"/>
        <color theme="1"/>
        <rFont val="Calibri"/>
        <family val="2"/>
        <scheme val="minor"/>
      </rPr>
      <t>2</t>
    </r>
  </si>
  <si>
    <r>
      <t>ε</t>
    </r>
    <r>
      <rPr>
        <vertAlign val="subscript"/>
        <sz val="11"/>
        <color theme="1"/>
        <rFont val="Calibri"/>
        <family val="2"/>
        <scheme val="minor"/>
      </rPr>
      <t>Std_resolution_1140A</t>
    </r>
  </si>
  <si>
    <t>Uniform</t>
  </si>
  <si>
    <r>
      <t>U</t>
    </r>
    <r>
      <rPr>
        <vertAlign val="subscript"/>
        <sz val="11"/>
        <color theme="1"/>
        <rFont val="Calibri"/>
        <family val="2"/>
        <scheme val="minor"/>
      </rPr>
      <t>5</t>
    </r>
  </si>
  <si>
    <r>
      <t>ε</t>
    </r>
    <r>
      <rPr>
        <vertAlign val="subscript"/>
        <sz val="11"/>
        <color theme="1"/>
        <rFont val="Calibri"/>
        <family val="2"/>
        <scheme val="minor"/>
      </rPr>
      <t>UUT_resolution</t>
    </r>
  </si>
  <si>
    <r>
      <t>U</t>
    </r>
    <r>
      <rPr>
        <vertAlign val="subscript"/>
        <sz val="11"/>
        <color theme="1"/>
        <rFont val="Calibri"/>
        <family val="2"/>
        <scheme val="minor"/>
      </rPr>
      <t>6</t>
    </r>
  </si>
  <si>
    <r>
      <t>ε</t>
    </r>
    <r>
      <rPr>
        <vertAlign val="subscript"/>
        <sz val="11"/>
        <color theme="1"/>
        <rFont val="Calibri"/>
        <family val="2"/>
        <scheme val="minor"/>
      </rPr>
      <t>UUT_repeatability</t>
    </r>
  </si>
  <si>
    <t>A</t>
  </si>
  <si>
    <t>n/a</t>
  </si>
  <si>
    <r>
      <t>U</t>
    </r>
    <r>
      <rPr>
        <b/>
        <vertAlign val="subscript"/>
        <sz val="11"/>
        <color theme="1"/>
        <rFont val="Calibri"/>
        <family val="2"/>
        <scheme val="minor"/>
      </rPr>
      <t>C</t>
    </r>
  </si>
  <si>
    <t>Combined Uncertainty:</t>
  </si>
  <si>
    <t>Average (mean)</t>
  </si>
  <si>
    <r>
      <t>U</t>
    </r>
    <r>
      <rPr>
        <b/>
        <vertAlign val="subscript"/>
        <sz val="11"/>
        <color theme="1"/>
        <rFont val="Calibri"/>
        <family val="2"/>
        <scheme val="minor"/>
      </rPr>
      <t>P</t>
    </r>
  </si>
  <si>
    <t>Confidence limits (95%):</t>
  </si>
  <si>
    <t>Effective degrees of freedom</t>
  </si>
  <si>
    <t>Standard Deviation</t>
  </si>
  <si>
    <t>Standard Bias:</t>
  </si>
  <si>
    <t>Uncertainty due to the bias in the Reference Standard.</t>
  </si>
  <si>
    <t>Standard Resolution:</t>
  </si>
  <si>
    <t>Uncertainty due to the digital resultion of the Reference Standard.</t>
  </si>
  <si>
    <t>Standard Deviation of Mean</t>
  </si>
  <si>
    <t>Repeatability:</t>
  </si>
  <si>
    <t>Uncertainty to random variations during the measurement process.  This uncertainty in the mean value was estimated by dividing the standard deviation of five test runs by the square root of 5.  The measurements were performed under Repeatability Conditions.</t>
  </si>
  <si>
    <t>UUT Resolution:</t>
  </si>
  <si>
    <t>Uncertainty due to the digital resultion of the UUT.</t>
  </si>
  <si>
    <t>t-statistic:</t>
  </si>
  <si>
    <t>confidence limit:</t>
  </si>
  <si>
    <t>*Unluess otherwise noted, these specifications apply at 23°C ± 3°C, after a 30 minute warm-up period</t>
  </si>
  <si>
    <t xml:space="preserve">    for one year without calibration.  </t>
  </si>
  <si>
    <t>STD Information</t>
  </si>
  <si>
    <t>Temperature mode:</t>
  </si>
  <si>
    <t>Manufacturer:</t>
  </si>
  <si>
    <t>Model:</t>
  </si>
  <si>
    <t>Range:</t>
  </si>
  <si>
    <t>E, J, K, and T (See below)</t>
  </si>
  <si>
    <t>Resolution:</t>
  </si>
  <si>
    <t>Accuracy:</t>
  </si>
  <si>
    <t>See tables below</t>
  </si>
  <si>
    <t>Type E (°C)</t>
  </si>
  <si>
    <t>Type J (°C)</t>
  </si>
  <si>
    <t>Temperature Range</t>
  </si>
  <si>
    <t>Error After:</t>
  </si>
  <si>
    <t>30 Days</t>
  </si>
  <si>
    <t>6 Months</t>
  </si>
  <si>
    <t>1 Year</t>
  </si>
  <si>
    <t>&lt;-245</t>
  </si>
  <si>
    <t>&lt;-180</t>
  </si>
  <si>
    <t>&lt;-195</t>
  </si>
  <si>
    <t>&lt;-120</t>
  </si>
  <si>
    <t>&lt;-155</t>
  </si>
  <si>
    <t>&lt;-50</t>
  </si>
  <si>
    <t>&lt;-90</t>
  </si>
  <si>
    <t>&lt;990</t>
  </si>
  <si>
    <t>&lt;15</t>
  </si>
  <si>
    <t>&lt;890</t>
  </si>
  <si>
    <t>Type K (°C)</t>
  </si>
  <si>
    <t>Type T (°C)</t>
  </si>
  <si>
    <t>&lt;-255</t>
  </si>
  <si>
    <t>&lt;-240</t>
  </si>
  <si>
    <t>&lt;-115</t>
  </si>
  <si>
    <t>&lt;-210</t>
  </si>
  <si>
    <t>&lt;-55</t>
  </si>
  <si>
    <t>&lt;-150</t>
  </si>
  <si>
    <t>&lt;1000</t>
  </si>
  <si>
    <t>&lt;-40</t>
  </si>
  <si>
    <t>&lt;100</t>
  </si>
  <si>
    <t>E, J, K, and T</t>
  </si>
  <si>
    <t>Accuracy</t>
  </si>
  <si>
    <t>-200°C to -150°C</t>
  </si>
  <si>
    <t>-210°C to -150°C</t>
  </si>
  <si>
    <t>-150°C to 1000°C</t>
  </si>
  <si>
    <t>-150°C to 1200°C</t>
  </si>
  <si>
    <t>-200°C to -100°C</t>
  </si>
  <si>
    <t>-100°C to 1200°C</t>
  </si>
  <si>
    <t>-100°C to 400°C</t>
  </si>
  <si>
    <t>Test Point</t>
  </si>
  <si>
    <r>
      <t xml:space="preserve">Error Model for Analysis
</t>
    </r>
    <r>
      <rPr>
        <sz val="10"/>
        <rFont val="Geneva"/>
      </rPr>
      <t xml:space="preserve">
</t>
    </r>
    <r>
      <rPr>
        <sz val="14"/>
        <color theme="1"/>
        <rFont val="Calibri"/>
        <family val="2"/>
        <scheme val="minor"/>
      </rPr>
      <t>ε</t>
    </r>
    <r>
      <rPr>
        <vertAlign val="subscript"/>
        <sz val="14"/>
        <color theme="1"/>
        <rFont val="Calibri"/>
        <family val="2"/>
        <scheme val="minor"/>
      </rPr>
      <t>X</t>
    </r>
    <r>
      <rPr>
        <sz val="14"/>
        <color theme="1"/>
        <rFont val="Calibri"/>
        <family val="2"/>
        <scheme val="minor"/>
      </rPr>
      <t xml:space="preserve"> = ε</t>
    </r>
    <r>
      <rPr>
        <vertAlign val="subscript"/>
        <sz val="14"/>
        <color theme="1"/>
        <rFont val="Calibri"/>
        <family val="2"/>
        <scheme val="minor"/>
      </rPr>
      <t>Std_bias</t>
    </r>
    <r>
      <rPr>
        <sz val="14"/>
        <color theme="1"/>
        <rFont val="Calibri"/>
        <family val="2"/>
        <scheme val="minor"/>
      </rPr>
      <t xml:space="preserve"> + ε</t>
    </r>
    <r>
      <rPr>
        <vertAlign val="subscript"/>
        <sz val="14"/>
        <color theme="1"/>
        <rFont val="Calibri"/>
        <family val="2"/>
        <scheme val="minor"/>
      </rPr>
      <t>Std_resolution</t>
    </r>
    <r>
      <rPr>
        <sz val="14"/>
        <color theme="1"/>
        <rFont val="Calibri"/>
        <family val="2"/>
        <scheme val="minor"/>
      </rPr>
      <t xml:space="preserve"> + ε</t>
    </r>
    <r>
      <rPr>
        <vertAlign val="subscript"/>
        <sz val="14"/>
        <color theme="1"/>
        <rFont val="Calibri"/>
        <family val="2"/>
        <scheme val="minor"/>
      </rPr>
      <t>UUT_resolution</t>
    </r>
    <r>
      <rPr>
        <sz val="14"/>
        <color theme="1"/>
        <rFont val="Calibri"/>
        <family val="2"/>
        <scheme val="minor"/>
      </rPr>
      <t xml:space="preserve"> + ε</t>
    </r>
    <r>
      <rPr>
        <vertAlign val="subscript"/>
        <sz val="14"/>
        <color theme="1"/>
        <rFont val="Calibri"/>
        <family val="2"/>
        <scheme val="minor"/>
      </rPr>
      <t>UUT_repeatability</t>
    </r>
    <r>
      <rPr>
        <vertAlign val="subscript"/>
        <sz val="11"/>
        <color theme="1"/>
        <rFont val="Calibri"/>
        <family val="2"/>
        <scheme val="minor"/>
      </rPr>
      <t xml:space="preserve">
</t>
    </r>
    <r>
      <rPr>
        <sz val="10"/>
        <rFont val="Geneva"/>
      </rPr>
      <t>NOTE: No correlations exist between error sources</t>
    </r>
  </si>
  <si>
    <t>TUR</t>
  </si>
  <si>
    <t>UUT Information</t>
  </si>
  <si>
    <t>Measurement Value</t>
  </si>
  <si>
    <t>UUT Accuracy</t>
  </si>
  <si>
    <t>Measurement Uncertainty</t>
  </si>
  <si>
    <t>UNCERTAINTY</t>
  </si>
  <si>
    <t>TUR &gt;= 4.6:1</t>
  </si>
  <si>
    <t>34901A</t>
  </si>
  <si>
    <t>Select Model</t>
  </si>
  <si>
    <t>How to Use this Datasheet</t>
  </si>
  <si>
    <t>2. Fill in relevant information for UUT and Standards Used</t>
  </si>
  <si>
    <t>Updating Datasheet</t>
  </si>
  <si>
    <t>1. For DAQ Mainframe: Do Not enter Due Date directly into the cell.  Instead, click on the cell and enter the date within the formula in the correct spot</t>
  </si>
  <si>
    <t>3. For each test point, go to their respective sheet and enter 5 measurements on the far right of the sheet under UUT Reading, next to Test Run.  Do Not enter directly into Measured Value on this sheet</t>
  </si>
  <si>
    <t>2. Update Fluke probe as normal</t>
  </si>
  <si>
    <t>1. Select UUT Model Number from the drop down list in B6</t>
  </si>
  <si>
    <t>3. Save a blank sheet with updated information</t>
  </si>
  <si>
    <t>Maintaining a TUR &gt;= 4.6:1 guarantees that the provided calibration data will have a false accept risk less than 2%, complying with calibration standards such as ANSI Z540.3, and ISO 17025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</si>
</sst>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
    <numFmt numFmtId="166" formatCode="0.0000"/>
    <numFmt numFmtId="167" formatCode="0.00000000000"/>
    <numFmt numFmtId="168" formatCode="0.00000"/>
  </numFmts>
  <fonts count="19">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Geneva"/>
    </font>
    <font>
      <sz val="10"/>
      <color indexed="10"/>
      <name val="Geneva"/>
    </font>
    <font>
      <b/>
      <sz val="12"/>
      <color indexed="8"/>
      <name val="Geneva"/>
    </font>
    <font>
      <sz val="11"/>
      <name val="Geneva"/>
    </font>
    <font>
      <sz val="10"/>
      <name val="Arial"/>
      <family val="2"/>
    </font>
    <font>
      <b/>
      <sz val="10"/>
      <name val="Calibri"/>
      <family val="2"/>
    </font>
    <font>
      <b/>
      <sz val="11"/>
      <color theme="1"/>
      <name val="Calibri"/>
      <family val="2"/>
      <scheme val="minor"/>
    </font>
    <font>
      <b/>
      <vertAlign val="subscript"/>
      <sz val="11"/>
      <color theme="1"/>
      <name val="Calibri"/>
      <family val="2"/>
      <scheme val="minor"/>
    </font>
    <font>
      <vertAlign val="subscript"/>
      <sz val="11"/>
      <color theme="1"/>
      <name val="Calibri"/>
      <family val="2"/>
      <scheme val="minor"/>
    </font>
    <font>
      <sz val="16"/>
      <color theme="1"/>
      <name val="Calibri"/>
      <family val="2"/>
      <scheme val="minor"/>
    </font>
    <font>
      <sz val="14"/>
      <color theme="1"/>
      <name val="Calibri"/>
      <family val="2"/>
      <scheme val="minor"/>
    </font>
    <font>
      <vertAlign val="subscript"/>
      <sz val="14"/>
      <color theme="1"/>
      <name val="Calibri"/>
      <family val="2"/>
      <scheme val="minor"/>
    </font>
    <font>
      <sz val="11"/>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2"/>
        <bgColor indexed="64"/>
      </patternFill>
    </fill>
    <fill>
      <patternFill patternType="solid">
        <fgColor rgb="FFFFFFCC"/>
        <bgColor indexed="64"/>
      </patternFill>
    </fill>
    <fill>
      <patternFill patternType="solid">
        <fgColor theme="5" tint="0.59999389629810485"/>
        <bgColor indexed="64"/>
      </patternFill>
    </fill>
    <fill>
      <patternFill patternType="solid">
        <fgColor rgb="FFFF7575"/>
        <bgColor indexed="64"/>
      </patternFill>
    </fill>
  </fills>
  <borders count="42">
    <border>
      <left/>
      <right/>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double">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5" fillId="0" borderId="0"/>
    <xf numFmtId="0" fontId="4" fillId="0" borderId="0"/>
  </cellStyleXfs>
  <cellXfs count="308">
    <xf numFmtId="0" fontId="0" fillId="0" borderId="0" xfId="0"/>
    <xf numFmtId="0" fontId="0" fillId="0" borderId="0" xfId="0" applyBorder="1"/>
    <xf numFmtId="0" fontId="0" fillId="0" borderId="0" xfId="0" applyBorder="1" applyAlignment="1">
      <alignment horizontal="center"/>
    </xf>
    <xf numFmtId="0" fontId="0" fillId="0" borderId="0" xfId="0" applyAlignment="1">
      <alignment vertical="center"/>
    </xf>
    <xf numFmtId="0" fontId="0" fillId="0" borderId="0" xfId="0" applyFill="1" applyBorder="1"/>
    <xf numFmtId="0" fontId="9" fillId="0" borderId="0" xfId="0" applyFont="1"/>
    <xf numFmtId="0" fontId="0" fillId="0" borderId="0" xfId="0" applyFont="1" applyBorder="1" applyAlignment="1">
      <alignment horizontal="right"/>
    </xf>
    <xf numFmtId="0" fontId="0" fillId="0" borderId="0" xfId="0" applyFont="1" applyBorder="1" applyAlignment="1">
      <alignment horizontal="center"/>
    </xf>
    <xf numFmtId="0" fontId="0" fillId="0" borderId="0" xfId="0" applyAlignment="1">
      <alignment horizontal="center"/>
    </xf>
    <xf numFmtId="49" fontId="0" fillId="0" borderId="0" xfId="0" applyNumberFormat="1" applyAlignment="1">
      <alignment horizontal="center"/>
    </xf>
    <xf numFmtId="0" fontId="0" fillId="0" borderId="5" xfId="0" applyFill="1" applyBorder="1" applyAlignment="1">
      <alignment horizontal="center"/>
    </xf>
    <xf numFmtId="165" fontId="0" fillId="0" borderId="0" xfId="0" applyNumberFormat="1" applyBorder="1" applyAlignment="1">
      <alignment horizontal="right"/>
    </xf>
    <xf numFmtId="0" fontId="0" fillId="0" borderId="0" xfId="0" applyBorder="1" applyAlignment="1">
      <alignment vertical="center"/>
    </xf>
    <xf numFmtId="1" fontId="0" fillId="0" borderId="0" xfId="0" applyNumberFormat="1" applyBorder="1" applyAlignment="1">
      <alignment horizontal="left"/>
    </xf>
    <xf numFmtId="2" fontId="0" fillId="0" borderId="0" xfId="0" applyNumberFormat="1" applyAlignment="1">
      <alignment horizontal="center"/>
    </xf>
    <xf numFmtId="0" fontId="0" fillId="0" borderId="0" xfId="0" applyFill="1" applyBorder="1" applyAlignment="1">
      <alignment horizontal="center" vertical="center" wrapText="1"/>
    </xf>
    <xf numFmtId="1" fontId="0" fillId="0" borderId="0" xfId="0" applyNumberFormat="1" applyFill="1" applyBorder="1" applyAlignment="1">
      <alignment horizontal="left"/>
    </xf>
    <xf numFmtId="165" fontId="0" fillId="0" borderId="0" xfId="0" applyNumberFormat="1" applyBorder="1"/>
    <xf numFmtId="0" fontId="0" fillId="0" borderId="10" xfId="0" applyFill="1" applyBorder="1" applyAlignment="1">
      <alignment horizontal="center"/>
    </xf>
    <xf numFmtId="0" fontId="0" fillId="2" borderId="5" xfId="0" applyFill="1" applyBorder="1" applyAlignment="1">
      <alignment horizontal="center"/>
    </xf>
    <xf numFmtId="0" fontId="0" fillId="0" borderId="0" xfId="0" applyAlignment="1">
      <alignment horizontal="center" vertical="center" wrapText="1"/>
    </xf>
    <xf numFmtId="0" fontId="0" fillId="2" borderId="5" xfId="0" applyFill="1" applyBorder="1" applyAlignment="1">
      <alignment horizontal="center" vertical="center"/>
    </xf>
    <xf numFmtId="49" fontId="0" fillId="0" borderId="0" xfId="0" applyNumberFormat="1" applyBorder="1" applyAlignment="1">
      <alignment horizontal="center"/>
    </xf>
    <xf numFmtId="0" fontId="10" fillId="0" borderId="7" xfId="0" applyFont="1" applyBorder="1" applyAlignment="1">
      <alignment horizontal="center"/>
    </xf>
    <xf numFmtId="0" fontId="10" fillId="0" borderId="5" xfId="0" applyNumberFormat="1" applyFont="1"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5" xfId="0" applyBorder="1" applyAlignment="1">
      <alignment horizontal="center"/>
    </xf>
    <xf numFmtId="0" fontId="6" fillId="3" borderId="5" xfId="0" applyFont="1" applyFill="1" applyBorder="1" applyAlignment="1">
      <alignment horizontal="center"/>
    </xf>
    <xf numFmtId="0" fontId="6" fillId="3" borderId="7" xfId="0" applyFont="1" applyFill="1" applyBorder="1" applyAlignment="1">
      <alignment horizontal="center"/>
    </xf>
    <xf numFmtId="0" fontId="0" fillId="3" borderId="2" xfId="0" applyFill="1" applyBorder="1" applyAlignment="1">
      <alignment horizontal="center"/>
    </xf>
    <xf numFmtId="0" fontId="0" fillId="0" borderId="13" xfId="0" applyBorder="1"/>
    <xf numFmtId="0" fontId="0" fillId="0" borderId="14" xfId="0" applyFont="1" applyBorder="1" applyAlignment="1">
      <alignment horizontal="center"/>
    </xf>
    <xf numFmtId="14" fontId="0" fillId="0" borderId="14" xfId="0" applyNumberFormat="1" applyFont="1" applyBorder="1" applyAlignment="1">
      <alignment horizontal="center"/>
    </xf>
    <xf numFmtId="0" fontId="0" fillId="0" borderId="5" xfId="0" applyNumberFormat="1" applyBorder="1" applyAlignment="1">
      <alignment horizontal="center"/>
    </xf>
    <xf numFmtId="0" fontId="0" fillId="0" borderId="5" xfId="0" quotePrefix="1" applyNumberFormat="1" applyBorder="1" applyAlignment="1">
      <alignment horizontal="center"/>
    </xf>
    <xf numFmtId="165" fontId="0" fillId="0" borderId="7" xfId="0" applyNumberFormat="1" applyBorder="1" applyAlignment="1">
      <alignment horizontal="center" vertical="center"/>
    </xf>
    <xf numFmtId="0" fontId="0" fillId="2" borderId="5" xfId="0" quotePrefix="1" applyFill="1" applyBorder="1" applyAlignment="1">
      <alignment horizontal="center"/>
    </xf>
    <xf numFmtId="165" fontId="0" fillId="0" borderId="13" xfId="0" applyNumberFormat="1" applyBorder="1" applyAlignment="1">
      <alignment horizontal="right" vertical="center"/>
    </xf>
    <xf numFmtId="165" fontId="0" fillId="0" borderId="13" xfId="0" applyNumberFormat="1" applyBorder="1" applyAlignment="1">
      <alignment horizontal="right"/>
    </xf>
    <xf numFmtId="165" fontId="0" fillId="0" borderId="3" xfId="0" applyNumberFormat="1" applyBorder="1" applyAlignment="1">
      <alignment horizontal="right"/>
    </xf>
    <xf numFmtId="0" fontId="6" fillId="0" borderId="13" xfId="0" applyFont="1" applyBorder="1" applyAlignment="1">
      <alignment horizontal="center" vertical="center"/>
    </xf>
    <xf numFmtId="0" fontId="0" fillId="0" borderId="2" xfId="0" applyBorder="1" applyAlignment="1">
      <alignment horizontal="center"/>
    </xf>
    <xf numFmtId="2" fontId="0" fillId="0" borderId="13" xfId="0" applyNumberFormat="1" applyBorder="1" applyAlignment="1">
      <alignment horizontal="center"/>
    </xf>
    <xf numFmtId="0" fontId="0" fillId="0" borderId="3" xfId="0" applyBorder="1" applyAlignment="1">
      <alignment horizontal="center"/>
    </xf>
    <xf numFmtId="164" fontId="0" fillId="2" borderId="11" xfId="0" applyNumberFormat="1" applyFill="1" applyBorder="1" applyAlignment="1">
      <alignment horizontal="center"/>
    </xf>
    <xf numFmtId="0" fontId="0" fillId="2" borderId="13" xfId="0" applyFill="1" applyBorder="1" applyAlignment="1">
      <alignment horizontal="center"/>
    </xf>
    <xf numFmtId="2" fontId="0" fillId="0" borderId="3" xfId="0" applyNumberFormat="1" applyBorder="1" applyAlignment="1">
      <alignment horizontal="center"/>
    </xf>
    <xf numFmtId="2" fontId="0" fillId="0" borderId="0" xfId="0" applyNumberFormat="1"/>
    <xf numFmtId="2" fontId="0" fillId="0" borderId="0" xfId="0" applyNumberFormat="1" applyAlignment="1">
      <alignment vertical="center"/>
    </xf>
    <xf numFmtId="0" fontId="5" fillId="0" borderId="0" xfId="1"/>
    <xf numFmtId="0" fontId="5" fillId="0" borderId="19" xfId="1" applyBorder="1" applyAlignment="1">
      <alignment horizontal="center" vertical="center"/>
    </xf>
    <xf numFmtId="0" fontId="5" fillId="0" borderId="21" xfId="1" applyBorder="1" applyAlignment="1">
      <alignment horizontal="center" vertical="center"/>
    </xf>
    <xf numFmtId="0" fontId="12" fillId="0" borderId="16" xfId="1" applyFont="1" applyBorder="1" applyAlignment="1">
      <alignment horizontal="center" vertical="center"/>
    </xf>
    <xf numFmtId="0" fontId="5" fillId="0" borderId="0" xfId="1" applyAlignment="1"/>
    <xf numFmtId="0" fontId="12" fillId="0" borderId="19" xfId="1" applyFont="1" applyBorder="1" applyAlignment="1">
      <alignment horizontal="center" vertical="center"/>
    </xf>
    <xf numFmtId="0" fontId="12" fillId="0" borderId="16" xfId="1" applyFont="1" applyBorder="1" applyAlignment="1">
      <alignment horizontal="center" vertical="center"/>
    </xf>
    <xf numFmtId="0" fontId="5" fillId="0" borderId="19" xfId="1" applyBorder="1" applyAlignment="1">
      <alignment horizontal="center" vertical="center"/>
    </xf>
    <xf numFmtId="0" fontId="12" fillId="0" borderId="19" xfId="1" applyFont="1" applyBorder="1" applyAlignment="1">
      <alignment horizontal="center" vertical="center"/>
    </xf>
    <xf numFmtId="0" fontId="5" fillId="0" borderId="21" xfId="1" applyBorder="1" applyAlignment="1">
      <alignment horizontal="center" vertical="center"/>
    </xf>
    <xf numFmtId="0" fontId="4" fillId="0" borderId="0" xfId="2" applyBorder="1" applyAlignment="1"/>
    <xf numFmtId="0" fontId="4" fillId="0" borderId="0" xfId="2" applyAlignment="1"/>
    <xf numFmtId="0" fontId="4" fillId="0" borderId="0" xfId="2"/>
    <xf numFmtId="0" fontId="12" fillId="0" borderId="10" xfId="2" applyFont="1" applyBorder="1" applyAlignment="1">
      <alignment horizontal="center" vertical="center"/>
    </xf>
    <xf numFmtId="0" fontId="12" fillId="0" borderId="10" xfId="2" applyFont="1" applyBorder="1" applyAlignment="1">
      <alignment horizontal="center"/>
    </xf>
    <xf numFmtId="0" fontId="4" fillId="0" borderId="5" xfId="2" applyBorder="1" applyAlignment="1">
      <alignment horizontal="center" vertical="center"/>
    </xf>
    <xf numFmtId="0" fontId="4" fillId="0" borderId="0" xfId="2" applyAlignment="1">
      <alignment horizontal="center" vertical="center"/>
    </xf>
    <xf numFmtId="0" fontId="4" fillId="0" borderId="0" xfId="2" applyBorder="1" applyAlignment="1">
      <alignment vertical="center"/>
    </xf>
    <xf numFmtId="2" fontId="4" fillId="0" borderId="5" xfId="2" applyNumberFormat="1" applyBorder="1" applyAlignment="1">
      <alignment horizontal="center" vertical="center"/>
    </xf>
    <xf numFmtId="0" fontId="12" fillId="0" borderId="19" xfId="1" applyFont="1" applyBorder="1" applyAlignment="1">
      <alignment horizontal="center" vertical="center"/>
    </xf>
    <xf numFmtId="0" fontId="5" fillId="0" borderId="21" xfId="1" applyBorder="1" applyAlignment="1">
      <alignment horizontal="center" vertical="center"/>
    </xf>
    <xf numFmtId="0" fontId="5" fillId="0" borderId="19" xfId="1" applyBorder="1" applyAlignment="1">
      <alignment horizontal="center" vertical="center"/>
    </xf>
    <xf numFmtId="0" fontId="12" fillId="0" borderId="16" xfId="1" applyFont="1" applyBorder="1" applyAlignment="1">
      <alignment horizontal="center" vertical="center"/>
    </xf>
    <xf numFmtId="164" fontId="0" fillId="0" borderId="14" xfId="0" applyNumberFormat="1" applyFont="1" applyBorder="1" applyAlignment="1">
      <alignment horizontal="center"/>
    </xf>
    <xf numFmtId="0" fontId="0" fillId="0" borderId="14" xfId="0" applyNumberFormat="1" applyFont="1" applyBorder="1" applyAlignment="1">
      <alignment horizontal="center"/>
    </xf>
    <xf numFmtId="164" fontId="0" fillId="5" borderId="10" xfId="0" applyNumberFormat="1" applyFill="1" applyBorder="1" applyAlignment="1">
      <alignment horizontal="center"/>
    </xf>
    <xf numFmtId="164" fontId="0" fillId="0" borderId="4" xfId="0" applyNumberFormat="1" applyBorder="1" applyAlignment="1">
      <alignment horizontal="center"/>
    </xf>
    <xf numFmtId="164" fontId="0" fillId="0" borderId="10" xfId="0" applyNumberFormat="1" applyBorder="1" applyAlignment="1">
      <alignment horizontal="center"/>
    </xf>
    <xf numFmtId="164" fontId="0" fillId="5" borderId="11" xfId="0" applyNumberFormat="1" applyFill="1" applyBorder="1" applyAlignment="1">
      <alignment horizontal="center"/>
    </xf>
    <xf numFmtId="164" fontId="0" fillId="0" borderId="0" xfId="0" applyNumberFormat="1" applyBorder="1" applyAlignment="1">
      <alignment horizontal="center"/>
    </xf>
    <xf numFmtId="164" fontId="0" fillId="0" borderId="11" xfId="0" applyNumberFormat="1" applyBorder="1" applyAlignment="1">
      <alignment horizontal="center"/>
    </xf>
    <xf numFmtId="164" fontId="0" fillId="5" borderId="6" xfId="0" applyNumberFormat="1" applyFill="1" applyBorder="1" applyAlignment="1">
      <alignment horizontal="center"/>
    </xf>
    <xf numFmtId="164" fontId="0" fillId="0" borderId="1" xfId="0" applyNumberFormat="1" applyBorder="1" applyAlignment="1">
      <alignment horizontal="center"/>
    </xf>
    <xf numFmtId="164" fontId="0" fillId="0" borderId="6" xfId="0" applyNumberFormat="1" applyBorder="1" applyAlignment="1">
      <alignment horizontal="center"/>
    </xf>
    <xf numFmtId="164" fontId="0" fillId="2" borderId="0" xfId="0" applyNumberFormat="1" applyFill="1" applyBorder="1" applyAlignment="1">
      <alignment horizontal="center"/>
    </xf>
    <xf numFmtId="164" fontId="5" fillId="0" borderId="0" xfId="1" applyNumberFormat="1" applyAlignment="1">
      <alignment horizontal="left"/>
    </xf>
    <xf numFmtId="0" fontId="6" fillId="0" borderId="0" xfId="0" applyFont="1" applyBorder="1" applyAlignment="1">
      <alignment vertical="center"/>
    </xf>
    <xf numFmtId="0" fontId="6" fillId="0" borderId="0" xfId="0" applyFont="1" applyAlignment="1">
      <alignment vertical="center"/>
    </xf>
    <xf numFmtId="0" fontId="0" fillId="0" borderId="0" xfId="0" applyBorder="1" applyAlignment="1"/>
    <xf numFmtId="0" fontId="0" fillId="0" borderId="0" xfId="0" applyAlignment="1"/>
    <xf numFmtId="0" fontId="6" fillId="3" borderId="7" xfId="0" applyFont="1" applyFill="1" applyBorder="1" applyAlignment="1">
      <alignment horizontal="center"/>
    </xf>
    <xf numFmtId="14" fontId="0" fillId="0" borderId="5" xfId="0" applyNumberFormat="1" applyBorder="1" applyAlignment="1">
      <alignment horizontal="center"/>
    </xf>
    <xf numFmtId="14" fontId="0" fillId="0" borderId="10" xfId="0" applyNumberFormat="1" applyBorder="1" applyAlignment="1">
      <alignment horizontal="center"/>
    </xf>
    <xf numFmtId="0" fontId="0" fillId="0" borderId="9" xfId="0" applyFill="1" applyBorder="1" applyAlignment="1">
      <alignment horizontal="right" vertical="center"/>
    </xf>
    <xf numFmtId="0" fontId="1" fillId="0" borderId="0" xfId="1" applyFont="1"/>
    <xf numFmtId="0" fontId="7" fillId="3" borderId="3" xfId="0" applyFont="1" applyFill="1" applyBorder="1" applyAlignment="1">
      <alignment horizontal="center"/>
    </xf>
    <xf numFmtId="0" fontId="18" fillId="0" borderId="1" xfId="0" applyFont="1" applyBorder="1" applyAlignment="1">
      <alignment wrapText="1"/>
    </xf>
    <xf numFmtId="0" fontId="18" fillId="0" borderId="15" xfId="0" applyFont="1" applyBorder="1" applyAlignment="1">
      <alignment wrapText="1"/>
    </xf>
    <xf numFmtId="0" fontId="0" fillId="0" borderId="0" xfId="0" applyBorder="1" applyAlignment="1">
      <alignment horizontal="center"/>
    </xf>
    <xf numFmtId="0" fontId="0" fillId="0" borderId="14" xfId="0" applyBorder="1" applyAlignment="1">
      <alignment horizontal="center"/>
    </xf>
    <xf numFmtId="0" fontId="0" fillId="0" borderId="13" xfId="0" applyBorder="1" applyAlignment="1">
      <alignment horizontal="left" vertical="center"/>
    </xf>
    <xf numFmtId="0" fontId="0" fillId="0" borderId="0" xfId="0" applyBorder="1" applyAlignment="1">
      <alignment horizontal="left" vertical="center"/>
    </xf>
    <xf numFmtId="0" fontId="0" fillId="0" borderId="14" xfId="0" applyBorder="1" applyAlignment="1">
      <alignment horizontal="left" vertical="center"/>
    </xf>
    <xf numFmtId="0" fontId="0" fillId="0" borderId="3" xfId="0" applyBorder="1" applyAlignment="1">
      <alignment horizontal="left" vertical="center"/>
    </xf>
    <xf numFmtId="0" fontId="0" fillId="0" borderId="1" xfId="0" applyBorder="1" applyAlignment="1">
      <alignment horizontal="left" vertical="center"/>
    </xf>
    <xf numFmtId="0" fontId="0" fillId="0" borderId="15" xfId="0" applyBorder="1" applyAlignment="1">
      <alignment horizontal="left" vertical="center"/>
    </xf>
    <xf numFmtId="0" fontId="0" fillId="0" borderId="35" xfId="0" applyBorder="1" applyAlignment="1">
      <alignment horizontal="left" vertical="center"/>
    </xf>
    <xf numFmtId="0" fontId="0" fillId="0" borderId="4" xfId="0" applyBorder="1" applyAlignment="1">
      <alignment horizontal="left" vertical="center"/>
    </xf>
    <xf numFmtId="0" fontId="0" fillId="0" borderId="36" xfId="0" applyBorder="1" applyAlignment="1">
      <alignment horizontal="left" vertical="center"/>
    </xf>
    <xf numFmtId="0" fontId="0" fillId="0" borderId="37" xfId="0" applyBorder="1" applyAlignment="1">
      <alignment horizontal="left" vertical="center"/>
    </xf>
    <xf numFmtId="0" fontId="0" fillId="0" borderId="38" xfId="0" applyBorder="1" applyAlignment="1">
      <alignment horizontal="left" vertical="center"/>
    </xf>
    <xf numFmtId="0" fontId="0" fillId="0" borderId="37" xfId="0" applyBorder="1" applyAlignment="1">
      <alignment horizontal="left" vertical="center" wrapText="1"/>
    </xf>
    <xf numFmtId="0" fontId="0" fillId="0" borderId="0" xfId="0" applyBorder="1" applyAlignment="1">
      <alignment horizontal="left" vertical="center" wrapText="1"/>
    </xf>
    <xf numFmtId="0" fontId="0" fillId="0" borderId="38" xfId="0" applyBorder="1" applyAlignment="1">
      <alignment horizontal="left" vertical="center" wrapText="1"/>
    </xf>
    <xf numFmtId="0" fontId="0" fillId="0" borderId="39" xfId="0" applyBorder="1" applyAlignment="1">
      <alignment horizontal="left" vertical="center" wrapText="1"/>
    </xf>
    <xf numFmtId="0" fontId="0" fillId="0" borderId="40" xfId="0" applyBorder="1" applyAlignment="1">
      <alignment horizontal="left" vertical="center" wrapText="1"/>
    </xf>
    <xf numFmtId="0" fontId="0" fillId="0" borderId="41" xfId="0" applyBorder="1" applyAlignment="1">
      <alignment horizontal="left" vertical="center" wrapText="1"/>
    </xf>
    <xf numFmtId="0" fontId="6" fillId="6" borderId="7" xfId="0" applyFont="1" applyFill="1" applyBorder="1" applyAlignment="1">
      <alignment horizontal="center" vertical="center"/>
    </xf>
    <xf numFmtId="0" fontId="6" fillId="6" borderId="9" xfId="0" applyFont="1" applyFill="1" applyBorder="1" applyAlignment="1">
      <alignment horizontal="center" vertical="center"/>
    </xf>
    <xf numFmtId="0" fontId="6" fillId="6" borderId="8" xfId="0" applyFont="1" applyFill="1" applyBorder="1" applyAlignment="1">
      <alignment horizontal="center" vertical="center"/>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 xfId="0" applyBorder="1" applyAlignment="1">
      <alignment horizontal="center"/>
    </xf>
    <xf numFmtId="0" fontId="0" fillId="0" borderId="15" xfId="0" applyBorder="1" applyAlignment="1">
      <alignment horizontal="center"/>
    </xf>
    <xf numFmtId="0" fontId="0" fillId="2" borderId="0" xfId="0" applyFill="1" applyBorder="1" applyAlignment="1">
      <alignment horizontal="center"/>
    </xf>
    <xf numFmtId="0" fontId="0" fillId="2" borderId="14" xfId="0" applyFill="1" applyBorder="1" applyAlignment="1">
      <alignment horizontal="center"/>
    </xf>
    <xf numFmtId="0" fontId="0" fillId="0" borderId="4" xfId="0" applyBorder="1" applyAlignment="1">
      <alignment horizontal="center"/>
    </xf>
    <xf numFmtId="0" fontId="0" fillId="0" borderId="12" xfId="0" applyBorder="1" applyAlignment="1">
      <alignment horizontal="center"/>
    </xf>
    <xf numFmtId="0" fontId="0" fillId="3" borderId="10" xfId="0" applyFill="1" applyBorder="1" applyAlignment="1">
      <alignment horizontal="center" vertical="center" wrapText="1"/>
    </xf>
    <xf numFmtId="0" fontId="0" fillId="3" borderId="11" xfId="0" applyFill="1" applyBorder="1" applyAlignment="1">
      <alignment horizontal="center" vertical="center" wrapText="1"/>
    </xf>
    <xf numFmtId="0" fontId="8" fillId="3" borderId="4" xfId="0" applyFont="1" applyFill="1" applyBorder="1" applyAlignment="1">
      <alignment horizontal="left" vertical="center"/>
    </xf>
    <xf numFmtId="0" fontId="8" fillId="3" borderId="12" xfId="0" applyFont="1" applyFill="1" applyBorder="1" applyAlignment="1">
      <alignment horizontal="left" vertical="center"/>
    </xf>
    <xf numFmtId="0" fontId="8" fillId="3" borderId="1" xfId="0" applyFont="1" applyFill="1" applyBorder="1" applyAlignment="1">
      <alignment horizontal="left" vertical="center"/>
    </xf>
    <xf numFmtId="0" fontId="8" fillId="3" borderId="15" xfId="0" applyFont="1" applyFill="1" applyBorder="1" applyAlignment="1">
      <alignment horizontal="left" vertical="center"/>
    </xf>
    <xf numFmtId="0" fontId="6" fillId="3" borderId="7"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7" xfId="0" applyFont="1" applyFill="1" applyBorder="1" applyAlignment="1">
      <alignment horizontal="center"/>
    </xf>
    <xf numFmtId="0" fontId="6" fillId="3" borderId="8" xfId="0" applyFont="1" applyFill="1" applyBorder="1" applyAlignment="1">
      <alignment horizontal="center"/>
    </xf>
    <xf numFmtId="0" fontId="0" fillId="0" borderId="5" xfId="0" applyBorder="1" applyAlignment="1">
      <alignment horizontal="center"/>
    </xf>
    <xf numFmtId="0" fontId="6" fillId="0" borderId="0" xfId="0" applyFont="1" applyFill="1" applyBorder="1" applyAlignment="1">
      <alignment horizontal="center" vertical="center"/>
    </xf>
    <xf numFmtId="0" fontId="0" fillId="0" borderId="0" xfId="0" applyBorder="1" applyAlignment="1">
      <alignment horizontal="center" vertical="center"/>
    </xf>
    <xf numFmtId="0" fontId="6" fillId="0" borderId="0" xfId="0" applyFont="1" applyBorder="1" applyAlignment="1">
      <alignment horizontal="right" vertical="center"/>
    </xf>
    <xf numFmtId="0" fontId="6" fillId="0" borderId="0" xfId="0" applyFont="1" applyBorder="1" applyAlignment="1">
      <alignment horizontal="center" vertical="center"/>
    </xf>
    <xf numFmtId="3" fontId="6" fillId="0" borderId="0" xfId="0" applyNumberFormat="1" applyFont="1" applyBorder="1" applyAlignment="1">
      <alignment horizontal="center" vertical="center"/>
    </xf>
    <xf numFmtId="0" fontId="0" fillId="0" borderId="7" xfId="0" applyBorder="1" applyAlignment="1">
      <alignment horizontal="center"/>
    </xf>
    <xf numFmtId="0" fontId="0" fillId="0" borderId="8" xfId="0" applyBorder="1" applyAlignment="1">
      <alignment horizontal="center"/>
    </xf>
    <xf numFmtId="0" fontId="0" fillId="0" borderId="7" xfId="0" applyFill="1" applyBorder="1" applyAlignment="1">
      <alignment horizontal="center"/>
    </xf>
    <xf numFmtId="0" fontId="0" fillId="0" borderId="8" xfId="0" applyFill="1" applyBorder="1" applyAlignment="1">
      <alignment horizontal="center"/>
    </xf>
    <xf numFmtId="0" fontId="6" fillId="3" borderId="7" xfId="0" applyFont="1" applyFill="1" applyBorder="1" applyAlignment="1">
      <alignment horizontal="left" vertical="center"/>
    </xf>
    <xf numFmtId="0" fontId="6" fillId="3" borderId="9" xfId="0" applyFont="1" applyFill="1" applyBorder="1" applyAlignment="1">
      <alignment horizontal="left" vertical="center"/>
    </xf>
    <xf numFmtId="0" fontId="6" fillId="3" borderId="1" xfId="0" applyFont="1" applyFill="1" applyBorder="1" applyAlignment="1">
      <alignment horizontal="left" vertical="center"/>
    </xf>
    <xf numFmtId="0" fontId="6" fillId="3" borderId="15" xfId="0" applyFont="1" applyFill="1" applyBorder="1" applyAlignment="1">
      <alignment horizontal="left" vertical="center"/>
    </xf>
    <xf numFmtId="0" fontId="0" fillId="0" borderId="10" xfId="0" applyBorder="1" applyAlignment="1">
      <alignment horizontal="center" vertical="center" wrapText="1"/>
    </xf>
    <xf numFmtId="0" fontId="0" fillId="0" borderId="11" xfId="0" applyBorder="1" applyAlignment="1">
      <alignment horizontal="center" vertical="center"/>
    </xf>
    <xf numFmtId="0" fontId="0" fillId="0" borderId="2" xfId="0" quotePrefix="1" applyBorder="1" applyAlignment="1">
      <alignment horizontal="center" vertical="center"/>
    </xf>
    <xf numFmtId="0" fontId="0" fillId="0" borderId="13" xfId="0" applyBorder="1" applyAlignment="1">
      <alignment horizontal="center" vertical="center"/>
    </xf>
    <xf numFmtId="0" fontId="0" fillId="3" borderId="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1" xfId="0" applyFill="1" applyBorder="1" applyAlignment="1">
      <alignment horizontal="center" vertical="center" wrapText="1"/>
    </xf>
    <xf numFmtId="165" fontId="0" fillId="0" borderId="13" xfId="0" applyNumberFormat="1" applyBorder="1" applyAlignment="1">
      <alignment horizontal="right" vertical="center"/>
    </xf>
    <xf numFmtId="0" fontId="0" fillId="0" borderId="0" xfId="0" applyFont="1" applyAlignment="1">
      <alignment horizontal="left" wrapText="1"/>
    </xf>
    <xf numFmtId="0" fontId="0" fillId="0" borderId="14" xfId="0" applyFont="1" applyBorder="1" applyAlignment="1">
      <alignment horizontal="left" wrapText="1"/>
    </xf>
    <xf numFmtId="0" fontId="0" fillId="0" borderId="0" xfId="0" applyFont="1" applyAlignment="1">
      <alignment horizontal="center" wrapText="1"/>
    </xf>
    <xf numFmtId="0" fontId="0" fillId="0" borderId="14" xfId="0" applyFont="1" applyBorder="1" applyAlignment="1">
      <alignment horizontal="center" wrapText="1"/>
    </xf>
    <xf numFmtId="0" fontId="6" fillId="7" borderId="32" xfId="0" applyFont="1" applyFill="1" applyBorder="1" applyAlignment="1">
      <alignment horizontal="center" vertical="center"/>
    </xf>
    <xf numFmtId="0" fontId="6" fillId="7" borderId="33" xfId="0" applyFont="1" applyFill="1" applyBorder="1" applyAlignment="1">
      <alignment horizontal="center" vertical="center"/>
    </xf>
    <xf numFmtId="0" fontId="6" fillId="7" borderId="34" xfId="0" applyFont="1" applyFill="1" applyBorder="1" applyAlignment="1">
      <alignment horizontal="center" vertical="center"/>
    </xf>
    <xf numFmtId="0" fontId="0" fillId="0" borderId="10" xfId="0" applyBorder="1" applyAlignment="1">
      <alignment horizontal="center"/>
    </xf>
    <xf numFmtId="165" fontId="6" fillId="2" borderId="3" xfId="0" applyNumberFormat="1" applyFont="1" applyFill="1" applyBorder="1" applyAlignment="1">
      <alignment horizontal="center" vertical="center"/>
    </xf>
    <xf numFmtId="165" fontId="6" fillId="2" borderId="1" xfId="0" applyNumberFormat="1" applyFont="1" applyFill="1" applyBorder="1" applyAlignment="1">
      <alignment horizontal="center" vertical="center"/>
    </xf>
    <xf numFmtId="165" fontId="6" fillId="2" borderId="15" xfId="0" applyNumberFormat="1" applyFont="1" applyFill="1" applyBorder="1" applyAlignment="1">
      <alignment horizontal="center" vertical="center"/>
    </xf>
    <xf numFmtId="0" fontId="0" fillId="3" borderId="2" xfId="0" applyFill="1" applyBorder="1" applyAlignment="1">
      <alignment horizontal="center" vertical="center" wrapText="1"/>
    </xf>
    <xf numFmtId="0" fontId="0" fillId="3" borderId="12" xfId="0" applyFill="1" applyBorder="1" applyAlignment="1">
      <alignment horizontal="center" vertical="center" wrapText="1"/>
    </xf>
    <xf numFmtId="0" fontId="0" fillId="3" borderId="13" xfId="0" applyFill="1" applyBorder="1" applyAlignment="1">
      <alignment horizontal="center" vertical="center" wrapText="1"/>
    </xf>
    <xf numFmtId="0" fontId="0" fillId="3" borderId="14" xfId="0" applyFill="1" applyBorder="1" applyAlignment="1">
      <alignment horizontal="center" vertical="center" wrapText="1"/>
    </xf>
    <xf numFmtId="0" fontId="0" fillId="0" borderId="9" xfId="0" applyFill="1" applyBorder="1" applyAlignment="1">
      <alignment horizontal="left" vertical="center"/>
    </xf>
    <xf numFmtId="0" fontId="0" fillId="0" borderId="8" xfId="0" applyFill="1" applyBorder="1" applyAlignment="1">
      <alignment horizontal="left" vertical="center"/>
    </xf>
    <xf numFmtId="0" fontId="0" fillId="0" borderId="4" xfId="0" applyBorder="1" applyAlignment="1">
      <alignment horizontal="left" wrapText="1"/>
    </xf>
    <xf numFmtId="0" fontId="0" fillId="0" borderId="12" xfId="0" applyBorder="1" applyAlignment="1">
      <alignment horizontal="left" wrapText="1"/>
    </xf>
    <xf numFmtId="0" fontId="0" fillId="3" borderId="11" xfId="0" applyFill="1" applyBorder="1" applyAlignment="1">
      <alignment horizontal="center" vertical="center"/>
    </xf>
    <xf numFmtId="0" fontId="0" fillId="0" borderId="4" xfId="0" applyNumberFormat="1" applyBorder="1" applyAlignment="1">
      <alignment horizontal="center"/>
    </xf>
    <xf numFmtId="0" fontId="0" fillId="0" borderId="12" xfId="0" applyNumberFormat="1" applyBorder="1" applyAlignment="1">
      <alignment horizontal="center"/>
    </xf>
    <xf numFmtId="0" fontId="6" fillId="3" borderId="17"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27"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16" xfId="0" applyFont="1" applyFill="1" applyBorder="1" applyAlignment="1">
      <alignment horizontal="center" vertical="center"/>
    </xf>
    <xf numFmtId="0" fontId="6" fillId="3" borderId="18" xfId="0" applyFont="1" applyFill="1" applyBorder="1" applyAlignment="1">
      <alignment horizontal="center" vertical="center"/>
    </xf>
    <xf numFmtId="0" fontId="6" fillId="3" borderId="26" xfId="0" applyFont="1" applyFill="1" applyBorder="1" applyAlignment="1">
      <alignment horizontal="center" vertical="center"/>
    </xf>
    <xf numFmtId="0" fontId="6" fillId="3" borderId="28" xfId="0" applyFont="1" applyFill="1" applyBorder="1" applyAlignment="1">
      <alignment horizontal="center" vertical="center"/>
    </xf>
    <xf numFmtId="164" fontId="0" fillId="0" borderId="5" xfId="0" applyNumberFormat="1" applyBorder="1" applyAlignment="1">
      <alignment horizontal="center" vertical="center"/>
    </xf>
    <xf numFmtId="164" fontId="0" fillId="0" borderId="22" xfId="0" applyNumberFormat="1" applyBorder="1" applyAlignment="1">
      <alignment horizontal="center" vertical="center"/>
    </xf>
    <xf numFmtId="164" fontId="0" fillId="0" borderId="6" xfId="0" applyNumberFormat="1"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1" fontId="0" fillId="0" borderId="19" xfId="0" applyNumberFormat="1" applyBorder="1" applyAlignment="1">
      <alignment horizontal="center" vertical="center"/>
    </xf>
    <xf numFmtId="1" fontId="0" fillId="0" borderId="5" xfId="0" applyNumberFormat="1" applyBorder="1" applyAlignment="1">
      <alignment horizontal="center" vertical="center"/>
    </xf>
    <xf numFmtId="0" fontId="6" fillId="3" borderId="17" xfId="0" applyFont="1" applyFill="1" applyBorder="1" applyAlignment="1">
      <alignment horizontal="center" vertical="center"/>
    </xf>
    <xf numFmtId="0" fontId="6" fillId="3" borderId="27" xfId="0" applyFont="1" applyFill="1" applyBorder="1" applyAlignment="1">
      <alignment horizontal="center" vertical="center"/>
    </xf>
    <xf numFmtId="1" fontId="0" fillId="0" borderId="24" xfId="0" applyNumberFormat="1" applyBorder="1" applyAlignment="1">
      <alignment horizontal="center" vertical="center"/>
    </xf>
    <xf numFmtId="1" fontId="0" fillId="0" borderId="6" xfId="0" applyNumberFormat="1" applyBorder="1" applyAlignment="1">
      <alignment horizontal="center" vertical="center"/>
    </xf>
    <xf numFmtId="1" fontId="0" fillId="0" borderId="21" xfId="0" applyNumberFormat="1" applyBorder="1" applyAlignment="1">
      <alignment horizontal="center" vertical="center"/>
    </xf>
    <xf numFmtId="1" fontId="0" fillId="0" borderId="22" xfId="0" applyNumberFormat="1" applyBorder="1" applyAlignment="1">
      <alignment horizontal="center" vertical="center"/>
    </xf>
    <xf numFmtId="164" fontId="0" fillId="0" borderId="7" xfId="0" applyNumberFormat="1" applyBorder="1" applyAlignment="1">
      <alignment horizontal="center" vertical="center"/>
    </xf>
    <xf numFmtId="164" fontId="0" fillId="0" borderId="29" xfId="0" applyNumberFormat="1" applyBorder="1" applyAlignment="1">
      <alignment horizontal="center" vertical="center"/>
    </xf>
    <xf numFmtId="164" fontId="0" fillId="0" borderId="3" xfId="0" applyNumberFormat="1"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12" fillId="0" borderId="19" xfId="1" applyFont="1" applyBorder="1" applyAlignment="1">
      <alignment horizontal="center" vertical="center"/>
    </xf>
    <xf numFmtId="0" fontId="12" fillId="0" borderId="5" xfId="1" applyFont="1" applyBorder="1" applyAlignment="1">
      <alignment horizontal="center" vertical="center"/>
    </xf>
    <xf numFmtId="0" fontId="12" fillId="0" borderId="21" xfId="1" applyFont="1" applyBorder="1" applyAlignment="1">
      <alignment horizontal="center" vertical="center"/>
    </xf>
    <xf numFmtId="0" fontId="12" fillId="0" borderId="22" xfId="1" applyFont="1" applyBorder="1" applyAlignment="1">
      <alignment horizontal="center" vertical="center"/>
    </xf>
    <xf numFmtId="168" fontId="5" fillId="0" borderId="5" xfId="1" applyNumberFormat="1" applyBorder="1" applyAlignment="1">
      <alignment horizontal="center" vertical="center"/>
    </xf>
    <xf numFmtId="168" fontId="5" fillId="0" borderId="20" xfId="1" applyNumberFormat="1" applyBorder="1" applyAlignment="1">
      <alignment horizontal="center" vertical="center"/>
    </xf>
    <xf numFmtId="168" fontId="5" fillId="0" borderId="22" xfId="1" applyNumberFormat="1" applyBorder="1" applyAlignment="1">
      <alignment horizontal="center" vertical="center"/>
    </xf>
    <xf numFmtId="168" fontId="5" fillId="0" borderId="23" xfId="1" applyNumberFormat="1" applyBorder="1" applyAlignment="1">
      <alignment horizontal="center" vertical="center"/>
    </xf>
    <xf numFmtId="0" fontId="12" fillId="0" borderId="19" xfId="1" applyFont="1" applyBorder="1" applyAlignment="1">
      <alignment horizontal="right" vertical="center"/>
    </xf>
    <xf numFmtId="0" fontId="12" fillId="0" borderId="5" xfId="1" applyFont="1" applyBorder="1" applyAlignment="1">
      <alignment horizontal="right" vertical="center"/>
    </xf>
    <xf numFmtId="0" fontId="5" fillId="0" borderId="5" xfId="1" applyBorder="1" applyAlignment="1">
      <alignment horizontal="left" vertical="center" wrapText="1"/>
    </xf>
    <xf numFmtId="0" fontId="5" fillId="0" borderId="20" xfId="1" applyBorder="1" applyAlignment="1">
      <alignment horizontal="left" vertical="center" wrapText="1"/>
    </xf>
    <xf numFmtId="0" fontId="12" fillId="0" borderId="24" xfId="1" applyFont="1" applyBorder="1" applyAlignment="1">
      <alignment horizontal="right" vertical="center"/>
    </xf>
    <xf numFmtId="0" fontId="12" fillId="0" borderId="6" xfId="1" applyFont="1" applyBorder="1" applyAlignment="1">
      <alignment horizontal="right" vertical="center"/>
    </xf>
    <xf numFmtId="0" fontId="5" fillId="0" borderId="6" xfId="1" applyBorder="1" applyAlignment="1">
      <alignment horizontal="left" vertical="center"/>
    </xf>
    <xf numFmtId="0" fontId="5" fillId="0" borderId="25" xfId="1" applyBorder="1" applyAlignment="1">
      <alignment horizontal="left" vertical="center"/>
    </xf>
    <xf numFmtId="0" fontId="5" fillId="0" borderId="5" xfId="1" applyBorder="1" applyAlignment="1">
      <alignment horizontal="left" vertical="center"/>
    </xf>
    <xf numFmtId="0" fontId="5" fillId="0" borderId="20" xfId="1" applyBorder="1" applyAlignment="1">
      <alignment horizontal="left" vertical="center"/>
    </xf>
    <xf numFmtId="0" fontId="12" fillId="0" borderId="21" xfId="1" applyFont="1" applyBorder="1" applyAlignment="1">
      <alignment horizontal="right" vertical="center"/>
    </xf>
    <xf numFmtId="0" fontId="12" fillId="0" borderId="22" xfId="1" applyFont="1" applyBorder="1" applyAlignment="1">
      <alignment horizontal="right" vertical="center"/>
    </xf>
    <xf numFmtId="0" fontId="5" fillId="0" borderId="22" xfId="1" applyBorder="1" applyAlignment="1">
      <alignment horizontal="left"/>
    </xf>
    <xf numFmtId="0" fontId="5" fillId="0" borderId="23" xfId="1" applyBorder="1" applyAlignment="1">
      <alignment horizontal="left"/>
    </xf>
    <xf numFmtId="0" fontId="5" fillId="0" borderId="0" xfId="1" applyAlignment="1">
      <alignment horizontal="right"/>
    </xf>
    <xf numFmtId="0" fontId="5" fillId="0" borderId="0" xfId="1" applyAlignment="1">
      <alignment horizontal="left"/>
    </xf>
    <xf numFmtId="2" fontId="5" fillId="5" borderId="22" xfId="1" applyNumberFormat="1" applyFill="1" applyBorder="1" applyAlignment="1">
      <alignment horizontal="center" vertical="center"/>
    </xf>
    <xf numFmtId="2" fontId="5" fillId="5" borderId="23" xfId="1" applyNumberFormat="1" applyFill="1" applyBorder="1" applyAlignment="1">
      <alignment horizontal="center" vertical="center"/>
    </xf>
    <xf numFmtId="0" fontId="12" fillId="0" borderId="17" xfId="1" applyFont="1" applyBorder="1" applyAlignment="1">
      <alignment horizontal="center" vertical="center"/>
    </xf>
    <xf numFmtId="166" fontId="12" fillId="0" borderId="17" xfId="1" applyNumberFormat="1" applyFont="1" applyBorder="1" applyAlignment="1">
      <alignment horizontal="center" vertical="center"/>
    </xf>
    <xf numFmtId="0" fontId="12" fillId="0" borderId="17" xfId="1" quotePrefix="1" applyFont="1" applyBorder="1" applyAlignment="1">
      <alignment horizontal="center" wrapText="1"/>
    </xf>
    <xf numFmtId="0" fontId="5" fillId="0" borderId="17" xfId="1" applyBorder="1" applyAlignment="1">
      <alignment horizontal="center"/>
    </xf>
    <xf numFmtId="0" fontId="5" fillId="0" borderId="18" xfId="1" applyBorder="1" applyAlignment="1">
      <alignment horizontal="center"/>
    </xf>
    <xf numFmtId="0" fontId="5" fillId="0" borderId="5" xfId="1" applyBorder="1" applyAlignment="1">
      <alignment horizontal="center"/>
    </xf>
    <xf numFmtId="0" fontId="5" fillId="0" borderId="20" xfId="1" applyBorder="1" applyAlignment="1">
      <alignment horizontal="center"/>
    </xf>
    <xf numFmtId="0" fontId="5" fillId="0" borderId="27" xfId="1" applyBorder="1" applyAlignment="1">
      <alignment horizontal="center"/>
    </xf>
    <xf numFmtId="0" fontId="5" fillId="0" borderId="28" xfId="1" applyBorder="1" applyAlignment="1">
      <alignment horizontal="center"/>
    </xf>
    <xf numFmtId="0" fontId="12" fillId="0" borderId="24" xfId="1" applyFont="1" applyBorder="1" applyAlignment="1">
      <alignment horizontal="center" vertical="center"/>
    </xf>
    <xf numFmtId="0" fontId="12" fillId="0" borderId="6" xfId="1" applyFont="1" applyBorder="1" applyAlignment="1">
      <alignment horizontal="center" vertical="center"/>
    </xf>
    <xf numFmtId="2" fontId="5" fillId="0" borderId="6" xfId="1" applyNumberFormat="1" applyBorder="1" applyAlignment="1">
      <alignment horizontal="center" vertical="center"/>
    </xf>
    <xf numFmtId="2" fontId="5" fillId="0" borderId="25" xfId="1" applyNumberFormat="1" applyBorder="1" applyAlignment="1">
      <alignment horizontal="center" vertical="center"/>
    </xf>
    <xf numFmtId="2" fontId="5" fillId="0" borderId="5" xfId="1" applyNumberFormat="1" applyBorder="1" applyAlignment="1">
      <alignment horizontal="center" vertical="center"/>
    </xf>
    <xf numFmtId="2" fontId="5" fillId="0" borderId="20" xfId="1" applyNumberFormat="1" applyBorder="1" applyAlignment="1">
      <alignment horizontal="center" vertical="center"/>
    </xf>
    <xf numFmtId="167" fontId="12" fillId="0" borderId="5" xfId="1" applyNumberFormat="1" applyFont="1" applyFill="1" applyBorder="1" applyAlignment="1">
      <alignment horizontal="center" vertical="center"/>
    </xf>
    <xf numFmtId="0" fontId="12" fillId="0" borderId="26" xfId="1" applyFont="1" applyBorder="1" applyAlignment="1">
      <alignment horizontal="center" vertical="center"/>
    </xf>
    <xf numFmtId="0" fontId="12" fillId="0" borderId="27" xfId="1" applyFont="1" applyBorder="1" applyAlignment="1">
      <alignment horizontal="center" vertical="center"/>
    </xf>
    <xf numFmtId="3" fontId="12" fillId="0" borderId="27" xfId="1" applyNumberFormat="1" applyFont="1" applyBorder="1" applyAlignment="1">
      <alignment horizontal="center" vertical="center"/>
    </xf>
    <xf numFmtId="0" fontId="5" fillId="0" borderId="21" xfId="1" applyBorder="1" applyAlignment="1">
      <alignment horizontal="center" vertical="center"/>
    </xf>
    <xf numFmtId="0" fontId="5" fillId="0" borderId="22" xfId="1" applyBorder="1" applyAlignment="1">
      <alignment horizontal="center" vertical="center"/>
    </xf>
    <xf numFmtId="0" fontId="5" fillId="0" borderId="19" xfId="1" applyBorder="1" applyAlignment="1">
      <alignment horizontal="center" vertical="center"/>
    </xf>
    <xf numFmtId="0" fontId="5" fillId="0" borderId="5" xfId="1" applyBorder="1" applyAlignment="1">
      <alignment horizontal="center" vertical="center"/>
    </xf>
    <xf numFmtId="2" fontId="5" fillId="5" borderId="5" xfId="1" applyNumberFormat="1" applyFill="1" applyBorder="1" applyAlignment="1">
      <alignment horizontal="center" vertical="center"/>
    </xf>
    <xf numFmtId="2" fontId="5" fillId="5" borderId="20" xfId="1" applyNumberFormat="1" applyFill="1" applyBorder="1" applyAlignment="1">
      <alignment horizontal="center" vertical="center"/>
    </xf>
    <xf numFmtId="0" fontId="5" fillId="0" borderId="6" xfId="1" applyBorder="1" applyAlignment="1">
      <alignment horizontal="center" vertical="center"/>
    </xf>
    <xf numFmtId="166" fontId="5" fillId="0" borderId="6" xfId="1" applyNumberFormat="1" applyBorder="1" applyAlignment="1">
      <alignment horizontal="center" vertical="center"/>
    </xf>
    <xf numFmtId="9" fontId="5" fillId="0" borderId="6" xfId="1" applyNumberFormat="1" applyBorder="1" applyAlignment="1">
      <alignment horizontal="center" vertical="center"/>
    </xf>
    <xf numFmtId="9" fontId="5" fillId="0" borderId="5" xfId="1" applyNumberFormat="1" applyBorder="1" applyAlignment="1">
      <alignment horizontal="center" vertical="center"/>
    </xf>
    <xf numFmtId="166" fontId="5" fillId="0" borderId="5" xfId="1" applyNumberFormat="1" applyBorder="1" applyAlignment="1">
      <alignment horizontal="center" vertical="center"/>
    </xf>
    <xf numFmtId="0" fontId="15" fillId="0" borderId="5" xfId="1" quotePrefix="1" applyFont="1" applyBorder="1" applyAlignment="1">
      <alignment horizontal="center" vertical="center"/>
    </xf>
    <xf numFmtId="0" fontId="15" fillId="0" borderId="20" xfId="1" applyFont="1" applyBorder="1" applyAlignment="1">
      <alignment horizontal="center" vertical="center"/>
    </xf>
    <xf numFmtId="0" fontId="5" fillId="0" borderId="25" xfId="1" applyBorder="1" applyAlignment="1">
      <alignment horizontal="center" vertical="center"/>
    </xf>
    <xf numFmtId="0" fontId="5" fillId="0" borderId="24" xfId="1" applyBorder="1" applyAlignment="1">
      <alignment horizontal="center" vertical="center"/>
    </xf>
    <xf numFmtId="2" fontId="5" fillId="5" borderId="6" xfId="1" applyNumberFormat="1" applyFill="1" applyBorder="1" applyAlignment="1">
      <alignment horizontal="center" vertical="center"/>
    </xf>
    <xf numFmtId="2" fontId="5" fillId="5" borderId="25" xfId="1" applyNumberFormat="1" applyFill="1" applyBorder="1" applyAlignment="1">
      <alignment horizontal="center" vertical="center"/>
    </xf>
    <xf numFmtId="0" fontId="12" fillId="0" borderId="16" xfId="1" applyFont="1" applyBorder="1" applyAlignment="1">
      <alignment horizontal="center" vertical="center"/>
    </xf>
    <xf numFmtId="0" fontId="12" fillId="0" borderId="18" xfId="1" applyFont="1" applyBorder="1" applyAlignment="1">
      <alignment horizontal="center" vertical="center"/>
    </xf>
    <xf numFmtId="0" fontId="12" fillId="0" borderId="23" xfId="1" applyFont="1" applyBorder="1" applyAlignment="1">
      <alignment horizontal="center" vertical="center"/>
    </xf>
    <xf numFmtId="0" fontId="12" fillId="3" borderId="16" xfId="1" applyFont="1" applyFill="1" applyBorder="1" applyAlignment="1">
      <alignment horizontal="center" wrapText="1"/>
    </xf>
    <xf numFmtId="0" fontId="12" fillId="3" borderId="17" xfId="1" applyFont="1" applyFill="1" applyBorder="1" applyAlignment="1">
      <alignment horizontal="center" wrapText="1"/>
    </xf>
    <xf numFmtId="0" fontId="12" fillId="3" borderId="18" xfId="1" applyFont="1" applyFill="1" applyBorder="1" applyAlignment="1">
      <alignment horizontal="center" wrapText="1"/>
    </xf>
    <xf numFmtId="0" fontId="12" fillId="3" borderId="19" xfId="1" applyFont="1" applyFill="1" applyBorder="1" applyAlignment="1">
      <alignment horizontal="center" wrapText="1"/>
    </xf>
    <xf numFmtId="0" fontId="12" fillId="3" borderId="5" xfId="1" applyFont="1" applyFill="1" applyBorder="1" applyAlignment="1">
      <alignment horizontal="center" wrapText="1"/>
    </xf>
    <xf numFmtId="0" fontId="12" fillId="3" borderId="20" xfId="1" applyFont="1" applyFill="1" applyBorder="1" applyAlignment="1">
      <alignment horizontal="center" wrapText="1"/>
    </xf>
    <xf numFmtId="0" fontId="12" fillId="0" borderId="5" xfId="1" applyFont="1" applyBorder="1" applyAlignment="1">
      <alignment horizontal="center" vertical="center" wrapText="1"/>
    </xf>
    <xf numFmtId="0" fontId="12" fillId="0" borderId="5" xfId="1" applyFont="1" applyBorder="1" applyAlignment="1">
      <alignment horizontal="center" wrapText="1"/>
    </xf>
    <xf numFmtId="0" fontId="12" fillId="0" borderId="20" xfId="1" applyFont="1" applyBorder="1" applyAlignment="1">
      <alignment horizontal="center" vertical="center" wrapText="1"/>
    </xf>
    <xf numFmtId="0" fontId="4" fillId="3" borderId="0" xfId="2" applyFill="1" applyBorder="1" applyAlignment="1">
      <alignment horizontal="center" vertical="center"/>
    </xf>
    <xf numFmtId="0" fontId="4" fillId="3" borderId="7" xfId="2" applyFill="1" applyBorder="1" applyAlignment="1">
      <alignment horizontal="center" vertical="center"/>
    </xf>
    <xf numFmtId="0" fontId="4" fillId="3" borderId="8" xfId="2" applyFill="1" applyBorder="1" applyAlignment="1">
      <alignment horizontal="center" vertical="center"/>
    </xf>
    <xf numFmtId="0" fontId="4" fillId="3" borderId="7" xfId="2" applyFill="1" applyBorder="1" applyAlignment="1">
      <alignment horizontal="left" vertical="center"/>
    </xf>
    <xf numFmtId="0" fontId="4" fillId="3" borderId="8" xfId="2" applyFill="1" applyBorder="1" applyAlignment="1">
      <alignment horizontal="left" vertical="center"/>
    </xf>
    <xf numFmtId="0" fontId="4" fillId="0" borderId="7" xfId="2" applyBorder="1" applyAlignment="1">
      <alignment horizontal="left" vertical="center"/>
    </xf>
    <xf numFmtId="0" fontId="4" fillId="0" borderId="9" xfId="2" applyBorder="1" applyAlignment="1">
      <alignment horizontal="left" vertical="center"/>
    </xf>
    <xf numFmtId="0" fontId="4" fillId="0" borderId="8" xfId="2" applyBorder="1" applyAlignment="1">
      <alignment horizontal="left" vertical="center"/>
    </xf>
    <xf numFmtId="0" fontId="12" fillId="0" borderId="5" xfId="2" applyFont="1" applyBorder="1" applyAlignment="1">
      <alignment horizontal="center" vertical="center"/>
    </xf>
    <xf numFmtId="0" fontId="12" fillId="0" borderId="10" xfId="2" applyFont="1" applyBorder="1" applyAlignment="1">
      <alignment horizontal="center" vertical="center"/>
    </xf>
    <xf numFmtId="0" fontId="4" fillId="0" borderId="3" xfId="2" applyBorder="1" applyAlignment="1">
      <alignment horizontal="center"/>
    </xf>
    <xf numFmtId="0" fontId="4" fillId="0" borderId="1" xfId="2" applyBorder="1" applyAlignment="1">
      <alignment horizontal="center"/>
    </xf>
    <xf numFmtId="0" fontId="4" fillId="0" borderId="7" xfId="2" quotePrefix="1" applyBorder="1" applyAlignment="1">
      <alignment horizontal="center" vertical="center"/>
    </xf>
    <xf numFmtId="0" fontId="4" fillId="0" borderId="8" xfId="2" applyBorder="1" applyAlignment="1">
      <alignment horizontal="center" vertical="center"/>
    </xf>
    <xf numFmtId="164" fontId="4" fillId="0" borderId="5" xfId="2" applyNumberFormat="1" applyBorder="1" applyAlignment="1">
      <alignment horizontal="center" vertical="center"/>
    </xf>
    <xf numFmtId="0" fontId="4" fillId="0" borderId="5" xfId="2" applyBorder="1" applyAlignment="1">
      <alignment horizontal="center" vertical="center"/>
    </xf>
    <xf numFmtId="0" fontId="3" fillId="3" borderId="7" xfId="2" applyFont="1" applyFill="1" applyBorder="1" applyAlignment="1">
      <alignment horizontal="center" vertical="center"/>
    </xf>
    <xf numFmtId="0" fontId="2" fillId="0" borderId="7" xfId="2" applyFont="1" applyBorder="1" applyAlignment="1">
      <alignment horizontal="left" vertical="center"/>
    </xf>
    <xf numFmtId="0" fontId="3" fillId="0" borderId="7" xfId="2" applyFont="1" applyBorder="1" applyAlignment="1">
      <alignment horizontal="left" vertical="center"/>
    </xf>
  </cellXfs>
  <cellStyles count="3">
    <cellStyle name="Normal" xfId="0" builtinId="0"/>
    <cellStyle name="Normal 2" xfId="1" xr:uid="{610F71A7-1F83-4BC2-9DE1-07E6AAF5732E}"/>
    <cellStyle name="Normal 3" xfId="2" xr:uid="{94699803-EF98-4922-810D-76D313772A31}"/>
  </cellStyles>
  <dxfs count="23">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font>
        <color rgb="FFFF0000"/>
      </font>
      <fill>
        <patternFill>
          <bgColor theme="2"/>
        </patternFill>
      </fill>
    </dxf>
    <dxf>
      <numFmt numFmtId="2" formatCode="0.00"/>
    </dxf>
    <dxf>
      <font>
        <b val="0"/>
        <i val="0"/>
        <color rgb="FFFF000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CC"/>
      <color rgb="FFFF7575"/>
      <color rgb="FFFFCDCD"/>
      <color rgb="FFFF9F9F"/>
      <color rgb="FFFF6969"/>
      <color rgb="FFFFFF99"/>
      <color rgb="FFFF5050"/>
      <color rgb="FF00B050"/>
      <color rgb="FF54CC79"/>
      <color rgb="FFABFF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497417</xdr:colOff>
      <xdr:row>0</xdr:row>
      <xdr:rowOff>64559</xdr:rowOff>
    </xdr:from>
    <xdr:to>
      <xdr:col>0</xdr:col>
      <xdr:colOff>1116542</xdr:colOff>
      <xdr:row>1</xdr:row>
      <xdr:rowOff>144569</xdr:rowOff>
    </xdr:to>
    <xdr:pic>
      <xdr:nvPicPr>
        <xdr:cNvPr id="20525" name="Picture 3">
          <a:extLst>
            <a:ext uri="{FF2B5EF4-FFF2-40B4-BE49-F238E27FC236}">
              <a16:creationId xmlns:a16="http://schemas.microsoft.com/office/drawing/2014/main" id="{00000000-0008-0000-0000-00002D5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417" y="64559"/>
          <a:ext cx="619125" cy="232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S376"/>
  <sheetViews>
    <sheetView tabSelected="1" zoomScale="90" zoomScaleNormal="90" workbookViewId="0">
      <selection activeCell="B44" sqref="B44:J44"/>
    </sheetView>
  </sheetViews>
  <sheetFormatPr defaultRowHeight="12.75"/>
  <cols>
    <col min="1" max="1" width="21.140625" customWidth="1"/>
    <col min="2" max="2" width="21.7109375" customWidth="1"/>
    <col min="3" max="3" width="12.7109375" customWidth="1"/>
    <col min="4" max="4" width="14" customWidth="1"/>
    <col min="5" max="5" width="15.5703125" customWidth="1"/>
    <col min="6" max="6" width="16" customWidth="1"/>
    <col min="7" max="7" width="14.5703125" style="9" customWidth="1"/>
    <col min="8" max="8" width="14.5703125" style="8" customWidth="1"/>
    <col min="9" max="9" width="6.85546875" customWidth="1"/>
    <col min="10" max="10" width="13.7109375" customWidth="1"/>
    <col min="12" max="12" width="15.7109375" customWidth="1"/>
    <col min="13" max="13" width="18.140625" customWidth="1"/>
    <col min="14" max="14" width="18.28515625" customWidth="1"/>
    <col min="15" max="15" width="23.140625" customWidth="1"/>
    <col min="16" max="16" width="9.140625" customWidth="1"/>
    <col min="17" max="17" width="16.140625" customWidth="1"/>
    <col min="18" max="18" width="19.7109375" customWidth="1"/>
  </cols>
  <sheetData>
    <row r="1" spans="1:19" ht="12.4" customHeight="1">
      <c r="A1" s="30"/>
      <c r="B1" s="130" t="s">
        <v>38</v>
      </c>
      <c r="C1" s="130"/>
      <c r="D1" s="130"/>
      <c r="E1" s="130"/>
      <c r="F1" s="130"/>
      <c r="G1" s="130"/>
      <c r="H1" s="130"/>
      <c r="I1" s="130"/>
      <c r="J1" s="131"/>
    </row>
    <row r="2" spans="1:19" ht="15.75" customHeight="1">
      <c r="A2" s="95"/>
      <c r="B2" s="132"/>
      <c r="C2" s="132"/>
      <c r="D2" s="132"/>
      <c r="E2" s="132"/>
      <c r="F2" s="132"/>
      <c r="G2" s="132"/>
      <c r="H2" s="132"/>
      <c r="I2" s="132"/>
      <c r="J2" s="133"/>
    </row>
    <row r="3" spans="1:19" ht="14.45" customHeight="1">
      <c r="A3" s="31"/>
      <c r="B3" s="1"/>
      <c r="C3" s="98"/>
      <c r="D3" s="98"/>
      <c r="E3" s="1"/>
      <c r="F3" s="1"/>
      <c r="G3" s="7"/>
      <c r="H3" s="142" t="s">
        <v>27</v>
      </c>
      <c r="I3" s="142"/>
      <c r="J3" s="33"/>
    </row>
    <row r="4" spans="1:19" ht="14.45" customHeight="1">
      <c r="A4" s="41" t="s">
        <v>24</v>
      </c>
      <c r="B4" s="7" t="s">
        <v>9</v>
      </c>
      <c r="C4" s="140" t="s">
        <v>25</v>
      </c>
      <c r="D4" s="140"/>
      <c r="E4" s="25" t="s">
        <v>42</v>
      </c>
      <c r="F4" s="1"/>
      <c r="G4" s="22"/>
      <c r="H4" s="142" t="s">
        <v>28</v>
      </c>
      <c r="I4" s="142"/>
      <c r="J4" s="74"/>
    </row>
    <row r="5" spans="1:19" ht="14.45" customHeight="1">
      <c r="A5" s="41"/>
      <c r="B5" s="7"/>
      <c r="C5" s="141"/>
      <c r="D5" s="141"/>
      <c r="E5" s="25"/>
      <c r="F5" s="1"/>
      <c r="G5" s="6"/>
      <c r="H5" s="144"/>
      <c r="I5" s="144"/>
      <c r="J5" s="32"/>
    </row>
    <row r="6" spans="1:19" ht="14.45" customHeight="1">
      <c r="A6" s="41" t="s">
        <v>23</v>
      </c>
      <c r="B6" s="7" t="s">
        <v>147</v>
      </c>
      <c r="C6" s="143" t="s">
        <v>30</v>
      </c>
      <c r="D6" s="143"/>
      <c r="E6" s="25"/>
      <c r="F6" s="1"/>
      <c r="G6" s="22"/>
      <c r="H6" s="142" t="s">
        <v>39</v>
      </c>
      <c r="I6" s="142"/>
      <c r="J6" s="73"/>
    </row>
    <row r="7" spans="1:19" ht="14.45" customHeight="1">
      <c r="A7" s="41" t="s">
        <v>22</v>
      </c>
      <c r="B7" s="7"/>
      <c r="C7" s="140" t="s">
        <v>26</v>
      </c>
      <c r="D7" s="140"/>
      <c r="E7" s="25" t="s">
        <v>35</v>
      </c>
      <c r="F7" s="7"/>
      <c r="G7" s="6"/>
      <c r="H7" s="142" t="s">
        <v>29</v>
      </c>
      <c r="I7" s="142"/>
      <c r="J7" s="73"/>
    </row>
    <row r="8" spans="1:19" s="3" customFormat="1" ht="20.100000000000001" customHeight="1">
      <c r="A8" s="134" t="s">
        <v>5</v>
      </c>
      <c r="B8" s="135"/>
      <c r="C8" s="135"/>
      <c r="D8" s="135"/>
      <c r="E8" s="135"/>
      <c r="F8" s="135"/>
      <c r="G8" s="135"/>
      <c r="H8" s="135"/>
      <c r="I8" s="135"/>
      <c r="J8" s="136"/>
    </row>
    <row r="9" spans="1:19" s="5" customFormat="1" ht="14.25">
      <c r="A9" s="28" t="s">
        <v>30</v>
      </c>
      <c r="B9" s="28" t="s">
        <v>31</v>
      </c>
      <c r="C9" s="137" t="s">
        <v>25</v>
      </c>
      <c r="D9" s="138"/>
      <c r="E9" s="29" t="s">
        <v>23</v>
      </c>
      <c r="F9" s="28" t="s">
        <v>22</v>
      </c>
      <c r="G9" s="90" t="s">
        <v>144</v>
      </c>
      <c r="H9" s="90" t="s">
        <v>32</v>
      </c>
      <c r="I9" s="137" t="s">
        <v>33</v>
      </c>
      <c r="J9" s="138"/>
    </row>
    <row r="10" spans="1:19" ht="14.45" customHeight="1">
      <c r="A10" s="34"/>
      <c r="B10" s="27" t="s">
        <v>7</v>
      </c>
      <c r="C10" s="145" t="s">
        <v>40</v>
      </c>
      <c r="D10" s="146"/>
      <c r="E10" s="26" t="s">
        <v>41</v>
      </c>
      <c r="F10" s="27"/>
      <c r="G10" s="91" t="s">
        <v>145</v>
      </c>
      <c r="H10" s="91"/>
      <c r="I10" s="139"/>
      <c r="J10" s="139"/>
    </row>
    <row r="11" spans="1:19" ht="14.45" customHeight="1" thickBot="1">
      <c r="A11" s="35" t="b">
        <f>IF($E$11="34970A","002334",IF($E$11="DAQ970A","1646762"))</f>
        <v>0</v>
      </c>
      <c r="B11" s="10" t="s">
        <v>8</v>
      </c>
      <c r="C11" s="145" t="s">
        <v>42</v>
      </c>
      <c r="D11" s="146"/>
      <c r="E11" s="26" t="b">
        <f>IF($B$6="34901A","34970A",IF($B$6="DAQM901A","DAQ970A"))</f>
        <v>0</v>
      </c>
      <c r="F11" s="27" t="b">
        <f>IF($E$11="34970A","US37024053",IF($E$11="DAQ970A","MY48001105"))</f>
        <v>0</v>
      </c>
      <c r="G11" s="91"/>
      <c r="H11" s="91" t="b">
        <f>IF($E$11="34970A","10/7/2020",IF($E$11="DAQ970A","12/19/2020"))</f>
        <v>0</v>
      </c>
      <c r="I11" s="139"/>
      <c r="J11" s="139"/>
    </row>
    <row r="12" spans="1:19" ht="14.45" customHeight="1">
      <c r="A12" s="24" t="s">
        <v>36</v>
      </c>
      <c r="B12" s="18" t="s">
        <v>2</v>
      </c>
      <c r="C12" s="147" t="s">
        <v>3</v>
      </c>
      <c r="D12" s="148"/>
      <c r="E12" s="26" t="s">
        <v>4</v>
      </c>
      <c r="F12" s="23" t="s">
        <v>37</v>
      </c>
      <c r="G12" s="92"/>
      <c r="H12" s="92">
        <v>42534</v>
      </c>
      <c r="I12" s="168"/>
      <c r="J12" s="168"/>
      <c r="L12" s="165" t="s">
        <v>148</v>
      </c>
      <c r="M12" s="166"/>
      <c r="N12" s="166"/>
      <c r="O12" s="167"/>
    </row>
    <row r="13" spans="1:19" ht="18" customHeight="1">
      <c r="A13" s="36"/>
      <c r="B13" s="93" t="s">
        <v>6</v>
      </c>
      <c r="C13" s="176"/>
      <c r="D13" s="176"/>
      <c r="E13" s="176"/>
      <c r="F13" s="176"/>
      <c r="G13" s="176"/>
      <c r="H13" s="176"/>
      <c r="I13" s="176"/>
      <c r="J13" s="177"/>
      <c r="L13" s="106" t="s">
        <v>154</v>
      </c>
      <c r="M13" s="107"/>
      <c r="N13" s="107"/>
      <c r="O13" s="108"/>
      <c r="Q13" s="48"/>
    </row>
    <row r="14" spans="1:19" s="3" customFormat="1" ht="20.100000000000001" customHeight="1">
      <c r="A14" s="169" t="s">
        <v>10</v>
      </c>
      <c r="B14" s="170"/>
      <c r="C14" s="170"/>
      <c r="D14" s="170"/>
      <c r="E14" s="170"/>
      <c r="F14" s="170"/>
      <c r="G14" s="170"/>
      <c r="H14" s="170"/>
      <c r="I14" s="170"/>
      <c r="J14" s="171"/>
      <c r="L14" s="109" t="s">
        <v>149</v>
      </c>
      <c r="M14" s="101"/>
      <c r="N14" s="101"/>
      <c r="O14" s="110"/>
      <c r="Q14" s="49"/>
    </row>
    <row r="15" spans="1:19" s="3" customFormat="1" ht="17.25" customHeight="1">
      <c r="A15" s="157" t="s">
        <v>11</v>
      </c>
      <c r="B15" s="157" t="s">
        <v>43</v>
      </c>
      <c r="C15" s="128" t="s">
        <v>12</v>
      </c>
      <c r="D15" s="158" t="s">
        <v>13</v>
      </c>
      <c r="E15" s="128" t="s">
        <v>14</v>
      </c>
      <c r="F15" s="128" t="s">
        <v>17</v>
      </c>
      <c r="G15" s="157" t="s">
        <v>15</v>
      </c>
      <c r="H15" s="157" t="s">
        <v>16</v>
      </c>
      <c r="I15" s="172" t="s">
        <v>1</v>
      </c>
      <c r="J15" s="173"/>
      <c r="L15" s="111" t="s">
        <v>152</v>
      </c>
      <c r="M15" s="112"/>
      <c r="N15" s="112"/>
      <c r="O15" s="113"/>
    </row>
    <row r="16" spans="1:19" s="20" customFormat="1" ht="21.6" customHeight="1" thickBot="1">
      <c r="A16" s="157"/>
      <c r="B16" s="157"/>
      <c r="C16" s="129"/>
      <c r="D16" s="159"/>
      <c r="E16" s="180"/>
      <c r="F16" s="129"/>
      <c r="G16" s="128"/>
      <c r="H16" s="128"/>
      <c r="I16" s="174"/>
      <c r="J16" s="175"/>
      <c r="L16" s="114"/>
      <c r="M16" s="115"/>
      <c r="N16" s="115"/>
      <c r="O16" s="116"/>
      <c r="S16" s="15"/>
    </row>
    <row r="17" spans="1:18" ht="15" customHeight="1">
      <c r="A17" s="153" t="s">
        <v>18</v>
      </c>
      <c r="B17" s="155" t="b">
        <f>IF($B$6="34901A","-190°C to 990°C",IF($B$6="DAQM901A","-200°C to 1000°C"))</f>
        <v>0</v>
      </c>
      <c r="C17" s="42" t="b">
        <f>IF($B$6="34901A","-190.00",IF($B$6="DAQM901A","-200.00"))</f>
        <v>0</v>
      </c>
      <c r="D17" s="75" t="str">
        <f>IF(ISERR('Type E (-200°C)'!AC11), "", 'Type E (-200°C)'!AC11)</f>
        <v/>
      </c>
      <c r="E17" s="76" t="str">
        <f>IF(D17=""," ",D17-C17)</f>
        <v xml:space="preserve"> </v>
      </c>
      <c r="F17" s="77">
        <f>ABS(G17-C17)</f>
        <v>0</v>
      </c>
      <c r="G17" s="76" t="b">
        <f>IF($B$6="34901A","-191.5",IF($B$6="DAQM901A","-201.40"))</f>
        <v>0</v>
      </c>
      <c r="H17" s="77" t="b">
        <f>IF($B$6="34901A","-188.5",IF($B$6="DAQM901A","-198.60"))</f>
        <v>0</v>
      </c>
      <c r="I17" s="181" t="str">
        <f>IFERROR(IF(ABS(E17)&gt;F17, "Fail", "Pass"), " ")</f>
        <v xml:space="preserve"> </v>
      </c>
      <c r="J17" s="182"/>
      <c r="P17" s="8"/>
      <c r="Q17" s="12"/>
      <c r="R17" s="4"/>
    </row>
    <row r="18" spans="1:18" ht="15" customHeight="1">
      <c r="A18" s="154"/>
      <c r="B18" s="156"/>
      <c r="C18" s="43">
        <v>-80</v>
      </c>
      <c r="D18" s="78" t="str">
        <f>IF(ISERR('Type E (-80°C)'!AC11), "", 'Type E (-80°C)'!AC11)</f>
        <v/>
      </c>
      <c r="E18" s="79" t="str">
        <f t="shared" ref="E18:E21" si="0">IF(D18=""," ",D18-C18)</f>
        <v xml:space="preserve"> </v>
      </c>
      <c r="F18" s="80">
        <v>1</v>
      </c>
      <c r="G18" s="79">
        <f>C18-F18</f>
        <v>-81</v>
      </c>
      <c r="H18" s="80">
        <f>C18+F18</f>
        <v>-79</v>
      </c>
      <c r="I18" s="98" t="str">
        <f t="shared" ref="I18:I21" si="1">IFERROR(IF(ABS(E18)&gt;F18, "Fail", "Pass"), " ")</f>
        <v xml:space="preserve"> </v>
      </c>
      <c r="J18" s="99"/>
      <c r="L18" s="117" t="s">
        <v>150</v>
      </c>
      <c r="M18" s="118"/>
      <c r="N18" s="118"/>
      <c r="O18" s="119"/>
      <c r="P18" s="14"/>
      <c r="R18" s="16"/>
    </row>
    <row r="19" spans="1:18" ht="15" customHeight="1">
      <c r="A19" s="154"/>
      <c r="B19" s="156"/>
      <c r="C19" s="43">
        <v>0</v>
      </c>
      <c r="D19" s="78" t="str">
        <f>IF(ISERR('Type E (0°C)'!AC11), "", 'Type E (0°C)'!AC11)</f>
        <v/>
      </c>
      <c r="E19" s="79" t="str">
        <f t="shared" si="0"/>
        <v xml:space="preserve"> </v>
      </c>
      <c r="F19" s="80">
        <f>$F$18</f>
        <v>1</v>
      </c>
      <c r="G19" s="79">
        <f t="shared" ref="G19:G21" si="2">C19-F19</f>
        <v>-1</v>
      </c>
      <c r="H19" s="80">
        <f t="shared" ref="H19:H21" si="3">C19+F19</f>
        <v>1</v>
      </c>
      <c r="I19" s="98" t="str">
        <f t="shared" si="1"/>
        <v xml:space="preserve"> </v>
      </c>
      <c r="J19" s="99"/>
      <c r="L19" s="120" t="s">
        <v>151</v>
      </c>
      <c r="M19" s="112"/>
      <c r="N19" s="112"/>
      <c r="O19" s="121"/>
      <c r="P19" s="14"/>
      <c r="R19" s="16"/>
    </row>
    <row r="20" spans="1:18" ht="15" customHeight="1">
      <c r="A20" s="154"/>
      <c r="B20" s="156"/>
      <c r="C20" s="43">
        <v>200</v>
      </c>
      <c r="D20" s="78" t="str">
        <f>IF(ISERR('Type E (200°C)'!AC11), "", 'Type E (200°C)'!AC11)</f>
        <v/>
      </c>
      <c r="E20" s="79" t="str">
        <f t="shared" si="0"/>
        <v xml:space="preserve"> </v>
      </c>
      <c r="F20" s="80">
        <f t="shared" ref="F20:F21" si="4">$F$18</f>
        <v>1</v>
      </c>
      <c r="G20" s="79">
        <f t="shared" si="2"/>
        <v>199</v>
      </c>
      <c r="H20" s="80">
        <f t="shared" si="3"/>
        <v>201</v>
      </c>
      <c r="I20" s="98" t="str">
        <f t="shared" si="1"/>
        <v xml:space="preserve"> </v>
      </c>
      <c r="J20" s="99"/>
      <c r="L20" s="120"/>
      <c r="M20" s="112"/>
      <c r="N20" s="112"/>
      <c r="O20" s="121"/>
      <c r="P20" s="14"/>
      <c r="R20" s="16"/>
    </row>
    <row r="21" spans="1:18" ht="15" customHeight="1">
      <c r="A21" s="154"/>
      <c r="B21" s="156"/>
      <c r="C21" s="44" t="b">
        <f>IF($B$6="34901A","990.00",IF($B$6="DAQM901A","1000.00"))</f>
        <v>0</v>
      </c>
      <c r="D21" s="81" t="str">
        <f>IF(ISERR('Type E (1000°C)'!AC11), "", 'Type E (1000°C)'!AC11)</f>
        <v/>
      </c>
      <c r="E21" s="82" t="str">
        <f t="shared" si="0"/>
        <v xml:space="preserve"> </v>
      </c>
      <c r="F21" s="83">
        <f t="shared" si="4"/>
        <v>1</v>
      </c>
      <c r="G21" s="82">
        <f t="shared" si="2"/>
        <v>-1</v>
      </c>
      <c r="H21" s="83">
        <f t="shared" si="3"/>
        <v>1</v>
      </c>
      <c r="I21" s="122" t="str">
        <f t="shared" si="1"/>
        <v xml:space="preserve"> </v>
      </c>
      <c r="J21" s="123"/>
      <c r="L21" s="100" t="s">
        <v>153</v>
      </c>
      <c r="M21" s="101"/>
      <c r="N21" s="101"/>
      <c r="O21" s="102"/>
      <c r="P21" s="14"/>
      <c r="R21" s="16"/>
    </row>
    <row r="22" spans="1:18" ht="5.25" customHeight="1">
      <c r="A22" s="19"/>
      <c r="B22" s="21"/>
      <c r="C22" s="46"/>
      <c r="D22" s="45"/>
      <c r="E22" s="84"/>
      <c r="F22" s="45"/>
      <c r="G22" s="84"/>
      <c r="H22" s="45"/>
      <c r="I22" s="124"/>
      <c r="J22" s="125"/>
      <c r="L22" s="100" t="s">
        <v>155</v>
      </c>
      <c r="M22" s="101"/>
      <c r="N22" s="101"/>
      <c r="O22" s="102"/>
      <c r="P22" s="14"/>
      <c r="R22" s="16"/>
    </row>
    <row r="23" spans="1:18" ht="15" customHeight="1">
      <c r="A23" s="153" t="s">
        <v>20</v>
      </c>
      <c r="B23" s="155" t="b">
        <f>IF($B$6="34901A","-200°C to 1190°C",IF($B$6="DAQM901A","-210°C to 1200°C"))</f>
        <v>0</v>
      </c>
      <c r="C23" s="42" t="b">
        <f>IF($B$6="34901A","-200.00",IF($B$6="DAQM901A","-210.00"))</f>
        <v>0</v>
      </c>
      <c r="D23" s="75" t="str">
        <f>IF(ISERR('Type J (-210°C)'!AC11), "", 'Type J (-210°C)'!AC11)</f>
        <v/>
      </c>
      <c r="E23" s="76" t="str">
        <f>IF(D23=""," ",D23-C23)</f>
        <v xml:space="preserve"> </v>
      </c>
      <c r="F23" s="77">
        <f>ABS(G23-C23)</f>
        <v>0</v>
      </c>
      <c r="G23" s="76" t="b">
        <f>IF($B$6="34901A","-201.2",IF($B$6="DAQM901A","-211.60"))</f>
        <v>0</v>
      </c>
      <c r="H23" s="77" t="b">
        <f>IF($B$6="34901A","-198.8",IF($B$6="DAQM901A","-208.40"))</f>
        <v>0</v>
      </c>
      <c r="I23" s="126" t="str">
        <f>IFERROR(IF(ABS(E23)&gt;F23, "Fail", "Pass"), " ")</f>
        <v xml:space="preserve"> </v>
      </c>
      <c r="J23" s="127"/>
      <c r="L23" s="103"/>
      <c r="M23" s="104"/>
      <c r="N23" s="104"/>
      <c r="O23" s="105"/>
      <c r="P23" s="14"/>
      <c r="R23" s="16"/>
    </row>
    <row r="24" spans="1:18" ht="15" customHeight="1">
      <c r="A24" s="154"/>
      <c r="B24" s="156"/>
      <c r="C24" s="43">
        <v>-80</v>
      </c>
      <c r="D24" s="78" t="str">
        <f>IF(ISERR('Type J (-80°C)'!AC11), "", 'Type J (-80°C)'!AC11)</f>
        <v/>
      </c>
      <c r="E24" s="79" t="str">
        <f t="shared" ref="E24:E27" si="5">IF(D24=""," ",D24-C24)</f>
        <v xml:space="preserve"> </v>
      </c>
      <c r="F24" s="80">
        <v>1</v>
      </c>
      <c r="G24" s="79">
        <f>C24-F24</f>
        <v>-81</v>
      </c>
      <c r="H24" s="80">
        <f>C24+F24</f>
        <v>-79</v>
      </c>
      <c r="I24" s="98" t="str">
        <f t="shared" ref="I24:I27" si="6">IFERROR(IF(ABS(E24)&gt;F24, "Fail", "Pass"), " ")</f>
        <v xml:space="preserve"> </v>
      </c>
      <c r="J24" s="99"/>
      <c r="P24" s="14"/>
      <c r="R24" s="16"/>
    </row>
    <row r="25" spans="1:18" ht="15" customHeight="1">
      <c r="A25" s="154"/>
      <c r="B25" s="156"/>
      <c r="C25" s="43">
        <v>0</v>
      </c>
      <c r="D25" s="78" t="str">
        <f>IF(ISERR('Type J (0°C)'!AC11), "", 'Type J (0°C)'!AC11)</f>
        <v/>
      </c>
      <c r="E25" s="79" t="str">
        <f t="shared" si="5"/>
        <v xml:space="preserve"> </v>
      </c>
      <c r="F25" s="80">
        <f>$F$24</f>
        <v>1</v>
      </c>
      <c r="G25" s="79">
        <f t="shared" ref="G25:G27" si="7">C25-F25</f>
        <v>-1</v>
      </c>
      <c r="H25" s="80">
        <f t="shared" ref="H25:H27" si="8">C25+F25</f>
        <v>1</v>
      </c>
      <c r="I25" s="98" t="str">
        <f t="shared" si="6"/>
        <v xml:space="preserve"> </v>
      </c>
      <c r="J25" s="99"/>
      <c r="P25" s="14"/>
      <c r="R25" s="16"/>
    </row>
    <row r="26" spans="1:18" ht="15" customHeight="1">
      <c r="A26" s="154"/>
      <c r="B26" s="156"/>
      <c r="C26" s="43">
        <v>200</v>
      </c>
      <c r="D26" s="78" t="str">
        <f>IF(ISERR('Type J (200°C)'!AC11), "", 'Type J (200°C)'!AC11)</f>
        <v/>
      </c>
      <c r="E26" s="79" t="str">
        <f t="shared" si="5"/>
        <v xml:space="preserve"> </v>
      </c>
      <c r="F26" s="80">
        <f t="shared" ref="F26:F27" si="9">$F$24</f>
        <v>1</v>
      </c>
      <c r="G26" s="79">
        <f t="shared" si="7"/>
        <v>199</v>
      </c>
      <c r="H26" s="80">
        <f t="shared" si="8"/>
        <v>201</v>
      </c>
      <c r="I26" s="98" t="str">
        <f t="shared" si="6"/>
        <v xml:space="preserve"> </v>
      </c>
      <c r="J26" s="99"/>
      <c r="P26" s="14"/>
      <c r="R26" s="16"/>
    </row>
    <row r="27" spans="1:18" ht="15" customHeight="1">
      <c r="A27" s="154"/>
      <c r="B27" s="156"/>
      <c r="C27" s="44" t="b">
        <f>IF($B$6="34901A","1190.00",IF($B$6="DAQM901A","1200.00"))</f>
        <v>0</v>
      </c>
      <c r="D27" s="81" t="str">
        <f>IF(ISERR('Type J (1200°C)'!AC11), "", 'Type J (1200°C)'!AC11)</f>
        <v/>
      </c>
      <c r="E27" s="82" t="str">
        <f t="shared" si="5"/>
        <v xml:space="preserve"> </v>
      </c>
      <c r="F27" s="83">
        <f t="shared" si="9"/>
        <v>1</v>
      </c>
      <c r="G27" s="82">
        <f t="shared" si="7"/>
        <v>-1</v>
      </c>
      <c r="H27" s="83">
        <f t="shared" si="8"/>
        <v>1</v>
      </c>
      <c r="I27" s="122" t="str">
        <f t="shared" si="6"/>
        <v xml:space="preserve"> </v>
      </c>
      <c r="J27" s="123"/>
      <c r="P27" s="14"/>
      <c r="R27" s="16"/>
    </row>
    <row r="28" spans="1:18" ht="5.25" customHeight="1">
      <c r="A28" s="19"/>
      <c r="B28" s="21"/>
      <c r="C28" s="46"/>
      <c r="D28" s="45"/>
      <c r="E28" s="84"/>
      <c r="F28" s="45"/>
      <c r="G28" s="84"/>
      <c r="H28" s="45"/>
      <c r="I28" s="124"/>
      <c r="J28" s="125"/>
      <c r="P28" s="14"/>
      <c r="R28" s="13"/>
    </row>
    <row r="29" spans="1:18" ht="15" customHeight="1">
      <c r="A29" s="153" t="s">
        <v>21</v>
      </c>
      <c r="B29" s="155" t="b">
        <f>IF($B$6="34901A","-190°C to 1200°C",IF($B$6="DAQM901A","-195°C to 1200°C"))</f>
        <v>0</v>
      </c>
      <c r="C29" s="42" t="b">
        <f>IF($B$6="34901A","-190.00",IF($B$6="DAQM901A","-195.00"))</f>
        <v>0</v>
      </c>
      <c r="D29" s="75" t="str">
        <f>IF(ISERR('Type K (-195°C)'!AC11), "", 'Type K (-195°C)'!AC11)</f>
        <v/>
      </c>
      <c r="E29" s="76" t="str">
        <f>IF(D29=""," ",D29-C29)</f>
        <v xml:space="preserve"> </v>
      </c>
      <c r="F29" s="77">
        <f>ABS(G29-C29)</f>
        <v>0</v>
      </c>
      <c r="G29" s="76" t="b">
        <f>IF($B$6="34901A","-191.5",IF($B$6="DAQM901A","-196.70"))</f>
        <v>0</v>
      </c>
      <c r="H29" s="77" t="b">
        <f>IF($B$6="34901A","-188.5",IF($B$6="DAQM901A","-193.30"))</f>
        <v>0</v>
      </c>
      <c r="I29" s="126" t="str">
        <f t="shared" ref="I29" si="10">IFERROR(IF(ABS(E29)&gt;F29, "Fail", "Pass"), " ")</f>
        <v xml:space="preserve"> </v>
      </c>
      <c r="J29" s="127"/>
      <c r="P29" s="14"/>
      <c r="R29" s="13"/>
    </row>
    <row r="30" spans="1:18" ht="15" customHeight="1">
      <c r="A30" s="154"/>
      <c r="B30" s="156"/>
      <c r="C30" s="43">
        <v>-80</v>
      </c>
      <c r="D30" s="78" t="str">
        <f>IF(ISERR('Type K (-80°C)'!AC11), "", 'Type K (-80°C)'!AC11)</f>
        <v/>
      </c>
      <c r="E30" s="79" t="str">
        <f t="shared" ref="E30:E33" si="11">IF(D30=""," ",D30-C30)</f>
        <v xml:space="preserve"> </v>
      </c>
      <c r="F30" s="80">
        <f>ABS(G30-C30)</f>
        <v>80</v>
      </c>
      <c r="G30" s="79" t="b">
        <f>IF($B$6="34901A","-81.0",IF($B$6="DAQM901A","-80.90"))</f>
        <v>0</v>
      </c>
      <c r="H30" s="80" t="b">
        <f>IF($B$6="34901A","-79.0",IF($B$6="DAQM901A","-79.10"))</f>
        <v>0</v>
      </c>
      <c r="I30" s="98" t="str">
        <f t="shared" ref="I30:I33" si="12">IFERROR(IF(ABS(E30)&gt;F30, "Fail", "Pass"), " ")</f>
        <v xml:space="preserve"> </v>
      </c>
      <c r="J30" s="99"/>
      <c r="P30" s="14"/>
      <c r="R30" s="13"/>
    </row>
    <row r="31" spans="1:18" ht="15" customHeight="1">
      <c r="A31" s="154"/>
      <c r="B31" s="156"/>
      <c r="C31" s="43">
        <v>0</v>
      </c>
      <c r="D31" s="78" t="str">
        <f>IF(ISERR('Type K (0°C)'!AC11), "", 'Type K (0°C)'!AC11)</f>
        <v/>
      </c>
      <c r="E31" s="79" t="str">
        <f t="shared" si="11"/>
        <v xml:space="preserve"> </v>
      </c>
      <c r="F31" s="80">
        <f>$F$30</f>
        <v>80</v>
      </c>
      <c r="G31" s="79">
        <f>C31-F31</f>
        <v>-80</v>
      </c>
      <c r="H31" s="80">
        <f t="shared" ref="H31:H33" si="13">C31+F31</f>
        <v>80</v>
      </c>
      <c r="I31" s="98" t="str">
        <f t="shared" si="12"/>
        <v xml:space="preserve"> </v>
      </c>
      <c r="J31" s="99"/>
      <c r="P31" s="14"/>
      <c r="R31" s="13"/>
    </row>
    <row r="32" spans="1:18" ht="15" customHeight="1">
      <c r="A32" s="154"/>
      <c r="B32" s="156"/>
      <c r="C32" s="43">
        <v>200</v>
      </c>
      <c r="D32" s="78" t="str">
        <f>IF(ISERR('Type K (200°C)'!AC11), "", 'Type K (200°C)'!AC11)</f>
        <v/>
      </c>
      <c r="E32" s="79" t="str">
        <f t="shared" si="11"/>
        <v xml:space="preserve"> </v>
      </c>
      <c r="F32" s="80">
        <f t="shared" ref="F32:F33" si="14">$F$30</f>
        <v>80</v>
      </c>
      <c r="G32" s="79">
        <f t="shared" ref="G32:G33" si="15">C32-F32</f>
        <v>120</v>
      </c>
      <c r="H32" s="80">
        <f t="shared" si="13"/>
        <v>280</v>
      </c>
      <c r="I32" s="98" t="str">
        <f t="shared" si="12"/>
        <v xml:space="preserve"> </v>
      </c>
      <c r="J32" s="99"/>
      <c r="P32" s="14"/>
      <c r="R32" s="13"/>
    </row>
    <row r="33" spans="1:18" ht="15" customHeight="1">
      <c r="A33" s="154"/>
      <c r="B33" s="156"/>
      <c r="C33" s="47">
        <v>1200</v>
      </c>
      <c r="D33" s="81" t="str">
        <f>IF(ISERR('Type K (1200°C)'!AC11), "", 'Type K (1200°C)'!AC11)</f>
        <v/>
      </c>
      <c r="E33" s="82" t="str">
        <f t="shared" si="11"/>
        <v xml:space="preserve"> </v>
      </c>
      <c r="F33" s="83">
        <f t="shared" si="14"/>
        <v>80</v>
      </c>
      <c r="G33" s="82">
        <f t="shared" si="15"/>
        <v>1120</v>
      </c>
      <c r="H33" s="83">
        <f t="shared" si="13"/>
        <v>1280</v>
      </c>
      <c r="I33" s="122" t="str">
        <f t="shared" si="12"/>
        <v xml:space="preserve"> </v>
      </c>
      <c r="J33" s="123"/>
      <c r="P33" s="14"/>
      <c r="R33" s="13"/>
    </row>
    <row r="34" spans="1:18" ht="5.25" customHeight="1">
      <c r="A34" s="37"/>
      <c r="B34" s="21"/>
      <c r="C34" s="46"/>
      <c r="D34" s="45"/>
      <c r="E34" s="84"/>
      <c r="F34" s="45"/>
      <c r="G34" s="84"/>
      <c r="H34" s="45"/>
      <c r="I34" s="124"/>
      <c r="J34" s="125"/>
      <c r="P34" s="14"/>
      <c r="R34" s="13"/>
    </row>
    <row r="35" spans="1:18" ht="15" customHeight="1">
      <c r="A35" s="153" t="s">
        <v>34</v>
      </c>
      <c r="B35" s="155" t="b">
        <f>IF($B$6="34901A","-190°C to 395°C",IF($B$6="DAQM901A","-200°C to 400°C"))</f>
        <v>0</v>
      </c>
      <c r="C35" s="42" t="b">
        <f>IF($B$6="34901A","-190.00",IF($B$6="DAQM901A","-200.00"))</f>
        <v>0</v>
      </c>
      <c r="D35" s="75" t="str">
        <f>IF(ISERR('Type T (-200°C)'!AC11), "", 'Type T (-200°C)'!AC11)</f>
        <v/>
      </c>
      <c r="E35" s="76" t="str">
        <f>IF(D35=""," ",D35-C35)</f>
        <v xml:space="preserve"> </v>
      </c>
      <c r="F35" s="77">
        <f>ABS(G35-C35)</f>
        <v>0</v>
      </c>
      <c r="G35" s="76" t="b">
        <f>IF($B$6="34901A","-191.5",IF($B$6="DAQM901A","-201.70"))</f>
        <v>0</v>
      </c>
      <c r="H35" s="77" t="b">
        <f>IF($B$6="34901A","-188.5",IF($B$6="DAQM901A","-198.30"))</f>
        <v>0</v>
      </c>
      <c r="I35" s="126" t="str">
        <f t="shared" ref="I35" si="16">IFERROR(IF(ABS(E35)&gt;F35, "Fail", "Pass"), " ")</f>
        <v xml:space="preserve"> </v>
      </c>
      <c r="J35" s="127"/>
      <c r="P35" s="14"/>
      <c r="R35" s="13"/>
    </row>
    <row r="36" spans="1:18" ht="15" customHeight="1">
      <c r="A36" s="154"/>
      <c r="B36" s="156"/>
      <c r="C36" s="43">
        <v>-80</v>
      </c>
      <c r="D36" s="78" t="str">
        <f>IF(ISERR('Type T (-80°C)'!AC11), "", 'Type T (-80°C)'!AC11)</f>
        <v/>
      </c>
      <c r="E36" s="79" t="str">
        <f t="shared" ref="E36:E39" si="17">IF(D36=""," ",D36-C36)</f>
        <v xml:space="preserve"> </v>
      </c>
      <c r="F36" s="80">
        <f>ABS(G36-C36)</f>
        <v>80</v>
      </c>
      <c r="G36" s="79" t="b">
        <f>IF($B$6="34901A","-81.0",IF($B$6="DAQM901A","-80.90"))</f>
        <v>0</v>
      </c>
      <c r="H36" s="80" t="b">
        <f>IF($B$6="34901A","-79.0",IF($B$6="DAQM901A","-79.10"))</f>
        <v>0</v>
      </c>
      <c r="I36" s="98" t="str">
        <f t="shared" ref="I36:I39" si="18">IFERROR(IF(ABS(E36)&gt;F36, "Fail", "Pass"), " ")</f>
        <v xml:space="preserve"> </v>
      </c>
      <c r="J36" s="99"/>
      <c r="P36" s="14"/>
      <c r="R36" s="13"/>
    </row>
    <row r="37" spans="1:18" ht="15" customHeight="1">
      <c r="A37" s="154"/>
      <c r="B37" s="156"/>
      <c r="C37" s="43">
        <v>0</v>
      </c>
      <c r="D37" s="78" t="str">
        <f>IF(ISERR('Type T (0°C)'!AC11), "", 'Type T (0°C)'!AC11)</f>
        <v/>
      </c>
      <c r="E37" s="79" t="str">
        <f t="shared" si="17"/>
        <v xml:space="preserve"> </v>
      </c>
      <c r="F37" s="80">
        <f>$F$36</f>
        <v>80</v>
      </c>
      <c r="G37" s="79">
        <f t="shared" ref="G37:G39" si="19">C37-F37</f>
        <v>-80</v>
      </c>
      <c r="H37" s="80">
        <f t="shared" ref="H37:H39" si="20">C37+F37</f>
        <v>80</v>
      </c>
      <c r="I37" s="98" t="str">
        <f t="shared" si="18"/>
        <v xml:space="preserve"> </v>
      </c>
      <c r="J37" s="99"/>
      <c r="P37" s="14"/>
      <c r="R37" s="13"/>
    </row>
    <row r="38" spans="1:18" ht="15" customHeight="1">
      <c r="A38" s="154"/>
      <c r="B38" s="156"/>
      <c r="C38" s="43">
        <v>100</v>
      </c>
      <c r="D38" s="78" t="str">
        <f>IF(ISERR('Type T (100°C)'!AC11), "", 'Type T (100°C)'!AC11)</f>
        <v/>
      </c>
      <c r="E38" s="79" t="str">
        <f t="shared" si="17"/>
        <v xml:space="preserve"> </v>
      </c>
      <c r="F38" s="80">
        <f t="shared" ref="F38:F39" si="21">$F$36</f>
        <v>80</v>
      </c>
      <c r="G38" s="79">
        <f t="shared" si="19"/>
        <v>20</v>
      </c>
      <c r="H38" s="80">
        <f t="shared" si="20"/>
        <v>180</v>
      </c>
      <c r="I38" s="98" t="str">
        <f t="shared" si="18"/>
        <v xml:space="preserve"> </v>
      </c>
      <c r="J38" s="99"/>
      <c r="P38" s="14"/>
      <c r="R38" s="13"/>
    </row>
    <row r="39" spans="1:18" ht="15" customHeight="1">
      <c r="A39" s="154"/>
      <c r="B39" s="156"/>
      <c r="C39" s="44" t="b">
        <f>IF($B$6="34901A","395.00",IF($B$6="DAQM901A","400.00"))</f>
        <v>0</v>
      </c>
      <c r="D39" s="81" t="str">
        <f>IF(ISERR('Type T (400°C)'!AC11), "", 'Type T (400°C)'!AC11)</f>
        <v/>
      </c>
      <c r="E39" s="82" t="str">
        <f t="shared" si="17"/>
        <v xml:space="preserve"> </v>
      </c>
      <c r="F39" s="83">
        <f t="shared" si="21"/>
        <v>80</v>
      </c>
      <c r="G39" s="82">
        <f t="shared" si="19"/>
        <v>-80</v>
      </c>
      <c r="H39" s="83">
        <f t="shared" si="20"/>
        <v>80</v>
      </c>
      <c r="I39" s="122" t="str">
        <f t="shared" si="18"/>
        <v xml:space="preserve"> </v>
      </c>
      <c r="J39" s="123"/>
      <c r="P39" s="8"/>
      <c r="R39" s="1"/>
    </row>
    <row r="40" spans="1:18" s="12" customFormat="1" ht="20.100000000000001" customHeight="1">
      <c r="A40" s="149" t="s">
        <v>0</v>
      </c>
      <c r="B40" s="150"/>
      <c r="C40" s="151"/>
      <c r="D40" s="151"/>
      <c r="E40" s="151"/>
      <c r="F40" s="151"/>
      <c r="G40" s="151"/>
      <c r="H40" s="151"/>
      <c r="I40" s="151"/>
      <c r="J40" s="152"/>
      <c r="L40"/>
      <c r="M40"/>
      <c r="N40"/>
      <c r="O40"/>
      <c r="Q40"/>
    </row>
    <row r="41" spans="1:18" ht="33" customHeight="1">
      <c r="A41" s="38">
        <v>1</v>
      </c>
      <c r="B41" s="178" t="s">
        <v>19</v>
      </c>
      <c r="C41" s="178"/>
      <c r="D41" s="178"/>
      <c r="E41" s="178"/>
      <c r="F41" s="178"/>
      <c r="G41" s="178"/>
      <c r="H41" s="178"/>
      <c r="I41" s="178"/>
      <c r="J41" s="179"/>
    </row>
    <row r="42" spans="1:18">
      <c r="A42" s="160">
        <v>2</v>
      </c>
      <c r="B42" s="161" t="s">
        <v>156</v>
      </c>
      <c r="C42" s="161"/>
      <c r="D42" s="161"/>
      <c r="E42" s="161"/>
      <c r="F42" s="161"/>
      <c r="G42" s="161"/>
      <c r="H42" s="161"/>
      <c r="I42" s="161"/>
      <c r="J42" s="162"/>
    </row>
    <row r="43" spans="1:18">
      <c r="A43" s="160"/>
      <c r="B43" s="161"/>
      <c r="C43" s="161"/>
      <c r="D43" s="161"/>
      <c r="E43" s="161"/>
      <c r="F43" s="161"/>
      <c r="G43" s="161"/>
      <c r="H43" s="161"/>
      <c r="I43" s="161"/>
      <c r="J43" s="162"/>
    </row>
    <row r="44" spans="1:18">
      <c r="A44" s="39">
        <v>3</v>
      </c>
      <c r="B44" s="163"/>
      <c r="C44" s="163"/>
      <c r="D44" s="163"/>
      <c r="E44" s="163"/>
      <c r="F44" s="163"/>
      <c r="G44" s="163"/>
      <c r="H44" s="163"/>
      <c r="I44" s="163"/>
      <c r="J44" s="164"/>
    </row>
    <row r="45" spans="1:18" ht="15">
      <c r="A45" s="40"/>
      <c r="B45" s="96"/>
      <c r="C45" s="96"/>
      <c r="D45" s="96"/>
      <c r="E45" s="96"/>
      <c r="F45" s="96"/>
      <c r="G45" s="96"/>
      <c r="H45" s="96"/>
      <c r="I45" s="96"/>
      <c r="J45" s="97"/>
    </row>
    <row r="46" spans="1:18">
      <c r="A46" s="17"/>
      <c r="B46" s="11"/>
      <c r="C46" s="4"/>
      <c r="D46" s="1"/>
      <c r="E46" s="1"/>
      <c r="F46" s="1"/>
      <c r="G46" s="2"/>
      <c r="H46" s="2"/>
      <c r="I46" s="1"/>
      <c r="J46" s="1"/>
    </row>
    <row r="47" spans="1:18">
      <c r="H47" s="2"/>
      <c r="I47" s="1"/>
    </row>
    <row r="48" spans="1:18">
      <c r="H48" s="2"/>
      <c r="I48" s="1"/>
    </row>
    <row r="49" spans="8:9">
      <c r="H49" s="2"/>
      <c r="I49" s="1"/>
    </row>
    <row r="50" spans="8:9">
      <c r="H50" s="2"/>
      <c r="I50" s="1"/>
    </row>
    <row r="51" spans="8:9">
      <c r="I51" s="1"/>
    </row>
    <row r="52" spans="8:9">
      <c r="I52" s="1"/>
    </row>
    <row r="53" spans="8:9">
      <c r="I53" s="1"/>
    </row>
    <row r="54" spans="8:9">
      <c r="I54" s="1"/>
    </row>
    <row r="55" spans="8:9">
      <c r="I55" s="1"/>
    </row>
    <row r="56" spans="8:9">
      <c r="I56" s="1"/>
    </row>
    <row r="57" spans="8:9">
      <c r="H57" s="2"/>
      <c r="I57" s="1"/>
    </row>
    <row r="58" spans="8:9">
      <c r="H58" s="2"/>
      <c r="I58" s="1"/>
    </row>
    <row r="59" spans="8:9">
      <c r="H59" s="2"/>
      <c r="I59" s="1"/>
    </row>
    <row r="60" spans="8:9">
      <c r="H60" s="2"/>
      <c r="I60" s="1"/>
    </row>
    <row r="61" spans="8:9">
      <c r="H61" s="2"/>
      <c r="I61" s="1"/>
    </row>
    <row r="62" spans="8:9">
      <c r="H62" s="2"/>
      <c r="I62" s="1"/>
    </row>
    <row r="63" spans="8:9">
      <c r="H63" s="2"/>
      <c r="I63" s="1"/>
    </row>
    <row r="64" spans="8:9">
      <c r="H64" s="2"/>
      <c r="I64" s="1"/>
    </row>
    <row r="65" spans="8:9">
      <c r="H65" s="2"/>
      <c r="I65" s="1"/>
    </row>
    <row r="66" spans="8:9">
      <c r="H66" s="2"/>
      <c r="I66" s="1"/>
    </row>
    <row r="67" spans="8:9">
      <c r="H67" s="2"/>
      <c r="I67" s="1"/>
    </row>
    <row r="68" spans="8:9">
      <c r="H68" s="2"/>
      <c r="I68" s="1"/>
    </row>
    <row r="69" spans="8:9">
      <c r="H69" s="2"/>
      <c r="I69" s="1"/>
    </row>
    <row r="70" spans="8:9">
      <c r="H70" s="2"/>
      <c r="I70" s="1"/>
    </row>
    <row r="71" spans="8:9">
      <c r="H71" s="2"/>
      <c r="I71" s="1"/>
    </row>
    <row r="72" spans="8:9">
      <c r="H72" s="2"/>
      <c r="I72" s="1"/>
    </row>
    <row r="73" spans="8:9">
      <c r="H73" s="2"/>
      <c r="I73" s="1"/>
    </row>
    <row r="74" spans="8:9">
      <c r="H74" s="2"/>
      <c r="I74" s="1"/>
    </row>
    <row r="75" spans="8:9">
      <c r="H75" s="2"/>
      <c r="I75" s="1"/>
    </row>
    <row r="76" spans="8:9">
      <c r="H76" s="2"/>
      <c r="I76" s="1"/>
    </row>
    <row r="77" spans="8:9">
      <c r="H77" s="2"/>
      <c r="I77" s="1"/>
    </row>
    <row r="78" spans="8:9">
      <c r="H78" s="2"/>
      <c r="I78" s="1"/>
    </row>
    <row r="79" spans="8:9">
      <c r="H79" s="2"/>
      <c r="I79" s="1"/>
    </row>
    <row r="80" spans="8:9">
      <c r="H80" s="2"/>
      <c r="I80" s="1"/>
    </row>
    <row r="81" spans="8:9">
      <c r="H81" s="2"/>
      <c r="I81" s="1"/>
    </row>
    <row r="82" spans="8:9">
      <c r="H82" s="2"/>
      <c r="I82" s="1"/>
    </row>
    <row r="83" spans="8:9">
      <c r="H83" s="2"/>
      <c r="I83" s="1"/>
    </row>
    <row r="84" spans="8:9">
      <c r="H84" s="2"/>
      <c r="I84" s="1"/>
    </row>
    <row r="85" spans="8:9">
      <c r="H85" s="2"/>
      <c r="I85" s="1"/>
    </row>
    <row r="86" spans="8:9">
      <c r="H86" s="2"/>
      <c r="I86" s="1"/>
    </row>
    <row r="87" spans="8:9">
      <c r="H87" s="2"/>
      <c r="I87" s="1"/>
    </row>
    <row r="88" spans="8:9">
      <c r="H88" s="2"/>
      <c r="I88" s="1"/>
    </row>
    <row r="89" spans="8:9">
      <c r="H89" s="2"/>
      <c r="I89" s="1"/>
    </row>
    <row r="90" spans="8:9">
      <c r="H90" s="2"/>
      <c r="I90" s="1"/>
    </row>
    <row r="91" spans="8:9">
      <c r="H91" s="2"/>
      <c r="I91" s="1"/>
    </row>
    <row r="92" spans="8:9">
      <c r="H92" s="2"/>
      <c r="I92" s="1"/>
    </row>
    <row r="93" spans="8:9">
      <c r="H93" s="2"/>
      <c r="I93" s="1"/>
    </row>
    <row r="94" spans="8:9">
      <c r="H94" s="2"/>
      <c r="I94" s="1"/>
    </row>
    <row r="95" spans="8:9">
      <c r="H95" s="2"/>
      <c r="I95" s="1"/>
    </row>
    <row r="96" spans="8:9">
      <c r="H96" s="2"/>
      <c r="I96" s="1"/>
    </row>
    <row r="97" spans="8:9">
      <c r="H97" s="2"/>
      <c r="I97" s="1"/>
    </row>
    <row r="98" spans="8:9">
      <c r="H98" s="2"/>
      <c r="I98" s="1"/>
    </row>
    <row r="99" spans="8:9">
      <c r="H99" s="2"/>
      <c r="I99" s="1"/>
    </row>
    <row r="100" spans="8:9">
      <c r="H100" s="2"/>
      <c r="I100" s="1"/>
    </row>
    <row r="101" spans="8:9">
      <c r="H101" s="2"/>
      <c r="I101" s="1"/>
    </row>
    <row r="102" spans="8:9">
      <c r="H102" s="2"/>
      <c r="I102" s="1"/>
    </row>
    <row r="103" spans="8:9">
      <c r="H103" s="2"/>
      <c r="I103" s="1"/>
    </row>
    <row r="104" spans="8:9">
      <c r="H104" s="2"/>
      <c r="I104" s="1"/>
    </row>
    <row r="105" spans="8:9">
      <c r="H105" s="2"/>
      <c r="I105" s="1"/>
    </row>
    <row r="106" spans="8:9">
      <c r="H106" s="2"/>
      <c r="I106" s="1"/>
    </row>
    <row r="107" spans="8:9">
      <c r="H107" s="2"/>
      <c r="I107" s="1"/>
    </row>
    <row r="108" spans="8:9">
      <c r="H108" s="2"/>
      <c r="I108" s="1"/>
    </row>
    <row r="109" spans="8:9">
      <c r="H109" s="2"/>
      <c r="I109" s="1"/>
    </row>
    <row r="110" spans="8:9">
      <c r="H110" s="2"/>
      <c r="I110" s="1"/>
    </row>
    <row r="111" spans="8:9">
      <c r="H111" s="2"/>
      <c r="I111" s="1"/>
    </row>
    <row r="112" spans="8:9">
      <c r="H112" s="2"/>
      <c r="I112" s="1"/>
    </row>
    <row r="113" spans="8:9">
      <c r="H113" s="2"/>
      <c r="I113" s="1"/>
    </row>
    <row r="114" spans="8:9">
      <c r="H114" s="2"/>
      <c r="I114" s="1"/>
    </row>
    <row r="115" spans="8:9">
      <c r="H115" s="2"/>
      <c r="I115" s="1"/>
    </row>
    <row r="116" spans="8:9">
      <c r="H116" s="2"/>
      <c r="I116" s="1"/>
    </row>
    <row r="117" spans="8:9">
      <c r="H117" s="2"/>
      <c r="I117" s="1"/>
    </row>
    <row r="118" spans="8:9">
      <c r="H118" s="2"/>
      <c r="I118" s="1"/>
    </row>
    <row r="119" spans="8:9">
      <c r="H119" s="2"/>
      <c r="I119" s="1"/>
    </row>
    <row r="120" spans="8:9">
      <c r="H120" s="2"/>
      <c r="I120" s="1"/>
    </row>
    <row r="121" spans="8:9">
      <c r="H121" s="2"/>
      <c r="I121" s="1"/>
    </row>
    <row r="122" spans="8:9">
      <c r="H122" s="2"/>
      <c r="I122" s="1"/>
    </row>
    <row r="123" spans="8:9">
      <c r="H123" s="2"/>
      <c r="I123" s="1"/>
    </row>
    <row r="124" spans="8:9">
      <c r="H124" s="2"/>
      <c r="I124" s="1"/>
    </row>
    <row r="125" spans="8:9">
      <c r="H125" s="2"/>
      <c r="I125" s="1"/>
    </row>
    <row r="126" spans="8:9">
      <c r="H126" s="2"/>
      <c r="I126" s="1"/>
    </row>
    <row r="127" spans="8:9">
      <c r="H127" s="2"/>
      <c r="I127" s="1"/>
    </row>
    <row r="128" spans="8:9">
      <c r="H128" s="2"/>
      <c r="I128" s="1"/>
    </row>
    <row r="129" spans="8:9">
      <c r="H129" s="2"/>
      <c r="I129" s="1"/>
    </row>
    <row r="130" spans="8:9">
      <c r="H130" s="2"/>
      <c r="I130" s="1"/>
    </row>
    <row r="131" spans="8:9">
      <c r="H131" s="2"/>
      <c r="I131" s="1"/>
    </row>
    <row r="132" spans="8:9">
      <c r="H132" s="2"/>
      <c r="I132" s="1"/>
    </row>
    <row r="133" spans="8:9">
      <c r="H133" s="2"/>
      <c r="I133" s="1"/>
    </row>
    <row r="134" spans="8:9">
      <c r="H134" s="2"/>
      <c r="I134" s="1"/>
    </row>
    <row r="135" spans="8:9">
      <c r="H135" s="2"/>
      <c r="I135" s="1"/>
    </row>
    <row r="136" spans="8:9">
      <c r="H136" s="2"/>
      <c r="I136" s="1"/>
    </row>
    <row r="137" spans="8:9">
      <c r="H137" s="2"/>
      <c r="I137" s="1"/>
    </row>
    <row r="138" spans="8:9">
      <c r="H138" s="2"/>
      <c r="I138" s="1"/>
    </row>
    <row r="139" spans="8:9">
      <c r="H139" s="2"/>
      <c r="I139" s="1"/>
    </row>
    <row r="140" spans="8:9">
      <c r="H140" s="2"/>
      <c r="I140" s="1"/>
    </row>
    <row r="141" spans="8:9">
      <c r="H141" s="2"/>
      <c r="I141" s="1"/>
    </row>
    <row r="142" spans="8:9">
      <c r="H142" s="2"/>
      <c r="I142" s="1"/>
    </row>
    <row r="143" spans="8:9">
      <c r="H143" s="2"/>
      <c r="I143" s="1"/>
    </row>
    <row r="144" spans="8:9">
      <c r="H144" s="2"/>
      <c r="I144" s="1"/>
    </row>
    <row r="145" spans="8:9">
      <c r="H145" s="2"/>
      <c r="I145" s="1"/>
    </row>
    <row r="146" spans="8:9">
      <c r="H146" s="2"/>
      <c r="I146" s="1"/>
    </row>
    <row r="147" spans="8:9">
      <c r="H147" s="2"/>
      <c r="I147" s="1"/>
    </row>
    <row r="148" spans="8:9">
      <c r="H148" s="2"/>
      <c r="I148" s="1"/>
    </row>
    <row r="149" spans="8:9">
      <c r="H149" s="2"/>
      <c r="I149" s="1"/>
    </row>
    <row r="150" spans="8:9">
      <c r="H150" s="2"/>
      <c r="I150" s="1"/>
    </row>
    <row r="151" spans="8:9">
      <c r="H151" s="2"/>
      <c r="I151" s="1"/>
    </row>
    <row r="152" spans="8:9">
      <c r="H152" s="2"/>
      <c r="I152" s="1"/>
    </row>
    <row r="153" spans="8:9">
      <c r="H153" s="2"/>
      <c r="I153" s="1"/>
    </row>
    <row r="154" spans="8:9">
      <c r="H154" s="2"/>
      <c r="I154" s="1"/>
    </row>
    <row r="155" spans="8:9">
      <c r="H155" s="2"/>
      <c r="I155" s="1"/>
    </row>
    <row r="156" spans="8:9">
      <c r="H156" s="2"/>
      <c r="I156" s="1"/>
    </row>
    <row r="157" spans="8:9">
      <c r="H157" s="2"/>
      <c r="I157" s="1"/>
    </row>
    <row r="158" spans="8:9">
      <c r="H158" s="2"/>
      <c r="I158" s="1"/>
    </row>
    <row r="159" spans="8:9">
      <c r="H159" s="2"/>
      <c r="I159" s="1"/>
    </row>
    <row r="160" spans="8:9">
      <c r="H160" s="2"/>
      <c r="I160" s="1"/>
    </row>
    <row r="161" spans="8:9">
      <c r="H161" s="2"/>
      <c r="I161" s="1"/>
    </row>
    <row r="162" spans="8:9">
      <c r="H162" s="2"/>
      <c r="I162" s="1"/>
    </row>
    <row r="163" spans="8:9">
      <c r="H163" s="2"/>
      <c r="I163" s="1"/>
    </row>
    <row r="164" spans="8:9">
      <c r="H164" s="2"/>
      <c r="I164" s="1"/>
    </row>
    <row r="165" spans="8:9">
      <c r="H165" s="2"/>
      <c r="I165" s="1"/>
    </row>
    <row r="166" spans="8:9">
      <c r="H166" s="2"/>
      <c r="I166" s="1"/>
    </row>
    <row r="167" spans="8:9">
      <c r="H167" s="2"/>
      <c r="I167" s="1"/>
    </row>
    <row r="168" spans="8:9">
      <c r="H168" s="2"/>
      <c r="I168" s="1"/>
    </row>
    <row r="169" spans="8:9">
      <c r="H169" s="2"/>
      <c r="I169" s="1"/>
    </row>
    <row r="170" spans="8:9">
      <c r="H170" s="2"/>
      <c r="I170" s="1"/>
    </row>
    <row r="171" spans="8:9">
      <c r="H171" s="2"/>
      <c r="I171" s="1"/>
    </row>
    <row r="172" spans="8:9">
      <c r="H172" s="2"/>
      <c r="I172" s="1"/>
    </row>
    <row r="173" spans="8:9">
      <c r="H173" s="2"/>
      <c r="I173" s="1"/>
    </row>
    <row r="174" spans="8:9">
      <c r="H174" s="2"/>
      <c r="I174" s="1"/>
    </row>
    <row r="175" spans="8:9">
      <c r="H175" s="2"/>
      <c r="I175" s="1"/>
    </row>
    <row r="176" spans="8:9">
      <c r="H176" s="2"/>
      <c r="I176" s="1"/>
    </row>
    <row r="177" spans="8:9">
      <c r="H177" s="2"/>
      <c r="I177" s="1"/>
    </row>
    <row r="178" spans="8:9">
      <c r="H178" s="2"/>
      <c r="I178" s="1"/>
    </row>
    <row r="179" spans="8:9">
      <c r="H179" s="2"/>
      <c r="I179" s="1"/>
    </row>
    <row r="180" spans="8:9">
      <c r="H180" s="2"/>
      <c r="I180" s="1"/>
    </row>
    <row r="181" spans="8:9">
      <c r="H181" s="2"/>
      <c r="I181" s="1"/>
    </row>
    <row r="182" spans="8:9">
      <c r="H182" s="2"/>
      <c r="I182" s="1"/>
    </row>
    <row r="183" spans="8:9">
      <c r="H183" s="2"/>
      <c r="I183" s="1"/>
    </row>
    <row r="184" spans="8:9">
      <c r="H184" s="2"/>
      <c r="I184" s="1"/>
    </row>
    <row r="185" spans="8:9">
      <c r="H185" s="2"/>
      <c r="I185" s="1"/>
    </row>
    <row r="186" spans="8:9">
      <c r="H186" s="2"/>
      <c r="I186" s="1"/>
    </row>
    <row r="187" spans="8:9">
      <c r="H187" s="2"/>
      <c r="I187" s="1"/>
    </row>
    <row r="188" spans="8:9">
      <c r="H188" s="2"/>
      <c r="I188" s="1"/>
    </row>
    <row r="189" spans="8:9">
      <c r="H189" s="2"/>
      <c r="I189" s="1"/>
    </row>
    <row r="190" spans="8:9">
      <c r="H190" s="2"/>
      <c r="I190" s="1"/>
    </row>
    <row r="191" spans="8:9">
      <c r="H191" s="2"/>
      <c r="I191" s="1"/>
    </row>
    <row r="192" spans="8:9">
      <c r="H192" s="2"/>
      <c r="I192" s="1"/>
    </row>
    <row r="193" spans="8:9">
      <c r="H193" s="2"/>
      <c r="I193" s="1"/>
    </row>
    <row r="194" spans="8:9">
      <c r="H194" s="2"/>
      <c r="I194" s="1"/>
    </row>
    <row r="195" spans="8:9">
      <c r="H195" s="2"/>
      <c r="I195" s="1"/>
    </row>
    <row r="196" spans="8:9">
      <c r="H196" s="2"/>
      <c r="I196" s="1"/>
    </row>
    <row r="197" spans="8:9">
      <c r="H197" s="2"/>
      <c r="I197" s="1"/>
    </row>
    <row r="198" spans="8:9">
      <c r="H198" s="2"/>
      <c r="I198" s="1"/>
    </row>
    <row r="199" spans="8:9">
      <c r="H199" s="2"/>
      <c r="I199" s="1"/>
    </row>
    <row r="200" spans="8:9">
      <c r="H200" s="2"/>
      <c r="I200" s="1"/>
    </row>
    <row r="201" spans="8:9">
      <c r="H201" s="2"/>
      <c r="I201" s="1"/>
    </row>
    <row r="202" spans="8:9">
      <c r="H202" s="2"/>
      <c r="I202" s="1"/>
    </row>
    <row r="203" spans="8:9">
      <c r="H203" s="2"/>
      <c r="I203" s="1"/>
    </row>
    <row r="204" spans="8:9">
      <c r="H204" s="2"/>
      <c r="I204" s="1"/>
    </row>
    <row r="205" spans="8:9">
      <c r="H205" s="2"/>
      <c r="I205" s="1"/>
    </row>
    <row r="206" spans="8:9">
      <c r="H206" s="2"/>
      <c r="I206" s="1"/>
    </row>
    <row r="207" spans="8:9">
      <c r="H207" s="2"/>
      <c r="I207" s="1"/>
    </row>
    <row r="208" spans="8:9">
      <c r="H208" s="2"/>
      <c r="I208" s="1"/>
    </row>
    <row r="209" spans="8:9">
      <c r="H209" s="2"/>
      <c r="I209" s="1"/>
    </row>
    <row r="210" spans="8:9">
      <c r="H210" s="2"/>
      <c r="I210" s="1"/>
    </row>
    <row r="211" spans="8:9">
      <c r="H211" s="2"/>
      <c r="I211" s="1"/>
    </row>
    <row r="212" spans="8:9">
      <c r="H212" s="2"/>
      <c r="I212" s="1"/>
    </row>
    <row r="213" spans="8:9">
      <c r="H213" s="2"/>
      <c r="I213" s="1"/>
    </row>
    <row r="214" spans="8:9">
      <c r="H214" s="2"/>
      <c r="I214" s="1"/>
    </row>
    <row r="215" spans="8:9">
      <c r="H215" s="2"/>
      <c r="I215" s="1"/>
    </row>
    <row r="216" spans="8:9">
      <c r="H216" s="2"/>
      <c r="I216" s="1"/>
    </row>
    <row r="217" spans="8:9">
      <c r="H217" s="2"/>
      <c r="I217" s="1"/>
    </row>
    <row r="218" spans="8:9">
      <c r="H218" s="2"/>
      <c r="I218" s="1"/>
    </row>
    <row r="219" spans="8:9">
      <c r="H219" s="2"/>
      <c r="I219" s="1"/>
    </row>
    <row r="220" spans="8:9">
      <c r="H220" s="2"/>
      <c r="I220" s="1"/>
    </row>
    <row r="221" spans="8:9">
      <c r="H221" s="2"/>
      <c r="I221" s="1"/>
    </row>
    <row r="222" spans="8:9">
      <c r="H222" s="2"/>
      <c r="I222" s="1"/>
    </row>
    <row r="223" spans="8:9">
      <c r="H223" s="2"/>
      <c r="I223" s="1"/>
    </row>
    <row r="224" spans="8:9">
      <c r="H224" s="2"/>
      <c r="I224" s="1"/>
    </row>
    <row r="225" spans="8:9">
      <c r="H225" s="2"/>
      <c r="I225" s="1"/>
    </row>
    <row r="226" spans="8:9">
      <c r="H226" s="2"/>
      <c r="I226" s="1"/>
    </row>
    <row r="227" spans="8:9">
      <c r="H227" s="2"/>
      <c r="I227" s="1"/>
    </row>
    <row r="228" spans="8:9">
      <c r="H228" s="2"/>
      <c r="I228" s="1"/>
    </row>
    <row r="229" spans="8:9">
      <c r="H229" s="2"/>
      <c r="I229" s="1"/>
    </row>
    <row r="230" spans="8:9">
      <c r="H230" s="2"/>
      <c r="I230" s="1"/>
    </row>
    <row r="231" spans="8:9">
      <c r="H231" s="2"/>
      <c r="I231" s="1"/>
    </row>
    <row r="232" spans="8:9">
      <c r="H232" s="2"/>
      <c r="I232" s="1"/>
    </row>
    <row r="233" spans="8:9">
      <c r="H233" s="2"/>
      <c r="I233" s="1"/>
    </row>
    <row r="234" spans="8:9">
      <c r="H234" s="2"/>
      <c r="I234" s="1"/>
    </row>
    <row r="235" spans="8:9">
      <c r="H235" s="2"/>
      <c r="I235" s="1"/>
    </row>
    <row r="236" spans="8:9">
      <c r="H236" s="2"/>
      <c r="I236" s="1"/>
    </row>
    <row r="237" spans="8:9">
      <c r="H237" s="2"/>
      <c r="I237" s="1"/>
    </row>
    <row r="238" spans="8:9">
      <c r="H238" s="2"/>
      <c r="I238" s="1"/>
    </row>
    <row r="239" spans="8:9">
      <c r="H239" s="2"/>
      <c r="I239" s="1"/>
    </row>
    <row r="240" spans="8:9">
      <c r="H240" s="2"/>
      <c r="I240" s="1"/>
    </row>
    <row r="241" spans="8:9">
      <c r="H241" s="2"/>
      <c r="I241" s="1"/>
    </row>
    <row r="242" spans="8:9">
      <c r="H242" s="2"/>
      <c r="I242" s="1"/>
    </row>
    <row r="243" spans="8:9">
      <c r="H243" s="2"/>
      <c r="I243" s="1"/>
    </row>
    <row r="244" spans="8:9">
      <c r="H244" s="2"/>
      <c r="I244" s="1"/>
    </row>
    <row r="245" spans="8:9">
      <c r="H245" s="2"/>
      <c r="I245" s="1"/>
    </row>
    <row r="246" spans="8:9">
      <c r="H246" s="2"/>
      <c r="I246" s="1"/>
    </row>
    <row r="247" spans="8:9">
      <c r="H247" s="2"/>
      <c r="I247" s="1"/>
    </row>
    <row r="248" spans="8:9">
      <c r="H248" s="2"/>
      <c r="I248" s="1"/>
    </row>
    <row r="249" spans="8:9">
      <c r="H249" s="2"/>
      <c r="I249" s="1"/>
    </row>
    <row r="250" spans="8:9">
      <c r="H250" s="2"/>
      <c r="I250" s="1"/>
    </row>
    <row r="251" spans="8:9">
      <c r="H251" s="2"/>
      <c r="I251" s="1"/>
    </row>
    <row r="252" spans="8:9">
      <c r="H252" s="2"/>
      <c r="I252" s="1"/>
    </row>
    <row r="253" spans="8:9">
      <c r="H253" s="2"/>
      <c r="I253" s="1"/>
    </row>
    <row r="254" spans="8:9">
      <c r="H254" s="2"/>
      <c r="I254" s="1"/>
    </row>
    <row r="255" spans="8:9">
      <c r="H255" s="2"/>
      <c r="I255" s="1"/>
    </row>
    <row r="256" spans="8:9">
      <c r="H256" s="2"/>
      <c r="I256" s="1"/>
    </row>
    <row r="257" spans="8:9">
      <c r="H257" s="2"/>
      <c r="I257" s="1"/>
    </row>
    <row r="258" spans="8:9">
      <c r="H258" s="2"/>
      <c r="I258" s="1"/>
    </row>
    <row r="259" spans="8:9">
      <c r="H259" s="2"/>
      <c r="I259" s="1"/>
    </row>
    <row r="260" spans="8:9">
      <c r="H260" s="2"/>
      <c r="I260" s="1"/>
    </row>
    <row r="261" spans="8:9">
      <c r="H261" s="2"/>
      <c r="I261" s="1"/>
    </row>
    <row r="262" spans="8:9">
      <c r="H262" s="2"/>
      <c r="I262" s="1"/>
    </row>
    <row r="263" spans="8:9">
      <c r="H263" s="2"/>
      <c r="I263" s="1"/>
    </row>
    <row r="264" spans="8:9">
      <c r="H264" s="2"/>
      <c r="I264" s="1"/>
    </row>
    <row r="265" spans="8:9">
      <c r="H265" s="2"/>
      <c r="I265" s="1"/>
    </row>
    <row r="266" spans="8:9">
      <c r="H266" s="2"/>
      <c r="I266" s="1"/>
    </row>
    <row r="267" spans="8:9">
      <c r="H267" s="2"/>
      <c r="I267" s="1"/>
    </row>
    <row r="268" spans="8:9">
      <c r="H268" s="2"/>
      <c r="I268" s="1"/>
    </row>
    <row r="269" spans="8:9">
      <c r="H269" s="2"/>
      <c r="I269" s="1"/>
    </row>
    <row r="270" spans="8:9">
      <c r="H270" s="2"/>
      <c r="I270" s="1"/>
    </row>
    <row r="271" spans="8:9">
      <c r="H271" s="2"/>
      <c r="I271" s="1"/>
    </row>
    <row r="272" spans="8:9">
      <c r="H272" s="2"/>
      <c r="I272" s="1"/>
    </row>
    <row r="273" spans="8:9">
      <c r="H273" s="2"/>
      <c r="I273" s="1"/>
    </row>
    <row r="274" spans="8:9">
      <c r="H274" s="2"/>
      <c r="I274" s="1"/>
    </row>
    <row r="275" spans="8:9">
      <c r="H275" s="2"/>
      <c r="I275" s="1"/>
    </row>
    <row r="276" spans="8:9">
      <c r="H276" s="2"/>
      <c r="I276" s="1"/>
    </row>
    <row r="277" spans="8:9">
      <c r="H277" s="2"/>
      <c r="I277" s="1"/>
    </row>
    <row r="278" spans="8:9">
      <c r="H278" s="2"/>
      <c r="I278" s="1"/>
    </row>
    <row r="279" spans="8:9">
      <c r="H279" s="2"/>
      <c r="I279" s="1"/>
    </row>
    <row r="280" spans="8:9">
      <c r="H280" s="2"/>
      <c r="I280" s="1"/>
    </row>
    <row r="281" spans="8:9">
      <c r="H281" s="2"/>
      <c r="I281" s="1"/>
    </row>
    <row r="282" spans="8:9">
      <c r="H282" s="2"/>
      <c r="I282" s="1"/>
    </row>
    <row r="283" spans="8:9">
      <c r="H283" s="2"/>
      <c r="I283" s="1"/>
    </row>
    <row r="284" spans="8:9">
      <c r="H284" s="2"/>
      <c r="I284" s="1"/>
    </row>
    <row r="285" spans="8:9">
      <c r="H285" s="2"/>
      <c r="I285" s="1"/>
    </row>
    <row r="286" spans="8:9">
      <c r="H286" s="2"/>
      <c r="I286" s="1"/>
    </row>
    <row r="287" spans="8:9">
      <c r="H287" s="2"/>
      <c r="I287" s="1"/>
    </row>
    <row r="288" spans="8:9">
      <c r="H288" s="2"/>
      <c r="I288" s="1"/>
    </row>
    <row r="289" spans="8:9">
      <c r="H289" s="2"/>
      <c r="I289" s="1"/>
    </row>
    <row r="290" spans="8:9">
      <c r="H290" s="2"/>
      <c r="I290" s="1"/>
    </row>
    <row r="291" spans="8:9">
      <c r="H291" s="2"/>
      <c r="I291" s="1"/>
    </row>
    <row r="292" spans="8:9">
      <c r="H292" s="2"/>
      <c r="I292" s="1"/>
    </row>
    <row r="293" spans="8:9">
      <c r="H293" s="2"/>
      <c r="I293" s="1"/>
    </row>
    <row r="294" spans="8:9">
      <c r="H294" s="2"/>
      <c r="I294" s="1"/>
    </row>
    <row r="295" spans="8:9">
      <c r="H295" s="2"/>
      <c r="I295" s="1"/>
    </row>
    <row r="296" spans="8:9">
      <c r="H296" s="2"/>
      <c r="I296" s="1"/>
    </row>
    <row r="297" spans="8:9">
      <c r="H297" s="2"/>
      <c r="I297" s="1"/>
    </row>
    <row r="298" spans="8:9">
      <c r="H298" s="2"/>
      <c r="I298" s="1"/>
    </row>
    <row r="299" spans="8:9">
      <c r="H299" s="2"/>
      <c r="I299" s="1"/>
    </row>
    <row r="300" spans="8:9">
      <c r="H300" s="2"/>
      <c r="I300" s="1"/>
    </row>
    <row r="301" spans="8:9">
      <c r="H301" s="2"/>
      <c r="I301" s="1"/>
    </row>
    <row r="302" spans="8:9">
      <c r="H302" s="2"/>
      <c r="I302" s="1"/>
    </row>
    <row r="303" spans="8:9">
      <c r="H303" s="2"/>
      <c r="I303" s="1"/>
    </row>
    <row r="304" spans="8:9">
      <c r="H304" s="2"/>
      <c r="I304" s="1"/>
    </row>
    <row r="305" spans="8:9">
      <c r="H305" s="2"/>
      <c r="I305" s="1"/>
    </row>
    <row r="306" spans="8:9">
      <c r="H306" s="2"/>
      <c r="I306" s="1"/>
    </row>
    <row r="307" spans="8:9">
      <c r="H307" s="2"/>
      <c r="I307" s="1"/>
    </row>
    <row r="308" spans="8:9">
      <c r="H308" s="2"/>
      <c r="I308" s="1"/>
    </row>
    <row r="309" spans="8:9">
      <c r="H309" s="2"/>
      <c r="I309" s="1"/>
    </row>
    <row r="310" spans="8:9">
      <c r="H310" s="2"/>
      <c r="I310" s="1"/>
    </row>
    <row r="311" spans="8:9">
      <c r="H311" s="2"/>
      <c r="I311" s="1"/>
    </row>
    <row r="312" spans="8:9">
      <c r="H312" s="2"/>
      <c r="I312" s="1"/>
    </row>
    <row r="313" spans="8:9">
      <c r="H313" s="2"/>
      <c r="I313" s="1"/>
    </row>
    <row r="314" spans="8:9">
      <c r="H314" s="2"/>
      <c r="I314" s="1"/>
    </row>
    <row r="315" spans="8:9">
      <c r="H315" s="2"/>
      <c r="I315" s="1"/>
    </row>
    <row r="316" spans="8:9">
      <c r="H316" s="2"/>
      <c r="I316" s="1"/>
    </row>
    <row r="317" spans="8:9">
      <c r="H317" s="2"/>
      <c r="I317" s="1"/>
    </row>
    <row r="318" spans="8:9">
      <c r="H318" s="2"/>
      <c r="I318" s="1"/>
    </row>
    <row r="319" spans="8:9">
      <c r="H319" s="2"/>
      <c r="I319" s="1"/>
    </row>
    <row r="320" spans="8:9">
      <c r="H320" s="2"/>
      <c r="I320" s="1"/>
    </row>
    <row r="321" spans="8:9">
      <c r="H321" s="2"/>
      <c r="I321" s="1"/>
    </row>
    <row r="322" spans="8:9">
      <c r="H322" s="2"/>
      <c r="I322" s="1"/>
    </row>
    <row r="323" spans="8:9">
      <c r="H323" s="2"/>
      <c r="I323" s="1"/>
    </row>
    <row r="324" spans="8:9">
      <c r="H324" s="2"/>
      <c r="I324" s="1"/>
    </row>
    <row r="325" spans="8:9">
      <c r="H325" s="2"/>
      <c r="I325" s="1"/>
    </row>
    <row r="326" spans="8:9">
      <c r="H326" s="2"/>
      <c r="I326" s="1"/>
    </row>
    <row r="327" spans="8:9">
      <c r="H327" s="2"/>
      <c r="I327" s="1"/>
    </row>
    <row r="328" spans="8:9">
      <c r="H328" s="2"/>
      <c r="I328" s="1"/>
    </row>
    <row r="329" spans="8:9">
      <c r="H329" s="2"/>
      <c r="I329" s="1"/>
    </row>
    <row r="330" spans="8:9">
      <c r="H330" s="2"/>
      <c r="I330" s="1"/>
    </row>
    <row r="331" spans="8:9">
      <c r="H331" s="2"/>
      <c r="I331" s="1"/>
    </row>
    <row r="332" spans="8:9">
      <c r="H332" s="2"/>
      <c r="I332" s="1"/>
    </row>
    <row r="333" spans="8:9">
      <c r="H333" s="2"/>
      <c r="I333" s="1"/>
    </row>
    <row r="334" spans="8:9">
      <c r="H334" s="2"/>
      <c r="I334" s="1"/>
    </row>
    <row r="335" spans="8:9">
      <c r="H335" s="2"/>
      <c r="I335" s="1"/>
    </row>
    <row r="336" spans="8:9">
      <c r="H336" s="2"/>
      <c r="I336" s="1"/>
    </row>
    <row r="337" spans="8:9">
      <c r="H337" s="2"/>
      <c r="I337" s="1"/>
    </row>
    <row r="338" spans="8:9">
      <c r="H338" s="2"/>
      <c r="I338" s="1"/>
    </row>
    <row r="339" spans="8:9">
      <c r="H339" s="2"/>
      <c r="I339" s="1"/>
    </row>
    <row r="340" spans="8:9">
      <c r="H340" s="2"/>
      <c r="I340" s="1"/>
    </row>
    <row r="341" spans="8:9">
      <c r="H341" s="2"/>
      <c r="I341" s="1"/>
    </row>
    <row r="342" spans="8:9">
      <c r="H342" s="2"/>
      <c r="I342" s="1"/>
    </row>
    <row r="343" spans="8:9">
      <c r="H343" s="2"/>
      <c r="I343" s="1"/>
    </row>
    <row r="344" spans="8:9">
      <c r="H344" s="2"/>
      <c r="I344" s="1"/>
    </row>
    <row r="345" spans="8:9">
      <c r="H345" s="2"/>
      <c r="I345" s="1"/>
    </row>
    <row r="346" spans="8:9">
      <c r="H346" s="2"/>
      <c r="I346" s="1"/>
    </row>
    <row r="347" spans="8:9">
      <c r="H347" s="2"/>
      <c r="I347" s="1"/>
    </row>
    <row r="348" spans="8:9">
      <c r="H348" s="2"/>
      <c r="I348" s="1"/>
    </row>
    <row r="349" spans="8:9">
      <c r="H349" s="2"/>
      <c r="I349" s="1"/>
    </row>
    <row r="350" spans="8:9">
      <c r="H350" s="2"/>
      <c r="I350" s="1"/>
    </row>
    <row r="351" spans="8:9">
      <c r="H351" s="2"/>
      <c r="I351" s="1"/>
    </row>
    <row r="352" spans="8:9">
      <c r="H352" s="2"/>
      <c r="I352" s="1"/>
    </row>
    <row r="353" spans="8:9">
      <c r="H353" s="2"/>
      <c r="I353" s="1"/>
    </row>
    <row r="354" spans="8:9">
      <c r="H354" s="2"/>
      <c r="I354" s="1"/>
    </row>
    <row r="355" spans="8:9">
      <c r="H355" s="2"/>
      <c r="I355" s="1"/>
    </row>
    <row r="356" spans="8:9">
      <c r="H356" s="2"/>
      <c r="I356" s="1"/>
    </row>
    <row r="357" spans="8:9">
      <c r="H357" s="2"/>
      <c r="I357" s="1"/>
    </row>
    <row r="358" spans="8:9">
      <c r="H358" s="2"/>
      <c r="I358" s="1"/>
    </row>
    <row r="359" spans="8:9">
      <c r="H359" s="2"/>
      <c r="I359" s="1"/>
    </row>
    <row r="360" spans="8:9">
      <c r="H360" s="2"/>
      <c r="I360" s="1"/>
    </row>
    <row r="361" spans="8:9">
      <c r="H361" s="2"/>
      <c r="I361" s="1"/>
    </row>
    <row r="362" spans="8:9">
      <c r="H362" s="2"/>
      <c r="I362" s="1"/>
    </row>
    <row r="363" spans="8:9">
      <c r="H363" s="2"/>
      <c r="I363" s="1"/>
    </row>
    <row r="364" spans="8:9">
      <c r="H364" s="2"/>
      <c r="I364" s="1"/>
    </row>
    <row r="365" spans="8:9">
      <c r="H365" s="2"/>
      <c r="I365" s="1"/>
    </row>
    <row r="366" spans="8:9">
      <c r="H366" s="2"/>
      <c r="I366" s="1"/>
    </row>
    <row r="367" spans="8:9">
      <c r="H367" s="2"/>
      <c r="I367" s="1"/>
    </row>
    <row r="368" spans="8:9">
      <c r="H368" s="2"/>
      <c r="I368" s="1"/>
    </row>
    <row r="369" spans="8:9">
      <c r="H369" s="2"/>
      <c r="I369" s="1"/>
    </row>
    <row r="370" spans="8:9">
      <c r="H370" s="2"/>
      <c r="I370" s="1"/>
    </row>
    <row r="371" spans="8:9">
      <c r="H371" s="2"/>
      <c r="I371" s="1"/>
    </row>
    <row r="372" spans="8:9">
      <c r="H372" s="2"/>
      <c r="I372" s="1"/>
    </row>
    <row r="373" spans="8:9">
      <c r="H373" s="2"/>
      <c r="I373" s="1"/>
    </row>
    <row r="374" spans="8:9">
      <c r="H374" s="2"/>
      <c r="I374" s="1"/>
    </row>
    <row r="375" spans="8:9">
      <c r="H375" s="2"/>
      <c r="I375" s="1"/>
    </row>
    <row r="376" spans="8:9">
      <c r="H376" s="2"/>
      <c r="I376" s="1"/>
    </row>
  </sheetData>
  <dataConsolidate/>
  <mergeCells count="75">
    <mergeCell ref="B44:J44"/>
    <mergeCell ref="L12:O12"/>
    <mergeCell ref="I11:J11"/>
    <mergeCell ref="I12:J12"/>
    <mergeCell ref="A14:J14"/>
    <mergeCell ref="H15:H16"/>
    <mergeCell ref="I15:J16"/>
    <mergeCell ref="C13:J13"/>
    <mergeCell ref="A15:A16"/>
    <mergeCell ref="B15:B16"/>
    <mergeCell ref="B41:J41"/>
    <mergeCell ref="E15:E16"/>
    <mergeCell ref="I36:J36"/>
    <mergeCell ref="I17:J17"/>
    <mergeCell ref="G15:G16"/>
    <mergeCell ref="C15:C16"/>
    <mergeCell ref="D15:D16"/>
    <mergeCell ref="A42:A43"/>
    <mergeCell ref="B42:J43"/>
    <mergeCell ref="A40:J40"/>
    <mergeCell ref="A17:A21"/>
    <mergeCell ref="A23:A27"/>
    <mergeCell ref="A29:A33"/>
    <mergeCell ref="A35:A39"/>
    <mergeCell ref="B17:B21"/>
    <mergeCell ref="B23:B27"/>
    <mergeCell ref="B29:B33"/>
    <mergeCell ref="B35:B39"/>
    <mergeCell ref="H5:I5"/>
    <mergeCell ref="C9:D9"/>
    <mergeCell ref="C10:D10"/>
    <mergeCell ref="C11:D11"/>
    <mergeCell ref="C12:D12"/>
    <mergeCell ref="F15:F16"/>
    <mergeCell ref="I24:J24"/>
    <mergeCell ref="I25:J25"/>
    <mergeCell ref="B1:J2"/>
    <mergeCell ref="A8:J8"/>
    <mergeCell ref="I9:J9"/>
    <mergeCell ref="I10:J10"/>
    <mergeCell ref="C7:D7"/>
    <mergeCell ref="C5:D5"/>
    <mergeCell ref="C3:D3"/>
    <mergeCell ref="H3:I3"/>
    <mergeCell ref="H4:I4"/>
    <mergeCell ref="H6:I6"/>
    <mergeCell ref="H7:I7"/>
    <mergeCell ref="C4:D4"/>
    <mergeCell ref="C6:D6"/>
    <mergeCell ref="I27:J27"/>
    <mergeCell ref="I37:J37"/>
    <mergeCell ref="I38:J38"/>
    <mergeCell ref="I39:J39"/>
    <mergeCell ref="I20:J20"/>
    <mergeCell ref="I21:J21"/>
    <mergeCell ref="I22:J22"/>
    <mergeCell ref="I23:J23"/>
    <mergeCell ref="I35:J35"/>
    <mergeCell ref="I34:J34"/>
    <mergeCell ref="I28:J28"/>
    <mergeCell ref="I32:J32"/>
    <mergeCell ref="I33:J33"/>
    <mergeCell ref="I29:J29"/>
    <mergeCell ref="I30:J30"/>
    <mergeCell ref="I31:J31"/>
    <mergeCell ref="I26:J26"/>
    <mergeCell ref="L21:O21"/>
    <mergeCell ref="L22:O23"/>
    <mergeCell ref="L13:O13"/>
    <mergeCell ref="L14:O14"/>
    <mergeCell ref="L15:O16"/>
    <mergeCell ref="L18:O18"/>
    <mergeCell ref="L19:O20"/>
    <mergeCell ref="I18:J18"/>
    <mergeCell ref="I19:J19"/>
  </mergeCells>
  <conditionalFormatting sqref="I29:J33 I35:J39 I17:J27">
    <cfRule type="containsText" dxfId="22" priority="9" operator="containsText" text="Fail">
      <formula>NOT(ISERROR(SEARCH("Fail",I17)))</formula>
    </cfRule>
  </conditionalFormatting>
  <conditionalFormatting sqref="D17:H39">
    <cfRule type="expression" dxfId="21" priority="2">
      <formula>$B$6="DAQM901A"</formula>
    </cfRule>
  </conditionalFormatting>
  <conditionalFormatting sqref="B6">
    <cfRule type="beginsWith" dxfId="20" priority="1" operator="beginsWith" text="Select">
      <formula>LEFT(B6,LEN("Select"))="Select"</formula>
    </cfRule>
  </conditionalFormatting>
  <dataValidations count="2">
    <dataValidation type="list" allowBlank="1" showInputMessage="1" showErrorMessage="1" prompt="Select %FS or %RDG" sqref="G7" xr:uid="{00000000-0002-0000-0000-000000000000}">
      <formula1>tolerance</formula1>
    </dataValidation>
    <dataValidation type="list" allowBlank="1" showInputMessage="1" showErrorMessage="1" sqref="B6" xr:uid="{02893379-588B-49E0-82E5-EF55641D4CE2}">
      <formula1>"Select Model, 34901A, DAQM901A"</formula1>
    </dataValidation>
  </dataValidations>
  <printOptions horizontalCentered="1"/>
  <pageMargins left="0.25" right="0.25" top="0.75" bottom="0.75" header="0.3" footer="0.3"/>
  <pageSetup scale="69" orientation="portrait" horizontalDpi="4294967295" verticalDpi="4294967295"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AD0DE-1775-4839-B627-811AE853EB39}">
  <sheetPr codeName="Sheet10"/>
  <dimension ref="B1:AD22"/>
  <sheetViews>
    <sheetView zoomScaleNormal="100" workbookViewId="0">
      <selection activeCell="G11" sqref="G11:J11"/>
    </sheetView>
  </sheetViews>
  <sheetFormatPr defaultRowHeight="15"/>
  <cols>
    <col min="1" max="1" width="4.28515625" style="50" customWidth="1"/>
    <col min="2" max="22" width="9.140625" style="50"/>
    <col min="23" max="24" width="2.85546875" style="50" customWidth="1"/>
    <col min="25" max="16384" width="9.140625" style="50"/>
  </cols>
  <sheetData>
    <row r="1" spans="2:30" ht="15.75" thickBot="1"/>
    <row r="2" spans="2:30" ht="15" customHeight="1">
      <c r="B2" s="280" t="e">
        <f>"Measurement Uncertainty Analysis (Type J "&amp;ROUND(Datasheet!C25,0)&amp;"°C test point)
The reported value ("&amp;ROUND(AC11,1)&amp;") is the mean UUT indication five (5) test runs"</f>
        <v>#DIV/0!</v>
      </c>
      <c r="C2" s="281"/>
      <c r="D2" s="281"/>
      <c r="E2" s="281"/>
      <c r="F2" s="281"/>
      <c r="G2" s="281"/>
      <c r="H2" s="281"/>
      <c r="I2" s="281"/>
      <c r="J2" s="281"/>
      <c r="K2" s="281"/>
      <c r="L2" s="281"/>
      <c r="M2" s="281"/>
      <c r="N2" s="281"/>
      <c r="O2" s="281"/>
      <c r="P2" s="281"/>
      <c r="Q2" s="281"/>
      <c r="R2" s="281"/>
      <c r="S2" s="281"/>
      <c r="T2" s="281"/>
      <c r="U2" s="281"/>
      <c r="V2" s="282"/>
    </row>
    <row r="3" spans="2:30" ht="15.75" thickBot="1">
      <c r="B3" s="283"/>
      <c r="C3" s="284"/>
      <c r="D3" s="284"/>
      <c r="E3" s="284"/>
      <c r="F3" s="284"/>
      <c r="G3" s="284"/>
      <c r="H3" s="284"/>
      <c r="I3" s="284"/>
      <c r="J3" s="284"/>
      <c r="K3" s="284"/>
      <c r="L3" s="284"/>
      <c r="M3" s="284"/>
      <c r="N3" s="284"/>
      <c r="O3" s="284"/>
      <c r="P3" s="284"/>
      <c r="Q3" s="284"/>
      <c r="R3" s="284"/>
      <c r="S3" s="284"/>
      <c r="T3" s="284"/>
      <c r="U3" s="284"/>
      <c r="V3" s="285"/>
    </row>
    <row r="4" spans="2:30" ht="30" customHeight="1">
      <c r="B4" s="71"/>
      <c r="C4" s="216" t="s">
        <v>45</v>
      </c>
      <c r="D4" s="216"/>
      <c r="E4" s="286" t="s">
        <v>46</v>
      </c>
      <c r="F4" s="286"/>
      <c r="G4" s="287" t="s">
        <v>47</v>
      </c>
      <c r="H4" s="287"/>
      <c r="I4" s="286" t="s">
        <v>48</v>
      </c>
      <c r="J4" s="216"/>
      <c r="K4" s="216" t="s">
        <v>49</v>
      </c>
      <c r="L4" s="216"/>
      <c r="M4" s="216" t="s">
        <v>50</v>
      </c>
      <c r="N4" s="216"/>
      <c r="O4" s="286" t="s">
        <v>51</v>
      </c>
      <c r="P4" s="286"/>
      <c r="Q4" s="216" t="s">
        <v>52</v>
      </c>
      <c r="R4" s="216"/>
      <c r="S4" s="216" t="s">
        <v>53</v>
      </c>
      <c r="T4" s="216"/>
      <c r="U4" s="286" t="s">
        <v>54</v>
      </c>
      <c r="V4" s="288"/>
      <c r="Y4" s="277" t="s">
        <v>55</v>
      </c>
      <c r="Z4" s="241"/>
      <c r="AA4" s="241"/>
      <c r="AB4" s="241"/>
      <c r="AC4" s="241" t="s">
        <v>56</v>
      </c>
      <c r="AD4" s="278"/>
    </row>
    <row r="5" spans="2:30" ht="30" customHeight="1" thickBot="1">
      <c r="B5" s="71" t="s">
        <v>57</v>
      </c>
      <c r="C5" s="263" t="s">
        <v>58</v>
      </c>
      <c r="D5" s="263"/>
      <c r="E5" s="254">
        <f>'STD Info'!L19</f>
        <v>7.0000000000000007E-2</v>
      </c>
      <c r="F5" s="263"/>
      <c r="G5" s="269">
        <v>0.95</v>
      </c>
      <c r="H5" s="263"/>
      <c r="I5" s="263" t="s">
        <v>59</v>
      </c>
      <c r="J5" s="263"/>
      <c r="K5" s="263" t="s">
        <v>60</v>
      </c>
      <c r="L5" s="263"/>
      <c r="M5" s="254">
        <f>NORMSINV((1+0.95)/2)</f>
        <v>1.9599639845400536</v>
      </c>
      <c r="N5" s="254"/>
      <c r="O5" s="270">
        <f>E5/M5</f>
        <v>3.5714941984725787E-2</v>
      </c>
      <c r="P5" s="270"/>
      <c r="Q5" s="254">
        <v>1</v>
      </c>
      <c r="R5" s="254"/>
      <c r="S5" s="270">
        <f>O5*Q5</f>
        <v>3.5714941984725787E-2</v>
      </c>
      <c r="T5" s="270"/>
      <c r="U5" s="271" t="s">
        <v>61</v>
      </c>
      <c r="V5" s="272"/>
      <c r="Y5" s="217"/>
      <c r="Z5" s="218"/>
      <c r="AA5" s="218"/>
      <c r="AB5" s="218"/>
      <c r="AC5" s="218"/>
      <c r="AD5" s="279"/>
    </row>
    <row r="6" spans="2:30" ht="30" customHeight="1">
      <c r="B6" s="71" t="s">
        <v>62</v>
      </c>
      <c r="C6" s="263" t="s">
        <v>63</v>
      </c>
      <c r="D6" s="263"/>
      <c r="E6" s="263">
        <f>'STD Info'!D9/2</f>
        <v>5.0000000000000001E-3</v>
      </c>
      <c r="F6" s="263"/>
      <c r="G6" s="269">
        <v>1</v>
      </c>
      <c r="H6" s="263"/>
      <c r="I6" s="263" t="s">
        <v>59</v>
      </c>
      <c r="J6" s="263"/>
      <c r="K6" s="263" t="s">
        <v>64</v>
      </c>
      <c r="L6" s="263"/>
      <c r="M6" s="254">
        <f>SQRT(3)</f>
        <v>1.7320508075688772</v>
      </c>
      <c r="N6" s="254"/>
      <c r="O6" s="270">
        <f>E6/M6</f>
        <v>2.886751345948129E-3</v>
      </c>
      <c r="P6" s="270"/>
      <c r="Q6" s="254">
        <v>1</v>
      </c>
      <c r="R6" s="254"/>
      <c r="S6" s="270">
        <f>O6*Q6</f>
        <v>2.886751345948129E-3</v>
      </c>
      <c r="T6" s="270"/>
      <c r="U6" s="271" t="s">
        <v>61</v>
      </c>
      <c r="V6" s="272"/>
      <c r="Y6" s="274">
        <v>1</v>
      </c>
      <c r="Z6" s="266"/>
      <c r="AA6" s="266"/>
      <c r="AB6" s="266"/>
      <c r="AC6" s="275"/>
      <c r="AD6" s="276"/>
    </row>
    <row r="7" spans="2:30" ht="30" customHeight="1">
      <c r="B7" s="71" t="s">
        <v>65</v>
      </c>
      <c r="C7" s="263" t="s">
        <v>66</v>
      </c>
      <c r="D7" s="263"/>
      <c r="E7" s="263">
        <f>IF(Datasheet!B6="DAQM901A",'UUT Info'!D9/2,'UUT Info'!P9/2)</f>
        <v>0.05</v>
      </c>
      <c r="F7" s="263"/>
      <c r="G7" s="269">
        <v>1</v>
      </c>
      <c r="H7" s="263"/>
      <c r="I7" s="263" t="s">
        <v>59</v>
      </c>
      <c r="J7" s="263"/>
      <c r="K7" s="263" t="s">
        <v>64</v>
      </c>
      <c r="L7" s="263"/>
      <c r="M7" s="254">
        <f>SQRT(3)</f>
        <v>1.7320508075688772</v>
      </c>
      <c r="N7" s="254"/>
      <c r="O7" s="270">
        <f>E7/M7</f>
        <v>2.8867513459481291E-2</v>
      </c>
      <c r="P7" s="270"/>
      <c r="Q7" s="254">
        <v>1</v>
      </c>
      <c r="R7" s="254"/>
      <c r="S7" s="270">
        <f>O7*Q7</f>
        <v>2.8867513459481291E-2</v>
      </c>
      <c r="T7" s="270"/>
      <c r="U7" s="271" t="s">
        <v>61</v>
      </c>
      <c r="V7" s="272"/>
      <c r="Y7" s="262">
        <v>2</v>
      </c>
      <c r="Z7" s="263"/>
      <c r="AA7" s="263"/>
      <c r="AB7" s="263"/>
      <c r="AC7" s="264"/>
      <c r="AD7" s="265"/>
    </row>
    <row r="8" spans="2:30" ht="30" customHeight="1" thickBot="1">
      <c r="B8" s="70" t="s">
        <v>67</v>
      </c>
      <c r="C8" s="266" t="s">
        <v>68</v>
      </c>
      <c r="D8" s="266"/>
      <c r="E8" s="267" t="e">
        <f>AC15</f>
        <v>#DIV/0!</v>
      </c>
      <c r="F8" s="267"/>
      <c r="G8" s="268">
        <v>0.68</v>
      </c>
      <c r="H8" s="266"/>
      <c r="I8" s="266" t="s">
        <v>69</v>
      </c>
      <c r="J8" s="266"/>
      <c r="K8" s="266" t="s">
        <v>60</v>
      </c>
      <c r="L8" s="266"/>
      <c r="M8" s="252" t="s">
        <v>70</v>
      </c>
      <c r="N8" s="252"/>
      <c r="O8" s="267" t="e">
        <f>E8/1</f>
        <v>#DIV/0!</v>
      </c>
      <c r="P8" s="267"/>
      <c r="Q8" s="252">
        <v>1</v>
      </c>
      <c r="R8" s="252"/>
      <c r="S8" s="267" t="e">
        <f>O8*Q8</f>
        <v>#DIV/0!</v>
      </c>
      <c r="T8" s="267"/>
      <c r="U8" s="266">
        <f>Y10-1</f>
        <v>4</v>
      </c>
      <c r="V8" s="273"/>
      <c r="Y8" s="262">
        <v>3</v>
      </c>
      <c r="Z8" s="263"/>
      <c r="AA8" s="263"/>
      <c r="AB8" s="263"/>
      <c r="AC8" s="264"/>
      <c r="AD8" s="265"/>
    </row>
    <row r="9" spans="2:30" ht="30" customHeight="1">
      <c r="B9" s="72" t="s">
        <v>71</v>
      </c>
      <c r="C9" s="241" t="s">
        <v>72</v>
      </c>
      <c r="D9" s="241"/>
      <c r="E9" s="241"/>
      <c r="F9" s="241"/>
      <c r="G9" s="242" t="e">
        <f>SQRT(SUMSQ(S5:T8))</f>
        <v>#DIV/0!</v>
      </c>
      <c r="H9" s="242"/>
      <c r="I9" s="242"/>
      <c r="J9" s="242"/>
      <c r="K9" s="243" t="s">
        <v>138</v>
      </c>
      <c r="L9" s="244"/>
      <c r="M9" s="244"/>
      <c r="N9" s="244"/>
      <c r="O9" s="244"/>
      <c r="P9" s="244"/>
      <c r="Q9" s="244"/>
      <c r="R9" s="244"/>
      <c r="S9" s="244"/>
      <c r="T9" s="244"/>
      <c r="U9" s="244"/>
      <c r="V9" s="245"/>
      <c r="Y9" s="262">
        <v>4</v>
      </c>
      <c r="Z9" s="263"/>
      <c r="AA9" s="263"/>
      <c r="AB9" s="263"/>
      <c r="AC9" s="264"/>
      <c r="AD9" s="265"/>
    </row>
    <row r="10" spans="2:30" ht="30" customHeight="1" thickBot="1">
      <c r="B10" s="69" t="s">
        <v>74</v>
      </c>
      <c r="C10" s="216" t="s">
        <v>75</v>
      </c>
      <c r="D10" s="216"/>
      <c r="E10" s="216"/>
      <c r="F10" s="216"/>
      <c r="G10" s="256" t="e">
        <f>ROUND(AC11,1) &amp; "°C ± " &amp; I20 &amp;"°C"</f>
        <v>#DIV/0!</v>
      </c>
      <c r="H10" s="256"/>
      <c r="I10" s="256"/>
      <c r="J10" s="256"/>
      <c r="K10" s="246"/>
      <c r="L10" s="246"/>
      <c r="M10" s="246"/>
      <c r="N10" s="246"/>
      <c r="O10" s="246"/>
      <c r="P10" s="246"/>
      <c r="Q10" s="246"/>
      <c r="R10" s="246"/>
      <c r="S10" s="246"/>
      <c r="T10" s="246"/>
      <c r="U10" s="246"/>
      <c r="V10" s="247"/>
      <c r="Y10" s="260">
        <v>5</v>
      </c>
      <c r="Z10" s="261"/>
      <c r="AA10" s="261"/>
      <c r="AB10" s="261"/>
      <c r="AC10" s="239"/>
      <c r="AD10" s="240"/>
    </row>
    <row r="11" spans="2:30" ht="30" customHeight="1" thickBot="1">
      <c r="B11" s="257" t="s">
        <v>76</v>
      </c>
      <c r="C11" s="258"/>
      <c r="D11" s="258"/>
      <c r="E11" s="258"/>
      <c r="F11" s="258"/>
      <c r="G11" s="259" t="e">
        <f>IF(S8=0,10000000000,IF(U8*((G9^4)/(S8^4))&gt;10000000000,10000000000,U8*((G9^4)/(S8^4))))</f>
        <v>#DIV/0!</v>
      </c>
      <c r="H11" s="259"/>
      <c r="I11" s="259"/>
      <c r="J11" s="259"/>
      <c r="K11" s="248"/>
      <c r="L11" s="248"/>
      <c r="M11" s="248"/>
      <c r="N11" s="248"/>
      <c r="O11" s="248"/>
      <c r="P11" s="248"/>
      <c r="Q11" s="248"/>
      <c r="R11" s="248"/>
      <c r="S11" s="248"/>
      <c r="T11" s="248"/>
      <c r="U11" s="248"/>
      <c r="V11" s="249"/>
      <c r="X11" s="54"/>
      <c r="Y11" s="250" t="s">
        <v>73</v>
      </c>
      <c r="Z11" s="251"/>
      <c r="AA11" s="251"/>
      <c r="AB11" s="251"/>
      <c r="AC11" s="252" t="e">
        <f>AVERAGE(AC6:AD10)</f>
        <v>#DIV/0!</v>
      </c>
      <c r="AD11" s="253"/>
    </row>
    <row r="12" spans="2:30" ht="30" customHeight="1" thickTop="1">
      <c r="B12" s="227" t="s">
        <v>78</v>
      </c>
      <c r="C12" s="228"/>
      <c r="D12" s="228"/>
      <c r="E12" s="228"/>
      <c r="F12" s="228"/>
      <c r="G12" s="229" t="s">
        <v>79</v>
      </c>
      <c r="H12" s="229"/>
      <c r="I12" s="229"/>
      <c r="J12" s="229"/>
      <c r="K12" s="229"/>
      <c r="L12" s="229"/>
      <c r="M12" s="229"/>
      <c r="N12" s="229"/>
      <c r="O12" s="229"/>
      <c r="P12" s="229"/>
      <c r="Q12" s="229"/>
      <c r="R12" s="229"/>
      <c r="S12" s="229"/>
      <c r="T12" s="229"/>
      <c r="U12" s="229"/>
      <c r="V12" s="230"/>
      <c r="X12" s="54"/>
      <c r="Y12" s="215"/>
      <c r="Z12" s="216"/>
      <c r="AA12" s="216"/>
      <c r="AB12" s="216"/>
      <c r="AC12" s="254"/>
      <c r="AD12" s="255"/>
    </row>
    <row r="13" spans="2:30" ht="30" customHeight="1">
      <c r="B13" s="223" t="s">
        <v>80</v>
      </c>
      <c r="C13" s="224"/>
      <c r="D13" s="224"/>
      <c r="E13" s="224"/>
      <c r="F13" s="224"/>
      <c r="G13" s="231" t="s">
        <v>81</v>
      </c>
      <c r="H13" s="231"/>
      <c r="I13" s="231"/>
      <c r="J13" s="231"/>
      <c r="K13" s="231"/>
      <c r="L13" s="231"/>
      <c r="M13" s="231"/>
      <c r="N13" s="231"/>
      <c r="O13" s="231"/>
      <c r="P13" s="231"/>
      <c r="Q13" s="231"/>
      <c r="R13" s="231"/>
      <c r="S13" s="231"/>
      <c r="T13" s="231"/>
      <c r="U13" s="231"/>
      <c r="V13" s="232"/>
      <c r="Y13" s="215" t="s">
        <v>77</v>
      </c>
      <c r="Z13" s="216"/>
      <c r="AA13" s="216"/>
      <c r="AB13" s="216"/>
      <c r="AC13" s="219" t="e">
        <f>_xlfn.STDEV.S(AC6:AD10)</f>
        <v>#DIV/0!</v>
      </c>
      <c r="AD13" s="220"/>
    </row>
    <row r="14" spans="2:30">
      <c r="B14" s="223" t="s">
        <v>83</v>
      </c>
      <c r="C14" s="224"/>
      <c r="D14" s="224"/>
      <c r="E14" s="224"/>
      <c r="F14" s="224"/>
      <c r="G14" s="225" t="s">
        <v>84</v>
      </c>
      <c r="H14" s="225"/>
      <c r="I14" s="225"/>
      <c r="J14" s="225"/>
      <c r="K14" s="225"/>
      <c r="L14" s="225"/>
      <c r="M14" s="225"/>
      <c r="N14" s="225"/>
      <c r="O14" s="225"/>
      <c r="P14" s="225"/>
      <c r="Q14" s="225"/>
      <c r="R14" s="225"/>
      <c r="S14" s="225"/>
      <c r="T14" s="225"/>
      <c r="U14" s="225"/>
      <c r="V14" s="226"/>
      <c r="Y14" s="215"/>
      <c r="Z14" s="216"/>
      <c r="AA14" s="216"/>
      <c r="AB14" s="216"/>
      <c r="AC14" s="219"/>
      <c r="AD14" s="220"/>
    </row>
    <row r="15" spans="2:30">
      <c r="B15" s="223"/>
      <c r="C15" s="224"/>
      <c r="D15" s="224"/>
      <c r="E15" s="224"/>
      <c r="F15" s="224"/>
      <c r="G15" s="225"/>
      <c r="H15" s="225"/>
      <c r="I15" s="225"/>
      <c r="J15" s="225"/>
      <c r="K15" s="225"/>
      <c r="L15" s="225"/>
      <c r="M15" s="225"/>
      <c r="N15" s="225"/>
      <c r="O15" s="225"/>
      <c r="P15" s="225"/>
      <c r="Q15" s="225"/>
      <c r="R15" s="225"/>
      <c r="S15" s="225"/>
      <c r="T15" s="225"/>
      <c r="U15" s="225"/>
      <c r="V15" s="226"/>
      <c r="Y15" s="215" t="s">
        <v>82</v>
      </c>
      <c r="Z15" s="216"/>
      <c r="AA15" s="216"/>
      <c r="AB15" s="216"/>
      <c r="AC15" s="219" t="e">
        <f>AC13/SQRT(Y10)</f>
        <v>#DIV/0!</v>
      </c>
      <c r="AD15" s="220"/>
    </row>
    <row r="16" spans="2:30" ht="15.75" thickBot="1">
      <c r="B16" s="223"/>
      <c r="C16" s="224"/>
      <c r="D16" s="224"/>
      <c r="E16" s="224"/>
      <c r="F16" s="224"/>
      <c r="G16" s="225"/>
      <c r="H16" s="225"/>
      <c r="I16" s="225"/>
      <c r="J16" s="225"/>
      <c r="K16" s="225"/>
      <c r="L16" s="225"/>
      <c r="M16" s="225"/>
      <c r="N16" s="225"/>
      <c r="O16" s="225"/>
      <c r="P16" s="225"/>
      <c r="Q16" s="225"/>
      <c r="R16" s="225"/>
      <c r="S16" s="225"/>
      <c r="T16" s="225"/>
      <c r="U16" s="225"/>
      <c r="V16" s="226"/>
      <c r="Y16" s="217"/>
      <c r="Z16" s="218"/>
      <c r="AA16" s="218"/>
      <c r="AB16" s="218"/>
      <c r="AC16" s="221"/>
      <c r="AD16" s="222"/>
    </row>
    <row r="17" spans="2:22" ht="15.75" thickBot="1">
      <c r="B17" s="233" t="s">
        <v>85</v>
      </c>
      <c r="C17" s="234"/>
      <c r="D17" s="234"/>
      <c r="E17" s="234"/>
      <c r="F17" s="234"/>
      <c r="G17" s="235" t="s">
        <v>86</v>
      </c>
      <c r="H17" s="235"/>
      <c r="I17" s="235"/>
      <c r="J17" s="235"/>
      <c r="K17" s="235"/>
      <c r="L17" s="235"/>
      <c r="M17" s="235"/>
      <c r="N17" s="235"/>
      <c r="O17" s="235"/>
      <c r="P17" s="235"/>
      <c r="Q17" s="235"/>
      <c r="R17" s="235"/>
      <c r="S17" s="235"/>
      <c r="T17" s="235"/>
      <c r="U17" s="235"/>
      <c r="V17" s="236"/>
    </row>
    <row r="19" spans="2:22">
      <c r="G19" s="237" t="s">
        <v>87</v>
      </c>
      <c r="H19" s="237"/>
      <c r="I19" s="238" t="e">
        <f>TINV(0.05,G11)</f>
        <v>#DIV/0!</v>
      </c>
      <c r="J19" s="238"/>
    </row>
    <row r="20" spans="2:22">
      <c r="G20" s="237" t="s">
        <v>88</v>
      </c>
      <c r="H20" s="237"/>
      <c r="I20" s="85" t="e">
        <f>ROUND(I19*G9,1)</f>
        <v>#DIV/0!</v>
      </c>
      <c r="J20" s="85"/>
    </row>
    <row r="21" spans="2:22" ht="30" customHeight="1"/>
    <row r="22" spans="2:22" ht="30" customHeight="1"/>
  </sheetData>
  <mergeCells count="87">
    <mergeCell ref="B2:V3"/>
    <mergeCell ref="C4:D4"/>
    <mergeCell ref="E4:F4"/>
    <mergeCell ref="G4:H4"/>
    <mergeCell ref="I4:J4"/>
    <mergeCell ref="K4:L4"/>
    <mergeCell ref="M4:N4"/>
    <mergeCell ref="O4:P4"/>
    <mergeCell ref="Q4:R4"/>
    <mergeCell ref="S4:T4"/>
    <mergeCell ref="U4:V4"/>
    <mergeCell ref="M5:N5"/>
    <mergeCell ref="O5:P5"/>
    <mergeCell ref="Q5:R5"/>
    <mergeCell ref="S5:T5"/>
    <mergeCell ref="U5:V5"/>
    <mergeCell ref="C5:D5"/>
    <mergeCell ref="E5:F5"/>
    <mergeCell ref="G5:H5"/>
    <mergeCell ref="I5:J5"/>
    <mergeCell ref="K5:L5"/>
    <mergeCell ref="AC6:AD6"/>
    <mergeCell ref="AC7:AD7"/>
    <mergeCell ref="Y7:AB7"/>
    <mergeCell ref="Y4:AB5"/>
    <mergeCell ref="AC4:AD5"/>
    <mergeCell ref="C6:D6"/>
    <mergeCell ref="E6:F6"/>
    <mergeCell ref="G6:H6"/>
    <mergeCell ref="I6:J6"/>
    <mergeCell ref="K6:L6"/>
    <mergeCell ref="M6:N6"/>
    <mergeCell ref="O6:P6"/>
    <mergeCell ref="Q6:R6"/>
    <mergeCell ref="S6:T6"/>
    <mergeCell ref="Y8:AB8"/>
    <mergeCell ref="U6:V6"/>
    <mergeCell ref="Y6:AB6"/>
    <mergeCell ref="AC8:AD8"/>
    <mergeCell ref="C7:D7"/>
    <mergeCell ref="E7:F7"/>
    <mergeCell ref="G7:H7"/>
    <mergeCell ref="I7:J7"/>
    <mergeCell ref="K7:L7"/>
    <mergeCell ref="M7:N7"/>
    <mergeCell ref="O7:P7"/>
    <mergeCell ref="Q7:R7"/>
    <mergeCell ref="S7:T7"/>
    <mergeCell ref="U7:V7"/>
    <mergeCell ref="M8:N8"/>
    <mergeCell ref="O8:P8"/>
    <mergeCell ref="Q8:R8"/>
    <mergeCell ref="S8:T8"/>
    <mergeCell ref="U8:V8"/>
    <mergeCell ref="C8:D8"/>
    <mergeCell ref="E8:F8"/>
    <mergeCell ref="G8:H8"/>
    <mergeCell ref="I8:J8"/>
    <mergeCell ref="K8:L8"/>
    <mergeCell ref="G19:H19"/>
    <mergeCell ref="I19:J19"/>
    <mergeCell ref="G20:H20"/>
    <mergeCell ref="AC10:AD10"/>
    <mergeCell ref="C9:F9"/>
    <mergeCell ref="G9:J9"/>
    <mergeCell ref="K9:V11"/>
    <mergeCell ref="Y11:AB12"/>
    <mergeCell ref="AC11:AD12"/>
    <mergeCell ref="C10:F10"/>
    <mergeCell ref="G10:J10"/>
    <mergeCell ref="B11:F11"/>
    <mergeCell ref="G11:J11"/>
    <mergeCell ref="Y10:AB10"/>
    <mergeCell ref="Y9:AB9"/>
    <mergeCell ref="AC9:AD9"/>
    <mergeCell ref="B12:F12"/>
    <mergeCell ref="G12:V12"/>
    <mergeCell ref="B13:F13"/>
    <mergeCell ref="G13:V13"/>
    <mergeCell ref="B17:F17"/>
    <mergeCell ref="G17:V17"/>
    <mergeCell ref="Y15:AB16"/>
    <mergeCell ref="AC15:AD16"/>
    <mergeCell ref="B14:F16"/>
    <mergeCell ref="G14:V16"/>
    <mergeCell ref="Y13:AB14"/>
    <mergeCell ref="AC13:AD14"/>
  </mergeCells>
  <pageMargins left="0.7" right="0.7" top="0.75" bottom="0.75" header="0.3" footer="0.3"/>
  <pageSetup scale="45" orientation="portrait" horizontalDpi="300" verticalDpi="300" r:id="rId1"/>
  <colBreaks count="1" manualBreakCount="1">
    <brk id="23" max="19" man="1"/>
  </colBreaks>
  <extLst>
    <ext xmlns:x14="http://schemas.microsoft.com/office/spreadsheetml/2009/9/main" uri="{78C0D931-6437-407d-A8EE-F0AAD7539E65}">
      <x14:conditionalFormattings>
        <x14:conditionalFormatting xmlns:xm="http://schemas.microsoft.com/office/excel/2006/main">
          <x14:cfRule type="expression" priority="1" id="{E0B95E49-BE60-4E76-8F75-65A5D358DB13}">
            <xm:f>Datasheet!$B$6="34901A"</xm:f>
            <x14:dxf>
              <numFmt numFmtId="164" formatCode="0.0"/>
            </x14:dxf>
          </x14:cfRule>
          <xm:sqref>AC6:AD12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A8644-A855-4EFD-8A0F-833B0C76AFD2}">
  <sheetPr codeName="Sheet11"/>
  <dimension ref="B1:AD22"/>
  <sheetViews>
    <sheetView zoomScaleNormal="100" workbookViewId="0">
      <selection activeCell="G11" sqref="G11:J11"/>
    </sheetView>
  </sheetViews>
  <sheetFormatPr defaultRowHeight="15"/>
  <cols>
    <col min="1" max="1" width="4.28515625" style="50" customWidth="1"/>
    <col min="2" max="22" width="9.140625" style="50"/>
    <col min="23" max="24" width="2.85546875" style="50" customWidth="1"/>
    <col min="25" max="16384" width="9.140625" style="50"/>
  </cols>
  <sheetData>
    <row r="1" spans="2:30" ht="15.75" thickBot="1"/>
    <row r="2" spans="2:30" ht="15" customHeight="1">
      <c r="B2" s="280" t="e">
        <f>"Measurement Uncertainty Analysis (Type J "&amp;ROUND(Datasheet!C26,0)&amp;"°C test point)
The reported value ("&amp;ROUND(AC11,1)&amp;") is the mean UUT indication five (5) test runs"</f>
        <v>#DIV/0!</v>
      </c>
      <c r="C2" s="281"/>
      <c r="D2" s="281"/>
      <c r="E2" s="281"/>
      <c r="F2" s="281"/>
      <c r="G2" s="281"/>
      <c r="H2" s="281"/>
      <c r="I2" s="281"/>
      <c r="J2" s="281"/>
      <c r="K2" s="281"/>
      <c r="L2" s="281"/>
      <c r="M2" s="281"/>
      <c r="N2" s="281"/>
      <c r="O2" s="281"/>
      <c r="P2" s="281"/>
      <c r="Q2" s="281"/>
      <c r="R2" s="281"/>
      <c r="S2" s="281"/>
      <c r="T2" s="281"/>
      <c r="U2" s="281"/>
      <c r="V2" s="282"/>
    </row>
    <row r="3" spans="2:30" ht="15.75" thickBot="1">
      <c r="B3" s="283"/>
      <c r="C3" s="284"/>
      <c r="D3" s="284"/>
      <c r="E3" s="284"/>
      <c r="F3" s="284"/>
      <c r="G3" s="284"/>
      <c r="H3" s="284"/>
      <c r="I3" s="284"/>
      <c r="J3" s="284"/>
      <c r="K3" s="284"/>
      <c r="L3" s="284"/>
      <c r="M3" s="284"/>
      <c r="N3" s="284"/>
      <c r="O3" s="284"/>
      <c r="P3" s="284"/>
      <c r="Q3" s="284"/>
      <c r="R3" s="284"/>
      <c r="S3" s="284"/>
      <c r="T3" s="284"/>
      <c r="U3" s="284"/>
      <c r="V3" s="285"/>
    </row>
    <row r="4" spans="2:30" ht="30" customHeight="1">
      <c r="B4" s="71"/>
      <c r="C4" s="216" t="s">
        <v>45</v>
      </c>
      <c r="D4" s="216"/>
      <c r="E4" s="286" t="s">
        <v>46</v>
      </c>
      <c r="F4" s="286"/>
      <c r="G4" s="287" t="s">
        <v>47</v>
      </c>
      <c r="H4" s="287"/>
      <c r="I4" s="286" t="s">
        <v>48</v>
      </c>
      <c r="J4" s="216"/>
      <c r="K4" s="216" t="s">
        <v>49</v>
      </c>
      <c r="L4" s="216"/>
      <c r="M4" s="216" t="s">
        <v>50</v>
      </c>
      <c r="N4" s="216"/>
      <c r="O4" s="286" t="s">
        <v>51</v>
      </c>
      <c r="P4" s="286"/>
      <c r="Q4" s="216" t="s">
        <v>52</v>
      </c>
      <c r="R4" s="216"/>
      <c r="S4" s="216" t="s">
        <v>53</v>
      </c>
      <c r="T4" s="216"/>
      <c r="U4" s="286" t="s">
        <v>54</v>
      </c>
      <c r="V4" s="288"/>
      <c r="Y4" s="277" t="s">
        <v>55</v>
      </c>
      <c r="Z4" s="241"/>
      <c r="AA4" s="241"/>
      <c r="AB4" s="241"/>
      <c r="AC4" s="241" t="s">
        <v>56</v>
      </c>
      <c r="AD4" s="278"/>
    </row>
    <row r="5" spans="2:30" ht="30" customHeight="1" thickBot="1">
      <c r="B5" s="71" t="s">
        <v>57</v>
      </c>
      <c r="C5" s="263" t="s">
        <v>58</v>
      </c>
      <c r="D5" s="263"/>
      <c r="E5" s="254">
        <f>'STD Info'!L19</f>
        <v>7.0000000000000007E-2</v>
      </c>
      <c r="F5" s="263"/>
      <c r="G5" s="269">
        <v>0.95</v>
      </c>
      <c r="H5" s="263"/>
      <c r="I5" s="263" t="s">
        <v>59</v>
      </c>
      <c r="J5" s="263"/>
      <c r="K5" s="263" t="s">
        <v>60</v>
      </c>
      <c r="L5" s="263"/>
      <c r="M5" s="254">
        <f>NORMSINV((1+0.95)/2)</f>
        <v>1.9599639845400536</v>
      </c>
      <c r="N5" s="254"/>
      <c r="O5" s="270">
        <f>E5/M5</f>
        <v>3.5714941984725787E-2</v>
      </c>
      <c r="P5" s="270"/>
      <c r="Q5" s="254">
        <v>1</v>
      </c>
      <c r="R5" s="254"/>
      <c r="S5" s="270">
        <f>O5*Q5</f>
        <v>3.5714941984725787E-2</v>
      </c>
      <c r="T5" s="270"/>
      <c r="U5" s="271" t="s">
        <v>61</v>
      </c>
      <c r="V5" s="272"/>
      <c r="Y5" s="217"/>
      <c r="Z5" s="218"/>
      <c r="AA5" s="218"/>
      <c r="AB5" s="218"/>
      <c r="AC5" s="218"/>
      <c r="AD5" s="279"/>
    </row>
    <row r="6" spans="2:30" ht="30" customHeight="1">
      <c r="B6" s="71" t="s">
        <v>62</v>
      </c>
      <c r="C6" s="263" t="s">
        <v>63</v>
      </c>
      <c r="D6" s="263"/>
      <c r="E6" s="263">
        <f>'STD Info'!D9/2</f>
        <v>5.0000000000000001E-3</v>
      </c>
      <c r="F6" s="263"/>
      <c r="G6" s="269">
        <v>1</v>
      </c>
      <c r="H6" s="263"/>
      <c r="I6" s="263" t="s">
        <v>59</v>
      </c>
      <c r="J6" s="263"/>
      <c r="K6" s="263" t="s">
        <v>64</v>
      </c>
      <c r="L6" s="263"/>
      <c r="M6" s="254">
        <f>SQRT(3)</f>
        <v>1.7320508075688772</v>
      </c>
      <c r="N6" s="254"/>
      <c r="O6" s="270">
        <f>E6/M6</f>
        <v>2.886751345948129E-3</v>
      </c>
      <c r="P6" s="270"/>
      <c r="Q6" s="254">
        <v>1</v>
      </c>
      <c r="R6" s="254"/>
      <c r="S6" s="270">
        <f>O6*Q6</f>
        <v>2.886751345948129E-3</v>
      </c>
      <c r="T6" s="270"/>
      <c r="U6" s="271" t="s">
        <v>61</v>
      </c>
      <c r="V6" s="272"/>
      <c r="Y6" s="274">
        <v>1</v>
      </c>
      <c r="Z6" s="266"/>
      <c r="AA6" s="266"/>
      <c r="AB6" s="266"/>
      <c r="AC6" s="275"/>
      <c r="AD6" s="276"/>
    </row>
    <row r="7" spans="2:30" ht="30" customHeight="1">
      <c r="B7" s="71" t="s">
        <v>65</v>
      </c>
      <c r="C7" s="263" t="s">
        <v>66</v>
      </c>
      <c r="D7" s="263"/>
      <c r="E7" s="263">
        <f>IF(Datasheet!B6="DAQM901A",'UUT Info'!D9/2,'UUT Info'!P9/2)</f>
        <v>0.05</v>
      </c>
      <c r="F7" s="263"/>
      <c r="G7" s="269">
        <v>1</v>
      </c>
      <c r="H7" s="263"/>
      <c r="I7" s="263" t="s">
        <v>59</v>
      </c>
      <c r="J7" s="263"/>
      <c r="K7" s="263" t="s">
        <v>64</v>
      </c>
      <c r="L7" s="263"/>
      <c r="M7" s="254">
        <f>SQRT(3)</f>
        <v>1.7320508075688772</v>
      </c>
      <c r="N7" s="254"/>
      <c r="O7" s="270">
        <f>E7/M7</f>
        <v>2.8867513459481291E-2</v>
      </c>
      <c r="P7" s="270"/>
      <c r="Q7" s="254">
        <v>1</v>
      </c>
      <c r="R7" s="254"/>
      <c r="S7" s="270">
        <f>O7*Q7</f>
        <v>2.8867513459481291E-2</v>
      </c>
      <c r="T7" s="270"/>
      <c r="U7" s="271" t="s">
        <v>61</v>
      </c>
      <c r="V7" s="272"/>
      <c r="Y7" s="262">
        <v>2</v>
      </c>
      <c r="Z7" s="263"/>
      <c r="AA7" s="263"/>
      <c r="AB7" s="263"/>
      <c r="AC7" s="264"/>
      <c r="AD7" s="265"/>
    </row>
    <row r="8" spans="2:30" ht="30" customHeight="1" thickBot="1">
      <c r="B8" s="70" t="s">
        <v>67</v>
      </c>
      <c r="C8" s="266" t="s">
        <v>68</v>
      </c>
      <c r="D8" s="266"/>
      <c r="E8" s="267" t="e">
        <f>AC15</f>
        <v>#DIV/0!</v>
      </c>
      <c r="F8" s="267"/>
      <c r="G8" s="268">
        <v>0.68</v>
      </c>
      <c r="H8" s="266"/>
      <c r="I8" s="266" t="s">
        <v>69</v>
      </c>
      <c r="J8" s="266"/>
      <c r="K8" s="266" t="s">
        <v>60</v>
      </c>
      <c r="L8" s="266"/>
      <c r="M8" s="252" t="s">
        <v>70</v>
      </c>
      <c r="N8" s="252"/>
      <c r="O8" s="267" t="e">
        <f>E8/1</f>
        <v>#DIV/0!</v>
      </c>
      <c r="P8" s="267"/>
      <c r="Q8" s="252">
        <v>1</v>
      </c>
      <c r="R8" s="252"/>
      <c r="S8" s="267" t="e">
        <f>O8*Q8</f>
        <v>#DIV/0!</v>
      </c>
      <c r="T8" s="267"/>
      <c r="U8" s="266">
        <f>Y10-1</f>
        <v>4</v>
      </c>
      <c r="V8" s="273"/>
      <c r="Y8" s="262">
        <v>3</v>
      </c>
      <c r="Z8" s="263"/>
      <c r="AA8" s="263"/>
      <c r="AB8" s="263"/>
      <c r="AC8" s="264"/>
      <c r="AD8" s="265"/>
    </row>
    <row r="9" spans="2:30" ht="30" customHeight="1">
      <c r="B9" s="72" t="s">
        <v>71</v>
      </c>
      <c r="C9" s="241" t="s">
        <v>72</v>
      </c>
      <c r="D9" s="241"/>
      <c r="E9" s="241"/>
      <c r="F9" s="241"/>
      <c r="G9" s="242" t="e">
        <f>SQRT(SUMSQ(S5:T8))</f>
        <v>#DIV/0!</v>
      </c>
      <c r="H9" s="242"/>
      <c r="I9" s="242"/>
      <c r="J9" s="242"/>
      <c r="K9" s="243" t="s">
        <v>138</v>
      </c>
      <c r="L9" s="244"/>
      <c r="M9" s="244"/>
      <c r="N9" s="244"/>
      <c r="O9" s="244"/>
      <c r="P9" s="244"/>
      <c r="Q9" s="244"/>
      <c r="R9" s="244"/>
      <c r="S9" s="244"/>
      <c r="T9" s="244"/>
      <c r="U9" s="244"/>
      <c r="V9" s="245"/>
      <c r="Y9" s="262">
        <v>4</v>
      </c>
      <c r="Z9" s="263"/>
      <c r="AA9" s="263"/>
      <c r="AB9" s="263"/>
      <c r="AC9" s="264"/>
      <c r="AD9" s="265"/>
    </row>
    <row r="10" spans="2:30" ht="30" customHeight="1" thickBot="1">
      <c r="B10" s="69" t="s">
        <v>74</v>
      </c>
      <c r="C10" s="216" t="s">
        <v>75</v>
      </c>
      <c r="D10" s="216"/>
      <c r="E10" s="216"/>
      <c r="F10" s="216"/>
      <c r="G10" s="256" t="e">
        <f>ROUND(AC11,1) &amp; "°C ± " &amp; I20 &amp;"°C"</f>
        <v>#DIV/0!</v>
      </c>
      <c r="H10" s="256"/>
      <c r="I10" s="256"/>
      <c r="J10" s="256"/>
      <c r="K10" s="246"/>
      <c r="L10" s="246"/>
      <c r="M10" s="246"/>
      <c r="N10" s="246"/>
      <c r="O10" s="246"/>
      <c r="P10" s="246"/>
      <c r="Q10" s="246"/>
      <c r="R10" s="246"/>
      <c r="S10" s="246"/>
      <c r="T10" s="246"/>
      <c r="U10" s="246"/>
      <c r="V10" s="247"/>
      <c r="Y10" s="260">
        <v>5</v>
      </c>
      <c r="Z10" s="261"/>
      <c r="AA10" s="261"/>
      <c r="AB10" s="261"/>
      <c r="AC10" s="239"/>
      <c r="AD10" s="240"/>
    </row>
    <row r="11" spans="2:30" ht="30" customHeight="1" thickBot="1">
      <c r="B11" s="257" t="s">
        <v>76</v>
      </c>
      <c r="C11" s="258"/>
      <c r="D11" s="258"/>
      <c r="E11" s="258"/>
      <c r="F11" s="258"/>
      <c r="G11" s="259" t="e">
        <f>IF(S8=0,10000000000,IF(U8*((G9^4)/(S8^4))&gt;10000000000,10000000000,U8*((G9^4)/(S8^4))))</f>
        <v>#DIV/0!</v>
      </c>
      <c r="H11" s="259"/>
      <c r="I11" s="259"/>
      <c r="J11" s="259"/>
      <c r="K11" s="248"/>
      <c r="L11" s="248"/>
      <c r="M11" s="248"/>
      <c r="N11" s="248"/>
      <c r="O11" s="248"/>
      <c r="P11" s="248"/>
      <c r="Q11" s="248"/>
      <c r="R11" s="248"/>
      <c r="S11" s="248"/>
      <c r="T11" s="248"/>
      <c r="U11" s="248"/>
      <c r="V11" s="249"/>
      <c r="X11" s="54"/>
      <c r="Y11" s="250" t="s">
        <v>73</v>
      </c>
      <c r="Z11" s="251"/>
      <c r="AA11" s="251"/>
      <c r="AB11" s="251"/>
      <c r="AC11" s="252" t="e">
        <f>AVERAGE(AC6:AD10)</f>
        <v>#DIV/0!</v>
      </c>
      <c r="AD11" s="253"/>
    </row>
    <row r="12" spans="2:30" ht="30" customHeight="1" thickTop="1">
      <c r="B12" s="227" t="s">
        <v>78</v>
      </c>
      <c r="C12" s="228"/>
      <c r="D12" s="228"/>
      <c r="E12" s="228"/>
      <c r="F12" s="228"/>
      <c r="G12" s="229" t="s">
        <v>79</v>
      </c>
      <c r="H12" s="229"/>
      <c r="I12" s="229"/>
      <c r="J12" s="229"/>
      <c r="K12" s="229"/>
      <c r="L12" s="229"/>
      <c r="M12" s="229"/>
      <c r="N12" s="229"/>
      <c r="O12" s="229"/>
      <c r="P12" s="229"/>
      <c r="Q12" s="229"/>
      <c r="R12" s="229"/>
      <c r="S12" s="229"/>
      <c r="T12" s="229"/>
      <c r="U12" s="229"/>
      <c r="V12" s="230"/>
      <c r="X12" s="54"/>
      <c r="Y12" s="215"/>
      <c r="Z12" s="216"/>
      <c r="AA12" s="216"/>
      <c r="AB12" s="216"/>
      <c r="AC12" s="254"/>
      <c r="AD12" s="255"/>
    </row>
    <row r="13" spans="2:30" ht="30" customHeight="1">
      <c r="B13" s="223" t="s">
        <v>80</v>
      </c>
      <c r="C13" s="224"/>
      <c r="D13" s="224"/>
      <c r="E13" s="224"/>
      <c r="F13" s="224"/>
      <c r="G13" s="231" t="s">
        <v>81</v>
      </c>
      <c r="H13" s="231"/>
      <c r="I13" s="231"/>
      <c r="J13" s="231"/>
      <c r="K13" s="231"/>
      <c r="L13" s="231"/>
      <c r="M13" s="231"/>
      <c r="N13" s="231"/>
      <c r="O13" s="231"/>
      <c r="P13" s="231"/>
      <c r="Q13" s="231"/>
      <c r="R13" s="231"/>
      <c r="S13" s="231"/>
      <c r="T13" s="231"/>
      <c r="U13" s="231"/>
      <c r="V13" s="232"/>
      <c r="Y13" s="215" t="s">
        <v>77</v>
      </c>
      <c r="Z13" s="216"/>
      <c r="AA13" s="216"/>
      <c r="AB13" s="216"/>
      <c r="AC13" s="219" t="e">
        <f>_xlfn.STDEV.S(AC6:AD10)</f>
        <v>#DIV/0!</v>
      </c>
      <c r="AD13" s="220"/>
    </row>
    <row r="14" spans="2:30">
      <c r="B14" s="223" t="s">
        <v>83</v>
      </c>
      <c r="C14" s="224"/>
      <c r="D14" s="224"/>
      <c r="E14" s="224"/>
      <c r="F14" s="224"/>
      <c r="G14" s="225" t="s">
        <v>84</v>
      </c>
      <c r="H14" s="225"/>
      <c r="I14" s="225"/>
      <c r="J14" s="225"/>
      <c r="K14" s="225"/>
      <c r="L14" s="225"/>
      <c r="M14" s="225"/>
      <c r="N14" s="225"/>
      <c r="O14" s="225"/>
      <c r="P14" s="225"/>
      <c r="Q14" s="225"/>
      <c r="R14" s="225"/>
      <c r="S14" s="225"/>
      <c r="T14" s="225"/>
      <c r="U14" s="225"/>
      <c r="V14" s="226"/>
      <c r="Y14" s="215"/>
      <c r="Z14" s="216"/>
      <c r="AA14" s="216"/>
      <c r="AB14" s="216"/>
      <c r="AC14" s="219"/>
      <c r="AD14" s="220"/>
    </row>
    <row r="15" spans="2:30">
      <c r="B15" s="223"/>
      <c r="C15" s="224"/>
      <c r="D15" s="224"/>
      <c r="E15" s="224"/>
      <c r="F15" s="224"/>
      <c r="G15" s="225"/>
      <c r="H15" s="225"/>
      <c r="I15" s="225"/>
      <c r="J15" s="225"/>
      <c r="K15" s="225"/>
      <c r="L15" s="225"/>
      <c r="M15" s="225"/>
      <c r="N15" s="225"/>
      <c r="O15" s="225"/>
      <c r="P15" s="225"/>
      <c r="Q15" s="225"/>
      <c r="R15" s="225"/>
      <c r="S15" s="225"/>
      <c r="T15" s="225"/>
      <c r="U15" s="225"/>
      <c r="V15" s="226"/>
      <c r="Y15" s="215" t="s">
        <v>82</v>
      </c>
      <c r="Z15" s="216"/>
      <c r="AA15" s="216"/>
      <c r="AB15" s="216"/>
      <c r="AC15" s="219" t="e">
        <f>AC13/SQRT(Y10)</f>
        <v>#DIV/0!</v>
      </c>
      <c r="AD15" s="220"/>
    </row>
    <row r="16" spans="2:30" ht="15.75" thickBot="1">
      <c r="B16" s="223"/>
      <c r="C16" s="224"/>
      <c r="D16" s="224"/>
      <c r="E16" s="224"/>
      <c r="F16" s="224"/>
      <c r="G16" s="225"/>
      <c r="H16" s="225"/>
      <c r="I16" s="225"/>
      <c r="J16" s="225"/>
      <c r="K16" s="225"/>
      <c r="L16" s="225"/>
      <c r="M16" s="225"/>
      <c r="N16" s="225"/>
      <c r="O16" s="225"/>
      <c r="P16" s="225"/>
      <c r="Q16" s="225"/>
      <c r="R16" s="225"/>
      <c r="S16" s="225"/>
      <c r="T16" s="225"/>
      <c r="U16" s="225"/>
      <c r="V16" s="226"/>
      <c r="Y16" s="217"/>
      <c r="Z16" s="218"/>
      <c r="AA16" s="218"/>
      <c r="AB16" s="218"/>
      <c r="AC16" s="221"/>
      <c r="AD16" s="222"/>
    </row>
    <row r="17" spans="2:22" ht="15.75" thickBot="1">
      <c r="B17" s="233" t="s">
        <v>85</v>
      </c>
      <c r="C17" s="234"/>
      <c r="D17" s="234"/>
      <c r="E17" s="234"/>
      <c r="F17" s="234"/>
      <c r="G17" s="235" t="s">
        <v>86</v>
      </c>
      <c r="H17" s="235"/>
      <c r="I17" s="235"/>
      <c r="J17" s="235"/>
      <c r="K17" s="235"/>
      <c r="L17" s="235"/>
      <c r="M17" s="235"/>
      <c r="N17" s="235"/>
      <c r="O17" s="235"/>
      <c r="P17" s="235"/>
      <c r="Q17" s="235"/>
      <c r="R17" s="235"/>
      <c r="S17" s="235"/>
      <c r="T17" s="235"/>
      <c r="U17" s="235"/>
      <c r="V17" s="236"/>
    </row>
    <row r="19" spans="2:22">
      <c r="G19" s="237" t="s">
        <v>87</v>
      </c>
      <c r="H19" s="237"/>
      <c r="I19" s="238" t="e">
        <f>TINV(0.05,G11)</f>
        <v>#DIV/0!</v>
      </c>
      <c r="J19" s="238"/>
    </row>
    <row r="20" spans="2:22">
      <c r="G20" s="237" t="s">
        <v>88</v>
      </c>
      <c r="H20" s="237"/>
      <c r="I20" s="85" t="e">
        <f>ROUND(I19*G9,1)</f>
        <v>#DIV/0!</v>
      </c>
      <c r="J20" s="85"/>
    </row>
    <row r="21" spans="2:22" ht="30" customHeight="1"/>
    <row r="22" spans="2:22" ht="30" customHeight="1"/>
  </sheetData>
  <mergeCells count="87">
    <mergeCell ref="B2:V3"/>
    <mergeCell ref="C4:D4"/>
    <mergeCell ref="E4:F4"/>
    <mergeCell ref="G4:H4"/>
    <mergeCell ref="I4:J4"/>
    <mergeCell ref="K4:L4"/>
    <mergeCell ref="M4:N4"/>
    <mergeCell ref="O4:P4"/>
    <mergeCell ref="Q4:R4"/>
    <mergeCell ref="S4:T4"/>
    <mergeCell ref="U4:V4"/>
    <mergeCell ref="M5:N5"/>
    <mergeCell ref="O5:P5"/>
    <mergeCell ref="Q5:R5"/>
    <mergeCell ref="S5:T5"/>
    <mergeCell ref="U5:V5"/>
    <mergeCell ref="C5:D5"/>
    <mergeCell ref="E5:F5"/>
    <mergeCell ref="G5:H5"/>
    <mergeCell ref="I5:J5"/>
    <mergeCell ref="K5:L5"/>
    <mergeCell ref="AC6:AD6"/>
    <mergeCell ref="AC7:AD7"/>
    <mergeCell ref="Y7:AB7"/>
    <mergeCell ref="Y4:AB5"/>
    <mergeCell ref="AC4:AD5"/>
    <mergeCell ref="C6:D6"/>
    <mergeCell ref="E6:F6"/>
    <mergeCell ref="G6:H6"/>
    <mergeCell ref="I6:J6"/>
    <mergeCell ref="K6:L6"/>
    <mergeCell ref="M6:N6"/>
    <mergeCell ref="O6:P6"/>
    <mergeCell ref="Q6:R6"/>
    <mergeCell ref="S6:T6"/>
    <mergeCell ref="Y8:AB8"/>
    <mergeCell ref="U6:V6"/>
    <mergeCell ref="Y6:AB6"/>
    <mergeCell ref="AC8:AD8"/>
    <mergeCell ref="C7:D7"/>
    <mergeCell ref="E7:F7"/>
    <mergeCell ref="G7:H7"/>
    <mergeCell ref="I7:J7"/>
    <mergeCell ref="K7:L7"/>
    <mergeCell ref="M7:N7"/>
    <mergeCell ref="O7:P7"/>
    <mergeCell ref="Q7:R7"/>
    <mergeCell ref="S7:T7"/>
    <mergeCell ref="U7:V7"/>
    <mergeCell ref="M8:N8"/>
    <mergeCell ref="O8:P8"/>
    <mergeCell ref="Q8:R8"/>
    <mergeCell ref="S8:T8"/>
    <mergeCell ref="U8:V8"/>
    <mergeCell ref="C8:D8"/>
    <mergeCell ref="E8:F8"/>
    <mergeCell ref="G8:H8"/>
    <mergeCell ref="I8:J8"/>
    <mergeCell ref="K8:L8"/>
    <mergeCell ref="G19:H19"/>
    <mergeCell ref="I19:J19"/>
    <mergeCell ref="G20:H20"/>
    <mergeCell ref="AC10:AD10"/>
    <mergeCell ref="C9:F9"/>
    <mergeCell ref="G9:J9"/>
    <mergeCell ref="K9:V11"/>
    <mergeCell ref="Y11:AB12"/>
    <mergeCell ref="AC11:AD12"/>
    <mergeCell ref="C10:F10"/>
    <mergeCell ref="G10:J10"/>
    <mergeCell ref="B11:F11"/>
    <mergeCell ref="G11:J11"/>
    <mergeCell ref="Y10:AB10"/>
    <mergeCell ref="Y9:AB9"/>
    <mergeCell ref="AC9:AD9"/>
    <mergeCell ref="B12:F12"/>
    <mergeCell ref="G12:V12"/>
    <mergeCell ref="B13:F13"/>
    <mergeCell ref="G13:V13"/>
    <mergeCell ref="B17:F17"/>
    <mergeCell ref="G17:V17"/>
    <mergeCell ref="Y15:AB16"/>
    <mergeCell ref="AC15:AD16"/>
    <mergeCell ref="B14:F16"/>
    <mergeCell ref="G14:V16"/>
    <mergeCell ref="Y13:AB14"/>
    <mergeCell ref="AC13:AD14"/>
  </mergeCells>
  <pageMargins left="0.7" right="0.7" top="0.75" bottom="0.75" header="0.3" footer="0.3"/>
  <pageSetup scale="45" orientation="portrait" horizontalDpi="300" verticalDpi="300" r:id="rId1"/>
  <colBreaks count="1" manualBreakCount="1">
    <brk id="23" max="19" man="1"/>
  </colBreaks>
  <extLst>
    <ext xmlns:x14="http://schemas.microsoft.com/office/spreadsheetml/2009/9/main" uri="{78C0D931-6437-407d-A8EE-F0AAD7539E65}">
      <x14:conditionalFormattings>
        <x14:conditionalFormatting xmlns:xm="http://schemas.microsoft.com/office/excel/2006/main">
          <x14:cfRule type="expression" priority="1" id="{F53E365A-9AFD-413D-B2EF-2CF8A6BA19DC}">
            <xm:f>Datasheet!$B$6="34901A"</xm:f>
            <x14:dxf>
              <numFmt numFmtId="164" formatCode="0.0"/>
            </x14:dxf>
          </x14:cfRule>
          <xm:sqref>AC6:AD12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DEBE2-3B22-493A-BB2F-6B830814376E}">
  <sheetPr codeName="Sheet12"/>
  <dimension ref="B1:AD22"/>
  <sheetViews>
    <sheetView zoomScaleNormal="100" workbookViewId="0">
      <selection activeCell="G11" sqref="G11:J11"/>
    </sheetView>
  </sheetViews>
  <sheetFormatPr defaultRowHeight="15"/>
  <cols>
    <col min="1" max="1" width="4.28515625" style="50" customWidth="1"/>
    <col min="2" max="22" width="9.140625" style="50"/>
    <col min="23" max="24" width="2.85546875" style="50" customWidth="1"/>
    <col min="25" max="16384" width="9.140625" style="50"/>
  </cols>
  <sheetData>
    <row r="1" spans="2:30" ht="15.75" thickBot="1"/>
    <row r="2" spans="2:30" ht="15" customHeight="1">
      <c r="B2" s="280" t="e">
        <f>"Measurement Uncertainty Analysis (Type J "&amp;ROUND(Datasheet!C27,0)&amp;"°C test point)
The reported value ("&amp;ROUND(AC11,1)&amp;") is the mean UUT indication five (5) test runs"</f>
        <v>#DIV/0!</v>
      </c>
      <c r="C2" s="281"/>
      <c r="D2" s="281"/>
      <c r="E2" s="281"/>
      <c r="F2" s="281"/>
      <c r="G2" s="281"/>
      <c r="H2" s="281"/>
      <c r="I2" s="281"/>
      <c r="J2" s="281"/>
      <c r="K2" s="281"/>
      <c r="L2" s="281"/>
      <c r="M2" s="281"/>
      <c r="N2" s="281"/>
      <c r="O2" s="281"/>
      <c r="P2" s="281"/>
      <c r="Q2" s="281"/>
      <c r="R2" s="281"/>
      <c r="S2" s="281"/>
      <c r="T2" s="281"/>
      <c r="U2" s="281"/>
      <c r="V2" s="282"/>
    </row>
    <row r="3" spans="2:30" ht="15.75" thickBot="1">
      <c r="B3" s="283"/>
      <c r="C3" s="284"/>
      <c r="D3" s="284"/>
      <c r="E3" s="284"/>
      <c r="F3" s="284"/>
      <c r="G3" s="284"/>
      <c r="H3" s="284"/>
      <c r="I3" s="284"/>
      <c r="J3" s="284"/>
      <c r="K3" s="284"/>
      <c r="L3" s="284"/>
      <c r="M3" s="284"/>
      <c r="N3" s="284"/>
      <c r="O3" s="284"/>
      <c r="P3" s="284"/>
      <c r="Q3" s="284"/>
      <c r="R3" s="284"/>
      <c r="S3" s="284"/>
      <c r="T3" s="284"/>
      <c r="U3" s="284"/>
      <c r="V3" s="285"/>
    </row>
    <row r="4" spans="2:30" ht="30" customHeight="1">
      <c r="B4" s="71"/>
      <c r="C4" s="216" t="s">
        <v>45</v>
      </c>
      <c r="D4" s="216"/>
      <c r="E4" s="286" t="s">
        <v>46</v>
      </c>
      <c r="F4" s="286"/>
      <c r="G4" s="287" t="s">
        <v>47</v>
      </c>
      <c r="H4" s="287"/>
      <c r="I4" s="286" t="s">
        <v>48</v>
      </c>
      <c r="J4" s="216"/>
      <c r="K4" s="216" t="s">
        <v>49</v>
      </c>
      <c r="L4" s="216"/>
      <c r="M4" s="216" t="s">
        <v>50</v>
      </c>
      <c r="N4" s="216"/>
      <c r="O4" s="286" t="s">
        <v>51</v>
      </c>
      <c r="P4" s="286"/>
      <c r="Q4" s="216" t="s">
        <v>52</v>
      </c>
      <c r="R4" s="216"/>
      <c r="S4" s="216" t="s">
        <v>53</v>
      </c>
      <c r="T4" s="216"/>
      <c r="U4" s="286" t="s">
        <v>54</v>
      </c>
      <c r="V4" s="288"/>
      <c r="Y4" s="277" t="s">
        <v>55</v>
      </c>
      <c r="Z4" s="241"/>
      <c r="AA4" s="241"/>
      <c r="AB4" s="241"/>
      <c r="AC4" s="241" t="s">
        <v>56</v>
      </c>
      <c r="AD4" s="278"/>
    </row>
    <row r="5" spans="2:30" ht="30" customHeight="1" thickBot="1">
      <c r="B5" s="71" t="s">
        <v>57</v>
      </c>
      <c r="C5" s="263" t="s">
        <v>58</v>
      </c>
      <c r="D5" s="263"/>
      <c r="E5" s="254">
        <f>'STD Info'!L20</f>
        <v>7.0000000000000007E-2</v>
      </c>
      <c r="F5" s="263"/>
      <c r="G5" s="269">
        <v>0.95</v>
      </c>
      <c r="H5" s="263"/>
      <c r="I5" s="263" t="s">
        <v>59</v>
      </c>
      <c r="J5" s="263"/>
      <c r="K5" s="263" t="s">
        <v>60</v>
      </c>
      <c r="L5" s="263"/>
      <c r="M5" s="254">
        <f>NORMSINV((1+0.95)/2)</f>
        <v>1.9599639845400536</v>
      </c>
      <c r="N5" s="254"/>
      <c r="O5" s="270">
        <f>E5/M5</f>
        <v>3.5714941984725787E-2</v>
      </c>
      <c r="P5" s="270"/>
      <c r="Q5" s="254">
        <v>1</v>
      </c>
      <c r="R5" s="254"/>
      <c r="S5" s="270">
        <f>O5*Q5</f>
        <v>3.5714941984725787E-2</v>
      </c>
      <c r="T5" s="270"/>
      <c r="U5" s="271" t="s">
        <v>61</v>
      </c>
      <c r="V5" s="272"/>
      <c r="Y5" s="217"/>
      <c r="Z5" s="218"/>
      <c r="AA5" s="218"/>
      <c r="AB5" s="218"/>
      <c r="AC5" s="218"/>
      <c r="AD5" s="279"/>
    </row>
    <row r="6" spans="2:30" ht="30" customHeight="1">
      <c r="B6" s="71" t="s">
        <v>62</v>
      </c>
      <c r="C6" s="263" t="s">
        <v>63</v>
      </c>
      <c r="D6" s="263"/>
      <c r="E6" s="263">
        <f>'STD Info'!D9/2</f>
        <v>5.0000000000000001E-3</v>
      </c>
      <c r="F6" s="263"/>
      <c r="G6" s="269">
        <v>1</v>
      </c>
      <c r="H6" s="263"/>
      <c r="I6" s="263" t="s">
        <v>59</v>
      </c>
      <c r="J6" s="263"/>
      <c r="K6" s="263" t="s">
        <v>64</v>
      </c>
      <c r="L6" s="263"/>
      <c r="M6" s="254">
        <f>SQRT(3)</f>
        <v>1.7320508075688772</v>
      </c>
      <c r="N6" s="254"/>
      <c r="O6" s="270">
        <f>E6/M6</f>
        <v>2.886751345948129E-3</v>
      </c>
      <c r="P6" s="270"/>
      <c r="Q6" s="254">
        <v>1</v>
      </c>
      <c r="R6" s="254"/>
      <c r="S6" s="270">
        <f>O6*Q6</f>
        <v>2.886751345948129E-3</v>
      </c>
      <c r="T6" s="270"/>
      <c r="U6" s="271" t="s">
        <v>61</v>
      </c>
      <c r="V6" s="272"/>
      <c r="Y6" s="274">
        <v>1</v>
      </c>
      <c r="Z6" s="266"/>
      <c r="AA6" s="266"/>
      <c r="AB6" s="266"/>
      <c r="AC6" s="275"/>
      <c r="AD6" s="276"/>
    </row>
    <row r="7" spans="2:30" ht="30" customHeight="1">
      <c r="B7" s="71" t="s">
        <v>65</v>
      </c>
      <c r="C7" s="263" t="s">
        <v>66</v>
      </c>
      <c r="D7" s="263"/>
      <c r="E7" s="263">
        <f>IF(Datasheet!B6="DAQM901A",'UUT Info'!D9/2,'UUT Info'!P9/2)</f>
        <v>0.05</v>
      </c>
      <c r="F7" s="263"/>
      <c r="G7" s="269">
        <v>1</v>
      </c>
      <c r="H7" s="263"/>
      <c r="I7" s="263" t="s">
        <v>59</v>
      </c>
      <c r="J7" s="263"/>
      <c r="K7" s="263" t="s">
        <v>64</v>
      </c>
      <c r="L7" s="263"/>
      <c r="M7" s="254">
        <f>SQRT(3)</f>
        <v>1.7320508075688772</v>
      </c>
      <c r="N7" s="254"/>
      <c r="O7" s="270">
        <f>E7/M7</f>
        <v>2.8867513459481291E-2</v>
      </c>
      <c r="P7" s="270"/>
      <c r="Q7" s="254">
        <v>1</v>
      </c>
      <c r="R7" s="254"/>
      <c r="S7" s="270">
        <f>O7*Q7</f>
        <v>2.8867513459481291E-2</v>
      </c>
      <c r="T7" s="270"/>
      <c r="U7" s="271" t="s">
        <v>61</v>
      </c>
      <c r="V7" s="272"/>
      <c r="Y7" s="262">
        <v>2</v>
      </c>
      <c r="Z7" s="263"/>
      <c r="AA7" s="263"/>
      <c r="AB7" s="263"/>
      <c r="AC7" s="264"/>
      <c r="AD7" s="265"/>
    </row>
    <row r="8" spans="2:30" ht="30" customHeight="1" thickBot="1">
      <c r="B8" s="70" t="s">
        <v>67</v>
      </c>
      <c r="C8" s="266" t="s">
        <v>68</v>
      </c>
      <c r="D8" s="266"/>
      <c r="E8" s="267" t="e">
        <f>AC15</f>
        <v>#DIV/0!</v>
      </c>
      <c r="F8" s="267"/>
      <c r="G8" s="268">
        <v>0.68</v>
      </c>
      <c r="H8" s="266"/>
      <c r="I8" s="266" t="s">
        <v>69</v>
      </c>
      <c r="J8" s="266"/>
      <c r="K8" s="266" t="s">
        <v>60</v>
      </c>
      <c r="L8" s="266"/>
      <c r="M8" s="252" t="s">
        <v>70</v>
      </c>
      <c r="N8" s="252"/>
      <c r="O8" s="267" t="e">
        <f>E8/1</f>
        <v>#DIV/0!</v>
      </c>
      <c r="P8" s="267"/>
      <c r="Q8" s="252">
        <v>1</v>
      </c>
      <c r="R8" s="252"/>
      <c r="S8" s="267" t="e">
        <f>O8*Q8</f>
        <v>#DIV/0!</v>
      </c>
      <c r="T8" s="267"/>
      <c r="U8" s="266">
        <f>Y10-1</f>
        <v>4</v>
      </c>
      <c r="V8" s="273"/>
      <c r="Y8" s="262">
        <v>3</v>
      </c>
      <c r="Z8" s="263"/>
      <c r="AA8" s="263"/>
      <c r="AB8" s="263"/>
      <c r="AC8" s="264"/>
      <c r="AD8" s="265"/>
    </row>
    <row r="9" spans="2:30" ht="30" customHeight="1">
      <c r="B9" s="72" t="s">
        <v>71</v>
      </c>
      <c r="C9" s="241" t="s">
        <v>72</v>
      </c>
      <c r="D9" s="241"/>
      <c r="E9" s="241"/>
      <c r="F9" s="241"/>
      <c r="G9" s="242" t="e">
        <f>SQRT(SUMSQ(S5:T8))</f>
        <v>#DIV/0!</v>
      </c>
      <c r="H9" s="242"/>
      <c r="I9" s="242"/>
      <c r="J9" s="242"/>
      <c r="K9" s="243" t="s">
        <v>138</v>
      </c>
      <c r="L9" s="244"/>
      <c r="M9" s="244"/>
      <c r="N9" s="244"/>
      <c r="O9" s="244"/>
      <c r="P9" s="244"/>
      <c r="Q9" s="244"/>
      <c r="R9" s="244"/>
      <c r="S9" s="244"/>
      <c r="T9" s="244"/>
      <c r="U9" s="244"/>
      <c r="V9" s="245"/>
      <c r="Y9" s="262">
        <v>4</v>
      </c>
      <c r="Z9" s="263"/>
      <c r="AA9" s="263"/>
      <c r="AB9" s="263"/>
      <c r="AC9" s="264"/>
      <c r="AD9" s="265"/>
    </row>
    <row r="10" spans="2:30" ht="30" customHeight="1" thickBot="1">
      <c r="B10" s="69" t="s">
        <v>74</v>
      </c>
      <c r="C10" s="216" t="s">
        <v>75</v>
      </c>
      <c r="D10" s="216"/>
      <c r="E10" s="216"/>
      <c r="F10" s="216"/>
      <c r="G10" s="256" t="e">
        <f>ROUND(AC11,1) &amp; "°C ± " &amp; I20 &amp;"°C"</f>
        <v>#DIV/0!</v>
      </c>
      <c r="H10" s="256"/>
      <c r="I10" s="256"/>
      <c r="J10" s="256"/>
      <c r="K10" s="246"/>
      <c r="L10" s="246"/>
      <c r="M10" s="246"/>
      <c r="N10" s="246"/>
      <c r="O10" s="246"/>
      <c r="P10" s="246"/>
      <c r="Q10" s="246"/>
      <c r="R10" s="246"/>
      <c r="S10" s="246"/>
      <c r="T10" s="246"/>
      <c r="U10" s="246"/>
      <c r="V10" s="247"/>
      <c r="Y10" s="260">
        <v>5</v>
      </c>
      <c r="Z10" s="261"/>
      <c r="AA10" s="261"/>
      <c r="AB10" s="261"/>
      <c r="AC10" s="239"/>
      <c r="AD10" s="240"/>
    </row>
    <row r="11" spans="2:30" ht="30" customHeight="1" thickBot="1">
      <c r="B11" s="257" t="s">
        <v>76</v>
      </c>
      <c r="C11" s="258"/>
      <c r="D11" s="258"/>
      <c r="E11" s="258"/>
      <c r="F11" s="258"/>
      <c r="G11" s="259" t="e">
        <f>IF(S8=0,10000000000,IF(U8*((G9^4)/(S8^4))&gt;10000000000,10000000000,U8*((G9^4)/(S8^4))))</f>
        <v>#DIV/0!</v>
      </c>
      <c r="H11" s="259"/>
      <c r="I11" s="259"/>
      <c r="J11" s="259"/>
      <c r="K11" s="248"/>
      <c r="L11" s="248"/>
      <c r="M11" s="248"/>
      <c r="N11" s="248"/>
      <c r="O11" s="248"/>
      <c r="P11" s="248"/>
      <c r="Q11" s="248"/>
      <c r="R11" s="248"/>
      <c r="S11" s="248"/>
      <c r="T11" s="248"/>
      <c r="U11" s="248"/>
      <c r="V11" s="249"/>
      <c r="X11" s="54"/>
      <c r="Y11" s="250" t="s">
        <v>73</v>
      </c>
      <c r="Z11" s="251"/>
      <c r="AA11" s="251"/>
      <c r="AB11" s="251"/>
      <c r="AC11" s="252" t="e">
        <f>AVERAGE(AC6:AD10)</f>
        <v>#DIV/0!</v>
      </c>
      <c r="AD11" s="253"/>
    </row>
    <row r="12" spans="2:30" ht="30" customHeight="1" thickTop="1">
      <c r="B12" s="227" t="s">
        <v>78</v>
      </c>
      <c r="C12" s="228"/>
      <c r="D12" s="228"/>
      <c r="E12" s="228"/>
      <c r="F12" s="228"/>
      <c r="G12" s="229" t="s">
        <v>79</v>
      </c>
      <c r="H12" s="229"/>
      <c r="I12" s="229"/>
      <c r="J12" s="229"/>
      <c r="K12" s="229"/>
      <c r="L12" s="229"/>
      <c r="M12" s="229"/>
      <c r="N12" s="229"/>
      <c r="O12" s="229"/>
      <c r="P12" s="229"/>
      <c r="Q12" s="229"/>
      <c r="R12" s="229"/>
      <c r="S12" s="229"/>
      <c r="T12" s="229"/>
      <c r="U12" s="229"/>
      <c r="V12" s="230"/>
      <c r="X12" s="54"/>
      <c r="Y12" s="215"/>
      <c r="Z12" s="216"/>
      <c r="AA12" s="216"/>
      <c r="AB12" s="216"/>
      <c r="AC12" s="254"/>
      <c r="AD12" s="255"/>
    </row>
    <row r="13" spans="2:30" ht="30" customHeight="1">
      <c r="B13" s="223" t="s">
        <v>80</v>
      </c>
      <c r="C13" s="224"/>
      <c r="D13" s="224"/>
      <c r="E13" s="224"/>
      <c r="F13" s="224"/>
      <c r="G13" s="231" t="s">
        <v>81</v>
      </c>
      <c r="H13" s="231"/>
      <c r="I13" s="231"/>
      <c r="J13" s="231"/>
      <c r="K13" s="231"/>
      <c r="L13" s="231"/>
      <c r="M13" s="231"/>
      <c r="N13" s="231"/>
      <c r="O13" s="231"/>
      <c r="P13" s="231"/>
      <c r="Q13" s="231"/>
      <c r="R13" s="231"/>
      <c r="S13" s="231"/>
      <c r="T13" s="231"/>
      <c r="U13" s="231"/>
      <c r="V13" s="232"/>
      <c r="Y13" s="215" t="s">
        <v>77</v>
      </c>
      <c r="Z13" s="216"/>
      <c r="AA13" s="216"/>
      <c r="AB13" s="216"/>
      <c r="AC13" s="219" t="e">
        <f>_xlfn.STDEV.S(AC6:AD10)</f>
        <v>#DIV/0!</v>
      </c>
      <c r="AD13" s="220"/>
    </row>
    <row r="14" spans="2:30">
      <c r="B14" s="223" t="s">
        <v>83</v>
      </c>
      <c r="C14" s="224"/>
      <c r="D14" s="224"/>
      <c r="E14" s="224"/>
      <c r="F14" s="224"/>
      <c r="G14" s="225" t="s">
        <v>84</v>
      </c>
      <c r="H14" s="225"/>
      <c r="I14" s="225"/>
      <c r="J14" s="225"/>
      <c r="K14" s="225"/>
      <c r="L14" s="225"/>
      <c r="M14" s="225"/>
      <c r="N14" s="225"/>
      <c r="O14" s="225"/>
      <c r="P14" s="225"/>
      <c r="Q14" s="225"/>
      <c r="R14" s="225"/>
      <c r="S14" s="225"/>
      <c r="T14" s="225"/>
      <c r="U14" s="225"/>
      <c r="V14" s="226"/>
      <c r="Y14" s="215"/>
      <c r="Z14" s="216"/>
      <c r="AA14" s="216"/>
      <c r="AB14" s="216"/>
      <c r="AC14" s="219"/>
      <c r="AD14" s="220"/>
    </row>
    <row r="15" spans="2:30">
      <c r="B15" s="223"/>
      <c r="C15" s="224"/>
      <c r="D15" s="224"/>
      <c r="E15" s="224"/>
      <c r="F15" s="224"/>
      <c r="G15" s="225"/>
      <c r="H15" s="225"/>
      <c r="I15" s="225"/>
      <c r="J15" s="225"/>
      <c r="K15" s="225"/>
      <c r="L15" s="225"/>
      <c r="M15" s="225"/>
      <c r="N15" s="225"/>
      <c r="O15" s="225"/>
      <c r="P15" s="225"/>
      <c r="Q15" s="225"/>
      <c r="R15" s="225"/>
      <c r="S15" s="225"/>
      <c r="T15" s="225"/>
      <c r="U15" s="225"/>
      <c r="V15" s="226"/>
      <c r="Y15" s="215" t="s">
        <v>82</v>
      </c>
      <c r="Z15" s="216"/>
      <c r="AA15" s="216"/>
      <c r="AB15" s="216"/>
      <c r="AC15" s="219" t="e">
        <f>AC13/SQRT(Y10)</f>
        <v>#DIV/0!</v>
      </c>
      <c r="AD15" s="220"/>
    </row>
    <row r="16" spans="2:30" ht="15.75" thickBot="1">
      <c r="B16" s="223"/>
      <c r="C16" s="224"/>
      <c r="D16" s="224"/>
      <c r="E16" s="224"/>
      <c r="F16" s="224"/>
      <c r="G16" s="225"/>
      <c r="H16" s="225"/>
      <c r="I16" s="225"/>
      <c r="J16" s="225"/>
      <c r="K16" s="225"/>
      <c r="L16" s="225"/>
      <c r="M16" s="225"/>
      <c r="N16" s="225"/>
      <c r="O16" s="225"/>
      <c r="P16" s="225"/>
      <c r="Q16" s="225"/>
      <c r="R16" s="225"/>
      <c r="S16" s="225"/>
      <c r="T16" s="225"/>
      <c r="U16" s="225"/>
      <c r="V16" s="226"/>
      <c r="Y16" s="217"/>
      <c r="Z16" s="218"/>
      <c r="AA16" s="218"/>
      <c r="AB16" s="218"/>
      <c r="AC16" s="221"/>
      <c r="AD16" s="222"/>
    </row>
    <row r="17" spans="2:22" ht="15.75" thickBot="1">
      <c r="B17" s="233" t="s">
        <v>85</v>
      </c>
      <c r="C17" s="234"/>
      <c r="D17" s="234"/>
      <c r="E17" s="234"/>
      <c r="F17" s="234"/>
      <c r="G17" s="235" t="s">
        <v>86</v>
      </c>
      <c r="H17" s="235"/>
      <c r="I17" s="235"/>
      <c r="J17" s="235"/>
      <c r="K17" s="235"/>
      <c r="L17" s="235"/>
      <c r="M17" s="235"/>
      <c r="N17" s="235"/>
      <c r="O17" s="235"/>
      <c r="P17" s="235"/>
      <c r="Q17" s="235"/>
      <c r="R17" s="235"/>
      <c r="S17" s="235"/>
      <c r="T17" s="235"/>
      <c r="U17" s="235"/>
      <c r="V17" s="236"/>
    </row>
    <row r="19" spans="2:22">
      <c r="G19" s="237" t="s">
        <v>87</v>
      </c>
      <c r="H19" s="237"/>
      <c r="I19" s="238" t="e">
        <f>TINV(0.05,G11)</f>
        <v>#DIV/0!</v>
      </c>
      <c r="J19" s="238"/>
    </row>
    <row r="20" spans="2:22">
      <c r="G20" s="237" t="s">
        <v>88</v>
      </c>
      <c r="H20" s="237"/>
      <c r="I20" s="85" t="e">
        <f>ROUND(I19*G9,1)</f>
        <v>#DIV/0!</v>
      </c>
      <c r="J20" s="85"/>
    </row>
    <row r="21" spans="2:22" ht="30" customHeight="1"/>
    <row r="22" spans="2:22" ht="30" customHeight="1"/>
  </sheetData>
  <mergeCells count="87">
    <mergeCell ref="B2:V3"/>
    <mergeCell ref="C4:D4"/>
    <mergeCell ref="E4:F4"/>
    <mergeCell ref="G4:H4"/>
    <mergeCell ref="I4:J4"/>
    <mergeCell ref="K4:L4"/>
    <mergeCell ref="M4:N4"/>
    <mergeCell ref="O4:P4"/>
    <mergeCell ref="Q4:R4"/>
    <mergeCell ref="S4:T4"/>
    <mergeCell ref="U4:V4"/>
    <mergeCell ref="M5:N5"/>
    <mergeCell ref="O5:P5"/>
    <mergeCell ref="Q5:R5"/>
    <mergeCell ref="S5:T5"/>
    <mergeCell ref="U5:V5"/>
    <mergeCell ref="C5:D5"/>
    <mergeCell ref="E5:F5"/>
    <mergeCell ref="G5:H5"/>
    <mergeCell ref="I5:J5"/>
    <mergeCell ref="K5:L5"/>
    <mergeCell ref="AC6:AD6"/>
    <mergeCell ref="AC7:AD7"/>
    <mergeCell ref="Y7:AB7"/>
    <mergeCell ref="Y4:AB5"/>
    <mergeCell ref="AC4:AD5"/>
    <mergeCell ref="C6:D6"/>
    <mergeCell ref="E6:F6"/>
    <mergeCell ref="G6:H6"/>
    <mergeCell ref="I6:J6"/>
    <mergeCell ref="K6:L6"/>
    <mergeCell ref="M6:N6"/>
    <mergeCell ref="O6:P6"/>
    <mergeCell ref="Q6:R6"/>
    <mergeCell ref="S6:T6"/>
    <mergeCell ref="Y8:AB8"/>
    <mergeCell ref="U6:V6"/>
    <mergeCell ref="Y6:AB6"/>
    <mergeCell ref="AC8:AD8"/>
    <mergeCell ref="C7:D7"/>
    <mergeCell ref="E7:F7"/>
    <mergeCell ref="G7:H7"/>
    <mergeCell ref="I7:J7"/>
    <mergeCell ref="K7:L7"/>
    <mergeCell ref="M7:N7"/>
    <mergeCell ref="O7:P7"/>
    <mergeCell ref="Q7:R7"/>
    <mergeCell ref="S7:T7"/>
    <mergeCell ref="U7:V7"/>
    <mergeCell ref="M8:N8"/>
    <mergeCell ref="O8:P8"/>
    <mergeCell ref="Q8:R8"/>
    <mergeCell ref="S8:T8"/>
    <mergeCell ref="U8:V8"/>
    <mergeCell ref="C8:D8"/>
    <mergeCell ref="E8:F8"/>
    <mergeCell ref="G8:H8"/>
    <mergeCell ref="I8:J8"/>
    <mergeCell ref="K8:L8"/>
    <mergeCell ref="G19:H19"/>
    <mergeCell ref="I19:J19"/>
    <mergeCell ref="G20:H20"/>
    <mergeCell ref="AC10:AD10"/>
    <mergeCell ref="C9:F9"/>
    <mergeCell ref="G9:J9"/>
    <mergeCell ref="K9:V11"/>
    <mergeCell ref="Y11:AB12"/>
    <mergeCell ref="AC11:AD12"/>
    <mergeCell ref="C10:F10"/>
    <mergeCell ref="G10:J10"/>
    <mergeCell ref="B11:F11"/>
    <mergeCell ref="G11:J11"/>
    <mergeCell ref="Y10:AB10"/>
    <mergeCell ref="Y9:AB9"/>
    <mergeCell ref="AC9:AD9"/>
    <mergeCell ref="B12:F12"/>
    <mergeCell ref="G12:V12"/>
    <mergeCell ref="B13:F13"/>
    <mergeCell ref="G13:V13"/>
    <mergeCell ref="B17:F17"/>
    <mergeCell ref="G17:V17"/>
    <mergeCell ref="Y15:AB16"/>
    <mergeCell ref="AC15:AD16"/>
    <mergeCell ref="B14:F16"/>
    <mergeCell ref="G14:V16"/>
    <mergeCell ref="Y13:AB14"/>
    <mergeCell ref="AC13:AD14"/>
  </mergeCells>
  <pageMargins left="0.7" right="0.7" top="0.75" bottom="0.75" header="0.3" footer="0.3"/>
  <pageSetup scale="45" orientation="portrait" horizontalDpi="300" verticalDpi="300" r:id="rId1"/>
  <colBreaks count="1" manualBreakCount="1">
    <brk id="23" max="19" man="1"/>
  </colBreaks>
  <extLst>
    <ext xmlns:x14="http://schemas.microsoft.com/office/spreadsheetml/2009/9/main" uri="{78C0D931-6437-407d-A8EE-F0AAD7539E65}">
      <x14:conditionalFormattings>
        <x14:conditionalFormatting xmlns:xm="http://schemas.microsoft.com/office/excel/2006/main">
          <x14:cfRule type="expression" priority="1" id="{E03110D0-66DD-41D2-B065-401FC1B00470}">
            <xm:f>Datasheet!$B$6="34901A"</xm:f>
            <x14:dxf>
              <numFmt numFmtId="164" formatCode="0.0"/>
            </x14:dxf>
          </x14:cfRule>
          <xm:sqref>AC6:AD12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F385-69FF-47B3-B035-EA0B510BF40B}">
  <sheetPr codeName="Sheet13"/>
  <dimension ref="B1:AD22"/>
  <sheetViews>
    <sheetView zoomScaleNormal="100" workbookViewId="0">
      <selection activeCell="G11" sqref="G11:J11"/>
    </sheetView>
  </sheetViews>
  <sheetFormatPr defaultRowHeight="15"/>
  <cols>
    <col min="1" max="1" width="4.28515625" style="50" customWidth="1"/>
    <col min="2" max="22" width="9.140625" style="50"/>
    <col min="23" max="24" width="2.85546875" style="50" customWidth="1"/>
    <col min="25" max="16384" width="9.140625" style="50"/>
  </cols>
  <sheetData>
    <row r="1" spans="2:30" ht="15.75" thickBot="1"/>
    <row r="2" spans="2:30" ht="15" customHeight="1">
      <c r="B2" s="280" t="e">
        <f>"Measurement Uncertainty Analysis (Type K "&amp;ROUND(Datasheet!C29,0)&amp;"°C test point)
The reported value ("&amp;ROUND(AC11,1)&amp;") is the mean UUT indication five (5) test runs"</f>
        <v>#DIV/0!</v>
      </c>
      <c r="C2" s="281"/>
      <c r="D2" s="281"/>
      <c r="E2" s="281"/>
      <c r="F2" s="281"/>
      <c r="G2" s="281"/>
      <c r="H2" s="281"/>
      <c r="I2" s="281"/>
      <c r="J2" s="281"/>
      <c r="K2" s="281"/>
      <c r="L2" s="281"/>
      <c r="M2" s="281"/>
      <c r="N2" s="281"/>
      <c r="O2" s="281"/>
      <c r="P2" s="281"/>
      <c r="Q2" s="281"/>
      <c r="R2" s="281"/>
      <c r="S2" s="281"/>
      <c r="T2" s="281"/>
      <c r="U2" s="281"/>
      <c r="V2" s="282"/>
    </row>
    <row r="3" spans="2:30" ht="15.75" thickBot="1">
      <c r="B3" s="283"/>
      <c r="C3" s="284"/>
      <c r="D3" s="284"/>
      <c r="E3" s="284"/>
      <c r="F3" s="284"/>
      <c r="G3" s="284"/>
      <c r="H3" s="284"/>
      <c r="I3" s="284"/>
      <c r="J3" s="284"/>
      <c r="K3" s="284"/>
      <c r="L3" s="284"/>
      <c r="M3" s="284"/>
      <c r="N3" s="284"/>
      <c r="O3" s="284"/>
      <c r="P3" s="284"/>
      <c r="Q3" s="284"/>
      <c r="R3" s="284"/>
      <c r="S3" s="284"/>
      <c r="T3" s="284"/>
      <c r="U3" s="284"/>
      <c r="V3" s="285"/>
    </row>
    <row r="4" spans="2:30" ht="30" customHeight="1">
      <c r="B4" s="71"/>
      <c r="C4" s="216" t="s">
        <v>45</v>
      </c>
      <c r="D4" s="216"/>
      <c r="E4" s="286" t="s">
        <v>46</v>
      </c>
      <c r="F4" s="286"/>
      <c r="G4" s="287" t="s">
        <v>47</v>
      </c>
      <c r="H4" s="287"/>
      <c r="I4" s="286" t="s">
        <v>48</v>
      </c>
      <c r="J4" s="216"/>
      <c r="K4" s="216" t="s">
        <v>49</v>
      </c>
      <c r="L4" s="216"/>
      <c r="M4" s="216" t="s">
        <v>50</v>
      </c>
      <c r="N4" s="216"/>
      <c r="O4" s="286" t="s">
        <v>51</v>
      </c>
      <c r="P4" s="286"/>
      <c r="Q4" s="216" t="s">
        <v>52</v>
      </c>
      <c r="R4" s="216"/>
      <c r="S4" s="216" t="s">
        <v>53</v>
      </c>
      <c r="T4" s="216"/>
      <c r="U4" s="286" t="s">
        <v>54</v>
      </c>
      <c r="V4" s="288"/>
      <c r="Y4" s="277" t="s">
        <v>55</v>
      </c>
      <c r="Z4" s="241"/>
      <c r="AA4" s="241"/>
      <c r="AB4" s="241"/>
      <c r="AC4" s="241" t="s">
        <v>56</v>
      </c>
      <c r="AD4" s="278"/>
    </row>
    <row r="5" spans="2:30" ht="30" customHeight="1" thickBot="1">
      <c r="B5" s="71" t="s">
        <v>57</v>
      </c>
      <c r="C5" s="263" t="s">
        <v>58</v>
      </c>
      <c r="D5" s="263"/>
      <c r="E5" s="254">
        <f>'STD Info'!F30</f>
        <v>0.12</v>
      </c>
      <c r="F5" s="263"/>
      <c r="G5" s="269">
        <v>0.95</v>
      </c>
      <c r="H5" s="263"/>
      <c r="I5" s="263" t="s">
        <v>59</v>
      </c>
      <c r="J5" s="263"/>
      <c r="K5" s="263" t="s">
        <v>60</v>
      </c>
      <c r="L5" s="263"/>
      <c r="M5" s="254">
        <f>NORMSINV(0.975)</f>
        <v>1.9599639845400536</v>
      </c>
      <c r="N5" s="254"/>
      <c r="O5" s="270">
        <f>E5/M5</f>
        <v>6.1225614830958487E-2</v>
      </c>
      <c r="P5" s="270"/>
      <c r="Q5" s="254">
        <v>1</v>
      </c>
      <c r="R5" s="254"/>
      <c r="S5" s="270">
        <f>O5*Q5</f>
        <v>6.1225614830958487E-2</v>
      </c>
      <c r="T5" s="270"/>
      <c r="U5" s="271" t="s">
        <v>61</v>
      </c>
      <c r="V5" s="272"/>
      <c r="Y5" s="217"/>
      <c r="Z5" s="218"/>
      <c r="AA5" s="218"/>
      <c r="AB5" s="218"/>
      <c r="AC5" s="218"/>
      <c r="AD5" s="279"/>
    </row>
    <row r="6" spans="2:30" ht="30" customHeight="1">
      <c r="B6" s="71" t="s">
        <v>62</v>
      </c>
      <c r="C6" s="263" t="s">
        <v>63</v>
      </c>
      <c r="D6" s="263"/>
      <c r="E6" s="263">
        <f>'STD Info'!D9/2</f>
        <v>5.0000000000000001E-3</v>
      </c>
      <c r="F6" s="263"/>
      <c r="G6" s="269">
        <v>1</v>
      </c>
      <c r="H6" s="263"/>
      <c r="I6" s="263" t="s">
        <v>59</v>
      </c>
      <c r="J6" s="263"/>
      <c r="K6" s="263" t="s">
        <v>64</v>
      </c>
      <c r="L6" s="263"/>
      <c r="M6" s="254">
        <f>SQRT(3)</f>
        <v>1.7320508075688772</v>
      </c>
      <c r="N6" s="254"/>
      <c r="O6" s="270">
        <f>E6/M6</f>
        <v>2.886751345948129E-3</v>
      </c>
      <c r="P6" s="270"/>
      <c r="Q6" s="254">
        <v>1</v>
      </c>
      <c r="R6" s="254"/>
      <c r="S6" s="270">
        <f>O6*Q6</f>
        <v>2.886751345948129E-3</v>
      </c>
      <c r="T6" s="270"/>
      <c r="U6" s="271" t="s">
        <v>61</v>
      </c>
      <c r="V6" s="272"/>
      <c r="Y6" s="274">
        <v>1</v>
      </c>
      <c r="Z6" s="266"/>
      <c r="AA6" s="266"/>
      <c r="AB6" s="266"/>
      <c r="AC6" s="275"/>
      <c r="AD6" s="276"/>
    </row>
    <row r="7" spans="2:30" ht="30" customHeight="1">
      <c r="B7" s="71" t="s">
        <v>65</v>
      </c>
      <c r="C7" s="263" t="s">
        <v>66</v>
      </c>
      <c r="D7" s="263"/>
      <c r="E7" s="263">
        <f>IF(Datasheet!B6="DAQM901A",'UUT Info'!D9/2,'UUT Info'!P9/2)</f>
        <v>0.05</v>
      </c>
      <c r="F7" s="263"/>
      <c r="G7" s="269">
        <v>1</v>
      </c>
      <c r="H7" s="263"/>
      <c r="I7" s="263" t="s">
        <v>59</v>
      </c>
      <c r="J7" s="263"/>
      <c r="K7" s="263" t="s">
        <v>64</v>
      </c>
      <c r="L7" s="263"/>
      <c r="M7" s="254">
        <f>SQRT(3)</f>
        <v>1.7320508075688772</v>
      </c>
      <c r="N7" s="254"/>
      <c r="O7" s="270">
        <f>E7/M7</f>
        <v>2.8867513459481291E-2</v>
      </c>
      <c r="P7" s="270"/>
      <c r="Q7" s="254">
        <v>1</v>
      </c>
      <c r="R7" s="254"/>
      <c r="S7" s="270">
        <f>O7*Q7</f>
        <v>2.8867513459481291E-2</v>
      </c>
      <c r="T7" s="270"/>
      <c r="U7" s="271" t="s">
        <v>61</v>
      </c>
      <c r="V7" s="272"/>
      <c r="Y7" s="262">
        <v>2</v>
      </c>
      <c r="Z7" s="263"/>
      <c r="AA7" s="263"/>
      <c r="AB7" s="263"/>
      <c r="AC7" s="264"/>
      <c r="AD7" s="265"/>
    </row>
    <row r="8" spans="2:30" ht="30" customHeight="1" thickBot="1">
      <c r="B8" s="70" t="s">
        <v>67</v>
      </c>
      <c r="C8" s="266" t="s">
        <v>68</v>
      </c>
      <c r="D8" s="266"/>
      <c r="E8" s="267" t="e">
        <f>AC15</f>
        <v>#DIV/0!</v>
      </c>
      <c r="F8" s="267"/>
      <c r="G8" s="268">
        <v>0.68</v>
      </c>
      <c r="H8" s="266"/>
      <c r="I8" s="266" t="s">
        <v>69</v>
      </c>
      <c r="J8" s="266"/>
      <c r="K8" s="266" t="s">
        <v>60</v>
      </c>
      <c r="L8" s="266"/>
      <c r="M8" s="252" t="s">
        <v>70</v>
      </c>
      <c r="N8" s="252"/>
      <c r="O8" s="267" t="e">
        <f>E8/1</f>
        <v>#DIV/0!</v>
      </c>
      <c r="P8" s="267"/>
      <c r="Q8" s="252">
        <v>1</v>
      </c>
      <c r="R8" s="252"/>
      <c r="S8" s="267" t="e">
        <f>O8*Q8</f>
        <v>#DIV/0!</v>
      </c>
      <c r="T8" s="267"/>
      <c r="U8" s="266">
        <f>Y10-1</f>
        <v>4</v>
      </c>
      <c r="V8" s="273"/>
      <c r="Y8" s="262">
        <v>3</v>
      </c>
      <c r="Z8" s="263"/>
      <c r="AA8" s="263"/>
      <c r="AB8" s="263"/>
      <c r="AC8" s="264"/>
      <c r="AD8" s="265"/>
    </row>
    <row r="9" spans="2:30" ht="30" customHeight="1">
      <c r="B9" s="72" t="s">
        <v>71</v>
      </c>
      <c r="C9" s="241" t="s">
        <v>72</v>
      </c>
      <c r="D9" s="241"/>
      <c r="E9" s="241"/>
      <c r="F9" s="241"/>
      <c r="G9" s="242" t="e">
        <f>SQRT(SUMSQ(S5:T8))</f>
        <v>#DIV/0!</v>
      </c>
      <c r="H9" s="242"/>
      <c r="I9" s="242"/>
      <c r="J9" s="242"/>
      <c r="K9" s="243" t="s">
        <v>138</v>
      </c>
      <c r="L9" s="244"/>
      <c r="M9" s="244"/>
      <c r="N9" s="244"/>
      <c r="O9" s="244"/>
      <c r="P9" s="244"/>
      <c r="Q9" s="244"/>
      <c r="R9" s="244"/>
      <c r="S9" s="244"/>
      <c r="T9" s="244"/>
      <c r="U9" s="244"/>
      <c r="V9" s="245"/>
      <c r="Y9" s="262">
        <v>4</v>
      </c>
      <c r="Z9" s="263"/>
      <c r="AA9" s="263"/>
      <c r="AB9" s="263"/>
      <c r="AC9" s="264"/>
      <c r="AD9" s="265"/>
    </row>
    <row r="10" spans="2:30" ht="30" customHeight="1" thickBot="1">
      <c r="B10" s="69" t="s">
        <v>74</v>
      </c>
      <c r="C10" s="216" t="s">
        <v>75</v>
      </c>
      <c r="D10" s="216"/>
      <c r="E10" s="216"/>
      <c r="F10" s="216"/>
      <c r="G10" s="256" t="e">
        <f>ROUND(AC11,1) &amp; "°C ± " &amp; I20 &amp;"°C"</f>
        <v>#DIV/0!</v>
      </c>
      <c r="H10" s="256"/>
      <c r="I10" s="256"/>
      <c r="J10" s="256"/>
      <c r="K10" s="246"/>
      <c r="L10" s="246"/>
      <c r="M10" s="246"/>
      <c r="N10" s="246"/>
      <c r="O10" s="246"/>
      <c r="P10" s="246"/>
      <c r="Q10" s="246"/>
      <c r="R10" s="246"/>
      <c r="S10" s="246"/>
      <c r="T10" s="246"/>
      <c r="U10" s="246"/>
      <c r="V10" s="247"/>
      <c r="Y10" s="260">
        <v>5</v>
      </c>
      <c r="Z10" s="261"/>
      <c r="AA10" s="261"/>
      <c r="AB10" s="261"/>
      <c r="AC10" s="239"/>
      <c r="AD10" s="240"/>
    </row>
    <row r="11" spans="2:30" ht="30" customHeight="1" thickBot="1">
      <c r="B11" s="257" t="s">
        <v>76</v>
      </c>
      <c r="C11" s="258"/>
      <c r="D11" s="258"/>
      <c r="E11" s="258"/>
      <c r="F11" s="258"/>
      <c r="G11" s="259" t="e">
        <f>IF(S8=0,10000000000,IF(U8*((G9^4)/(S8^4))&gt;10000000000,10000000000,U8*((G9^4)/(S8^4))))</f>
        <v>#DIV/0!</v>
      </c>
      <c r="H11" s="259"/>
      <c r="I11" s="259"/>
      <c r="J11" s="259"/>
      <c r="K11" s="248"/>
      <c r="L11" s="248"/>
      <c r="M11" s="248"/>
      <c r="N11" s="248"/>
      <c r="O11" s="248"/>
      <c r="P11" s="248"/>
      <c r="Q11" s="248"/>
      <c r="R11" s="248"/>
      <c r="S11" s="248"/>
      <c r="T11" s="248"/>
      <c r="U11" s="248"/>
      <c r="V11" s="249"/>
      <c r="X11" s="54"/>
      <c r="Y11" s="250" t="s">
        <v>73</v>
      </c>
      <c r="Z11" s="251"/>
      <c r="AA11" s="251"/>
      <c r="AB11" s="251"/>
      <c r="AC11" s="252" t="e">
        <f>AVERAGE(AC6:AD10)</f>
        <v>#DIV/0!</v>
      </c>
      <c r="AD11" s="253"/>
    </row>
    <row r="12" spans="2:30" ht="30" customHeight="1" thickTop="1">
      <c r="B12" s="227" t="s">
        <v>78</v>
      </c>
      <c r="C12" s="228"/>
      <c r="D12" s="228"/>
      <c r="E12" s="228"/>
      <c r="F12" s="228"/>
      <c r="G12" s="229" t="s">
        <v>79</v>
      </c>
      <c r="H12" s="229"/>
      <c r="I12" s="229"/>
      <c r="J12" s="229"/>
      <c r="K12" s="229"/>
      <c r="L12" s="229"/>
      <c r="M12" s="229"/>
      <c r="N12" s="229"/>
      <c r="O12" s="229"/>
      <c r="P12" s="229"/>
      <c r="Q12" s="229"/>
      <c r="R12" s="229"/>
      <c r="S12" s="229"/>
      <c r="T12" s="229"/>
      <c r="U12" s="229"/>
      <c r="V12" s="230"/>
      <c r="X12" s="54"/>
      <c r="Y12" s="215"/>
      <c r="Z12" s="216"/>
      <c r="AA12" s="216"/>
      <c r="AB12" s="216"/>
      <c r="AC12" s="254"/>
      <c r="AD12" s="255"/>
    </row>
    <row r="13" spans="2:30" ht="30" customHeight="1">
      <c r="B13" s="223" t="s">
        <v>80</v>
      </c>
      <c r="C13" s="224"/>
      <c r="D13" s="224"/>
      <c r="E13" s="224"/>
      <c r="F13" s="224"/>
      <c r="G13" s="231" t="s">
        <v>81</v>
      </c>
      <c r="H13" s="231"/>
      <c r="I13" s="231"/>
      <c r="J13" s="231"/>
      <c r="K13" s="231"/>
      <c r="L13" s="231"/>
      <c r="M13" s="231"/>
      <c r="N13" s="231"/>
      <c r="O13" s="231"/>
      <c r="P13" s="231"/>
      <c r="Q13" s="231"/>
      <c r="R13" s="231"/>
      <c r="S13" s="231"/>
      <c r="T13" s="231"/>
      <c r="U13" s="231"/>
      <c r="V13" s="232"/>
      <c r="Y13" s="215" t="s">
        <v>77</v>
      </c>
      <c r="Z13" s="216"/>
      <c r="AA13" s="216"/>
      <c r="AB13" s="216"/>
      <c r="AC13" s="219" t="e">
        <f>_xlfn.STDEV.S(AC6:AD10)</f>
        <v>#DIV/0!</v>
      </c>
      <c r="AD13" s="220"/>
    </row>
    <row r="14" spans="2:30">
      <c r="B14" s="223" t="s">
        <v>83</v>
      </c>
      <c r="C14" s="224"/>
      <c r="D14" s="224"/>
      <c r="E14" s="224"/>
      <c r="F14" s="224"/>
      <c r="G14" s="225" t="s">
        <v>84</v>
      </c>
      <c r="H14" s="225"/>
      <c r="I14" s="225"/>
      <c r="J14" s="225"/>
      <c r="K14" s="225"/>
      <c r="L14" s="225"/>
      <c r="M14" s="225"/>
      <c r="N14" s="225"/>
      <c r="O14" s="225"/>
      <c r="P14" s="225"/>
      <c r="Q14" s="225"/>
      <c r="R14" s="225"/>
      <c r="S14" s="225"/>
      <c r="T14" s="225"/>
      <c r="U14" s="225"/>
      <c r="V14" s="226"/>
      <c r="Y14" s="215"/>
      <c r="Z14" s="216"/>
      <c r="AA14" s="216"/>
      <c r="AB14" s="216"/>
      <c r="AC14" s="219"/>
      <c r="AD14" s="220"/>
    </row>
    <row r="15" spans="2:30">
      <c r="B15" s="223"/>
      <c r="C15" s="224"/>
      <c r="D15" s="224"/>
      <c r="E15" s="224"/>
      <c r="F15" s="224"/>
      <c r="G15" s="225"/>
      <c r="H15" s="225"/>
      <c r="I15" s="225"/>
      <c r="J15" s="225"/>
      <c r="K15" s="225"/>
      <c r="L15" s="225"/>
      <c r="M15" s="225"/>
      <c r="N15" s="225"/>
      <c r="O15" s="225"/>
      <c r="P15" s="225"/>
      <c r="Q15" s="225"/>
      <c r="R15" s="225"/>
      <c r="S15" s="225"/>
      <c r="T15" s="225"/>
      <c r="U15" s="225"/>
      <c r="V15" s="226"/>
      <c r="Y15" s="215" t="s">
        <v>82</v>
      </c>
      <c r="Z15" s="216"/>
      <c r="AA15" s="216"/>
      <c r="AB15" s="216"/>
      <c r="AC15" s="219" t="e">
        <f>AC13/SQRT(Y10)</f>
        <v>#DIV/0!</v>
      </c>
      <c r="AD15" s="220"/>
    </row>
    <row r="16" spans="2:30" ht="15.75" thickBot="1">
      <c r="B16" s="223"/>
      <c r="C16" s="224"/>
      <c r="D16" s="224"/>
      <c r="E16" s="224"/>
      <c r="F16" s="224"/>
      <c r="G16" s="225"/>
      <c r="H16" s="225"/>
      <c r="I16" s="225"/>
      <c r="J16" s="225"/>
      <c r="K16" s="225"/>
      <c r="L16" s="225"/>
      <c r="M16" s="225"/>
      <c r="N16" s="225"/>
      <c r="O16" s="225"/>
      <c r="P16" s="225"/>
      <c r="Q16" s="225"/>
      <c r="R16" s="225"/>
      <c r="S16" s="225"/>
      <c r="T16" s="225"/>
      <c r="U16" s="225"/>
      <c r="V16" s="226"/>
      <c r="Y16" s="217"/>
      <c r="Z16" s="218"/>
      <c r="AA16" s="218"/>
      <c r="AB16" s="218"/>
      <c r="AC16" s="221"/>
      <c r="AD16" s="222"/>
    </row>
    <row r="17" spans="2:22" ht="15.75" thickBot="1">
      <c r="B17" s="233" t="s">
        <v>85</v>
      </c>
      <c r="C17" s="234"/>
      <c r="D17" s="234"/>
      <c r="E17" s="234"/>
      <c r="F17" s="234"/>
      <c r="G17" s="235" t="s">
        <v>86</v>
      </c>
      <c r="H17" s="235"/>
      <c r="I17" s="235"/>
      <c r="J17" s="235"/>
      <c r="K17" s="235"/>
      <c r="L17" s="235"/>
      <c r="M17" s="235"/>
      <c r="N17" s="235"/>
      <c r="O17" s="235"/>
      <c r="P17" s="235"/>
      <c r="Q17" s="235"/>
      <c r="R17" s="235"/>
      <c r="S17" s="235"/>
      <c r="T17" s="235"/>
      <c r="U17" s="235"/>
      <c r="V17" s="236"/>
    </row>
    <row r="19" spans="2:22">
      <c r="G19" s="237" t="s">
        <v>87</v>
      </c>
      <c r="H19" s="237"/>
      <c r="I19" s="238" t="e">
        <f>TINV(0.05,G11)</f>
        <v>#DIV/0!</v>
      </c>
      <c r="J19" s="238"/>
    </row>
    <row r="20" spans="2:22">
      <c r="G20" s="237" t="s">
        <v>88</v>
      </c>
      <c r="H20" s="237"/>
      <c r="I20" s="85" t="e">
        <f>ROUND(I19*G9,1)</f>
        <v>#DIV/0!</v>
      </c>
      <c r="J20" s="85"/>
    </row>
    <row r="21" spans="2:22" ht="30" customHeight="1"/>
    <row r="22" spans="2:22" ht="30" customHeight="1"/>
  </sheetData>
  <mergeCells count="87">
    <mergeCell ref="B2:V3"/>
    <mergeCell ref="C4:D4"/>
    <mergeCell ref="E4:F4"/>
    <mergeCell ref="G4:H4"/>
    <mergeCell ref="I4:J4"/>
    <mergeCell ref="K4:L4"/>
    <mergeCell ref="M4:N4"/>
    <mergeCell ref="O4:P4"/>
    <mergeCell ref="Q4:R4"/>
    <mergeCell ref="S4:T4"/>
    <mergeCell ref="U4:V4"/>
    <mergeCell ref="M5:N5"/>
    <mergeCell ref="O5:P5"/>
    <mergeCell ref="Q5:R5"/>
    <mergeCell ref="S5:T5"/>
    <mergeCell ref="U5:V5"/>
    <mergeCell ref="C5:D5"/>
    <mergeCell ref="E5:F5"/>
    <mergeCell ref="G5:H5"/>
    <mergeCell ref="I5:J5"/>
    <mergeCell ref="K5:L5"/>
    <mergeCell ref="AC6:AD6"/>
    <mergeCell ref="AC7:AD7"/>
    <mergeCell ref="Y7:AB7"/>
    <mergeCell ref="Y4:AB5"/>
    <mergeCell ref="AC4:AD5"/>
    <mergeCell ref="C6:D6"/>
    <mergeCell ref="E6:F6"/>
    <mergeCell ref="G6:H6"/>
    <mergeCell ref="I6:J6"/>
    <mergeCell ref="K6:L6"/>
    <mergeCell ref="M6:N6"/>
    <mergeCell ref="O6:P6"/>
    <mergeCell ref="Q6:R6"/>
    <mergeCell ref="S6:T6"/>
    <mergeCell ref="Y8:AB8"/>
    <mergeCell ref="U6:V6"/>
    <mergeCell ref="Y6:AB6"/>
    <mergeCell ref="AC8:AD8"/>
    <mergeCell ref="C7:D7"/>
    <mergeCell ref="E7:F7"/>
    <mergeCell ref="G7:H7"/>
    <mergeCell ref="I7:J7"/>
    <mergeCell ref="K7:L7"/>
    <mergeCell ref="M7:N7"/>
    <mergeCell ref="O7:P7"/>
    <mergeCell ref="Q7:R7"/>
    <mergeCell ref="S7:T7"/>
    <mergeCell ref="U7:V7"/>
    <mergeCell ref="M8:N8"/>
    <mergeCell ref="O8:P8"/>
    <mergeCell ref="Q8:R8"/>
    <mergeCell ref="S8:T8"/>
    <mergeCell ref="U8:V8"/>
    <mergeCell ref="C8:D8"/>
    <mergeCell ref="E8:F8"/>
    <mergeCell ref="G8:H8"/>
    <mergeCell ref="I8:J8"/>
    <mergeCell ref="K8:L8"/>
    <mergeCell ref="G19:H19"/>
    <mergeCell ref="I19:J19"/>
    <mergeCell ref="G20:H20"/>
    <mergeCell ref="AC10:AD10"/>
    <mergeCell ref="C9:F9"/>
    <mergeCell ref="G9:J9"/>
    <mergeCell ref="K9:V11"/>
    <mergeCell ref="Y11:AB12"/>
    <mergeCell ref="AC11:AD12"/>
    <mergeCell ref="C10:F10"/>
    <mergeCell ref="G10:J10"/>
    <mergeCell ref="B11:F11"/>
    <mergeCell ref="G11:J11"/>
    <mergeCell ref="Y10:AB10"/>
    <mergeCell ref="Y9:AB9"/>
    <mergeCell ref="AC9:AD9"/>
    <mergeCell ref="B12:F12"/>
    <mergeCell ref="G12:V12"/>
    <mergeCell ref="B13:F13"/>
    <mergeCell ref="G13:V13"/>
    <mergeCell ref="B17:F17"/>
    <mergeCell ref="G17:V17"/>
    <mergeCell ref="Y15:AB16"/>
    <mergeCell ref="AC15:AD16"/>
    <mergeCell ref="B14:F16"/>
    <mergeCell ref="G14:V16"/>
    <mergeCell ref="Y13:AB14"/>
    <mergeCell ref="AC13:AD14"/>
  </mergeCells>
  <pageMargins left="0.7" right="0.7" top="0.75" bottom="0.75" header="0.3" footer="0.3"/>
  <pageSetup scale="45" orientation="portrait" horizontalDpi="300" verticalDpi="300" r:id="rId1"/>
  <colBreaks count="1" manualBreakCount="1">
    <brk id="23" max="19" man="1"/>
  </colBreaks>
  <extLst>
    <ext xmlns:x14="http://schemas.microsoft.com/office/spreadsheetml/2009/9/main" uri="{78C0D931-6437-407d-A8EE-F0AAD7539E65}">
      <x14:conditionalFormattings>
        <x14:conditionalFormatting xmlns:xm="http://schemas.microsoft.com/office/excel/2006/main">
          <x14:cfRule type="expression" priority="1" id="{C267F2DC-61C9-464C-9282-8516996C0670}">
            <xm:f>Datasheet!$B$6="34901A"</xm:f>
            <x14:dxf>
              <numFmt numFmtId="164" formatCode="0.0"/>
            </x14:dxf>
          </x14:cfRule>
          <xm:sqref>AC6:AD12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87343-14B6-4D7B-9E8B-06DC75DC502E}">
  <sheetPr codeName="Sheet14"/>
  <dimension ref="B1:AD22"/>
  <sheetViews>
    <sheetView zoomScaleNormal="100" workbookViewId="0">
      <selection activeCell="G11" sqref="G11:J11"/>
    </sheetView>
  </sheetViews>
  <sheetFormatPr defaultRowHeight="15"/>
  <cols>
    <col min="1" max="1" width="4.28515625" style="50" customWidth="1"/>
    <col min="2" max="22" width="9.140625" style="50"/>
    <col min="23" max="24" width="2.85546875" style="50" customWidth="1"/>
    <col min="25" max="16384" width="9.140625" style="50"/>
  </cols>
  <sheetData>
    <row r="1" spans="2:30" ht="15.75" thickBot="1"/>
    <row r="2" spans="2:30" ht="15" customHeight="1">
      <c r="B2" s="280" t="e">
        <f>"Measurement Uncertainty Analysis (Type K "&amp;ROUND(Datasheet!C30,0)&amp;"°C test point)
The reported value ("&amp;ROUND(AC11,1)&amp;") is the mean UUT indication five (5) test runs"</f>
        <v>#DIV/0!</v>
      </c>
      <c r="C2" s="281"/>
      <c r="D2" s="281"/>
      <c r="E2" s="281"/>
      <c r="F2" s="281"/>
      <c r="G2" s="281"/>
      <c r="H2" s="281"/>
      <c r="I2" s="281"/>
      <c r="J2" s="281"/>
      <c r="K2" s="281"/>
      <c r="L2" s="281"/>
      <c r="M2" s="281"/>
      <c r="N2" s="281"/>
      <c r="O2" s="281"/>
      <c r="P2" s="281"/>
      <c r="Q2" s="281"/>
      <c r="R2" s="281"/>
      <c r="S2" s="281"/>
      <c r="T2" s="281"/>
      <c r="U2" s="281"/>
      <c r="V2" s="282"/>
    </row>
    <row r="3" spans="2:30" ht="15.75" thickBot="1">
      <c r="B3" s="283"/>
      <c r="C3" s="284"/>
      <c r="D3" s="284"/>
      <c r="E3" s="284"/>
      <c r="F3" s="284"/>
      <c r="G3" s="284"/>
      <c r="H3" s="284"/>
      <c r="I3" s="284"/>
      <c r="J3" s="284"/>
      <c r="K3" s="284"/>
      <c r="L3" s="284"/>
      <c r="M3" s="284"/>
      <c r="N3" s="284"/>
      <c r="O3" s="284"/>
      <c r="P3" s="284"/>
      <c r="Q3" s="284"/>
      <c r="R3" s="284"/>
      <c r="S3" s="284"/>
      <c r="T3" s="284"/>
      <c r="U3" s="284"/>
      <c r="V3" s="285"/>
    </row>
    <row r="4" spans="2:30" ht="30" customHeight="1">
      <c r="B4" s="71"/>
      <c r="C4" s="216" t="s">
        <v>45</v>
      </c>
      <c r="D4" s="216"/>
      <c r="E4" s="286" t="s">
        <v>46</v>
      </c>
      <c r="F4" s="286"/>
      <c r="G4" s="287" t="s">
        <v>47</v>
      </c>
      <c r="H4" s="287"/>
      <c r="I4" s="286" t="s">
        <v>48</v>
      </c>
      <c r="J4" s="216"/>
      <c r="K4" s="216" t="s">
        <v>49</v>
      </c>
      <c r="L4" s="216"/>
      <c r="M4" s="216" t="s">
        <v>50</v>
      </c>
      <c r="N4" s="216"/>
      <c r="O4" s="286" t="s">
        <v>51</v>
      </c>
      <c r="P4" s="286"/>
      <c r="Q4" s="216" t="s">
        <v>52</v>
      </c>
      <c r="R4" s="216"/>
      <c r="S4" s="216" t="s">
        <v>53</v>
      </c>
      <c r="T4" s="216"/>
      <c r="U4" s="286" t="s">
        <v>54</v>
      </c>
      <c r="V4" s="288"/>
      <c r="Y4" s="277" t="s">
        <v>55</v>
      </c>
      <c r="Z4" s="241"/>
      <c r="AA4" s="241"/>
      <c r="AB4" s="241"/>
      <c r="AC4" s="241" t="s">
        <v>56</v>
      </c>
      <c r="AD4" s="278"/>
    </row>
    <row r="5" spans="2:30" ht="30" customHeight="1" thickBot="1">
      <c r="B5" s="71" t="s">
        <v>57</v>
      </c>
      <c r="C5" s="263" t="s">
        <v>58</v>
      </c>
      <c r="D5" s="263"/>
      <c r="E5" s="254">
        <f>'STD Info'!F31</f>
        <v>0.09</v>
      </c>
      <c r="F5" s="263"/>
      <c r="G5" s="269">
        <v>0.95</v>
      </c>
      <c r="H5" s="263"/>
      <c r="I5" s="263" t="s">
        <v>59</v>
      </c>
      <c r="J5" s="263"/>
      <c r="K5" s="263" t="s">
        <v>60</v>
      </c>
      <c r="L5" s="263"/>
      <c r="M5" s="254">
        <f>NORMSINV((1+0.95)/2)</f>
        <v>1.9599639845400536</v>
      </c>
      <c r="N5" s="254"/>
      <c r="O5" s="270">
        <f>E5/M5</f>
        <v>4.5919211123218867E-2</v>
      </c>
      <c r="P5" s="270"/>
      <c r="Q5" s="254">
        <v>1</v>
      </c>
      <c r="R5" s="254"/>
      <c r="S5" s="270">
        <f>O5*Q5</f>
        <v>4.5919211123218867E-2</v>
      </c>
      <c r="T5" s="270"/>
      <c r="U5" s="271" t="s">
        <v>61</v>
      </c>
      <c r="V5" s="272"/>
      <c r="Y5" s="217"/>
      <c r="Z5" s="218"/>
      <c r="AA5" s="218"/>
      <c r="AB5" s="218"/>
      <c r="AC5" s="218"/>
      <c r="AD5" s="279"/>
    </row>
    <row r="6" spans="2:30" ht="30" customHeight="1">
      <c r="B6" s="71" t="s">
        <v>62</v>
      </c>
      <c r="C6" s="263" t="s">
        <v>63</v>
      </c>
      <c r="D6" s="263"/>
      <c r="E6" s="263">
        <f>'STD Info'!D9/2</f>
        <v>5.0000000000000001E-3</v>
      </c>
      <c r="F6" s="263"/>
      <c r="G6" s="269">
        <v>1</v>
      </c>
      <c r="H6" s="263"/>
      <c r="I6" s="263" t="s">
        <v>59</v>
      </c>
      <c r="J6" s="263"/>
      <c r="K6" s="263" t="s">
        <v>64</v>
      </c>
      <c r="L6" s="263"/>
      <c r="M6" s="254">
        <f>SQRT(3)</f>
        <v>1.7320508075688772</v>
      </c>
      <c r="N6" s="254"/>
      <c r="O6" s="270">
        <f>E6/M6</f>
        <v>2.886751345948129E-3</v>
      </c>
      <c r="P6" s="270"/>
      <c r="Q6" s="254">
        <v>1</v>
      </c>
      <c r="R6" s="254"/>
      <c r="S6" s="270">
        <f>O6*Q6</f>
        <v>2.886751345948129E-3</v>
      </c>
      <c r="T6" s="270"/>
      <c r="U6" s="271" t="s">
        <v>61</v>
      </c>
      <c r="V6" s="272"/>
      <c r="Y6" s="274">
        <v>1</v>
      </c>
      <c r="Z6" s="266"/>
      <c r="AA6" s="266"/>
      <c r="AB6" s="266"/>
      <c r="AC6" s="275"/>
      <c r="AD6" s="276"/>
    </row>
    <row r="7" spans="2:30" ht="30" customHeight="1">
      <c r="B7" s="71" t="s">
        <v>65</v>
      </c>
      <c r="C7" s="263" t="s">
        <v>66</v>
      </c>
      <c r="D7" s="263"/>
      <c r="E7" s="263">
        <f>IF(Datasheet!B6="DAQM901A",'UUT Info'!D9/2,'UUT Info'!P9/2)</f>
        <v>0.05</v>
      </c>
      <c r="F7" s="263"/>
      <c r="G7" s="269">
        <v>1</v>
      </c>
      <c r="H7" s="263"/>
      <c r="I7" s="263" t="s">
        <v>59</v>
      </c>
      <c r="J7" s="263"/>
      <c r="K7" s="263" t="s">
        <v>64</v>
      </c>
      <c r="L7" s="263"/>
      <c r="M7" s="254">
        <f>SQRT(3)</f>
        <v>1.7320508075688772</v>
      </c>
      <c r="N7" s="254"/>
      <c r="O7" s="270">
        <f>E7/M7</f>
        <v>2.8867513459481291E-2</v>
      </c>
      <c r="P7" s="270"/>
      <c r="Q7" s="254">
        <v>1</v>
      </c>
      <c r="R7" s="254"/>
      <c r="S7" s="270">
        <f>O7*Q7</f>
        <v>2.8867513459481291E-2</v>
      </c>
      <c r="T7" s="270"/>
      <c r="U7" s="271" t="s">
        <v>61</v>
      </c>
      <c r="V7" s="272"/>
      <c r="Y7" s="262">
        <v>2</v>
      </c>
      <c r="Z7" s="263"/>
      <c r="AA7" s="263"/>
      <c r="AB7" s="263"/>
      <c r="AC7" s="264"/>
      <c r="AD7" s="265"/>
    </row>
    <row r="8" spans="2:30" ht="30" customHeight="1" thickBot="1">
      <c r="B8" s="70" t="s">
        <v>67</v>
      </c>
      <c r="C8" s="266" t="s">
        <v>68</v>
      </c>
      <c r="D8" s="266"/>
      <c r="E8" s="267" t="e">
        <f>AC15</f>
        <v>#DIV/0!</v>
      </c>
      <c r="F8" s="267"/>
      <c r="G8" s="268">
        <v>0.68</v>
      </c>
      <c r="H8" s="266"/>
      <c r="I8" s="266" t="s">
        <v>69</v>
      </c>
      <c r="J8" s="266"/>
      <c r="K8" s="266" t="s">
        <v>60</v>
      </c>
      <c r="L8" s="266"/>
      <c r="M8" s="252" t="s">
        <v>70</v>
      </c>
      <c r="N8" s="252"/>
      <c r="O8" s="267" t="e">
        <f>E8/1</f>
        <v>#DIV/0!</v>
      </c>
      <c r="P8" s="267"/>
      <c r="Q8" s="252">
        <v>1</v>
      </c>
      <c r="R8" s="252"/>
      <c r="S8" s="267" t="e">
        <f>O8*Q8</f>
        <v>#DIV/0!</v>
      </c>
      <c r="T8" s="267"/>
      <c r="U8" s="266">
        <f>Y10-1</f>
        <v>4</v>
      </c>
      <c r="V8" s="273"/>
      <c r="Y8" s="262">
        <v>3</v>
      </c>
      <c r="Z8" s="263"/>
      <c r="AA8" s="263"/>
      <c r="AB8" s="263"/>
      <c r="AC8" s="264"/>
      <c r="AD8" s="265"/>
    </row>
    <row r="9" spans="2:30" ht="30" customHeight="1">
      <c r="B9" s="72" t="s">
        <v>71</v>
      </c>
      <c r="C9" s="241" t="s">
        <v>72</v>
      </c>
      <c r="D9" s="241"/>
      <c r="E9" s="241"/>
      <c r="F9" s="241"/>
      <c r="G9" s="242" t="e">
        <f>SQRT(SUMSQ(S5:T8))</f>
        <v>#DIV/0!</v>
      </c>
      <c r="H9" s="242"/>
      <c r="I9" s="242"/>
      <c r="J9" s="242"/>
      <c r="K9" s="243" t="s">
        <v>138</v>
      </c>
      <c r="L9" s="244"/>
      <c r="M9" s="244"/>
      <c r="N9" s="244"/>
      <c r="O9" s="244"/>
      <c r="P9" s="244"/>
      <c r="Q9" s="244"/>
      <c r="R9" s="244"/>
      <c r="S9" s="244"/>
      <c r="T9" s="244"/>
      <c r="U9" s="244"/>
      <c r="V9" s="245"/>
      <c r="Y9" s="262">
        <v>4</v>
      </c>
      <c r="Z9" s="263"/>
      <c r="AA9" s="263"/>
      <c r="AB9" s="263"/>
      <c r="AC9" s="264"/>
      <c r="AD9" s="265"/>
    </row>
    <row r="10" spans="2:30" ht="30" customHeight="1" thickBot="1">
      <c r="B10" s="69" t="s">
        <v>74</v>
      </c>
      <c r="C10" s="216" t="s">
        <v>75</v>
      </c>
      <c r="D10" s="216"/>
      <c r="E10" s="216"/>
      <c r="F10" s="216"/>
      <c r="G10" s="256" t="e">
        <f>ROUND(AC11,1) &amp; "°C ± " &amp; I20 &amp;"°C"</f>
        <v>#DIV/0!</v>
      </c>
      <c r="H10" s="256"/>
      <c r="I10" s="256"/>
      <c r="J10" s="256"/>
      <c r="K10" s="246"/>
      <c r="L10" s="246"/>
      <c r="M10" s="246"/>
      <c r="N10" s="246"/>
      <c r="O10" s="246"/>
      <c r="P10" s="246"/>
      <c r="Q10" s="246"/>
      <c r="R10" s="246"/>
      <c r="S10" s="246"/>
      <c r="T10" s="246"/>
      <c r="U10" s="246"/>
      <c r="V10" s="247"/>
      <c r="Y10" s="260">
        <v>5</v>
      </c>
      <c r="Z10" s="261"/>
      <c r="AA10" s="261"/>
      <c r="AB10" s="261"/>
      <c r="AC10" s="239"/>
      <c r="AD10" s="240"/>
    </row>
    <row r="11" spans="2:30" ht="30" customHeight="1" thickBot="1">
      <c r="B11" s="257" t="s">
        <v>76</v>
      </c>
      <c r="C11" s="258"/>
      <c r="D11" s="258"/>
      <c r="E11" s="258"/>
      <c r="F11" s="258"/>
      <c r="G11" s="259" t="e">
        <f>IF(S8=0,10000000000,IF(U8*((G9^4)/(S8^4))&gt;10000000000,10000000000,U8*((G9^4)/(S8^4))))</f>
        <v>#DIV/0!</v>
      </c>
      <c r="H11" s="259"/>
      <c r="I11" s="259"/>
      <c r="J11" s="259"/>
      <c r="K11" s="248"/>
      <c r="L11" s="248"/>
      <c r="M11" s="248"/>
      <c r="N11" s="248"/>
      <c r="O11" s="248"/>
      <c r="P11" s="248"/>
      <c r="Q11" s="248"/>
      <c r="R11" s="248"/>
      <c r="S11" s="248"/>
      <c r="T11" s="248"/>
      <c r="U11" s="248"/>
      <c r="V11" s="249"/>
      <c r="X11" s="54"/>
      <c r="Y11" s="250" t="s">
        <v>73</v>
      </c>
      <c r="Z11" s="251"/>
      <c r="AA11" s="251"/>
      <c r="AB11" s="251"/>
      <c r="AC11" s="252" t="e">
        <f>AVERAGE(AC6:AD10)</f>
        <v>#DIV/0!</v>
      </c>
      <c r="AD11" s="253"/>
    </row>
    <row r="12" spans="2:30" ht="30" customHeight="1" thickTop="1">
      <c r="B12" s="227" t="s">
        <v>78</v>
      </c>
      <c r="C12" s="228"/>
      <c r="D12" s="228"/>
      <c r="E12" s="228"/>
      <c r="F12" s="228"/>
      <c r="G12" s="229" t="s">
        <v>79</v>
      </c>
      <c r="H12" s="229"/>
      <c r="I12" s="229"/>
      <c r="J12" s="229"/>
      <c r="K12" s="229"/>
      <c r="L12" s="229"/>
      <c r="M12" s="229"/>
      <c r="N12" s="229"/>
      <c r="O12" s="229"/>
      <c r="P12" s="229"/>
      <c r="Q12" s="229"/>
      <c r="R12" s="229"/>
      <c r="S12" s="229"/>
      <c r="T12" s="229"/>
      <c r="U12" s="229"/>
      <c r="V12" s="230"/>
      <c r="X12" s="54"/>
      <c r="Y12" s="215"/>
      <c r="Z12" s="216"/>
      <c r="AA12" s="216"/>
      <c r="AB12" s="216"/>
      <c r="AC12" s="254"/>
      <c r="AD12" s="255"/>
    </row>
    <row r="13" spans="2:30" ht="30" customHeight="1">
      <c r="B13" s="223" t="s">
        <v>80</v>
      </c>
      <c r="C13" s="224"/>
      <c r="D13" s="224"/>
      <c r="E13" s="224"/>
      <c r="F13" s="224"/>
      <c r="G13" s="231" t="s">
        <v>81</v>
      </c>
      <c r="H13" s="231"/>
      <c r="I13" s="231"/>
      <c r="J13" s="231"/>
      <c r="K13" s="231"/>
      <c r="L13" s="231"/>
      <c r="M13" s="231"/>
      <c r="N13" s="231"/>
      <c r="O13" s="231"/>
      <c r="P13" s="231"/>
      <c r="Q13" s="231"/>
      <c r="R13" s="231"/>
      <c r="S13" s="231"/>
      <c r="T13" s="231"/>
      <c r="U13" s="231"/>
      <c r="V13" s="232"/>
      <c r="Y13" s="215" t="s">
        <v>77</v>
      </c>
      <c r="Z13" s="216"/>
      <c r="AA13" s="216"/>
      <c r="AB13" s="216"/>
      <c r="AC13" s="219" t="e">
        <f>_xlfn.STDEV.S(AC6:AD10)</f>
        <v>#DIV/0!</v>
      </c>
      <c r="AD13" s="220"/>
    </row>
    <row r="14" spans="2:30">
      <c r="B14" s="223" t="s">
        <v>83</v>
      </c>
      <c r="C14" s="224"/>
      <c r="D14" s="224"/>
      <c r="E14" s="224"/>
      <c r="F14" s="224"/>
      <c r="G14" s="225" t="s">
        <v>84</v>
      </c>
      <c r="H14" s="225"/>
      <c r="I14" s="225"/>
      <c r="J14" s="225"/>
      <c r="K14" s="225"/>
      <c r="L14" s="225"/>
      <c r="M14" s="225"/>
      <c r="N14" s="225"/>
      <c r="O14" s="225"/>
      <c r="P14" s="225"/>
      <c r="Q14" s="225"/>
      <c r="R14" s="225"/>
      <c r="S14" s="225"/>
      <c r="T14" s="225"/>
      <c r="U14" s="225"/>
      <c r="V14" s="226"/>
      <c r="Y14" s="215"/>
      <c r="Z14" s="216"/>
      <c r="AA14" s="216"/>
      <c r="AB14" s="216"/>
      <c r="AC14" s="219"/>
      <c r="AD14" s="220"/>
    </row>
    <row r="15" spans="2:30">
      <c r="B15" s="223"/>
      <c r="C15" s="224"/>
      <c r="D15" s="224"/>
      <c r="E15" s="224"/>
      <c r="F15" s="224"/>
      <c r="G15" s="225"/>
      <c r="H15" s="225"/>
      <c r="I15" s="225"/>
      <c r="J15" s="225"/>
      <c r="K15" s="225"/>
      <c r="L15" s="225"/>
      <c r="M15" s="225"/>
      <c r="N15" s="225"/>
      <c r="O15" s="225"/>
      <c r="P15" s="225"/>
      <c r="Q15" s="225"/>
      <c r="R15" s="225"/>
      <c r="S15" s="225"/>
      <c r="T15" s="225"/>
      <c r="U15" s="225"/>
      <c r="V15" s="226"/>
      <c r="Y15" s="215" t="s">
        <v>82</v>
      </c>
      <c r="Z15" s="216"/>
      <c r="AA15" s="216"/>
      <c r="AB15" s="216"/>
      <c r="AC15" s="219" t="e">
        <f>AC13/SQRT(Y10)</f>
        <v>#DIV/0!</v>
      </c>
      <c r="AD15" s="220"/>
    </row>
    <row r="16" spans="2:30" ht="15.75" thickBot="1">
      <c r="B16" s="223"/>
      <c r="C16" s="224"/>
      <c r="D16" s="224"/>
      <c r="E16" s="224"/>
      <c r="F16" s="224"/>
      <c r="G16" s="225"/>
      <c r="H16" s="225"/>
      <c r="I16" s="225"/>
      <c r="J16" s="225"/>
      <c r="K16" s="225"/>
      <c r="L16" s="225"/>
      <c r="M16" s="225"/>
      <c r="N16" s="225"/>
      <c r="O16" s="225"/>
      <c r="P16" s="225"/>
      <c r="Q16" s="225"/>
      <c r="R16" s="225"/>
      <c r="S16" s="225"/>
      <c r="T16" s="225"/>
      <c r="U16" s="225"/>
      <c r="V16" s="226"/>
      <c r="Y16" s="217"/>
      <c r="Z16" s="218"/>
      <c r="AA16" s="218"/>
      <c r="AB16" s="218"/>
      <c r="AC16" s="221"/>
      <c r="AD16" s="222"/>
    </row>
    <row r="17" spans="2:22" ht="15.75" thickBot="1">
      <c r="B17" s="233" t="s">
        <v>85</v>
      </c>
      <c r="C17" s="234"/>
      <c r="D17" s="234"/>
      <c r="E17" s="234"/>
      <c r="F17" s="234"/>
      <c r="G17" s="235" t="s">
        <v>86</v>
      </c>
      <c r="H17" s="235"/>
      <c r="I17" s="235"/>
      <c r="J17" s="235"/>
      <c r="K17" s="235"/>
      <c r="L17" s="235"/>
      <c r="M17" s="235"/>
      <c r="N17" s="235"/>
      <c r="O17" s="235"/>
      <c r="P17" s="235"/>
      <c r="Q17" s="235"/>
      <c r="R17" s="235"/>
      <c r="S17" s="235"/>
      <c r="T17" s="235"/>
      <c r="U17" s="235"/>
      <c r="V17" s="236"/>
    </row>
    <row r="19" spans="2:22">
      <c r="G19" s="237" t="s">
        <v>87</v>
      </c>
      <c r="H19" s="237"/>
      <c r="I19" s="238" t="e">
        <f>TINV(0.05,G11)</f>
        <v>#DIV/0!</v>
      </c>
      <c r="J19" s="238"/>
    </row>
    <row r="20" spans="2:22">
      <c r="G20" s="237" t="s">
        <v>88</v>
      </c>
      <c r="H20" s="237"/>
      <c r="I20" s="85" t="e">
        <f>ROUND(I19*G9,1)</f>
        <v>#DIV/0!</v>
      </c>
      <c r="J20" s="85"/>
    </row>
    <row r="21" spans="2:22" ht="30" customHeight="1"/>
    <row r="22" spans="2:22" ht="30" customHeight="1"/>
  </sheetData>
  <mergeCells count="87">
    <mergeCell ref="B2:V3"/>
    <mergeCell ref="C4:D4"/>
    <mergeCell ref="E4:F4"/>
    <mergeCell ref="G4:H4"/>
    <mergeCell ref="I4:J4"/>
    <mergeCell ref="K4:L4"/>
    <mergeCell ref="M4:N4"/>
    <mergeCell ref="O4:P4"/>
    <mergeCell ref="Q4:R4"/>
    <mergeCell ref="S4:T4"/>
    <mergeCell ref="U4:V4"/>
    <mergeCell ref="M5:N5"/>
    <mergeCell ref="O5:P5"/>
    <mergeCell ref="Q5:R5"/>
    <mergeCell ref="S5:T5"/>
    <mergeCell ref="U5:V5"/>
    <mergeCell ref="C5:D5"/>
    <mergeCell ref="E5:F5"/>
    <mergeCell ref="G5:H5"/>
    <mergeCell ref="I5:J5"/>
    <mergeCell ref="K5:L5"/>
    <mergeCell ref="AC6:AD6"/>
    <mergeCell ref="AC7:AD7"/>
    <mergeCell ref="Y7:AB7"/>
    <mergeCell ref="Y4:AB5"/>
    <mergeCell ref="AC4:AD5"/>
    <mergeCell ref="C6:D6"/>
    <mergeCell ref="E6:F6"/>
    <mergeCell ref="G6:H6"/>
    <mergeCell ref="I6:J6"/>
    <mergeCell ref="K6:L6"/>
    <mergeCell ref="M6:N6"/>
    <mergeCell ref="O6:P6"/>
    <mergeCell ref="Q6:R6"/>
    <mergeCell ref="S6:T6"/>
    <mergeCell ref="Y8:AB8"/>
    <mergeCell ref="U6:V6"/>
    <mergeCell ref="Y6:AB6"/>
    <mergeCell ref="AC8:AD8"/>
    <mergeCell ref="C7:D7"/>
    <mergeCell ref="E7:F7"/>
    <mergeCell ref="G7:H7"/>
    <mergeCell ref="I7:J7"/>
    <mergeCell ref="K7:L7"/>
    <mergeCell ref="M7:N7"/>
    <mergeCell ref="O7:P7"/>
    <mergeCell ref="Q7:R7"/>
    <mergeCell ref="S7:T7"/>
    <mergeCell ref="U7:V7"/>
    <mergeCell ref="M8:N8"/>
    <mergeCell ref="O8:P8"/>
    <mergeCell ref="Q8:R8"/>
    <mergeCell ref="S8:T8"/>
    <mergeCell ref="U8:V8"/>
    <mergeCell ref="C8:D8"/>
    <mergeCell ref="E8:F8"/>
    <mergeCell ref="G8:H8"/>
    <mergeCell ref="I8:J8"/>
    <mergeCell ref="K8:L8"/>
    <mergeCell ref="G19:H19"/>
    <mergeCell ref="I19:J19"/>
    <mergeCell ref="G20:H20"/>
    <mergeCell ref="AC10:AD10"/>
    <mergeCell ref="C9:F9"/>
    <mergeCell ref="G9:J9"/>
    <mergeCell ref="K9:V11"/>
    <mergeCell ref="Y11:AB12"/>
    <mergeCell ref="AC11:AD12"/>
    <mergeCell ref="C10:F10"/>
    <mergeCell ref="G10:J10"/>
    <mergeCell ref="B11:F11"/>
    <mergeCell ref="G11:J11"/>
    <mergeCell ref="Y10:AB10"/>
    <mergeCell ref="Y9:AB9"/>
    <mergeCell ref="AC9:AD9"/>
    <mergeCell ref="B12:F12"/>
    <mergeCell ref="G12:V12"/>
    <mergeCell ref="B13:F13"/>
    <mergeCell ref="G13:V13"/>
    <mergeCell ref="B17:F17"/>
    <mergeCell ref="G17:V17"/>
    <mergeCell ref="Y15:AB16"/>
    <mergeCell ref="AC15:AD16"/>
    <mergeCell ref="B14:F16"/>
    <mergeCell ref="G14:V16"/>
    <mergeCell ref="Y13:AB14"/>
    <mergeCell ref="AC13:AD14"/>
  </mergeCells>
  <pageMargins left="0.7" right="0.7" top="0.75" bottom="0.75" header="0.3" footer="0.3"/>
  <pageSetup scale="45" orientation="portrait" horizontalDpi="300" verticalDpi="300" r:id="rId1"/>
  <colBreaks count="1" manualBreakCount="1">
    <brk id="23" max="19" man="1"/>
  </colBreaks>
  <extLst>
    <ext xmlns:x14="http://schemas.microsoft.com/office/spreadsheetml/2009/9/main" uri="{78C0D931-6437-407d-A8EE-F0AAD7539E65}">
      <x14:conditionalFormattings>
        <x14:conditionalFormatting xmlns:xm="http://schemas.microsoft.com/office/excel/2006/main">
          <x14:cfRule type="expression" priority="1" id="{19FCE092-8C53-4F1E-BCA5-4BF29B8BD911}">
            <xm:f>Datasheet!$B$6="34901A"</xm:f>
            <x14:dxf>
              <numFmt numFmtId="164" formatCode="0.0"/>
            </x14:dxf>
          </x14:cfRule>
          <xm:sqref>AC6:AD12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5EEE6-6643-44A6-A71B-DA662ACD58C5}">
  <sheetPr codeName="Sheet15"/>
  <dimension ref="B1:AD22"/>
  <sheetViews>
    <sheetView zoomScaleNormal="100" workbookViewId="0">
      <selection activeCell="G11" sqref="G11:J11"/>
    </sheetView>
  </sheetViews>
  <sheetFormatPr defaultRowHeight="15"/>
  <cols>
    <col min="1" max="1" width="4.28515625" style="50" customWidth="1"/>
    <col min="2" max="22" width="9.140625" style="50"/>
    <col min="23" max="24" width="2.85546875" style="50" customWidth="1"/>
    <col min="25" max="16384" width="9.140625" style="50"/>
  </cols>
  <sheetData>
    <row r="1" spans="2:30" ht="15.75" thickBot="1"/>
    <row r="2" spans="2:30" ht="15" customHeight="1">
      <c r="B2" s="280" t="e">
        <f>"Measurement Uncertainty Analysis (Type K "&amp;ROUND(Datasheet!C31,0)&amp;"°C test point)
The reported value ("&amp;ROUND(AC11,1)&amp;") is the mean UUT indication five (5) test runs"</f>
        <v>#DIV/0!</v>
      </c>
      <c r="C2" s="281"/>
      <c r="D2" s="281"/>
      <c r="E2" s="281"/>
      <c r="F2" s="281"/>
      <c r="G2" s="281"/>
      <c r="H2" s="281"/>
      <c r="I2" s="281"/>
      <c r="J2" s="281"/>
      <c r="K2" s="281"/>
      <c r="L2" s="281"/>
      <c r="M2" s="281"/>
      <c r="N2" s="281"/>
      <c r="O2" s="281"/>
      <c r="P2" s="281"/>
      <c r="Q2" s="281"/>
      <c r="R2" s="281"/>
      <c r="S2" s="281"/>
      <c r="T2" s="281"/>
      <c r="U2" s="281"/>
      <c r="V2" s="282"/>
    </row>
    <row r="3" spans="2:30" ht="15.75" thickBot="1">
      <c r="B3" s="283"/>
      <c r="C3" s="284"/>
      <c r="D3" s="284"/>
      <c r="E3" s="284"/>
      <c r="F3" s="284"/>
      <c r="G3" s="284"/>
      <c r="H3" s="284"/>
      <c r="I3" s="284"/>
      <c r="J3" s="284"/>
      <c r="K3" s="284"/>
      <c r="L3" s="284"/>
      <c r="M3" s="284"/>
      <c r="N3" s="284"/>
      <c r="O3" s="284"/>
      <c r="P3" s="284"/>
      <c r="Q3" s="284"/>
      <c r="R3" s="284"/>
      <c r="S3" s="284"/>
      <c r="T3" s="284"/>
      <c r="U3" s="284"/>
      <c r="V3" s="285"/>
    </row>
    <row r="4" spans="2:30" ht="30" customHeight="1">
      <c r="B4" s="71"/>
      <c r="C4" s="216" t="s">
        <v>45</v>
      </c>
      <c r="D4" s="216"/>
      <c r="E4" s="286" t="s">
        <v>46</v>
      </c>
      <c r="F4" s="286"/>
      <c r="G4" s="287" t="s">
        <v>47</v>
      </c>
      <c r="H4" s="287"/>
      <c r="I4" s="286" t="s">
        <v>48</v>
      </c>
      <c r="J4" s="216"/>
      <c r="K4" s="216" t="s">
        <v>49</v>
      </c>
      <c r="L4" s="216"/>
      <c r="M4" s="216" t="s">
        <v>50</v>
      </c>
      <c r="N4" s="216"/>
      <c r="O4" s="286" t="s">
        <v>51</v>
      </c>
      <c r="P4" s="286"/>
      <c r="Q4" s="216" t="s">
        <v>52</v>
      </c>
      <c r="R4" s="216"/>
      <c r="S4" s="216" t="s">
        <v>53</v>
      </c>
      <c r="T4" s="216"/>
      <c r="U4" s="286" t="s">
        <v>54</v>
      </c>
      <c r="V4" s="288"/>
      <c r="Y4" s="277" t="s">
        <v>55</v>
      </c>
      <c r="Z4" s="241"/>
      <c r="AA4" s="241"/>
      <c r="AB4" s="241"/>
      <c r="AC4" s="241" t="s">
        <v>56</v>
      </c>
      <c r="AD4" s="278"/>
    </row>
    <row r="5" spans="2:30" ht="30" customHeight="1" thickBot="1">
      <c r="B5" s="71" t="s">
        <v>57</v>
      </c>
      <c r="C5" s="263" t="s">
        <v>58</v>
      </c>
      <c r="D5" s="263"/>
      <c r="E5" s="254">
        <f>'STD Info'!F32</f>
        <v>7.0000000000000007E-2</v>
      </c>
      <c r="F5" s="263"/>
      <c r="G5" s="269">
        <v>0.95</v>
      </c>
      <c r="H5" s="263"/>
      <c r="I5" s="263" t="s">
        <v>59</v>
      </c>
      <c r="J5" s="263"/>
      <c r="K5" s="263" t="s">
        <v>60</v>
      </c>
      <c r="L5" s="263"/>
      <c r="M5" s="254">
        <f>NORMSINV((1+0.95)/2)</f>
        <v>1.9599639845400536</v>
      </c>
      <c r="N5" s="254"/>
      <c r="O5" s="270">
        <f>E5/M5</f>
        <v>3.5714941984725787E-2</v>
      </c>
      <c r="P5" s="270"/>
      <c r="Q5" s="254">
        <v>1</v>
      </c>
      <c r="R5" s="254"/>
      <c r="S5" s="270">
        <f>O5*Q5</f>
        <v>3.5714941984725787E-2</v>
      </c>
      <c r="T5" s="270"/>
      <c r="U5" s="271" t="s">
        <v>61</v>
      </c>
      <c r="V5" s="272"/>
      <c r="Y5" s="217"/>
      <c r="Z5" s="218"/>
      <c r="AA5" s="218"/>
      <c r="AB5" s="218"/>
      <c r="AC5" s="218"/>
      <c r="AD5" s="279"/>
    </row>
    <row r="6" spans="2:30" ht="30" customHeight="1">
      <c r="B6" s="71" t="s">
        <v>62</v>
      </c>
      <c r="C6" s="263" t="s">
        <v>63</v>
      </c>
      <c r="D6" s="263"/>
      <c r="E6" s="263">
        <f>'STD Info'!D9/2</f>
        <v>5.0000000000000001E-3</v>
      </c>
      <c r="F6" s="263"/>
      <c r="G6" s="269">
        <v>1</v>
      </c>
      <c r="H6" s="263"/>
      <c r="I6" s="263" t="s">
        <v>59</v>
      </c>
      <c r="J6" s="263"/>
      <c r="K6" s="263" t="s">
        <v>64</v>
      </c>
      <c r="L6" s="263"/>
      <c r="M6" s="254">
        <f>SQRT(3)</f>
        <v>1.7320508075688772</v>
      </c>
      <c r="N6" s="254"/>
      <c r="O6" s="270">
        <f>E6/M6</f>
        <v>2.886751345948129E-3</v>
      </c>
      <c r="P6" s="270"/>
      <c r="Q6" s="254">
        <v>1</v>
      </c>
      <c r="R6" s="254"/>
      <c r="S6" s="270">
        <f>O6*Q6</f>
        <v>2.886751345948129E-3</v>
      </c>
      <c r="T6" s="270"/>
      <c r="U6" s="271" t="s">
        <v>61</v>
      </c>
      <c r="V6" s="272"/>
      <c r="Y6" s="274">
        <v>1</v>
      </c>
      <c r="Z6" s="266"/>
      <c r="AA6" s="266"/>
      <c r="AB6" s="266"/>
      <c r="AC6" s="275"/>
      <c r="AD6" s="276"/>
    </row>
    <row r="7" spans="2:30" ht="30" customHeight="1">
      <c r="B7" s="71" t="s">
        <v>65</v>
      </c>
      <c r="C7" s="263" t="s">
        <v>66</v>
      </c>
      <c r="D7" s="263"/>
      <c r="E7" s="263">
        <f>IF(Datasheet!B6="DAQM901A",'UUT Info'!D9/2,'UUT Info'!P9/2)</f>
        <v>0.05</v>
      </c>
      <c r="F7" s="263"/>
      <c r="G7" s="269">
        <v>1</v>
      </c>
      <c r="H7" s="263"/>
      <c r="I7" s="263" t="s">
        <v>59</v>
      </c>
      <c r="J7" s="263"/>
      <c r="K7" s="263" t="s">
        <v>64</v>
      </c>
      <c r="L7" s="263"/>
      <c r="M7" s="254">
        <f>SQRT(3)</f>
        <v>1.7320508075688772</v>
      </c>
      <c r="N7" s="254"/>
      <c r="O7" s="270">
        <f>E7/M7</f>
        <v>2.8867513459481291E-2</v>
      </c>
      <c r="P7" s="270"/>
      <c r="Q7" s="254">
        <v>1</v>
      </c>
      <c r="R7" s="254"/>
      <c r="S7" s="270">
        <f>O7*Q7</f>
        <v>2.8867513459481291E-2</v>
      </c>
      <c r="T7" s="270"/>
      <c r="U7" s="271" t="s">
        <v>61</v>
      </c>
      <c r="V7" s="272"/>
      <c r="Y7" s="262">
        <v>2</v>
      </c>
      <c r="Z7" s="263"/>
      <c r="AA7" s="263"/>
      <c r="AB7" s="263"/>
      <c r="AC7" s="264"/>
      <c r="AD7" s="265"/>
    </row>
    <row r="8" spans="2:30" ht="30" customHeight="1" thickBot="1">
      <c r="B8" s="70" t="s">
        <v>67</v>
      </c>
      <c r="C8" s="266" t="s">
        <v>68</v>
      </c>
      <c r="D8" s="266"/>
      <c r="E8" s="267" t="e">
        <f>AC15</f>
        <v>#DIV/0!</v>
      </c>
      <c r="F8" s="267"/>
      <c r="G8" s="268">
        <v>0.68</v>
      </c>
      <c r="H8" s="266"/>
      <c r="I8" s="266" t="s">
        <v>69</v>
      </c>
      <c r="J8" s="266"/>
      <c r="K8" s="266" t="s">
        <v>60</v>
      </c>
      <c r="L8" s="266"/>
      <c r="M8" s="252" t="s">
        <v>70</v>
      </c>
      <c r="N8" s="252"/>
      <c r="O8" s="267" t="e">
        <f>E8/1</f>
        <v>#DIV/0!</v>
      </c>
      <c r="P8" s="267"/>
      <c r="Q8" s="252">
        <v>1</v>
      </c>
      <c r="R8" s="252"/>
      <c r="S8" s="267" t="e">
        <f>O8*Q8</f>
        <v>#DIV/0!</v>
      </c>
      <c r="T8" s="267"/>
      <c r="U8" s="266">
        <f>Y10-1</f>
        <v>4</v>
      </c>
      <c r="V8" s="273"/>
      <c r="Y8" s="262">
        <v>3</v>
      </c>
      <c r="Z8" s="263"/>
      <c r="AA8" s="263"/>
      <c r="AB8" s="263"/>
      <c r="AC8" s="264"/>
      <c r="AD8" s="265"/>
    </row>
    <row r="9" spans="2:30" ht="30" customHeight="1">
      <c r="B9" s="72" t="s">
        <v>71</v>
      </c>
      <c r="C9" s="241" t="s">
        <v>72</v>
      </c>
      <c r="D9" s="241"/>
      <c r="E9" s="241"/>
      <c r="F9" s="241"/>
      <c r="G9" s="242" t="e">
        <f>SQRT(SUMSQ(S5:T8))</f>
        <v>#DIV/0!</v>
      </c>
      <c r="H9" s="242"/>
      <c r="I9" s="242"/>
      <c r="J9" s="242"/>
      <c r="K9" s="243" t="s">
        <v>138</v>
      </c>
      <c r="L9" s="244"/>
      <c r="M9" s="244"/>
      <c r="N9" s="244"/>
      <c r="O9" s="244"/>
      <c r="P9" s="244"/>
      <c r="Q9" s="244"/>
      <c r="R9" s="244"/>
      <c r="S9" s="244"/>
      <c r="T9" s="244"/>
      <c r="U9" s="244"/>
      <c r="V9" s="245"/>
      <c r="Y9" s="262">
        <v>4</v>
      </c>
      <c r="Z9" s="263"/>
      <c r="AA9" s="263"/>
      <c r="AB9" s="263"/>
      <c r="AC9" s="264"/>
      <c r="AD9" s="265"/>
    </row>
    <row r="10" spans="2:30" ht="30" customHeight="1" thickBot="1">
      <c r="B10" s="69" t="s">
        <v>74</v>
      </c>
      <c r="C10" s="216" t="s">
        <v>75</v>
      </c>
      <c r="D10" s="216"/>
      <c r="E10" s="216"/>
      <c r="F10" s="216"/>
      <c r="G10" s="256" t="e">
        <f>ROUND(AC11,1) &amp; "°C ± " &amp; I20 &amp;"°C"</f>
        <v>#DIV/0!</v>
      </c>
      <c r="H10" s="256"/>
      <c r="I10" s="256"/>
      <c r="J10" s="256"/>
      <c r="K10" s="246"/>
      <c r="L10" s="246"/>
      <c r="M10" s="246"/>
      <c r="N10" s="246"/>
      <c r="O10" s="246"/>
      <c r="P10" s="246"/>
      <c r="Q10" s="246"/>
      <c r="R10" s="246"/>
      <c r="S10" s="246"/>
      <c r="T10" s="246"/>
      <c r="U10" s="246"/>
      <c r="V10" s="247"/>
      <c r="Y10" s="260">
        <v>5</v>
      </c>
      <c r="Z10" s="261"/>
      <c r="AA10" s="261"/>
      <c r="AB10" s="261"/>
      <c r="AC10" s="239"/>
      <c r="AD10" s="240"/>
    </row>
    <row r="11" spans="2:30" ht="30" customHeight="1" thickBot="1">
      <c r="B11" s="257" t="s">
        <v>76</v>
      </c>
      <c r="C11" s="258"/>
      <c r="D11" s="258"/>
      <c r="E11" s="258"/>
      <c r="F11" s="258"/>
      <c r="G11" s="259" t="e">
        <f>IF(S8=0,10000000000,IF(U8*((G9^4)/(S8^4))&gt;10000000000,10000000000,U8*((G9^4)/(S8^4))))</f>
        <v>#DIV/0!</v>
      </c>
      <c r="H11" s="259"/>
      <c r="I11" s="259"/>
      <c r="J11" s="259"/>
      <c r="K11" s="248"/>
      <c r="L11" s="248"/>
      <c r="M11" s="248"/>
      <c r="N11" s="248"/>
      <c r="O11" s="248"/>
      <c r="P11" s="248"/>
      <c r="Q11" s="248"/>
      <c r="R11" s="248"/>
      <c r="S11" s="248"/>
      <c r="T11" s="248"/>
      <c r="U11" s="248"/>
      <c r="V11" s="249"/>
      <c r="X11" s="54"/>
      <c r="Y11" s="250" t="s">
        <v>73</v>
      </c>
      <c r="Z11" s="251"/>
      <c r="AA11" s="251"/>
      <c r="AB11" s="251"/>
      <c r="AC11" s="252" t="e">
        <f>AVERAGE(AC6:AD10)</f>
        <v>#DIV/0!</v>
      </c>
      <c r="AD11" s="253"/>
    </row>
    <row r="12" spans="2:30" ht="30" customHeight="1" thickTop="1">
      <c r="B12" s="227" t="s">
        <v>78</v>
      </c>
      <c r="C12" s="228"/>
      <c r="D12" s="228"/>
      <c r="E12" s="228"/>
      <c r="F12" s="228"/>
      <c r="G12" s="229" t="s">
        <v>79</v>
      </c>
      <c r="H12" s="229"/>
      <c r="I12" s="229"/>
      <c r="J12" s="229"/>
      <c r="K12" s="229"/>
      <c r="L12" s="229"/>
      <c r="M12" s="229"/>
      <c r="N12" s="229"/>
      <c r="O12" s="229"/>
      <c r="P12" s="229"/>
      <c r="Q12" s="229"/>
      <c r="R12" s="229"/>
      <c r="S12" s="229"/>
      <c r="T12" s="229"/>
      <c r="U12" s="229"/>
      <c r="V12" s="230"/>
      <c r="X12" s="54"/>
      <c r="Y12" s="215"/>
      <c r="Z12" s="216"/>
      <c r="AA12" s="216"/>
      <c r="AB12" s="216"/>
      <c r="AC12" s="254"/>
      <c r="AD12" s="255"/>
    </row>
    <row r="13" spans="2:30" ht="30" customHeight="1">
      <c r="B13" s="223" t="s">
        <v>80</v>
      </c>
      <c r="C13" s="224"/>
      <c r="D13" s="224"/>
      <c r="E13" s="224"/>
      <c r="F13" s="224"/>
      <c r="G13" s="231" t="s">
        <v>81</v>
      </c>
      <c r="H13" s="231"/>
      <c r="I13" s="231"/>
      <c r="J13" s="231"/>
      <c r="K13" s="231"/>
      <c r="L13" s="231"/>
      <c r="M13" s="231"/>
      <c r="N13" s="231"/>
      <c r="O13" s="231"/>
      <c r="P13" s="231"/>
      <c r="Q13" s="231"/>
      <c r="R13" s="231"/>
      <c r="S13" s="231"/>
      <c r="T13" s="231"/>
      <c r="U13" s="231"/>
      <c r="V13" s="232"/>
      <c r="Y13" s="215" t="s">
        <v>77</v>
      </c>
      <c r="Z13" s="216"/>
      <c r="AA13" s="216"/>
      <c r="AB13" s="216"/>
      <c r="AC13" s="219" t="e">
        <f>_xlfn.STDEV.S(AC6:AD10)</f>
        <v>#DIV/0!</v>
      </c>
      <c r="AD13" s="220"/>
    </row>
    <row r="14" spans="2:30">
      <c r="B14" s="223" t="s">
        <v>83</v>
      </c>
      <c r="C14" s="224"/>
      <c r="D14" s="224"/>
      <c r="E14" s="224"/>
      <c r="F14" s="224"/>
      <c r="G14" s="225" t="s">
        <v>84</v>
      </c>
      <c r="H14" s="225"/>
      <c r="I14" s="225"/>
      <c r="J14" s="225"/>
      <c r="K14" s="225"/>
      <c r="L14" s="225"/>
      <c r="M14" s="225"/>
      <c r="N14" s="225"/>
      <c r="O14" s="225"/>
      <c r="P14" s="225"/>
      <c r="Q14" s="225"/>
      <c r="R14" s="225"/>
      <c r="S14" s="225"/>
      <c r="T14" s="225"/>
      <c r="U14" s="225"/>
      <c r="V14" s="226"/>
      <c r="Y14" s="215"/>
      <c r="Z14" s="216"/>
      <c r="AA14" s="216"/>
      <c r="AB14" s="216"/>
      <c r="AC14" s="219"/>
      <c r="AD14" s="220"/>
    </row>
    <row r="15" spans="2:30">
      <c r="B15" s="223"/>
      <c r="C15" s="224"/>
      <c r="D15" s="224"/>
      <c r="E15" s="224"/>
      <c r="F15" s="224"/>
      <c r="G15" s="225"/>
      <c r="H15" s="225"/>
      <c r="I15" s="225"/>
      <c r="J15" s="225"/>
      <c r="K15" s="225"/>
      <c r="L15" s="225"/>
      <c r="M15" s="225"/>
      <c r="N15" s="225"/>
      <c r="O15" s="225"/>
      <c r="P15" s="225"/>
      <c r="Q15" s="225"/>
      <c r="R15" s="225"/>
      <c r="S15" s="225"/>
      <c r="T15" s="225"/>
      <c r="U15" s="225"/>
      <c r="V15" s="226"/>
      <c r="Y15" s="215" t="s">
        <v>82</v>
      </c>
      <c r="Z15" s="216"/>
      <c r="AA15" s="216"/>
      <c r="AB15" s="216"/>
      <c r="AC15" s="219" t="e">
        <f>AC13/SQRT(Y10)</f>
        <v>#DIV/0!</v>
      </c>
      <c r="AD15" s="220"/>
    </row>
    <row r="16" spans="2:30" ht="15.75" thickBot="1">
      <c r="B16" s="223"/>
      <c r="C16" s="224"/>
      <c r="D16" s="224"/>
      <c r="E16" s="224"/>
      <c r="F16" s="224"/>
      <c r="G16" s="225"/>
      <c r="H16" s="225"/>
      <c r="I16" s="225"/>
      <c r="J16" s="225"/>
      <c r="K16" s="225"/>
      <c r="L16" s="225"/>
      <c r="M16" s="225"/>
      <c r="N16" s="225"/>
      <c r="O16" s="225"/>
      <c r="P16" s="225"/>
      <c r="Q16" s="225"/>
      <c r="R16" s="225"/>
      <c r="S16" s="225"/>
      <c r="T16" s="225"/>
      <c r="U16" s="225"/>
      <c r="V16" s="226"/>
      <c r="Y16" s="217"/>
      <c r="Z16" s="218"/>
      <c r="AA16" s="218"/>
      <c r="AB16" s="218"/>
      <c r="AC16" s="221"/>
      <c r="AD16" s="222"/>
    </row>
    <row r="17" spans="2:22" ht="15.75" thickBot="1">
      <c r="B17" s="233" t="s">
        <v>85</v>
      </c>
      <c r="C17" s="234"/>
      <c r="D17" s="234"/>
      <c r="E17" s="234"/>
      <c r="F17" s="234"/>
      <c r="G17" s="235" t="s">
        <v>86</v>
      </c>
      <c r="H17" s="235"/>
      <c r="I17" s="235"/>
      <c r="J17" s="235"/>
      <c r="K17" s="235"/>
      <c r="L17" s="235"/>
      <c r="M17" s="235"/>
      <c r="N17" s="235"/>
      <c r="O17" s="235"/>
      <c r="P17" s="235"/>
      <c r="Q17" s="235"/>
      <c r="R17" s="235"/>
      <c r="S17" s="235"/>
      <c r="T17" s="235"/>
      <c r="U17" s="235"/>
      <c r="V17" s="236"/>
    </row>
    <row r="19" spans="2:22">
      <c r="G19" s="237" t="s">
        <v>87</v>
      </c>
      <c r="H19" s="237"/>
      <c r="I19" s="238" t="e">
        <f>TINV(0.05,G11)</f>
        <v>#DIV/0!</v>
      </c>
      <c r="J19" s="238"/>
    </row>
    <row r="20" spans="2:22">
      <c r="G20" s="237" t="s">
        <v>88</v>
      </c>
      <c r="H20" s="237"/>
      <c r="I20" s="85" t="e">
        <f>ROUND(I19*G9,1)</f>
        <v>#DIV/0!</v>
      </c>
      <c r="J20" s="85"/>
    </row>
    <row r="21" spans="2:22" ht="30" customHeight="1"/>
    <row r="22" spans="2:22" ht="30" customHeight="1"/>
  </sheetData>
  <mergeCells count="87">
    <mergeCell ref="B2:V3"/>
    <mergeCell ref="C4:D4"/>
    <mergeCell ref="E4:F4"/>
    <mergeCell ref="G4:H4"/>
    <mergeCell ref="I4:J4"/>
    <mergeCell ref="K4:L4"/>
    <mergeCell ref="M4:N4"/>
    <mergeCell ref="O4:P4"/>
    <mergeCell ref="Q4:R4"/>
    <mergeCell ref="S4:T4"/>
    <mergeCell ref="U4:V4"/>
    <mergeCell ref="M5:N5"/>
    <mergeCell ref="O5:P5"/>
    <mergeCell ref="Q5:R5"/>
    <mergeCell ref="S5:T5"/>
    <mergeCell ref="U5:V5"/>
    <mergeCell ref="C5:D5"/>
    <mergeCell ref="E5:F5"/>
    <mergeCell ref="G5:H5"/>
    <mergeCell ref="I5:J5"/>
    <mergeCell ref="K5:L5"/>
    <mergeCell ref="AC6:AD6"/>
    <mergeCell ref="AC7:AD7"/>
    <mergeCell ref="Y7:AB7"/>
    <mergeCell ref="Y4:AB5"/>
    <mergeCell ref="AC4:AD5"/>
    <mergeCell ref="C6:D6"/>
    <mergeCell ref="E6:F6"/>
    <mergeCell ref="G6:H6"/>
    <mergeCell ref="I6:J6"/>
    <mergeCell ref="K6:L6"/>
    <mergeCell ref="M6:N6"/>
    <mergeCell ref="O6:P6"/>
    <mergeCell ref="Q6:R6"/>
    <mergeCell ref="S6:T6"/>
    <mergeCell ref="Y8:AB8"/>
    <mergeCell ref="U6:V6"/>
    <mergeCell ref="Y6:AB6"/>
    <mergeCell ref="AC8:AD8"/>
    <mergeCell ref="C7:D7"/>
    <mergeCell ref="E7:F7"/>
    <mergeCell ref="G7:H7"/>
    <mergeCell ref="I7:J7"/>
    <mergeCell ref="K7:L7"/>
    <mergeCell ref="M7:N7"/>
    <mergeCell ref="O7:P7"/>
    <mergeCell ref="Q7:R7"/>
    <mergeCell ref="S7:T7"/>
    <mergeCell ref="U7:V7"/>
    <mergeCell ref="M8:N8"/>
    <mergeCell ref="O8:P8"/>
    <mergeCell ref="Q8:R8"/>
    <mergeCell ref="S8:T8"/>
    <mergeCell ref="U8:V8"/>
    <mergeCell ref="C8:D8"/>
    <mergeCell ref="E8:F8"/>
    <mergeCell ref="G8:H8"/>
    <mergeCell ref="I8:J8"/>
    <mergeCell ref="K8:L8"/>
    <mergeCell ref="G19:H19"/>
    <mergeCell ref="I19:J19"/>
    <mergeCell ref="G20:H20"/>
    <mergeCell ref="AC10:AD10"/>
    <mergeCell ref="C9:F9"/>
    <mergeCell ref="G9:J9"/>
    <mergeCell ref="K9:V11"/>
    <mergeCell ref="Y11:AB12"/>
    <mergeCell ref="AC11:AD12"/>
    <mergeCell ref="C10:F10"/>
    <mergeCell ref="G10:J10"/>
    <mergeCell ref="B11:F11"/>
    <mergeCell ref="G11:J11"/>
    <mergeCell ref="Y10:AB10"/>
    <mergeCell ref="Y9:AB9"/>
    <mergeCell ref="AC9:AD9"/>
    <mergeCell ref="B12:F12"/>
    <mergeCell ref="G12:V12"/>
    <mergeCell ref="B13:F13"/>
    <mergeCell ref="G13:V13"/>
    <mergeCell ref="B17:F17"/>
    <mergeCell ref="G17:V17"/>
    <mergeCell ref="Y15:AB16"/>
    <mergeCell ref="AC15:AD16"/>
    <mergeCell ref="B14:F16"/>
    <mergeCell ref="G14:V16"/>
    <mergeCell ref="Y13:AB14"/>
    <mergeCell ref="AC13:AD14"/>
  </mergeCells>
  <pageMargins left="0.7" right="0.7" top="0.75" bottom="0.75" header="0.3" footer="0.3"/>
  <pageSetup scale="45" orientation="portrait" horizontalDpi="300" verticalDpi="300" r:id="rId1"/>
  <colBreaks count="1" manualBreakCount="1">
    <brk id="23" max="19" man="1"/>
  </colBreaks>
  <extLst>
    <ext xmlns:x14="http://schemas.microsoft.com/office/spreadsheetml/2009/9/main" uri="{78C0D931-6437-407d-A8EE-F0AAD7539E65}">
      <x14:conditionalFormattings>
        <x14:conditionalFormatting xmlns:xm="http://schemas.microsoft.com/office/excel/2006/main">
          <x14:cfRule type="expression" priority="1" id="{7434F769-DB5B-4518-B818-C2213B4F77F9}">
            <xm:f>Datasheet!$B$6="34901A"</xm:f>
            <x14:dxf>
              <numFmt numFmtId="164" formatCode="0.0"/>
            </x14:dxf>
          </x14:cfRule>
          <xm:sqref>AC6:AD12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12DC6-8E37-4AF5-A49A-F03B8D1BB730}">
  <sheetPr codeName="Sheet16"/>
  <dimension ref="B1:AD22"/>
  <sheetViews>
    <sheetView zoomScaleNormal="100" workbookViewId="0">
      <selection activeCell="G11" sqref="G11:J11"/>
    </sheetView>
  </sheetViews>
  <sheetFormatPr defaultRowHeight="15"/>
  <cols>
    <col min="1" max="1" width="4.28515625" style="50" customWidth="1"/>
    <col min="2" max="22" width="9.140625" style="50"/>
    <col min="23" max="24" width="2.85546875" style="50" customWidth="1"/>
    <col min="25" max="16384" width="9.140625" style="50"/>
  </cols>
  <sheetData>
    <row r="1" spans="2:30" ht="15.75" thickBot="1"/>
    <row r="2" spans="2:30" ht="15" customHeight="1">
      <c r="B2" s="280" t="e">
        <f>"Measurement Uncertainty Analysis (Type K "&amp;ROUND(Datasheet!C32,0)&amp;"°C test point)
The reported value ("&amp;ROUND(AC11,1)&amp;") is the mean UUT indication five (5) test runs"</f>
        <v>#DIV/0!</v>
      </c>
      <c r="C2" s="281"/>
      <c r="D2" s="281"/>
      <c r="E2" s="281"/>
      <c r="F2" s="281"/>
      <c r="G2" s="281"/>
      <c r="H2" s="281"/>
      <c r="I2" s="281"/>
      <c r="J2" s="281"/>
      <c r="K2" s="281"/>
      <c r="L2" s="281"/>
      <c r="M2" s="281"/>
      <c r="N2" s="281"/>
      <c r="O2" s="281"/>
      <c r="P2" s="281"/>
      <c r="Q2" s="281"/>
      <c r="R2" s="281"/>
      <c r="S2" s="281"/>
      <c r="T2" s="281"/>
      <c r="U2" s="281"/>
      <c r="V2" s="282"/>
    </row>
    <row r="3" spans="2:30" ht="15.75" thickBot="1">
      <c r="B3" s="283"/>
      <c r="C3" s="284"/>
      <c r="D3" s="284"/>
      <c r="E3" s="284"/>
      <c r="F3" s="284"/>
      <c r="G3" s="284"/>
      <c r="H3" s="284"/>
      <c r="I3" s="284"/>
      <c r="J3" s="284"/>
      <c r="K3" s="284"/>
      <c r="L3" s="284"/>
      <c r="M3" s="284"/>
      <c r="N3" s="284"/>
      <c r="O3" s="284"/>
      <c r="P3" s="284"/>
      <c r="Q3" s="284"/>
      <c r="R3" s="284"/>
      <c r="S3" s="284"/>
      <c r="T3" s="284"/>
      <c r="U3" s="284"/>
      <c r="V3" s="285"/>
    </row>
    <row r="4" spans="2:30" ht="30" customHeight="1">
      <c r="B4" s="71"/>
      <c r="C4" s="216" t="s">
        <v>45</v>
      </c>
      <c r="D4" s="216"/>
      <c r="E4" s="286" t="s">
        <v>46</v>
      </c>
      <c r="F4" s="286"/>
      <c r="G4" s="287" t="s">
        <v>47</v>
      </c>
      <c r="H4" s="287"/>
      <c r="I4" s="286" t="s">
        <v>48</v>
      </c>
      <c r="J4" s="216"/>
      <c r="K4" s="216" t="s">
        <v>49</v>
      </c>
      <c r="L4" s="216"/>
      <c r="M4" s="216" t="s">
        <v>50</v>
      </c>
      <c r="N4" s="216"/>
      <c r="O4" s="286" t="s">
        <v>51</v>
      </c>
      <c r="P4" s="286"/>
      <c r="Q4" s="216" t="s">
        <v>52</v>
      </c>
      <c r="R4" s="216"/>
      <c r="S4" s="216" t="s">
        <v>53</v>
      </c>
      <c r="T4" s="216"/>
      <c r="U4" s="286" t="s">
        <v>54</v>
      </c>
      <c r="V4" s="288"/>
      <c r="Y4" s="277" t="s">
        <v>55</v>
      </c>
      <c r="Z4" s="241"/>
      <c r="AA4" s="241"/>
      <c r="AB4" s="241"/>
      <c r="AC4" s="241" t="s">
        <v>56</v>
      </c>
      <c r="AD4" s="278"/>
    </row>
    <row r="5" spans="2:30" ht="30" customHeight="1" thickBot="1">
      <c r="B5" s="71" t="s">
        <v>57</v>
      </c>
      <c r="C5" s="263" t="s">
        <v>58</v>
      </c>
      <c r="D5" s="263"/>
      <c r="E5" s="254">
        <f>'STD Info'!F32</f>
        <v>7.0000000000000007E-2</v>
      </c>
      <c r="F5" s="263"/>
      <c r="G5" s="269">
        <v>0.95</v>
      </c>
      <c r="H5" s="263"/>
      <c r="I5" s="263" t="s">
        <v>59</v>
      </c>
      <c r="J5" s="263"/>
      <c r="K5" s="263" t="s">
        <v>60</v>
      </c>
      <c r="L5" s="263"/>
      <c r="M5" s="254">
        <f>NORMSINV((1+0.95)/2)</f>
        <v>1.9599639845400536</v>
      </c>
      <c r="N5" s="254"/>
      <c r="O5" s="270">
        <f>E5/M5</f>
        <v>3.5714941984725787E-2</v>
      </c>
      <c r="P5" s="270"/>
      <c r="Q5" s="254">
        <v>1</v>
      </c>
      <c r="R5" s="254"/>
      <c r="S5" s="270">
        <f>O5*Q5</f>
        <v>3.5714941984725787E-2</v>
      </c>
      <c r="T5" s="270"/>
      <c r="U5" s="271" t="s">
        <v>61</v>
      </c>
      <c r="V5" s="272"/>
      <c r="Y5" s="217"/>
      <c r="Z5" s="218"/>
      <c r="AA5" s="218"/>
      <c r="AB5" s="218"/>
      <c r="AC5" s="218"/>
      <c r="AD5" s="279"/>
    </row>
    <row r="6" spans="2:30" ht="30" customHeight="1">
      <c r="B6" s="71" t="s">
        <v>62</v>
      </c>
      <c r="C6" s="263" t="s">
        <v>63</v>
      </c>
      <c r="D6" s="263"/>
      <c r="E6" s="263">
        <f>'STD Info'!D9/2</f>
        <v>5.0000000000000001E-3</v>
      </c>
      <c r="F6" s="263"/>
      <c r="G6" s="269">
        <v>1</v>
      </c>
      <c r="H6" s="263"/>
      <c r="I6" s="263" t="s">
        <v>59</v>
      </c>
      <c r="J6" s="263"/>
      <c r="K6" s="263" t="s">
        <v>64</v>
      </c>
      <c r="L6" s="263"/>
      <c r="M6" s="254">
        <f>SQRT(3)</f>
        <v>1.7320508075688772</v>
      </c>
      <c r="N6" s="254"/>
      <c r="O6" s="270">
        <f>E6/M6</f>
        <v>2.886751345948129E-3</v>
      </c>
      <c r="P6" s="270"/>
      <c r="Q6" s="254">
        <v>1</v>
      </c>
      <c r="R6" s="254"/>
      <c r="S6" s="270">
        <f>O6*Q6</f>
        <v>2.886751345948129E-3</v>
      </c>
      <c r="T6" s="270"/>
      <c r="U6" s="271" t="s">
        <v>61</v>
      </c>
      <c r="V6" s="272"/>
      <c r="Y6" s="274">
        <v>1</v>
      </c>
      <c r="Z6" s="266"/>
      <c r="AA6" s="266"/>
      <c r="AB6" s="266"/>
      <c r="AC6" s="275"/>
      <c r="AD6" s="276"/>
    </row>
    <row r="7" spans="2:30" ht="30" customHeight="1">
      <c r="B7" s="71" t="s">
        <v>65</v>
      </c>
      <c r="C7" s="263" t="s">
        <v>66</v>
      </c>
      <c r="D7" s="263"/>
      <c r="E7" s="263">
        <f>IF(Datasheet!B6="DAQM901A",'UUT Info'!D9/2,'UUT Info'!P9/2)</f>
        <v>0.05</v>
      </c>
      <c r="F7" s="263"/>
      <c r="G7" s="269">
        <v>1</v>
      </c>
      <c r="H7" s="263"/>
      <c r="I7" s="263" t="s">
        <v>59</v>
      </c>
      <c r="J7" s="263"/>
      <c r="K7" s="263" t="s">
        <v>64</v>
      </c>
      <c r="L7" s="263"/>
      <c r="M7" s="254">
        <f>SQRT(3)</f>
        <v>1.7320508075688772</v>
      </c>
      <c r="N7" s="254"/>
      <c r="O7" s="270">
        <f>E7/M7</f>
        <v>2.8867513459481291E-2</v>
      </c>
      <c r="P7" s="270"/>
      <c r="Q7" s="254">
        <v>1</v>
      </c>
      <c r="R7" s="254"/>
      <c r="S7" s="270">
        <f>O7*Q7</f>
        <v>2.8867513459481291E-2</v>
      </c>
      <c r="T7" s="270"/>
      <c r="U7" s="271" t="s">
        <v>61</v>
      </c>
      <c r="V7" s="272"/>
      <c r="Y7" s="262">
        <v>2</v>
      </c>
      <c r="Z7" s="263"/>
      <c r="AA7" s="263"/>
      <c r="AB7" s="263"/>
      <c r="AC7" s="264"/>
      <c r="AD7" s="265"/>
    </row>
    <row r="8" spans="2:30" ht="30" customHeight="1" thickBot="1">
      <c r="B8" s="70" t="s">
        <v>67</v>
      </c>
      <c r="C8" s="266" t="s">
        <v>68</v>
      </c>
      <c r="D8" s="266"/>
      <c r="E8" s="267" t="e">
        <f>AC15</f>
        <v>#DIV/0!</v>
      </c>
      <c r="F8" s="267"/>
      <c r="G8" s="268">
        <v>0.68</v>
      </c>
      <c r="H8" s="266"/>
      <c r="I8" s="266" t="s">
        <v>69</v>
      </c>
      <c r="J8" s="266"/>
      <c r="K8" s="266" t="s">
        <v>60</v>
      </c>
      <c r="L8" s="266"/>
      <c r="M8" s="252" t="s">
        <v>70</v>
      </c>
      <c r="N8" s="252"/>
      <c r="O8" s="267" t="e">
        <f>E8/1</f>
        <v>#DIV/0!</v>
      </c>
      <c r="P8" s="267"/>
      <c r="Q8" s="252">
        <v>1</v>
      </c>
      <c r="R8" s="252"/>
      <c r="S8" s="267" t="e">
        <f>O8*Q8</f>
        <v>#DIV/0!</v>
      </c>
      <c r="T8" s="267"/>
      <c r="U8" s="266">
        <f>Y10-1</f>
        <v>4</v>
      </c>
      <c r="V8" s="273"/>
      <c r="Y8" s="262">
        <v>3</v>
      </c>
      <c r="Z8" s="263"/>
      <c r="AA8" s="263"/>
      <c r="AB8" s="263"/>
      <c r="AC8" s="264"/>
      <c r="AD8" s="265"/>
    </row>
    <row r="9" spans="2:30" ht="30" customHeight="1">
      <c r="B9" s="72" t="s">
        <v>71</v>
      </c>
      <c r="C9" s="241" t="s">
        <v>72</v>
      </c>
      <c r="D9" s="241"/>
      <c r="E9" s="241"/>
      <c r="F9" s="241"/>
      <c r="G9" s="242" t="e">
        <f>SQRT(SUMSQ(S5:T8))</f>
        <v>#DIV/0!</v>
      </c>
      <c r="H9" s="242"/>
      <c r="I9" s="242"/>
      <c r="J9" s="242"/>
      <c r="K9" s="243" t="s">
        <v>138</v>
      </c>
      <c r="L9" s="244"/>
      <c r="M9" s="244"/>
      <c r="N9" s="244"/>
      <c r="O9" s="244"/>
      <c r="P9" s="244"/>
      <c r="Q9" s="244"/>
      <c r="R9" s="244"/>
      <c r="S9" s="244"/>
      <c r="T9" s="244"/>
      <c r="U9" s="244"/>
      <c r="V9" s="245"/>
      <c r="Y9" s="262">
        <v>4</v>
      </c>
      <c r="Z9" s="263"/>
      <c r="AA9" s="263"/>
      <c r="AB9" s="263"/>
      <c r="AC9" s="264"/>
      <c r="AD9" s="265"/>
    </row>
    <row r="10" spans="2:30" ht="30" customHeight="1" thickBot="1">
      <c r="B10" s="69" t="s">
        <v>74</v>
      </c>
      <c r="C10" s="216" t="s">
        <v>75</v>
      </c>
      <c r="D10" s="216"/>
      <c r="E10" s="216"/>
      <c r="F10" s="216"/>
      <c r="G10" s="256" t="e">
        <f>ROUND(AC11,1) &amp; "°C ± " &amp; I20 &amp;"°C"</f>
        <v>#DIV/0!</v>
      </c>
      <c r="H10" s="256"/>
      <c r="I10" s="256"/>
      <c r="J10" s="256"/>
      <c r="K10" s="246"/>
      <c r="L10" s="246"/>
      <c r="M10" s="246"/>
      <c r="N10" s="246"/>
      <c r="O10" s="246"/>
      <c r="P10" s="246"/>
      <c r="Q10" s="246"/>
      <c r="R10" s="246"/>
      <c r="S10" s="246"/>
      <c r="T10" s="246"/>
      <c r="U10" s="246"/>
      <c r="V10" s="247"/>
      <c r="Y10" s="260">
        <v>5</v>
      </c>
      <c r="Z10" s="261"/>
      <c r="AA10" s="261"/>
      <c r="AB10" s="261"/>
      <c r="AC10" s="239"/>
      <c r="AD10" s="240"/>
    </row>
    <row r="11" spans="2:30" ht="30" customHeight="1" thickBot="1">
      <c r="B11" s="257" t="s">
        <v>76</v>
      </c>
      <c r="C11" s="258"/>
      <c r="D11" s="258"/>
      <c r="E11" s="258"/>
      <c r="F11" s="258"/>
      <c r="G11" s="259" t="e">
        <f>IF(S8=0,10000000000,IF(U8*((G9^4)/(S8^4))&gt;10000000000,10000000000,U8*((G9^4)/(S8^4))))</f>
        <v>#DIV/0!</v>
      </c>
      <c r="H11" s="259"/>
      <c r="I11" s="259"/>
      <c r="J11" s="259"/>
      <c r="K11" s="248"/>
      <c r="L11" s="248"/>
      <c r="M11" s="248"/>
      <c r="N11" s="248"/>
      <c r="O11" s="248"/>
      <c r="P11" s="248"/>
      <c r="Q11" s="248"/>
      <c r="R11" s="248"/>
      <c r="S11" s="248"/>
      <c r="T11" s="248"/>
      <c r="U11" s="248"/>
      <c r="V11" s="249"/>
      <c r="X11" s="54"/>
      <c r="Y11" s="250" t="s">
        <v>73</v>
      </c>
      <c r="Z11" s="251"/>
      <c r="AA11" s="251"/>
      <c r="AB11" s="251"/>
      <c r="AC11" s="252" t="e">
        <f>AVERAGE(AC6:AD10)</f>
        <v>#DIV/0!</v>
      </c>
      <c r="AD11" s="253"/>
    </row>
    <row r="12" spans="2:30" ht="30" customHeight="1" thickTop="1">
      <c r="B12" s="227" t="s">
        <v>78</v>
      </c>
      <c r="C12" s="228"/>
      <c r="D12" s="228"/>
      <c r="E12" s="228"/>
      <c r="F12" s="228"/>
      <c r="G12" s="229" t="s">
        <v>79</v>
      </c>
      <c r="H12" s="229"/>
      <c r="I12" s="229"/>
      <c r="J12" s="229"/>
      <c r="K12" s="229"/>
      <c r="L12" s="229"/>
      <c r="M12" s="229"/>
      <c r="N12" s="229"/>
      <c r="O12" s="229"/>
      <c r="P12" s="229"/>
      <c r="Q12" s="229"/>
      <c r="R12" s="229"/>
      <c r="S12" s="229"/>
      <c r="T12" s="229"/>
      <c r="U12" s="229"/>
      <c r="V12" s="230"/>
      <c r="X12" s="54"/>
      <c r="Y12" s="215"/>
      <c r="Z12" s="216"/>
      <c r="AA12" s="216"/>
      <c r="AB12" s="216"/>
      <c r="AC12" s="254"/>
      <c r="AD12" s="255"/>
    </row>
    <row r="13" spans="2:30" ht="30" customHeight="1">
      <c r="B13" s="223" t="s">
        <v>80</v>
      </c>
      <c r="C13" s="224"/>
      <c r="D13" s="224"/>
      <c r="E13" s="224"/>
      <c r="F13" s="224"/>
      <c r="G13" s="231" t="s">
        <v>81</v>
      </c>
      <c r="H13" s="231"/>
      <c r="I13" s="231"/>
      <c r="J13" s="231"/>
      <c r="K13" s="231"/>
      <c r="L13" s="231"/>
      <c r="M13" s="231"/>
      <c r="N13" s="231"/>
      <c r="O13" s="231"/>
      <c r="P13" s="231"/>
      <c r="Q13" s="231"/>
      <c r="R13" s="231"/>
      <c r="S13" s="231"/>
      <c r="T13" s="231"/>
      <c r="U13" s="231"/>
      <c r="V13" s="232"/>
      <c r="Y13" s="215" t="s">
        <v>77</v>
      </c>
      <c r="Z13" s="216"/>
      <c r="AA13" s="216"/>
      <c r="AB13" s="216"/>
      <c r="AC13" s="219" t="e">
        <f>_xlfn.STDEV.S(AC6:AD10)</f>
        <v>#DIV/0!</v>
      </c>
      <c r="AD13" s="220"/>
    </row>
    <row r="14" spans="2:30">
      <c r="B14" s="223" t="s">
        <v>83</v>
      </c>
      <c r="C14" s="224"/>
      <c r="D14" s="224"/>
      <c r="E14" s="224"/>
      <c r="F14" s="224"/>
      <c r="G14" s="225" t="s">
        <v>84</v>
      </c>
      <c r="H14" s="225"/>
      <c r="I14" s="225"/>
      <c r="J14" s="225"/>
      <c r="K14" s="225"/>
      <c r="L14" s="225"/>
      <c r="M14" s="225"/>
      <c r="N14" s="225"/>
      <c r="O14" s="225"/>
      <c r="P14" s="225"/>
      <c r="Q14" s="225"/>
      <c r="R14" s="225"/>
      <c r="S14" s="225"/>
      <c r="T14" s="225"/>
      <c r="U14" s="225"/>
      <c r="V14" s="226"/>
      <c r="Y14" s="215"/>
      <c r="Z14" s="216"/>
      <c r="AA14" s="216"/>
      <c r="AB14" s="216"/>
      <c r="AC14" s="219"/>
      <c r="AD14" s="220"/>
    </row>
    <row r="15" spans="2:30">
      <c r="B15" s="223"/>
      <c r="C15" s="224"/>
      <c r="D15" s="224"/>
      <c r="E15" s="224"/>
      <c r="F15" s="224"/>
      <c r="G15" s="225"/>
      <c r="H15" s="225"/>
      <c r="I15" s="225"/>
      <c r="J15" s="225"/>
      <c r="K15" s="225"/>
      <c r="L15" s="225"/>
      <c r="M15" s="225"/>
      <c r="N15" s="225"/>
      <c r="O15" s="225"/>
      <c r="P15" s="225"/>
      <c r="Q15" s="225"/>
      <c r="R15" s="225"/>
      <c r="S15" s="225"/>
      <c r="T15" s="225"/>
      <c r="U15" s="225"/>
      <c r="V15" s="226"/>
      <c r="Y15" s="215" t="s">
        <v>82</v>
      </c>
      <c r="Z15" s="216"/>
      <c r="AA15" s="216"/>
      <c r="AB15" s="216"/>
      <c r="AC15" s="219" t="e">
        <f>AC13/SQRT(Y10)</f>
        <v>#DIV/0!</v>
      </c>
      <c r="AD15" s="220"/>
    </row>
    <row r="16" spans="2:30" ht="15.75" thickBot="1">
      <c r="B16" s="223"/>
      <c r="C16" s="224"/>
      <c r="D16" s="224"/>
      <c r="E16" s="224"/>
      <c r="F16" s="224"/>
      <c r="G16" s="225"/>
      <c r="H16" s="225"/>
      <c r="I16" s="225"/>
      <c r="J16" s="225"/>
      <c r="K16" s="225"/>
      <c r="L16" s="225"/>
      <c r="M16" s="225"/>
      <c r="N16" s="225"/>
      <c r="O16" s="225"/>
      <c r="P16" s="225"/>
      <c r="Q16" s="225"/>
      <c r="R16" s="225"/>
      <c r="S16" s="225"/>
      <c r="T16" s="225"/>
      <c r="U16" s="225"/>
      <c r="V16" s="226"/>
      <c r="Y16" s="217"/>
      <c r="Z16" s="218"/>
      <c r="AA16" s="218"/>
      <c r="AB16" s="218"/>
      <c r="AC16" s="221"/>
      <c r="AD16" s="222"/>
    </row>
    <row r="17" spans="2:22" ht="15.75" thickBot="1">
      <c r="B17" s="233" t="s">
        <v>85</v>
      </c>
      <c r="C17" s="234"/>
      <c r="D17" s="234"/>
      <c r="E17" s="234"/>
      <c r="F17" s="234"/>
      <c r="G17" s="235" t="s">
        <v>86</v>
      </c>
      <c r="H17" s="235"/>
      <c r="I17" s="235"/>
      <c r="J17" s="235"/>
      <c r="K17" s="235"/>
      <c r="L17" s="235"/>
      <c r="M17" s="235"/>
      <c r="N17" s="235"/>
      <c r="O17" s="235"/>
      <c r="P17" s="235"/>
      <c r="Q17" s="235"/>
      <c r="R17" s="235"/>
      <c r="S17" s="235"/>
      <c r="T17" s="235"/>
      <c r="U17" s="235"/>
      <c r="V17" s="236"/>
    </row>
    <row r="19" spans="2:22">
      <c r="G19" s="237" t="s">
        <v>87</v>
      </c>
      <c r="H19" s="237"/>
      <c r="I19" s="238" t="e">
        <f>TINV(0.05,G11)</f>
        <v>#DIV/0!</v>
      </c>
      <c r="J19" s="238"/>
    </row>
    <row r="20" spans="2:22">
      <c r="G20" s="237" t="s">
        <v>88</v>
      </c>
      <c r="H20" s="237"/>
      <c r="I20" s="85" t="e">
        <f>ROUND(I19*G9,1)</f>
        <v>#DIV/0!</v>
      </c>
      <c r="J20" s="85"/>
    </row>
    <row r="21" spans="2:22" ht="30" customHeight="1"/>
    <row r="22" spans="2:22" ht="30" customHeight="1"/>
  </sheetData>
  <mergeCells count="87">
    <mergeCell ref="B2:V3"/>
    <mergeCell ref="C4:D4"/>
    <mergeCell ref="E4:F4"/>
    <mergeCell ref="G4:H4"/>
    <mergeCell ref="I4:J4"/>
    <mergeCell ref="K4:L4"/>
    <mergeCell ref="M4:N4"/>
    <mergeCell ref="O4:P4"/>
    <mergeCell ref="Q4:R4"/>
    <mergeCell ref="S4:T4"/>
    <mergeCell ref="U4:V4"/>
    <mergeCell ref="M5:N5"/>
    <mergeCell ref="O5:P5"/>
    <mergeCell ref="Q5:R5"/>
    <mergeCell ref="S5:T5"/>
    <mergeCell ref="U5:V5"/>
    <mergeCell ref="C5:D5"/>
    <mergeCell ref="E5:F5"/>
    <mergeCell ref="G5:H5"/>
    <mergeCell ref="I5:J5"/>
    <mergeCell ref="K5:L5"/>
    <mergeCell ref="AC6:AD6"/>
    <mergeCell ref="AC7:AD7"/>
    <mergeCell ref="Y7:AB7"/>
    <mergeCell ref="Y4:AB5"/>
    <mergeCell ref="AC4:AD5"/>
    <mergeCell ref="C6:D6"/>
    <mergeCell ref="E6:F6"/>
    <mergeCell ref="G6:H6"/>
    <mergeCell ref="I6:J6"/>
    <mergeCell ref="K6:L6"/>
    <mergeCell ref="M6:N6"/>
    <mergeCell ref="O6:P6"/>
    <mergeCell ref="Q6:R6"/>
    <mergeCell ref="S6:T6"/>
    <mergeCell ref="Y8:AB8"/>
    <mergeCell ref="U6:V6"/>
    <mergeCell ref="Y6:AB6"/>
    <mergeCell ref="AC8:AD8"/>
    <mergeCell ref="C7:D7"/>
    <mergeCell ref="E7:F7"/>
    <mergeCell ref="G7:H7"/>
    <mergeCell ref="I7:J7"/>
    <mergeCell ref="K7:L7"/>
    <mergeCell ref="M7:N7"/>
    <mergeCell ref="O7:P7"/>
    <mergeCell ref="Q7:R7"/>
    <mergeCell ref="S7:T7"/>
    <mergeCell ref="U7:V7"/>
    <mergeCell ref="M8:N8"/>
    <mergeCell ref="O8:P8"/>
    <mergeCell ref="Q8:R8"/>
    <mergeCell ref="S8:T8"/>
    <mergeCell ref="U8:V8"/>
    <mergeCell ref="C8:D8"/>
    <mergeCell ref="E8:F8"/>
    <mergeCell ref="G8:H8"/>
    <mergeCell ref="I8:J8"/>
    <mergeCell ref="K8:L8"/>
    <mergeCell ref="G19:H19"/>
    <mergeCell ref="I19:J19"/>
    <mergeCell ref="G20:H20"/>
    <mergeCell ref="AC10:AD10"/>
    <mergeCell ref="C9:F9"/>
    <mergeCell ref="G9:J9"/>
    <mergeCell ref="K9:V11"/>
    <mergeCell ref="Y11:AB12"/>
    <mergeCell ref="AC11:AD12"/>
    <mergeCell ref="C10:F10"/>
    <mergeCell ref="G10:J10"/>
    <mergeCell ref="B11:F11"/>
    <mergeCell ref="G11:J11"/>
    <mergeCell ref="Y10:AB10"/>
    <mergeCell ref="Y9:AB9"/>
    <mergeCell ref="AC9:AD9"/>
    <mergeCell ref="B12:F12"/>
    <mergeCell ref="G12:V12"/>
    <mergeCell ref="B13:F13"/>
    <mergeCell ref="G13:V13"/>
    <mergeCell ref="B17:F17"/>
    <mergeCell ref="G17:V17"/>
    <mergeCell ref="Y15:AB16"/>
    <mergeCell ref="AC15:AD16"/>
    <mergeCell ref="B14:F16"/>
    <mergeCell ref="G14:V16"/>
    <mergeCell ref="Y13:AB14"/>
    <mergeCell ref="AC13:AD14"/>
  </mergeCells>
  <pageMargins left="0.7" right="0.7" top="0.75" bottom="0.75" header="0.3" footer="0.3"/>
  <pageSetup scale="45" orientation="portrait" horizontalDpi="300" verticalDpi="300" r:id="rId1"/>
  <colBreaks count="1" manualBreakCount="1">
    <brk id="23" max="19" man="1"/>
  </colBreaks>
  <extLst>
    <ext xmlns:x14="http://schemas.microsoft.com/office/spreadsheetml/2009/9/main" uri="{78C0D931-6437-407d-A8EE-F0AAD7539E65}">
      <x14:conditionalFormattings>
        <x14:conditionalFormatting xmlns:xm="http://schemas.microsoft.com/office/excel/2006/main">
          <x14:cfRule type="expression" priority="1" id="{63BA1EFC-C96D-4229-90BB-49C1DB0144FA}">
            <xm:f>Datasheet!$B$6="34901A"</xm:f>
            <x14:dxf>
              <numFmt numFmtId="164" formatCode="0.0"/>
            </x14:dxf>
          </x14:cfRule>
          <xm:sqref>AC6:AD12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5438A-E639-4B91-B33B-ABB81D58CF8E}">
  <sheetPr codeName="Sheet17"/>
  <dimension ref="B1:AD22"/>
  <sheetViews>
    <sheetView zoomScaleNormal="100" workbookViewId="0">
      <selection activeCell="G11" sqref="G11:J11"/>
    </sheetView>
  </sheetViews>
  <sheetFormatPr defaultRowHeight="15"/>
  <cols>
    <col min="1" max="1" width="4.28515625" style="50" customWidth="1"/>
    <col min="2" max="22" width="9.140625" style="50"/>
    <col min="23" max="24" width="2.85546875" style="50" customWidth="1"/>
    <col min="25" max="16384" width="9.140625" style="50"/>
  </cols>
  <sheetData>
    <row r="1" spans="2:30" ht="15.75" thickBot="1"/>
    <row r="2" spans="2:30" ht="15" customHeight="1">
      <c r="B2" s="280" t="e">
        <f>"Measurement Uncertainty Analysis (Type K "&amp;ROUND(Datasheet!C33,0)&amp;"°C test point)
The reported value ("&amp;ROUND(AC11,1)&amp;") is the mean UUT indication five (5) test runs"</f>
        <v>#DIV/0!</v>
      </c>
      <c r="C2" s="281"/>
      <c r="D2" s="281"/>
      <c r="E2" s="281"/>
      <c r="F2" s="281"/>
      <c r="G2" s="281"/>
      <c r="H2" s="281"/>
      <c r="I2" s="281"/>
      <c r="J2" s="281"/>
      <c r="K2" s="281"/>
      <c r="L2" s="281"/>
      <c r="M2" s="281"/>
      <c r="N2" s="281"/>
      <c r="O2" s="281"/>
      <c r="P2" s="281"/>
      <c r="Q2" s="281"/>
      <c r="R2" s="281"/>
      <c r="S2" s="281"/>
      <c r="T2" s="281"/>
      <c r="U2" s="281"/>
      <c r="V2" s="282"/>
    </row>
    <row r="3" spans="2:30" ht="15.75" thickBot="1">
      <c r="B3" s="283"/>
      <c r="C3" s="284"/>
      <c r="D3" s="284"/>
      <c r="E3" s="284"/>
      <c r="F3" s="284"/>
      <c r="G3" s="284"/>
      <c r="H3" s="284"/>
      <c r="I3" s="284"/>
      <c r="J3" s="284"/>
      <c r="K3" s="284"/>
      <c r="L3" s="284"/>
      <c r="M3" s="284"/>
      <c r="N3" s="284"/>
      <c r="O3" s="284"/>
      <c r="P3" s="284"/>
      <c r="Q3" s="284"/>
      <c r="R3" s="284"/>
      <c r="S3" s="284"/>
      <c r="T3" s="284"/>
      <c r="U3" s="284"/>
      <c r="V3" s="285"/>
    </row>
    <row r="4" spans="2:30" ht="30" customHeight="1">
      <c r="B4" s="71"/>
      <c r="C4" s="216" t="s">
        <v>45</v>
      </c>
      <c r="D4" s="216"/>
      <c r="E4" s="286" t="s">
        <v>46</v>
      </c>
      <c r="F4" s="286"/>
      <c r="G4" s="287" t="s">
        <v>47</v>
      </c>
      <c r="H4" s="287"/>
      <c r="I4" s="286" t="s">
        <v>48</v>
      </c>
      <c r="J4" s="216"/>
      <c r="K4" s="216" t="s">
        <v>49</v>
      </c>
      <c r="L4" s="216"/>
      <c r="M4" s="216" t="s">
        <v>50</v>
      </c>
      <c r="N4" s="216"/>
      <c r="O4" s="286" t="s">
        <v>51</v>
      </c>
      <c r="P4" s="286"/>
      <c r="Q4" s="216" t="s">
        <v>52</v>
      </c>
      <c r="R4" s="216"/>
      <c r="S4" s="216" t="s">
        <v>53</v>
      </c>
      <c r="T4" s="216"/>
      <c r="U4" s="286" t="s">
        <v>54</v>
      </c>
      <c r="V4" s="288"/>
      <c r="Y4" s="277" t="s">
        <v>55</v>
      </c>
      <c r="Z4" s="241"/>
      <c r="AA4" s="241"/>
      <c r="AB4" s="241"/>
      <c r="AC4" s="241" t="s">
        <v>56</v>
      </c>
      <c r="AD4" s="278"/>
    </row>
    <row r="5" spans="2:30" ht="30" customHeight="1" thickBot="1">
      <c r="B5" s="71" t="s">
        <v>57</v>
      </c>
      <c r="C5" s="263" t="s">
        <v>58</v>
      </c>
      <c r="D5" s="263"/>
      <c r="E5" s="254">
        <f>'STD Info'!F33</f>
        <v>0.08</v>
      </c>
      <c r="F5" s="263"/>
      <c r="G5" s="269">
        <v>0.95</v>
      </c>
      <c r="H5" s="263"/>
      <c r="I5" s="263" t="s">
        <v>59</v>
      </c>
      <c r="J5" s="263"/>
      <c r="K5" s="263" t="s">
        <v>60</v>
      </c>
      <c r="L5" s="263"/>
      <c r="M5" s="254">
        <f>NORMSINV((1+0.95)/2)</f>
        <v>1.9599639845400536</v>
      </c>
      <c r="N5" s="254"/>
      <c r="O5" s="270">
        <f>E5/M5</f>
        <v>4.0817076553972327E-2</v>
      </c>
      <c r="P5" s="270"/>
      <c r="Q5" s="254">
        <v>1</v>
      </c>
      <c r="R5" s="254"/>
      <c r="S5" s="270">
        <f>O5*Q5</f>
        <v>4.0817076553972327E-2</v>
      </c>
      <c r="T5" s="270"/>
      <c r="U5" s="271" t="s">
        <v>61</v>
      </c>
      <c r="V5" s="272"/>
      <c r="Y5" s="217"/>
      <c r="Z5" s="218"/>
      <c r="AA5" s="218"/>
      <c r="AB5" s="218"/>
      <c r="AC5" s="218"/>
      <c r="AD5" s="279"/>
    </row>
    <row r="6" spans="2:30" ht="30" customHeight="1">
      <c r="B6" s="71" t="s">
        <v>62</v>
      </c>
      <c r="C6" s="263" t="s">
        <v>63</v>
      </c>
      <c r="D6" s="263"/>
      <c r="E6" s="263">
        <f>'STD Info'!D9/2</f>
        <v>5.0000000000000001E-3</v>
      </c>
      <c r="F6" s="263"/>
      <c r="G6" s="269">
        <v>1</v>
      </c>
      <c r="H6" s="263"/>
      <c r="I6" s="263" t="s">
        <v>59</v>
      </c>
      <c r="J6" s="263"/>
      <c r="K6" s="263" t="s">
        <v>64</v>
      </c>
      <c r="L6" s="263"/>
      <c r="M6" s="254">
        <f>SQRT(3)</f>
        <v>1.7320508075688772</v>
      </c>
      <c r="N6" s="254"/>
      <c r="O6" s="270">
        <f>E6/M6</f>
        <v>2.886751345948129E-3</v>
      </c>
      <c r="P6" s="270"/>
      <c r="Q6" s="254">
        <v>1</v>
      </c>
      <c r="R6" s="254"/>
      <c r="S6" s="270">
        <f>O6*Q6</f>
        <v>2.886751345948129E-3</v>
      </c>
      <c r="T6" s="270"/>
      <c r="U6" s="271" t="s">
        <v>61</v>
      </c>
      <c r="V6" s="272"/>
      <c r="Y6" s="274">
        <v>1</v>
      </c>
      <c r="Z6" s="266"/>
      <c r="AA6" s="266"/>
      <c r="AB6" s="266"/>
      <c r="AC6" s="275"/>
      <c r="AD6" s="276"/>
    </row>
    <row r="7" spans="2:30" ht="30" customHeight="1">
      <c r="B7" s="71" t="s">
        <v>65</v>
      </c>
      <c r="C7" s="263" t="s">
        <v>66</v>
      </c>
      <c r="D7" s="263"/>
      <c r="E7" s="263">
        <f>IF(Datasheet!B6="DAQM901A",'UUT Info'!D9/2,'UUT Info'!P9/2)</f>
        <v>0.05</v>
      </c>
      <c r="F7" s="263"/>
      <c r="G7" s="269">
        <v>1</v>
      </c>
      <c r="H7" s="263"/>
      <c r="I7" s="263" t="s">
        <v>59</v>
      </c>
      <c r="J7" s="263"/>
      <c r="K7" s="263" t="s">
        <v>64</v>
      </c>
      <c r="L7" s="263"/>
      <c r="M7" s="254">
        <f>SQRT(3)</f>
        <v>1.7320508075688772</v>
      </c>
      <c r="N7" s="254"/>
      <c r="O7" s="270">
        <f>E7/M7</f>
        <v>2.8867513459481291E-2</v>
      </c>
      <c r="P7" s="270"/>
      <c r="Q7" s="254">
        <v>1</v>
      </c>
      <c r="R7" s="254"/>
      <c r="S7" s="270">
        <f>O7*Q7</f>
        <v>2.8867513459481291E-2</v>
      </c>
      <c r="T7" s="270"/>
      <c r="U7" s="271" t="s">
        <v>61</v>
      </c>
      <c r="V7" s="272"/>
      <c r="Y7" s="262">
        <v>2</v>
      </c>
      <c r="Z7" s="263"/>
      <c r="AA7" s="263"/>
      <c r="AB7" s="263"/>
      <c r="AC7" s="264"/>
      <c r="AD7" s="265"/>
    </row>
    <row r="8" spans="2:30" ht="30" customHeight="1" thickBot="1">
      <c r="B8" s="70" t="s">
        <v>67</v>
      </c>
      <c r="C8" s="266" t="s">
        <v>68</v>
      </c>
      <c r="D8" s="266"/>
      <c r="E8" s="267" t="e">
        <f>AC15</f>
        <v>#DIV/0!</v>
      </c>
      <c r="F8" s="267"/>
      <c r="G8" s="268">
        <v>0.68</v>
      </c>
      <c r="H8" s="266"/>
      <c r="I8" s="266" t="s">
        <v>69</v>
      </c>
      <c r="J8" s="266"/>
      <c r="K8" s="266" t="s">
        <v>60</v>
      </c>
      <c r="L8" s="266"/>
      <c r="M8" s="252" t="s">
        <v>70</v>
      </c>
      <c r="N8" s="252"/>
      <c r="O8" s="267" t="e">
        <f>E8/1</f>
        <v>#DIV/0!</v>
      </c>
      <c r="P8" s="267"/>
      <c r="Q8" s="252">
        <v>1</v>
      </c>
      <c r="R8" s="252"/>
      <c r="S8" s="267" t="e">
        <f>O8*Q8</f>
        <v>#DIV/0!</v>
      </c>
      <c r="T8" s="267"/>
      <c r="U8" s="266">
        <f>Y10-1</f>
        <v>4</v>
      </c>
      <c r="V8" s="273"/>
      <c r="Y8" s="262">
        <v>3</v>
      </c>
      <c r="Z8" s="263"/>
      <c r="AA8" s="263"/>
      <c r="AB8" s="263"/>
      <c r="AC8" s="264"/>
      <c r="AD8" s="265"/>
    </row>
    <row r="9" spans="2:30" ht="30" customHeight="1">
      <c r="B9" s="72" t="s">
        <v>71</v>
      </c>
      <c r="C9" s="241" t="s">
        <v>72</v>
      </c>
      <c r="D9" s="241"/>
      <c r="E9" s="241"/>
      <c r="F9" s="241"/>
      <c r="G9" s="242" t="e">
        <f>SQRT(SUMSQ(S5:T8))</f>
        <v>#DIV/0!</v>
      </c>
      <c r="H9" s="242"/>
      <c r="I9" s="242"/>
      <c r="J9" s="242"/>
      <c r="K9" s="243" t="s">
        <v>138</v>
      </c>
      <c r="L9" s="244"/>
      <c r="M9" s="244"/>
      <c r="N9" s="244"/>
      <c r="O9" s="244"/>
      <c r="P9" s="244"/>
      <c r="Q9" s="244"/>
      <c r="R9" s="244"/>
      <c r="S9" s="244"/>
      <c r="T9" s="244"/>
      <c r="U9" s="244"/>
      <c r="V9" s="245"/>
      <c r="Y9" s="262">
        <v>4</v>
      </c>
      <c r="Z9" s="263"/>
      <c r="AA9" s="263"/>
      <c r="AB9" s="263"/>
      <c r="AC9" s="264"/>
      <c r="AD9" s="265"/>
    </row>
    <row r="10" spans="2:30" ht="30" customHeight="1" thickBot="1">
      <c r="B10" s="69" t="s">
        <v>74</v>
      </c>
      <c r="C10" s="216" t="s">
        <v>75</v>
      </c>
      <c r="D10" s="216"/>
      <c r="E10" s="216"/>
      <c r="F10" s="216"/>
      <c r="G10" s="256" t="e">
        <f>ROUND(AC11,1) &amp; "°C ± " &amp; I20 &amp;"°C"</f>
        <v>#DIV/0!</v>
      </c>
      <c r="H10" s="256"/>
      <c r="I10" s="256"/>
      <c r="J10" s="256"/>
      <c r="K10" s="246"/>
      <c r="L10" s="246"/>
      <c r="M10" s="246"/>
      <c r="N10" s="246"/>
      <c r="O10" s="246"/>
      <c r="P10" s="246"/>
      <c r="Q10" s="246"/>
      <c r="R10" s="246"/>
      <c r="S10" s="246"/>
      <c r="T10" s="246"/>
      <c r="U10" s="246"/>
      <c r="V10" s="247"/>
      <c r="Y10" s="260">
        <v>5</v>
      </c>
      <c r="Z10" s="261"/>
      <c r="AA10" s="261"/>
      <c r="AB10" s="261"/>
      <c r="AC10" s="239"/>
      <c r="AD10" s="240"/>
    </row>
    <row r="11" spans="2:30" ht="30" customHeight="1" thickBot="1">
      <c r="B11" s="257" t="s">
        <v>76</v>
      </c>
      <c r="C11" s="258"/>
      <c r="D11" s="258"/>
      <c r="E11" s="258"/>
      <c r="F11" s="258"/>
      <c r="G11" s="259" t="e">
        <f>IF(S8=0,10000000000,IF(U8*((G9^4)/(S8^4))&gt;10000000000,10000000000,U8*((G9^4)/(S8^4))))</f>
        <v>#DIV/0!</v>
      </c>
      <c r="H11" s="259"/>
      <c r="I11" s="259"/>
      <c r="J11" s="259"/>
      <c r="K11" s="248"/>
      <c r="L11" s="248"/>
      <c r="M11" s="248"/>
      <c r="N11" s="248"/>
      <c r="O11" s="248"/>
      <c r="P11" s="248"/>
      <c r="Q11" s="248"/>
      <c r="R11" s="248"/>
      <c r="S11" s="248"/>
      <c r="T11" s="248"/>
      <c r="U11" s="248"/>
      <c r="V11" s="249"/>
      <c r="X11" s="54"/>
      <c r="Y11" s="250" t="s">
        <v>73</v>
      </c>
      <c r="Z11" s="251"/>
      <c r="AA11" s="251"/>
      <c r="AB11" s="251"/>
      <c r="AC11" s="252" t="e">
        <f>AVERAGE(AC6:AD10)</f>
        <v>#DIV/0!</v>
      </c>
      <c r="AD11" s="253"/>
    </row>
    <row r="12" spans="2:30" ht="30" customHeight="1" thickTop="1">
      <c r="B12" s="227" t="s">
        <v>78</v>
      </c>
      <c r="C12" s="228"/>
      <c r="D12" s="228"/>
      <c r="E12" s="228"/>
      <c r="F12" s="228"/>
      <c r="G12" s="229" t="s">
        <v>79</v>
      </c>
      <c r="H12" s="229"/>
      <c r="I12" s="229"/>
      <c r="J12" s="229"/>
      <c r="K12" s="229"/>
      <c r="L12" s="229"/>
      <c r="M12" s="229"/>
      <c r="N12" s="229"/>
      <c r="O12" s="229"/>
      <c r="P12" s="229"/>
      <c r="Q12" s="229"/>
      <c r="R12" s="229"/>
      <c r="S12" s="229"/>
      <c r="T12" s="229"/>
      <c r="U12" s="229"/>
      <c r="V12" s="230"/>
      <c r="X12" s="54"/>
      <c r="Y12" s="215"/>
      <c r="Z12" s="216"/>
      <c r="AA12" s="216"/>
      <c r="AB12" s="216"/>
      <c r="AC12" s="254"/>
      <c r="AD12" s="255"/>
    </row>
    <row r="13" spans="2:30" ht="30" customHeight="1">
      <c r="B13" s="223" t="s">
        <v>80</v>
      </c>
      <c r="C13" s="224"/>
      <c r="D13" s="224"/>
      <c r="E13" s="224"/>
      <c r="F13" s="224"/>
      <c r="G13" s="231" t="s">
        <v>81</v>
      </c>
      <c r="H13" s="231"/>
      <c r="I13" s="231"/>
      <c r="J13" s="231"/>
      <c r="K13" s="231"/>
      <c r="L13" s="231"/>
      <c r="M13" s="231"/>
      <c r="N13" s="231"/>
      <c r="O13" s="231"/>
      <c r="P13" s="231"/>
      <c r="Q13" s="231"/>
      <c r="R13" s="231"/>
      <c r="S13" s="231"/>
      <c r="T13" s="231"/>
      <c r="U13" s="231"/>
      <c r="V13" s="232"/>
      <c r="Y13" s="215" t="s">
        <v>77</v>
      </c>
      <c r="Z13" s="216"/>
      <c r="AA13" s="216"/>
      <c r="AB13" s="216"/>
      <c r="AC13" s="219" t="e">
        <f>_xlfn.STDEV.S(AC6:AD10)</f>
        <v>#DIV/0!</v>
      </c>
      <c r="AD13" s="220"/>
    </row>
    <row r="14" spans="2:30">
      <c r="B14" s="223" t="s">
        <v>83</v>
      </c>
      <c r="C14" s="224"/>
      <c r="D14" s="224"/>
      <c r="E14" s="224"/>
      <c r="F14" s="224"/>
      <c r="G14" s="225" t="s">
        <v>84</v>
      </c>
      <c r="H14" s="225"/>
      <c r="I14" s="225"/>
      <c r="J14" s="225"/>
      <c r="K14" s="225"/>
      <c r="L14" s="225"/>
      <c r="M14" s="225"/>
      <c r="N14" s="225"/>
      <c r="O14" s="225"/>
      <c r="P14" s="225"/>
      <c r="Q14" s="225"/>
      <c r="R14" s="225"/>
      <c r="S14" s="225"/>
      <c r="T14" s="225"/>
      <c r="U14" s="225"/>
      <c r="V14" s="226"/>
      <c r="Y14" s="215"/>
      <c r="Z14" s="216"/>
      <c r="AA14" s="216"/>
      <c r="AB14" s="216"/>
      <c r="AC14" s="219"/>
      <c r="AD14" s="220"/>
    </row>
    <row r="15" spans="2:30">
      <c r="B15" s="223"/>
      <c r="C15" s="224"/>
      <c r="D15" s="224"/>
      <c r="E15" s="224"/>
      <c r="F15" s="224"/>
      <c r="G15" s="225"/>
      <c r="H15" s="225"/>
      <c r="I15" s="225"/>
      <c r="J15" s="225"/>
      <c r="K15" s="225"/>
      <c r="L15" s="225"/>
      <c r="M15" s="225"/>
      <c r="N15" s="225"/>
      <c r="O15" s="225"/>
      <c r="P15" s="225"/>
      <c r="Q15" s="225"/>
      <c r="R15" s="225"/>
      <c r="S15" s="225"/>
      <c r="T15" s="225"/>
      <c r="U15" s="225"/>
      <c r="V15" s="226"/>
      <c r="Y15" s="215" t="s">
        <v>82</v>
      </c>
      <c r="Z15" s="216"/>
      <c r="AA15" s="216"/>
      <c r="AB15" s="216"/>
      <c r="AC15" s="219" t="e">
        <f>AC13/SQRT(Y10)</f>
        <v>#DIV/0!</v>
      </c>
      <c r="AD15" s="220"/>
    </row>
    <row r="16" spans="2:30" ht="15.75" thickBot="1">
      <c r="B16" s="223"/>
      <c r="C16" s="224"/>
      <c r="D16" s="224"/>
      <c r="E16" s="224"/>
      <c r="F16" s="224"/>
      <c r="G16" s="225"/>
      <c r="H16" s="225"/>
      <c r="I16" s="225"/>
      <c r="J16" s="225"/>
      <c r="K16" s="225"/>
      <c r="L16" s="225"/>
      <c r="M16" s="225"/>
      <c r="N16" s="225"/>
      <c r="O16" s="225"/>
      <c r="P16" s="225"/>
      <c r="Q16" s="225"/>
      <c r="R16" s="225"/>
      <c r="S16" s="225"/>
      <c r="T16" s="225"/>
      <c r="U16" s="225"/>
      <c r="V16" s="226"/>
      <c r="Y16" s="217"/>
      <c r="Z16" s="218"/>
      <c r="AA16" s="218"/>
      <c r="AB16" s="218"/>
      <c r="AC16" s="221"/>
      <c r="AD16" s="222"/>
    </row>
    <row r="17" spans="2:22" ht="15.75" thickBot="1">
      <c r="B17" s="233" t="s">
        <v>85</v>
      </c>
      <c r="C17" s="234"/>
      <c r="D17" s="234"/>
      <c r="E17" s="234"/>
      <c r="F17" s="234"/>
      <c r="G17" s="235" t="s">
        <v>86</v>
      </c>
      <c r="H17" s="235"/>
      <c r="I17" s="235"/>
      <c r="J17" s="235"/>
      <c r="K17" s="235"/>
      <c r="L17" s="235"/>
      <c r="M17" s="235"/>
      <c r="N17" s="235"/>
      <c r="O17" s="235"/>
      <c r="P17" s="235"/>
      <c r="Q17" s="235"/>
      <c r="R17" s="235"/>
      <c r="S17" s="235"/>
      <c r="T17" s="235"/>
      <c r="U17" s="235"/>
      <c r="V17" s="236"/>
    </row>
    <row r="19" spans="2:22">
      <c r="G19" s="237" t="s">
        <v>87</v>
      </c>
      <c r="H19" s="237"/>
      <c r="I19" s="238" t="e">
        <f>TINV(0.05,G11)</f>
        <v>#DIV/0!</v>
      </c>
      <c r="J19" s="238"/>
    </row>
    <row r="20" spans="2:22">
      <c r="G20" s="237" t="s">
        <v>88</v>
      </c>
      <c r="H20" s="237"/>
      <c r="I20" s="85" t="e">
        <f>ROUND(I19*G9,1)</f>
        <v>#DIV/0!</v>
      </c>
      <c r="J20" s="85"/>
    </row>
    <row r="21" spans="2:22" ht="30" customHeight="1"/>
    <row r="22" spans="2:22" ht="30" customHeight="1"/>
  </sheetData>
  <mergeCells count="87">
    <mergeCell ref="B2:V3"/>
    <mergeCell ref="C4:D4"/>
    <mergeCell ref="E4:F4"/>
    <mergeCell ref="G4:H4"/>
    <mergeCell ref="I4:J4"/>
    <mergeCell ref="K4:L4"/>
    <mergeCell ref="M4:N4"/>
    <mergeCell ref="O4:P4"/>
    <mergeCell ref="Q4:R4"/>
    <mergeCell ref="S4:T4"/>
    <mergeCell ref="U4:V4"/>
    <mergeCell ref="M5:N5"/>
    <mergeCell ref="O5:P5"/>
    <mergeCell ref="Q5:R5"/>
    <mergeCell ref="S5:T5"/>
    <mergeCell ref="U5:V5"/>
    <mergeCell ref="C5:D5"/>
    <mergeCell ref="E5:F5"/>
    <mergeCell ref="G5:H5"/>
    <mergeCell ref="I5:J5"/>
    <mergeCell ref="K5:L5"/>
    <mergeCell ref="AC6:AD6"/>
    <mergeCell ref="AC7:AD7"/>
    <mergeCell ref="Y7:AB7"/>
    <mergeCell ref="Y4:AB5"/>
    <mergeCell ref="AC4:AD5"/>
    <mergeCell ref="C6:D6"/>
    <mergeCell ref="E6:F6"/>
    <mergeCell ref="G6:H6"/>
    <mergeCell ref="I6:J6"/>
    <mergeCell ref="K6:L6"/>
    <mergeCell ref="M6:N6"/>
    <mergeCell ref="O6:P6"/>
    <mergeCell ref="Q6:R6"/>
    <mergeCell ref="S6:T6"/>
    <mergeCell ref="Y8:AB8"/>
    <mergeCell ref="U6:V6"/>
    <mergeCell ref="Y6:AB6"/>
    <mergeCell ref="AC8:AD8"/>
    <mergeCell ref="C7:D7"/>
    <mergeCell ref="E7:F7"/>
    <mergeCell ref="G7:H7"/>
    <mergeCell ref="I7:J7"/>
    <mergeCell ref="K7:L7"/>
    <mergeCell ref="M7:N7"/>
    <mergeCell ref="O7:P7"/>
    <mergeCell ref="Q7:R7"/>
    <mergeCell ref="S7:T7"/>
    <mergeCell ref="U7:V7"/>
    <mergeCell ref="M8:N8"/>
    <mergeCell ref="O8:P8"/>
    <mergeCell ref="Q8:R8"/>
    <mergeCell ref="S8:T8"/>
    <mergeCell ref="U8:V8"/>
    <mergeCell ref="C8:D8"/>
    <mergeCell ref="E8:F8"/>
    <mergeCell ref="G8:H8"/>
    <mergeCell ref="I8:J8"/>
    <mergeCell ref="K8:L8"/>
    <mergeCell ref="G19:H19"/>
    <mergeCell ref="I19:J19"/>
    <mergeCell ref="G20:H20"/>
    <mergeCell ref="AC10:AD10"/>
    <mergeCell ref="C9:F9"/>
    <mergeCell ref="G9:J9"/>
    <mergeCell ref="K9:V11"/>
    <mergeCell ref="Y11:AB12"/>
    <mergeCell ref="AC11:AD12"/>
    <mergeCell ref="C10:F10"/>
    <mergeCell ref="G10:J10"/>
    <mergeCell ref="B11:F11"/>
    <mergeCell ref="G11:J11"/>
    <mergeCell ref="Y10:AB10"/>
    <mergeCell ref="Y9:AB9"/>
    <mergeCell ref="AC9:AD9"/>
    <mergeCell ref="B12:F12"/>
    <mergeCell ref="G12:V12"/>
    <mergeCell ref="B13:F13"/>
    <mergeCell ref="G13:V13"/>
    <mergeCell ref="B17:F17"/>
    <mergeCell ref="G17:V17"/>
    <mergeCell ref="Y15:AB16"/>
    <mergeCell ref="AC15:AD16"/>
    <mergeCell ref="B14:F16"/>
    <mergeCell ref="G14:V16"/>
    <mergeCell ref="Y13:AB14"/>
    <mergeCell ref="AC13:AD14"/>
  </mergeCells>
  <pageMargins left="0.7" right="0.7" top="0.75" bottom="0.75" header="0.3" footer="0.3"/>
  <pageSetup scale="45" orientation="portrait" horizontalDpi="300" verticalDpi="300" r:id="rId1"/>
  <colBreaks count="1" manualBreakCount="1">
    <brk id="23" max="19" man="1"/>
  </colBreaks>
  <extLst>
    <ext xmlns:x14="http://schemas.microsoft.com/office/spreadsheetml/2009/9/main" uri="{78C0D931-6437-407d-A8EE-F0AAD7539E65}">
      <x14:conditionalFormattings>
        <x14:conditionalFormatting xmlns:xm="http://schemas.microsoft.com/office/excel/2006/main">
          <x14:cfRule type="expression" priority="1" id="{EE8E01B2-E283-4BA3-B845-A58E968C0AD7}">
            <xm:f>Datasheet!$B$6="34901A"</xm:f>
            <x14:dxf>
              <numFmt numFmtId="164" formatCode="0.0"/>
            </x14:dxf>
          </x14:cfRule>
          <xm:sqref>AC6:AD12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9A520-8B20-4744-BE4E-03B596747F18}">
  <sheetPr codeName="Sheet18"/>
  <dimension ref="B1:AD22"/>
  <sheetViews>
    <sheetView zoomScaleNormal="100" workbookViewId="0">
      <selection activeCell="G11" sqref="G11:J11"/>
    </sheetView>
  </sheetViews>
  <sheetFormatPr defaultRowHeight="15"/>
  <cols>
    <col min="1" max="1" width="4.28515625" style="50" customWidth="1"/>
    <col min="2" max="22" width="9.140625" style="50"/>
    <col min="23" max="24" width="2.85546875" style="50" customWidth="1"/>
    <col min="25" max="16384" width="9.140625" style="50"/>
  </cols>
  <sheetData>
    <row r="1" spans="2:30" ht="15.75" thickBot="1"/>
    <row r="2" spans="2:30" ht="15" customHeight="1">
      <c r="B2" s="280" t="e">
        <f>"Measurement Uncertainty Analysis (Type T "&amp;ROUND(Datasheet!C35,0)&amp;"°C test point)
The reported value ("&amp;ROUND(AC11,1)&amp;") is the mean UUT indication five (5) test runs"</f>
        <v>#DIV/0!</v>
      </c>
      <c r="C2" s="281"/>
      <c r="D2" s="281"/>
      <c r="E2" s="281"/>
      <c r="F2" s="281"/>
      <c r="G2" s="281"/>
      <c r="H2" s="281"/>
      <c r="I2" s="281"/>
      <c r="J2" s="281"/>
      <c r="K2" s="281"/>
      <c r="L2" s="281"/>
      <c r="M2" s="281"/>
      <c r="N2" s="281"/>
      <c r="O2" s="281"/>
      <c r="P2" s="281"/>
      <c r="Q2" s="281"/>
      <c r="R2" s="281"/>
      <c r="S2" s="281"/>
      <c r="T2" s="281"/>
      <c r="U2" s="281"/>
      <c r="V2" s="282"/>
    </row>
    <row r="3" spans="2:30" ht="15.75" thickBot="1">
      <c r="B3" s="283"/>
      <c r="C3" s="284"/>
      <c r="D3" s="284"/>
      <c r="E3" s="284"/>
      <c r="F3" s="284"/>
      <c r="G3" s="284"/>
      <c r="H3" s="284"/>
      <c r="I3" s="284"/>
      <c r="J3" s="284"/>
      <c r="K3" s="284"/>
      <c r="L3" s="284"/>
      <c r="M3" s="284"/>
      <c r="N3" s="284"/>
      <c r="O3" s="284"/>
      <c r="P3" s="284"/>
      <c r="Q3" s="284"/>
      <c r="R3" s="284"/>
      <c r="S3" s="284"/>
      <c r="T3" s="284"/>
      <c r="U3" s="284"/>
      <c r="V3" s="285"/>
    </row>
    <row r="4" spans="2:30" ht="30" customHeight="1">
      <c r="B4" s="71"/>
      <c r="C4" s="216" t="s">
        <v>45</v>
      </c>
      <c r="D4" s="216"/>
      <c r="E4" s="286" t="s">
        <v>46</v>
      </c>
      <c r="F4" s="286"/>
      <c r="G4" s="287" t="s">
        <v>47</v>
      </c>
      <c r="H4" s="287"/>
      <c r="I4" s="286" t="s">
        <v>48</v>
      </c>
      <c r="J4" s="216"/>
      <c r="K4" s="216" t="s">
        <v>49</v>
      </c>
      <c r="L4" s="216"/>
      <c r="M4" s="216" t="s">
        <v>50</v>
      </c>
      <c r="N4" s="216"/>
      <c r="O4" s="286" t="s">
        <v>51</v>
      </c>
      <c r="P4" s="286"/>
      <c r="Q4" s="216" t="s">
        <v>52</v>
      </c>
      <c r="R4" s="216"/>
      <c r="S4" s="216" t="s">
        <v>53</v>
      </c>
      <c r="T4" s="216"/>
      <c r="U4" s="286" t="s">
        <v>54</v>
      </c>
      <c r="V4" s="288"/>
      <c r="Y4" s="277" t="s">
        <v>55</v>
      </c>
      <c r="Z4" s="241"/>
      <c r="AA4" s="241"/>
      <c r="AB4" s="241"/>
      <c r="AC4" s="241" t="s">
        <v>56</v>
      </c>
      <c r="AD4" s="278"/>
    </row>
    <row r="5" spans="2:30" ht="30" customHeight="1" thickBot="1">
      <c r="B5" s="71" t="s">
        <v>57</v>
      </c>
      <c r="C5" s="263" t="s">
        <v>58</v>
      </c>
      <c r="D5" s="263"/>
      <c r="E5" s="254">
        <f>'STD Info'!L31</f>
        <v>0.18</v>
      </c>
      <c r="F5" s="263"/>
      <c r="G5" s="269">
        <v>0.95</v>
      </c>
      <c r="H5" s="263"/>
      <c r="I5" s="263" t="s">
        <v>59</v>
      </c>
      <c r="J5" s="263"/>
      <c r="K5" s="263" t="s">
        <v>60</v>
      </c>
      <c r="L5" s="263"/>
      <c r="M5" s="254">
        <f>NORMSINV(0.975)</f>
        <v>1.9599639845400536</v>
      </c>
      <c r="N5" s="254"/>
      <c r="O5" s="270">
        <f>E5/M5</f>
        <v>9.1838422246437734E-2</v>
      </c>
      <c r="P5" s="270"/>
      <c r="Q5" s="254">
        <v>1</v>
      </c>
      <c r="R5" s="254"/>
      <c r="S5" s="270">
        <f>O5*Q5</f>
        <v>9.1838422246437734E-2</v>
      </c>
      <c r="T5" s="270"/>
      <c r="U5" s="271" t="s">
        <v>61</v>
      </c>
      <c r="V5" s="272"/>
      <c r="Y5" s="217"/>
      <c r="Z5" s="218"/>
      <c r="AA5" s="218"/>
      <c r="AB5" s="218"/>
      <c r="AC5" s="218"/>
      <c r="AD5" s="279"/>
    </row>
    <row r="6" spans="2:30" ht="30" customHeight="1">
      <c r="B6" s="71" t="s">
        <v>62</v>
      </c>
      <c r="C6" s="263" t="s">
        <v>63</v>
      </c>
      <c r="D6" s="263"/>
      <c r="E6" s="263">
        <f>'STD Info'!D9/2</f>
        <v>5.0000000000000001E-3</v>
      </c>
      <c r="F6" s="263"/>
      <c r="G6" s="269">
        <v>1</v>
      </c>
      <c r="H6" s="263"/>
      <c r="I6" s="263" t="s">
        <v>59</v>
      </c>
      <c r="J6" s="263"/>
      <c r="K6" s="263" t="s">
        <v>64</v>
      </c>
      <c r="L6" s="263"/>
      <c r="M6" s="254">
        <f>SQRT(3)</f>
        <v>1.7320508075688772</v>
      </c>
      <c r="N6" s="254"/>
      <c r="O6" s="270">
        <f>E6/M6</f>
        <v>2.886751345948129E-3</v>
      </c>
      <c r="P6" s="270"/>
      <c r="Q6" s="254">
        <v>1</v>
      </c>
      <c r="R6" s="254"/>
      <c r="S6" s="270">
        <f>O6*Q6</f>
        <v>2.886751345948129E-3</v>
      </c>
      <c r="T6" s="270"/>
      <c r="U6" s="271" t="s">
        <v>61</v>
      </c>
      <c r="V6" s="272"/>
      <c r="Y6" s="274">
        <v>1</v>
      </c>
      <c r="Z6" s="266"/>
      <c r="AA6" s="266"/>
      <c r="AB6" s="266"/>
      <c r="AC6" s="275"/>
      <c r="AD6" s="276"/>
    </row>
    <row r="7" spans="2:30" ht="30" customHeight="1">
      <c r="B7" s="71" t="s">
        <v>65</v>
      </c>
      <c r="C7" s="263" t="s">
        <v>66</v>
      </c>
      <c r="D7" s="263"/>
      <c r="E7" s="263">
        <f>IF(Datasheet!B6="DAQM901A",'UUT Info'!D9/2,'UUT Info'!P9/2)</f>
        <v>0.05</v>
      </c>
      <c r="F7" s="263"/>
      <c r="G7" s="269">
        <v>1</v>
      </c>
      <c r="H7" s="263"/>
      <c r="I7" s="263" t="s">
        <v>59</v>
      </c>
      <c r="J7" s="263"/>
      <c r="K7" s="263" t="s">
        <v>64</v>
      </c>
      <c r="L7" s="263"/>
      <c r="M7" s="254">
        <f>SQRT(3)</f>
        <v>1.7320508075688772</v>
      </c>
      <c r="N7" s="254"/>
      <c r="O7" s="270">
        <f>E7/M7</f>
        <v>2.8867513459481291E-2</v>
      </c>
      <c r="P7" s="270"/>
      <c r="Q7" s="254">
        <v>1</v>
      </c>
      <c r="R7" s="254"/>
      <c r="S7" s="270">
        <f>O7*Q7</f>
        <v>2.8867513459481291E-2</v>
      </c>
      <c r="T7" s="270"/>
      <c r="U7" s="271" t="s">
        <v>61</v>
      </c>
      <c r="V7" s="272"/>
      <c r="Y7" s="262">
        <v>2</v>
      </c>
      <c r="Z7" s="263"/>
      <c r="AA7" s="263"/>
      <c r="AB7" s="263"/>
      <c r="AC7" s="264"/>
      <c r="AD7" s="265"/>
    </row>
    <row r="8" spans="2:30" ht="30" customHeight="1" thickBot="1">
      <c r="B8" s="70" t="s">
        <v>67</v>
      </c>
      <c r="C8" s="266" t="s">
        <v>68</v>
      </c>
      <c r="D8" s="266"/>
      <c r="E8" s="267" t="e">
        <f>AC15</f>
        <v>#DIV/0!</v>
      </c>
      <c r="F8" s="267"/>
      <c r="G8" s="268">
        <v>0.68</v>
      </c>
      <c r="H8" s="266"/>
      <c r="I8" s="266" t="s">
        <v>69</v>
      </c>
      <c r="J8" s="266"/>
      <c r="K8" s="266" t="s">
        <v>60</v>
      </c>
      <c r="L8" s="266"/>
      <c r="M8" s="252" t="s">
        <v>70</v>
      </c>
      <c r="N8" s="252"/>
      <c r="O8" s="267" t="e">
        <f>E8/1</f>
        <v>#DIV/0!</v>
      </c>
      <c r="P8" s="267"/>
      <c r="Q8" s="252">
        <v>1</v>
      </c>
      <c r="R8" s="252"/>
      <c r="S8" s="267" t="e">
        <f>O8*Q8</f>
        <v>#DIV/0!</v>
      </c>
      <c r="T8" s="267"/>
      <c r="U8" s="266">
        <f>Y10-1</f>
        <v>4</v>
      </c>
      <c r="V8" s="273"/>
      <c r="Y8" s="262">
        <v>3</v>
      </c>
      <c r="Z8" s="263"/>
      <c r="AA8" s="263"/>
      <c r="AB8" s="263"/>
      <c r="AC8" s="264"/>
      <c r="AD8" s="265"/>
    </row>
    <row r="9" spans="2:30" ht="30" customHeight="1">
      <c r="B9" s="72" t="s">
        <v>71</v>
      </c>
      <c r="C9" s="241" t="s">
        <v>72</v>
      </c>
      <c r="D9" s="241"/>
      <c r="E9" s="241"/>
      <c r="F9" s="241"/>
      <c r="G9" s="242" t="e">
        <f>SQRT(SUMSQ(S5:T8))</f>
        <v>#DIV/0!</v>
      </c>
      <c r="H9" s="242"/>
      <c r="I9" s="242"/>
      <c r="J9" s="242"/>
      <c r="K9" s="243" t="s">
        <v>138</v>
      </c>
      <c r="L9" s="244"/>
      <c r="M9" s="244"/>
      <c r="N9" s="244"/>
      <c r="O9" s="244"/>
      <c r="P9" s="244"/>
      <c r="Q9" s="244"/>
      <c r="R9" s="244"/>
      <c r="S9" s="244"/>
      <c r="T9" s="244"/>
      <c r="U9" s="244"/>
      <c r="V9" s="245"/>
      <c r="Y9" s="262">
        <v>4</v>
      </c>
      <c r="Z9" s="263"/>
      <c r="AA9" s="263"/>
      <c r="AB9" s="263"/>
      <c r="AC9" s="264"/>
      <c r="AD9" s="265"/>
    </row>
    <row r="10" spans="2:30" ht="30" customHeight="1" thickBot="1">
      <c r="B10" s="69" t="s">
        <v>74</v>
      </c>
      <c r="C10" s="216" t="s">
        <v>75</v>
      </c>
      <c r="D10" s="216"/>
      <c r="E10" s="216"/>
      <c r="F10" s="216"/>
      <c r="G10" s="256" t="e">
        <f>ROUND(AC11,1) &amp; "°C ± " &amp; I20 &amp;"°C"</f>
        <v>#DIV/0!</v>
      </c>
      <c r="H10" s="256"/>
      <c r="I10" s="256"/>
      <c r="J10" s="256"/>
      <c r="K10" s="246"/>
      <c r="L10" s="246"/>
      <c r="M10" s="246"/>
      <c r="N10" s="246"/>
      <c r="O10" s="246"/>
      <c r="P10" s="246"/>
      <c r="Q10" s="246"/>
      <c r="R10" s="246"/>
      <c r="S10" s="246"/>
      <c r="T10" s="246"/>
      <c r="U10" s="246"/>
      <c r="V10" s="247"/>
      <c r="Y10" s="260">
        <v>5</v>
      </c>
      <c r="Z10" s="261"/>
      <c r="AA10" s="261"/>
      <c r="AB10" s="261"/>
      <c r="AC10" s="239"/>
      <c r="AD10" s="240"/>
    </row>
    <row r="11" spans="2:30" ht="30" customHeight="1" thickBot="1">
      <c r="B11" s="257" t="s">
        <v>76</v>
      </c>
      <c r="C11" s="258"/>
      <c r="D11" s="258"/>
      <c r="E11" s="258"/>
      <c r="F11" s="258"/>
      <c r="G11" s="259" t="e">
        <f>IF(S8=0,10000000000,IF(U8*((G9^4)/(S8^4))&gt;10000000000,10000000000,U8*((G9^4)/(S8^4))))</f>
        <v>#DIV/0!</v>
      </c>
      <c r="H11" s="259"/>
      <c r="I11" s="259"/>
      <c r="J11" s="259"/>
      <c r="K11" s="248"/>
      <c r="L11" s="248"/>
      <c r="M11" s="248"/>
      <c r="N11" s="248"/>
      <c r="O11" s="248"/>
      <c r="P11" s="248"/>
      <c r="Q11" s="248"/>
      <c r="R11" s="248"/>
      <c r="S11" s="248"/>
      <c r="T11" s="248"/>
      <c r="U11" s="248"/>
      <c r="V11" s="249"/>
      <c r="X11" s="54"/>
      <c r="Y11" s="250" t="s">
        <v>73</v>
      </c>
      <c r="Z11" s="251"/>
      <c r="AA11" s="251"/>
      <c r="AB11" s="251"/>
      <c r="AC11" s="252" t="e">
        <f>AVERAGE(AC6:AD10)</f>
        <v>#DIV/0!</v>
      </c>
      <c r="AD11" s="253"/>
    </row>
    <row r="12" spans="2:30" ht="30" customHeight="1" thickTop="1">
      <c r="B12" s="227" t="s">
        <v>78</v>
      </c>
      <c r="C12" s="228"/>
      <c r="D12" s="228"/>
      <c r="E12" s="228"/>
      <c r="F12" s="228"/>
      <c r="G12" s="229" t="s">
        <v>79</v>
      </c>
      <c r="H12" s="229"/>
      <c r="I12" s="229"/>
      <c r="J12" s="229"/>
      <c r="K12" s="229"/>
      <c r="L12" s="229"/>
      <c r="M12" s="229"/>
      <c r="N12" s="229"/>
      <c r="O12" s="229"/>
      <c r="P12" s="229"/>
      <c r="Q12" s="229"/>
      <c r="R12" s="229"/>
      <c r="S12" s="229"/>
      <c r="T12" s="229"/>
      <c r="U12" s="229"/>
      <c r="V12" s="230"/>
      <c r="X12" s="54"/>
      <c r="Y12" s="215"/>
      <c r="Z12" s="216"/>
      <c r="AA12" s="216"/>
      <c r="AB12" s="216"/>
      <c r="AC12" s="254"/>
      <c r="AD12" s="255"/>
    </row>
    <row r="13" spans="2:30" ht="30" customHeight="1">
      <c r="B13" s="223" t="s">
        <v>80</v>
      </c>
      <c r="C13" s="224"/>
      <c r="D13" s="224"/>
      <c r="E13" s="224"/>
      <c r="F13" s="224"/>
      <c r="G13" s="231" t="s">
        <v>81</v>
      </c>
      <c r="H13" s="231"/>
      <c r="I13" s="231"/>
      <c r="J13" s="231"/>
      <c r="K13" s="231"/>
      <c r="L13" s="231"/>
      <c r="M13" s="231"/>
      <c r="N13" s="231"/>
      <c r="O13" s="231"/>
      <c r="P13" s="231"/>
      <c r="Q13" s="231"/>
      <c r="R13" s="231"/>
      <c r="S13" s="231"/>
      <c r="T13" s="231"/>
      <c r="U13" s="231"/>
      <c r="V13" s="232"/>
      <c r="Y13" s="215" t="s">
        <v>77</v>
      </c>
      <c r="Z13" s="216"/>
      <c r="AA13" s="216"/>
      <c r="AB13" s="216"/>
      <c r="AC13" s="219" t="e">
        <f>_xlfn.STDEV.S(AC6:AD10)</f>
        <v>#DIV/0!</v>
      </c>
      <c r="AD13" s="220"/>
    </row>
    <row r="14" spans="2:30">
      <c r="B14" s="223" t="s">
        <v>83</v>
      </c>
      <c r="C14" s="224"/>
      <c r="D14" s="224"/>
      <c r="E14" s="224"/>
      <c r="F14" s="224"/>
      <c r="G14" s="225" t="s">
        <v>84</v>
      </c>
      <c r="H14" s="225"/>
      <c r="I14" s="225"/>
      <c r="J14" s="225"/>
      <c r="K14" s="225"/>
      <c r="L14" s="225"/>
      <c r="M14" s="225"/>
      <c r="N14" s="225"/>
      <c r="O14" s="225"/>
      <c r="P14" s="225"/>
      <c r="Q14" s="225"/>
      <c r="R14" s="225"/>
      <c r="S14" s="225"/>
      <c r="T14" s="225"/>
      <c r="U14" s="225"/>
      <c r="V14" s="226"/>
      <c r="Y14" s="215"/>
      <c r="Z14" s="216"/>
      <c r="AA14" s="216"/>
      <c r="AB14" s="216"/>
      <c r="AC14" s="219"/>
      <c r="AD14" s="220"/>
    </row>
    <row r="15" spans="2:30">
      <c r="B15" s="223"/>
      <c r="C15" s="224"/>
      <c r="D15" s="224"/>
      <c r="E15" s="224"/>
      <c r="F15" s="224"/>
      <c r="G15" s="225"/>
      <c r="H15" s="225"/>
      <c r="I15" s="225"/>
      <c r="J15" s="225"/>
      <c r="K15" s="225"/>
      <c r="L15" s="225"/>
      <c r="M15" s="225"/>
      <c r="N15" s="225"/>
      <c r="O15" s="225"/>
      <c r="P15" s="225"/>
      <c r="Q15" s="225"/>
      <c r="R15" s="225"/>
      <c r="S15" s="225"/>
      <c r="T15" s="225"/>
      <c r="U15" s="225"/>
      <c r="V15" s="226"/>
      <c r="Y15" s="215" t="s">
        <v>82</v>
      </c>
      <c r="Z15" s="216"/>
      <c r="AA15" s="216"/>
      <c r="AB15" s="216"/>
      <c r="AC15" s="219" t="e">
        <f>AC13/SQRT(Y10)</f>
        <v>#DIV/0!</v>
      </c>
      <c r="AD15" s="220"/>
    </row>
    <row r="16" spans="2:30" ht="15.75" thickBot="1">
      <c r="B16" s="223"/>
      <c r="C16" s="224"/>
      <c r="D16" s="224"/>
      <c r="E16" s="224"/>
      <c r="F16" s="224"/>
      <c r="G16" s="225"/>
      <c r="H16" s="225"/>
      <c r="I16" s="225"/>
      <c r="J16" s="225"/>
      <c r="K16" s="225"/>
      <c r="L16" s="225"/>
      <c r="M16" s="225"/>
      <c r="N16" s="225"/>
      <c r="O16" s="225"/>
      <c r="P16" s="225"/>
      <c r="Q16" s="225"/>
      <c r="R16" s="225"/>
      <c r="S16" s="225"/>
      <c r="T16" s="225"/>
      <c r="U16" s="225"/>
      <c r="V16" s="226"/>
      <c r="Y16" s="217"/>
      <c r="Z16" s="218"/>
      <c r="AA16" s="218"/>
      <c r="AB16" s="218"/>
      <c r="AC16" s="221"/>
      <c r="AD16" s="222"/>
    </row>
    <row r="17" spans="2:22" ht="15.75" thickBot="1">
      <c r="B17" s="233" t="s">
        <v>85</v>
      </c>
      <c r="C17" s="234"/>
      <c r="D17" s="234"/>
      <c r="E17" s="234"/>
      <c r="F17" s="234"/>
      <c r="G17" s="235" t="s">
        <v>86</v>
      </c>
      <c r="H17" s="235"/>
      <c r="I17" s="235"/>
      <c r="J17" s="235"/>
      <c r="K17" s="235"/>
      <c r="L17" s="235"/>
      <c r="M17" s="235"/>
      <c r="N17" s="235"/>
      <c r="O17" s="235"/>
      <c r="P17" s="235"/>
      <c r="Q17" s="235"/>
      <c r="R17" s="235"/>
      <c r="S17" s="235"/>
      <c r="T17" s="235"/>
      <c r="U17" s="235"/>
      <c r="V17" s="236"/>
    </row>
    <row r="19" spans="2:22">
      <c r="G19" s="237" t="s">
        <v>87</v>
      </c>
      <c r="H19" s="237"/>
      <c r="I19" s="238" t="e">
        <f>TINV(0.05,G11)</f>
        <v>#DIV/0!</v>
      </c>
      <c r="J19" s="238"/>
    </row>
    <row r="20" spans="2:22">
      <c r="G20" s="237" t="s">
        <v>88</v>
      </c>
      <c r="H20" s="237"/>
      <c r="I20" s="85" t="e">
        <f>ROUND(I19*G9,1)</f>
        <v>#DIV/0!</v>
      </c>
      <c r="J20" s="85"/>
    </row>
    <row r="21" spans="2:22" ht="30" customHeight="1"/>
    <row r="22" spans="2:22" ht="30" customHeight="1"/>
  </sheetData>
  <mergeCells count="87">
    <mergeCell ref="B2:V3"/>
    <mergeCell ref="C4:D4"/>
    <mergeCell ref="E4:F4"/>
    <mergeCell ref="G4:H4"/>
    <mergeCell ref="I4:J4"/>
    <mergeCell ref="K4:L4"/>
    <mergeCell ref="M4:N4"/>
    <mergeCell ref="O4:P4"/>
    <mergeCell ref="Q4:R4"/>
    <mergeCell ref="S4:T4"/>
    <mergeCell ref="U4:V4"/>
    <mergeCell ref="M5:N5"/>
    <mergeCell ref="O5:P5"/>
    <mergeCell ref="Q5:R5"/>
    <mergeCell ref="S5:T5"/>
    <mergeCell ref="U5:V5"/>
    <mergeCell ref="C5:D5"/>
    <mergeCell ref="E5:F5"/>
    <mergeCell ref="G5:H5"/>
    <mergeCell ref="I5:J5"/>
    <mergeCell ref="K5:L5"/>
    <mergeCell ref="AC6:AD6"/>
    <mergeCell ref="AC7:AD7"/>
    <mergeCell ref="Y7:AB7"/>
    <mergeCell ref="Y4:AB5"/>
    <mergeCell ref="AC4:AD5"/>
    <mergeCell ref="C6:D6"/>
    <mergeCell ref="E6:F6"/>
    <mergeCell ref="G6:H6"/>
    <mergeCell ref="I6:J6"/>
    <mergeCell ref="K6:L6"/>
    <mergeCell ref="M6:N6"/>
    <mergeCell ref="O6:P6"/>
    <mergeCell ref="Q6:R6"/>
    <mergeCell ref="S6:T6"/>
    <mergeCell ref="Y8:AB8"/>
    <mergeCell ref="U6:V6"/>
    <mergeCell ref="Y6:AB6"/>
    <mergeCell ref="AC8:AD8"/>
    <mergeCell ref="C7:D7"/>
    <mergeCell ref="E7:F7"/>
    <mergeCell ref="G7:H7"/>
    <mergeCell ref="I7:J7"/>
    <mergeCell ref="K7:L7"/>
    <mergeCell ref="M7:N7"/>
    <mergeCell ref="O7:P7"/>
    <mergeCell ref="Q7:R7"/>
    <mergeCell ref="S7:T7"/>
    <mergeCell ref="U7:V7"/>
    <mergeCell ref="M8:N8"/>
    <mergeCell ref="O8:P8"/>
    <mergeCell ref="Q8:R8"/>
    <mergeCell ref="S8:T8"/>
    <mergeCell ref="U8:V8"/>
    <mergeCell ref="C8:D8"/>
    <mergeCell ref="E8:F8"/>
    <mergeCell ref="G8:H8"/>
    <mergeCell ref="I8:J8"/>
    <mergeCell ref="K8:L8"/>
    <mergeCell ref="G19:H19"/>
    <mergeCell ref="I19:J19"/>
    <mergeCell ref="G20:H20"/>
    <mergeCell ref="AC10:AD10"/>
    <mergeCell ref="C9:F9"/>
    <mergeCell ref="G9:J9"/>
    <mergeCell ref="K9:V11"/>
    <mergeCell ref="Y11:AB12"/>
    <mergeCell ref="AC11:AD12"/>
    <mergeCell ref="C10:F10"/>
    <mergeCell ref="G10:J10"/>
    <mergeCell ref="B11:F11"/>
    <mergeCell ref="G11:J11"/>
    <mergeCell ref="Y10:AB10"/>
    <mergeCell ref="Y9:AB9"/>
    <mergeCell ref="AC9:AD9"/>
    <mergeCell ref="B12:F12"/>
    <mergeCell ref="G12:V12"/>
    <mergeCell ref="B13:F13"/>
    <mergeCell ref="G13:V13"/>
    <mergeCell ref="B17:F17"/>
    <mergeCell ref="G17:V17"/>
    <mergeCell ref="Y15:AB16"/>
    <mergeCell ref="AC15:AD16"/>
    <mergeCell ref="B14:F16"/>
    <mergeCell ref="G14:V16"/>
    <mergeCell ref="Y13:AB14"/>
    <mergeCell ref="AC13:AD14"/>
  </mergeCells>
  <pageMargins left="0.7" right="0.7" top="0.75" bottom="0.75" header="0.3" footer="0.3"/>
  <pageSetup scale="45" orientation="portrait" horizontalDpi="300" verticalDpi="300" r:id="rId1"/>
  <colBreaks count="1" manualBreakCount="1">
    <brk id="23" max="19" man="1"/>
  </colBreaks>
  <extLst>
    <ext xmlns:x14="http://schemas.microsoft.com/office/spreadsheetml/2009/9/main" uri="{78C0D931-6437-407d-A8EE-F0AAD7539E65}">
      <x14:conditionalFormattings>
        <x14:conditionalFormatting xmlns:xm="http://schemas.microsoft.com/office/excel/2006/main">
          <x14:cfRule type="expression" priority="1" id="{E75E27C9-C758-440E-AACD-74A49B997F14}">
            <xm:f>Datasheet!$B$6="34901A"</xm:f>
            <x14:dxf>
              <numFmt numFmtId="164" formatCode="0.0"/>
            </x14:dxf>
          </x14:cfRule>
          <xm:sqref>AC6:AD12</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5ED54-2A66-4ABE-952F-6830A3C14AAD}">
  <sheetPr codeName="Sheet19"/>
  <dimension ref="B1:AD22"/>
  <sheetViews>
    <sheetView zoomScaleNormal="100" workbookViewId="0">
      <selection activeCell="G11" sqref="G11:J11"/>
    </sheetView>
  </sheetViews>
  <sheetFormatPr defaultRowHeight="15"/>
  <cols>
    <col min="1" max="1" width="4.28515625" style="50" customWidth="1"/>
    <col min="2" max="22" width="9.140625" style="50"/>
    <col min="23" max="24" width="2.85546875" style="50" customWidth="1"/>
    <col min="25" max="16384" width="9.140625" style="50"/>
  </cols>
  <sheetData>
    <row r="1" spans="2:30" ht="15.75" thickBot="1"/>
    <row r="2" spans="2:30" ht="15" customHeight="1">
      <c r="B2" s="280" t="e">
        <f>"Measurement Uncertainty Analysis (Type T "&amp;ROUND(Datasheet!C36,0)&amp;"°C test point)
The reported value ("&amp;ROUND(AC11,1)&amp;") is the mean UUT indication five (5) test runs"</f>
        <v>#DIV/0!</v>
      </c>
      <c r="C2" s="281"/>
      <c r="D2" s="281"/>
      <c r="E2" s="281"/>
      <c r="F2" s="281"/>
      <c r="G2" s="281"/>
      <c r="H2" s="281"/>
      <c r="I2" s="281"/>
      <c r="J2" s="281"/>
      <c r="K2" s="281"/>
      <c r="L2" s="281"/>
      <c r="M2" s="281"/>
      <c r="N2" s="281"/>
      <c r="O2" s="281"/>
      <c r="P2" s="281"/>
      <c r="Q2" s="281"/>
      <c r="R2" s="281"/>
      <c r="S2" s="281"/>
      <c r="T2" s="281"/>
      <c r="U2" s="281"/>
      <c r="V2" s="282"/>
    </row>
    <row r="3" spans="2:30" ht="15.75" thickBot="1">
      <c r="B3" s="283"/>
      <c r="C3" s="284"/>
      <c r="D3" s="284"/>
      <c r="E3" s="284"/>
      <c r="F3" s="284"/>
      <c r="G3" s="284"/>
      <c r="H3" s="284"/>
      <c r="I3" s="284"/>
      <c r="J3" s="284"/>
      <c r="K3" s="284"/>
      <c r="L3" s="284"/>
      <c r="M3" s="284"/>
      <c r="N3" s="284"/>
      <c r="O3" s="284"/>
      <c r="P3" s="284"/>
      <c r="Q3" s="284"/>
      <c r="R3" s="284"/>
      <c r="S3" s="284"/>
      <c r="T3" s="284"/>
      <c r="U3" s="284"/>
      <c r="V3" s="285"/>
    </row>
    <row r="4" spans="2:30" ht="30" customHeight="1">
      <c r="B4" s="71"/>
      <c r="C4" s="216" t="s">
        <v>45</v>
      </c>
      <c r="D4" s="216"/>
      <c r="E4" s="286" t="s">
        <v>46</v>
      </c>
      <c r="F4" s="286"/>
      <c r="G4" s="287" t="s">
        <v>47</v>
      </c>
      <c r="H4" s="287"/>
      <c r="I4" s="286" t="s">
        <v>48</v>
      </c>
      <c r="J4" s="216"/>
      <c r="K4" s="216" t="s">
        <v>49</v>
      </c>
      <c r="L4" s="216"/>
      <c r="M4" s="216" t="s">
        <v>50</v>
      </c>
      <c r="N4" s="216"/>
      <c r="O4" s="286" t="s">
        <v>51</v>
      </c>
      <c r="P4" s="286"/>
      <c r="Q4" s="216" t="s">
        <v>52</v>
      </c>
      <c r="R4" s="216"/>
      <c r="S4" s="216" t="s">
        <v>53</v>
      </c>
      <c r="T4" s="216"/>
      <c r="U4" s="286" t="s">
        <v>54</v>
      </c>
      <c r="V4" s="288"/>
      <c r="Y4" s="277" t="s">
        <v>55</v>
      </c>
      <c r="Z4" s="241"/>
      <c r="AA4" s="241"/>
      <c r="AB4" s="241"/>
      <c r="AC4" s="241" t="s">
        <v>56</v>
      </c>
      <c r="AD4" s="278"/>
    </row>
    <row r="5" spans="2:30" ht="30" customHeight="1" thickBot="1">
      <c r="B5" s="71" t="s">
        <v>57</v>
      </c>
      <c r="C5" s="263" t="s">
        <v>58</v>
      </c>
      <c r="D5" s="263"/>
      <c r="E5" s="254">
        <f>'STD Info'!L32</f>
        <v>0.12</v>
      </c>
      <c r="F5" s="263"/>
      <c r="G5" s="269">
        <v>0.95</v>
      </c>
      <c r="H5" s="263"/>
      <c r="I5" s="263" t="s">
        <v>59</v>
      </c>
      <c r="J5" s="263"/>
      <c r="K5" s="263" t="s">
        <v>60</v>
      </c>
      <c r="L5" s="263"/>
      <c r="M5" s="254">
        <f>NORMSINV((1+0.95)/2)</f>
        <v>1.9599639845400536</v>
      </c>
      <c r="N5" s="254"/>
      <c r="O5" s="270">
        <f>E5/M5</f>
        <v>6.1225614830958487E-2</v>
      </c>
      <c r="P5" s="270"/>
      <c r="Q5" s="254">
        <v>1</v>
      </c>
      <c r="R5" s="254"/>
      <c r="S5" s="270">
        <f>O5*Q5</f>
        <v>6.1225614830958487E-2</v>
      </c>
      <c r="T5" s="270"/>
      <c r="U5" s="271" t="s">
        <v>61</v>
      </c>
      <c r="V5" s="272"/>
      <c r="Y5" s="217"/>
      <c r="Z5" s="218"/>
      <c r="AA5" s="218"/>
      <c r="AB5" s="218"/>
      <c r="AC5" s="218"/>
      <c r="AD5" s="279"/>
    </row>
    <row r="6" spans="2:30" ht="30" customHeight="1">
      <c r="B6" s="71" t="s">
        <v>62</v>
      </c>
      <c r="C6" s="263" t="s">
        <v>63</v>
      </c>
      <c r="D6" s="263"/>
      <c r="E6" s="263">
        <f>'STD Info'!D9/2</f>
        <v>5.0000000000000001E-3</v>
      </c>
      <c r="F6" s="263"/>
      <c r="G6" s="269">
        <v>1</v>
      </c>
      <c r="H6" s="263"/>
      <c r="I6" s="263" t="s">
        <v>59</v>
      </c>
      <c r="J6" s="263"/>
      <c r="K6" s="263" t="s">
        <v>64</v>
      </c>
      <c r="L6" s="263"/>
      <c r="M6" s="254">
        <f>SQRT(3)</f>
        <v>1.7320508075688772</v>
      </c>
      <c r="N6" s="254"/>
      <c r="O6" s="270">
        <f>E6/M6</f>
        <v>2.886751345948129E-3</v>
      </c>
      <c r="P6" s="270"/>
      <c r="Q6" s="254">
        <v>1</v>
      </c>
      <c r="R6" s="254"/>
      <c r="S6" s="270">
        <f>O6*Q6</f>
        <v>2.886751345948129E-3</v>
      </c>
      <c r="T6" s="270"/>
      <c r="U6" s="271" t="s">
        <v>61</v>
      </c>
      <c r="V6" s="272"/>
      <c r="Y6" s="274">
        <v>1</v>
      </c>
      <c r="Z6" s="266"/>
      <c r="AA6" s="266"/>
      <c r="AB6" s="266"/>
      <c r="AC6" s="275"/>
      <c r="AD6" s="276"/>
    </row>
    <row r="7" spans="2:30" ht="30" customHeight="1">
      <c r="B7" s="71" t="s">
        <v>65</v>
      </c>
      <c r="C7" s="263" t="s">
        <v>66</v>
      </c>
      <c r="D7" s="263"/>
      <c r="E7" s="263">
        <f>IF(Datasheet!B6="DAQM901A",'UUT Info'!D9/2,'UUT Info'!P9/2)</f>
        <v>0.05</v>
      </c>
      <c r="F7" s="263"/>
      <c r="G7" s="269">
        <v>1</v>
      </c>
      <c r="H7" s="263"/>
      <c r="I7" s="263" t="s">
        <v>59</v>
      </c>
      <c r="J7" s="263"/>
      <c r="K7" s="263" t="s">
        <v>64</v>
      </c>
      <c r="L7" s="263"/>
      <c r="M7" s="254">
        <f>SQRT(3)</f>
        <v>1.7320508075688772</v>
      </c>
      <c r="N7" s="254"/>
      <c r="O7" s="270">
        <f>E7/M7</f>
        <v>2.8867513459481291E-2</v>
      </c>
      <c r="P7" s="270"/>
      <c r="Q7" s="254">
        <v>1</v>
      </c>
      <c r="R7" s="254"/>
      <c r="S7" s="270">
        <f>O7*Q7</f>
        <v>2.8867513459481291E-2</v>
      </c>
      <c r="T7" s="270"/>
      <c r="U7" s="271" t="s">
        <v>61</v>
      </c>
      <c r="V7" s="272"/>
      <c r="Y7" s="262">
        <v>2</v>
      </c>
      <c r="Z7" s="263"/>
      <c r="AA7" s="263"/>
      <c r="AB7" s="263"/>
      <c r="AC7" s="264"/>
      <c r="AD7" s="265"/>
    </row>
    <row r="8" spans="2:30" ht="30" customHeight="1" thickBot="1">
      <c r="B8" s="70" t="s">
        <v>67</v>
      </c>
      <c r="C8" s="266" t="s">
        <v>68</v>
      </c>
      <c r="D8" s="266"/>
      <c r="E8" s="267" t="e">
        <f>AC15</f>
        <v>#DIV/0!</v>
      </c>
      <c r="F8" s="267"/>
      <c r="G8" s="268">
        <v>0.68</v>
      </c>
      <c r="H8" s="266"/>
      <c r="I8" s="266" t="s">
        <v>69</v>
      </c>
      <c r="J8" s="266"/>
      <c r="K8" s="266" t="s">
        <v>60</v>
      </c>
      <c r="L8" s="266"/>
      <c r="M8" s="252" t="s">
        <v>70</v>
      </c>
      <c r="N8" s="252"/>
      <c r="O8" s="267" t="e">
        <f>E8/1</f>
        <v>#DIV/0!</v>
      </c>
      <c r="P8" s="267"/>
      <c r="Q8" s="252">
        <v>1</v>
      </c>
      <c r="R8" s="252"/>
      <c r="S8" s="267" t="e">
        <f>O8*Q8</f>
        <v>#DIV/0!</v>
      </c>
      <c r="T8" s="267"/>
      <c r="U8" s="266">
        <f>Y10-1</f>
        <v>4</v>
      </c>
      <c r="V8" s="273"/>
      <c r="Y8" s="262">
        <v>3</v>
      </c>
      <c r="Z8" s="263"/>
      <c r="AA8" s="263"/>
      <c r="AB8" s="263"/>
      <c r="AC8" s="264"/>
      <c r="AD8" s="265"/>
    </row>
    <row r="9" spans="2:30" ht="30" customHeight="1">
      <c r="B9" s="72" t="s">
        <v>71</v>
      </c>
      <c r="C9" s="241" t="s">
        <v>72</v>
      </c>
      <c r="D9" s="241"/>
      <c r="E9" s="241"/>
      <c r="F9" s="241"/>
      <c r="G9" s="242" t="e">
        <f>SQRT(SUMSQ(S5:T8))</f>
        <v>#DIV/0!</v>
      </c>
      <c r="H9" s="242"/>
      <c r="I9" s="242"/>
      <c r="J9" s="242"/>
      <c r="K9" s="243" t="s">
        <v>138</v>
      </c>
      <c r="L9" s="244"/>
      <c r="M9" s="244"/>
      <c r="N9" s="244"/>
      <c r="O9" s="244"/>
      <c r="P9" s="244"/>
      <c r="Q9" s="244"/>
      <c r="R9" s="244"/>
      <c r="S9" s="244"/>
      <c r="T9" s="244"/>
      <c r="U9" s="244"/>
      <c r="V9" s="245"/>
      <c r="Y9" s="262">
        <v>4</v>
      </c>
      <c r="Z9" s="263"/>
      <c r="AA9" s="263"/>
      <c r="AB9" s="263"/>
      <c r="AC9" s="264"/>
      <c r="AD9" s="265"/>
    </row>
    <row r="10" spans="2:30" ht="30" customHeight="1" thickBot="1">
      <c r="B10" s="69" t="s">
        <v>74</v>
      </c>
      <c r="C10" s="216" t="s">
        <v>75</v>
      </c>
      <c r="D10" s="216"/>
      <c r="E10" s="216"/>
      <c r="F10" s="216"/>
      <c r="G10" s="256" t="e">
        <f>ROUND(AC11,1) &amp; "°C ± " &amp; I20 &amp;"°C"</f>
        <v>#DIV/0!</v>
      </c>
      <c r="H10" s="256"/>
      <c r="I10" s="256"/>
      <c r="J10" s="256"/>
      <c r="K10" s="246"/>
      <c r="L10" s="246"/>
      <c r="M10" s="246"/>
      <c r="N10" s="246"/>
      <c r="O10" s="246"/>
      <c r="P10" s="246"/>
      <c r="Q10" s="246"/>
      <c r="R10" s="246"/>
      <c r="S10" s="246"/>
      <c r="T10" s="246"/>
      <c r="U10" s="246"/>
      <c r="V10" s="247"/>
      <c r="Y10" s="260">
        <v>5</v>
      </c>
      <c r="Z10" s="261"/>
      <c r="AA10" s="261"/>
      <c r="AB10" s="261"/>
      <c r="AC10" s="239"/>
      <c r="AD10" s="240"/>
    </row>
    <row r="11" spans="2:30" ht="30" customHeight="1" thickBot="1">
      <c r="B11" s="257" t="s">
        <v>76</v>
      </c>
      <c r="C11" s="258"/>
      <c r="D11" s="258"/>
      <c r="E11" s="258"/>
      <c r="F11" s="258"/>
      <c r="G11" s="259" t="e">
        <f>IF(S8=0,10000000000,IF(U8*((G9^4)/(S8^4))&gt;10000000000,10000000000,U8*((G9^4)/(S8^4))))</f>
        <v>#DIV/0!</v>
      </c>
      <c r="H11" s="259"/>
      <c r="I11" s="259"/>
      <c r="J11" s="259"/>
      <c r="K11" s="248"/>
      <c r="L11" s="248"/>
      <c r="M11" s="248"/>
      <c r="N11" s="248"/>
      <c r="O11" s="248"/>
      <c r="P11" s="248"/>
      <c r="Q11" s="248"/>
      <c r="R11" s="248"/>
      <c r="S11" s="248"/>
      <c r="T11" s="248"/>
      <c r="U11" s="248"/>
      <c r="V11" s="249"/>
      <c r="X11" s="54"/>
      <c r="Y11" s="250" t="s">
        <v>73</v>
      </c>
      <c r="Z11" s="251"/>
      <c r="AA11" s="251"/>
      <c r="AB11" s="251"/>
      <c r="AC11" s="252" t="e">
        <f>AVERAGE(AC6:AD10)</f>
        <v>#DIV/0!</v>
      </c>
      <c r="AD11" s="253"/>
    </row>
    <row r="12" spans="2:30" ht="30" customHeight="1" thickTop="1">
      <c r="B12" s="227" t="s">
        <v>78</v>
      </c>
      <c r="C12" s="228"/>
      <c r="D12" s="228"/>
      <c r="E12" s="228"/>
      <c r="F12" s="228"/>
      <c r="G12" s="229" t="s">
        <v>79</v>
      </c>
      <c r="H12" s="229"/>
      <c r="I12" s="229"/>
      <c r="J12" s="229"/>
      <c r="K12" s="229"/>
      <c r="L12" s="229"/>
      <c r="M12" s="229"/>
      <c r="N12" s="229"/>
      <c r="O12" s="229"/>
      <c r="P12" s="229"/>
      <c r="Q12" s="229"/>
      <c r="R12" s="229"/>
      <c r="S12" s="229"/>
      <c r="T12" s="229"/>
      <c r="U12" s="229"/>
      <c r="V12" s="230"/>
      <c r="X12" s="54"/>
      <c r="Y12" s="215"/>
      <c r="Z12" s="216"/>
      <c r="AA12" s="216"/>
      <c r="AB12" s="216"/>
      <c r="AC12" s="254"/>
      <c r="AD12" s="255"/>
    </row>
    <row r="13" spans="2:30" ht="30" customHeight="1">
      <c r="B13" s="223" t="s">
        <v>80</v>
      </c>
      <c r="C13" s="224"/>
      <c r="D13" s="224"/>
      <c r="E13" s="224"/>
      <c r="F13" s="224"/>
      <c r="G13" s="231" t="s">
        <v>81</v>
      </c>
      <c r="H13" s="231"/>
      <c r="I13" s="231"/>
      <c r="J13" s="231"/>
      <c r="K13" s="231"/>
      <c r="L13" s="231"/>
      <c r="M13" s="231"/>
      <c r="N13" s="231"/>
      <c r="O13" s="231"/>
      <c r="P13" s="231"/>
      <c r="Q13" s="231"/>
      <c r="R13" s="231"/>
      <c r="S13" s="231"/>
      <c r="T13" s="231"/>
      <c r="U13" s="231"/>
      <c r="V13" s="232"/>
      <c r="Y13" s="215" t="s">
        <v>77</v>
      </c>
      <c r="Z13" s="216"/>
      <c r="AA13" s="216"/>
      <c r="AB13" s="216"/>
      <c r="AC13" s="219" t="e">
        <f>_xlfn.STDEV.S(AC6:AD10)</f>
        <v>#DIV/0!</v>
      </c>
      <c r="AD13" s="220"/>
    </row>
    <row r="14" spans="2:30">
      <c r="B14" s="223" t="s">
        <v>83</v>
      </c>
      <c r="C14" s="224"/>
      <c r="D14" s="224"/>
      <c r="E14" s="224"/>
      <c r="F14" s="224"/>
      <c r="G14" s="225" t="s">
        <v>84</v>
      </c>
      <c r="H14" s="225"/>
      <c r="I14" s="225"/>
      <c r="J14" s="225"/>
      <c r="K14" s="225"/>
      <c r="L14" s="225"/>
      <c r="M14" s="225"/>
      <c r="N14" s="225"/>
      <c r="O14" s="225"/>
      <c r="P14" s="225"/>
      <c r="Q14" s="225"/>
      <c r="R14" s="225"/>
      <c r="S14" s="225"/>
      <c r="T14" s="225"/>
      <c r="U14" s="225"/>
      <c r="V14" s="226"/>
      <c r="Y14" s="215"/>
      <c r="Z14" s="216"/>
      <c r="AA14" s="216"/>
      <c r="AB14" s="216"/>
      <c r="AC14" s="219"/>
      <c r="AD14" s="220"/>
    </row>
    <row r="15" spans="2:30">
      <c r="B15" s="223"/>
      <c r="C15" s="224"/>
      <c r="D15" s="224"/>
      <c r="E15" s="224"/>
      <c r="F15" s="224"/>
      <c r="G15" s="225"/>
      <c r="H15" s="225"/>
      <c r="I15" s="225"/>
      <c r="J15" s="225"/>
      <c r="K15" s="225"/>
      <c r="L15" s="225"/>
      <c r="M15" s="225"/>
      <c r="N15" s="225"/>
      <c r="O15" s="225"/>
      <c r="P15" s="225"/>
      <c r="Q15" s="225"/>
      <c r="R15" s="225"/>
      <c r="S15" s="225"/>
      <c r="T15" s="225"/>
      <c r="U15" s="225"/>
      <c r="V15" s="226"/>
      <c r="Y15" s="215" t="s">
        <v>82</v>
      </c>
      <c r="Z15" s="216"/>
      <c r="AA15" s="216"/>
      <c r="AB15" s="216"/>
      <c r="AC15" s="219" t="e">
        <f>AC13/SQRT(Y10)</f>
        <v>#DIV/0!</v>
      </c>
      <c r="AD15" s="220"/>
    </row>
    <row r="16" spans="2:30" ht="15.75" thickBot="1">
      <c r="B16" s="223"/>
      <c r="C16" s="224"/>
      <c r="D16" s="224"/>
      <c r="E16" s="224"/>
      <c r="F16" s="224"/>
      <c r="G16" s="225"/>
      <c r="H16" s="225"/>
      <c r="I16" s="225"/>
      <c r="J16" s="225"/>
      <c r="K16" s="225"/>
      <c r="L16" s="225"/>
      <c r="M16" s="225"/>
      <c r="N16" s="225"/>
      <c r="O16" s="225"/>
      <c r="P16" s="225"/>
      <c r="Q16" s="225"/>
      <c r="R16" s="225"/>
      <c r="S16" s="225"/>
      <c r="T16" s="225"/>
      <c r="U16" s="225"/>
      <c r="V16" s="226"/>
      <c r="Y16" s="217"/>
      <c r="Z16" s="218"/>
      <c r="AA16" s="218"/>
      <c r="AB16" s="218"/>
      <c r="AC16" s="221"/>
      <c r="AD16" s="222"/>
    </row>
    <row r="17" spans="2:22" ht="15.75" thickBot="1">
      <c r="B17" s="233" t="s">
        <v>85</v>
      </c>
      <c r="C17" s="234"/>
      <c r="D17" s="234"/>
      <c r="E17" s="234"/>
      <c r="F17" s="234"/>
      <c r="G17" s="235" t="s">
        <v>86</v>
      </c>
      <c r="H17" s="235"/>
      <c r="I17" s="235"/>
      <c r="J17" s="235"/>
      <c r="K17" s="235"/>
      <c r="L17" s="235"/>
      <c r="M17" s="235"/>
      <c r="N17" s="235"/>
      <c r="O17" s="235"/>
      <c r="P17" s="235"/>
      <c r="Q17" s="235"/>
      <c r="R17" s="235"/>
      <c r="S17" s="235"/>
      <c r="T17" s="235"/>
      <c r="U17" s="235"/>
      <c r="V17" s="236"/>
    </row>
    <row r="19" spans="2:22">
      <c r="G19" s="237" t="s">
        <v>87</v>
      </c>
      <c r="H19" s="237"/>
      <c r="I19" s="238" t="e">
        <f>TINV(0.05,G11)</f>
        <v>#DIV/0!</v>
      </c>
      <c r="J19" s="238"/>
    </row>
    <row r="20" spans="2:22">
      <c r="G20" s="237" t="s">
        <v>88</v>
      </c>
      <c r="H20" s="237"/>
      <c r="I20" s="85" t="e">
        <f>ROUND(I19*G9,1)</f>
        <v>#DIV/0!</v>
      </c>
      <c r="J20" s="85"/>
    </row>
    <row r="21" spans="2:22" ht="30" customHeight="1"/>
    <row r="22" spans="2:22" ht="30" customHeight="1"/>
  </sheetData>
  <mergeCells count="87">
    <mergeCell ref="B2:V3"/>
    <mergeCell ref="C4:D4"/>
    <mergeCell ref="E4:F4"/>
    <mergeCell ref="G4:H4"/>
    <mergeCell ref="I4:J4"/>
    <mergeCell ref="K4:L4"/>
    <mergeCell ref="M4:N4"/>
    <mergeCell ref="O4:P4"/>
    <mergeCell ref="Q4:R4"/>
    <mergeCell ref="S4:T4"/>
    <mergeCell ref="U4:V4"/>
    <mergeCell ref="M5:N5"/>
    <mergeCell ref="O5:P5"/>
    <mergeCell ref="Q5:R5"/>
    <mergeCell ref="S5:T5"/>
    <mergeCell ref="U5:V5"/>
    <mergeCell ref="C5:D5"/>
    <mergeCell ref="E5:F5"/>
    <mergeCell ref="G5:H5"/>
    <mergeCell ref="I5:J5"/>
    <mergeCell ref="K5:L5"/>
    <mergeCell ref="AC6:AD6"/>
    <mergeCell ref="AC7:AD7"/>
    <mergeCell ref="Y7:AB7"/>
    <mergeCell ref="Y4:AB5"/>
    <mergeCell ref="AC4:AD5"/>
    <mergeCell ref="C6:D6"/>
    <mergeCell ref="E6:F6"/>
    <mergeCell ref="G6:H6"/>
    <mergeCell ref="I6:J6"/>
    <mergeCell ref="K6:L6"/>
    <mergeCell ref="M6:N6"/>
    <mergeCell ref="O6:P6"/>
    <mergeCell ref="Q6:R6"/>
    <mergeCell ref="S6:T6"/>
    <mergeCell ref="Y8:AB8"/>
    <mergeCell ref="U6:V6"/>
    <mergeCell ref="Y6:AB6"/>
    <mergeCell ref="AC8:AD8"/>
    <mergeCell ref="C7:D7"/>
    <mergeCell ref="E7:F7"/>
    <mergeCell ref="G7:H7"/>
    <mergeCell ref="I7:J7"/>
    <mergeCell ref="K7:L7"/>
    <mergeCell ref="M7:N7"/>
    <mergeCell ref="O7:P7"/>
    <mergeCell ref="Q7:R7"/>
    <mergeCell ref="S7:T7"/>
    <mergeCell ref="U7:V7"/>
    <mergeCell ref="M8:N8"/>
    <mergeCell ref="O8:P8"/>
    <mergeCell ref="Q8:R8"/>
    <mergeCell ref="S8:T8"/>
    <mergeCell ref="U8:V8"/>
    <mergeCell ref="C8:D8"/>
    <mergeCell ref="E8:F8"/>
    <mergeCell ref="G8:H8"/>
    <mergeCell ref="I8:J8"/>
    <mergeCell ref="K8:L8"/>
    <mergeCell ref="G19:H19"/>
    <mergeCell ref="I19:J19"/>
    <mergeCell ref="G20:H20"/>
    <mergeCell ref="AC10:AD10"/>
    <mergeCell ref="C9:F9"/>
    <mergeCell ref="G9:J9"/>
    <mergeCell ref="K9:V11"/>
    <mergeCell ref="Y11:AB12"/>
    <mergeCell ref="AC11:AD12"/>
    <mergeCell ref="C10:F10"/>
    <mergeCell ref="G10:J10"/>
    <mergeCell ref="B11:F11"/>
    <mergeCell ref="G11:J11"/>
    <mergeCell ref="Y10:AB10"/>
    <mergeCell ref="Y9:AB9"/>
    <mergeCell ref="AC9:AD9"/>
    <mergeCell ref="B12:F12"/>
    <mergeCell ref="G12:V12"/>
    <mergeCell ref="B13:F13"/>
    <mergeCell ref="G13:V13"/>
    <mergeCell ref="B17:F17"/>
    <mergeCell ref="G17:V17"/>
    <mergeCell ref="Y15:AB16"/>
    <mergeCell ref="AC15:AD16"/>
    <mergeCell ref="B14:F16"/>
    <mergeCell ref="G14:V16"/>
    <mergeCell ref="Y13:AB14"/>
    <mergeCell ref="AC13:AD14"/>
  </mergeCells>
  <pageMargins left="0.7" right="0.7" top="0.75" bottom="0.75" header="0.3" footer="0.3"/>
  <pageSetup scale="45" orientation="portrait" horizontalDpi="300" verticalDpi="300" r:id="rId1"/>
  <colBreaks count="1" manualBreakCount="1">
    <brk id="23" max="19" man="1"/>
  </colBreaks>
  <extLst>
    <ext xmlns:x14="http://schemas.microsoft.com/office/spreadsheetml/2009/9/main" uri="{78C0D931-6437-407d-A8EE-F0AAD7539E65}">
      <x14:conditionalFormattings>
        <x14:conditionalFormatting xmlns:xm="http://schemas.microsoft.com/office/excel/2006/main">
          <x14:cfRule type="expression" priority="1" id="{478E8B27-7025-410E-A4DE-44D4B1DC20DF}">
            <xm:f>Datasheet!$B$6="34901A"</xm:f>
            <x14:dxf>
              <numFmt numFmtId="164" formatCode="0.0"/>
            </x14:dxf>
          </x14:cfRule>
          <xm:sqref>AC6:AD12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83A46-4015-4750-80CF-52B1F65346B2}">
  <sheetPr codeName="Sheet1"/>
  <dimension ref="B1:X43"/>
  <sheetViews>
    <sheetView workbookViewId="0">
      <selection activeCell="B45" sqref="B45"/>
    </sheetView>
  </sheetViews>
  <sheetFormatPr defaultRowHeight="12.75"/>
  <cols>
    <col min="1" max="1" width="5.7109375" customWidth="1"/>
  </cols>
  <sheetData>
    <row r="1" spans="2:24" ht="13.5" thickBot="1"/>
    <row r="2" spans="2:24">
      <c r="B2" s="187" t="s">
        <v>137</v>
      </c>
      <c r="C2" s="200"/>
      <c r="D2" s="200"/>
      <c r="E2" s="183" t="s">
        <v>141</v>
      </c>
      <c r="F2" s="183"/>
      <c r="G2" s="200" t="s">
        <v>142</v>
      </c>
      <c r="H2" s="200"/>
      <c r="I2" s="183" t="s">
        <v>143</v>
      </c>
      <c r="J2" s="184"/>
      <c r="K2" s="187" t="s">
        <v>139</v>
      </c>
      <c r="L2" s="188"/>
      <c r="S2" s="86"/>
      <c r="T2" s="86"/>
      <c r="U2" s="86"/>
      <c r="V2" s="87"/>
      <c r="W2" s="87"/>
    </row>
    <row r="3" spans="2:24" ht="13.5" thickBot="1">
      <c r="B3" s="189"/>
      <c r="C3" s="201"/>
      <c r="D3" s="201"/>
      <c r="E3" s="185"/>
      <c r="F3" s="185"/>
      <c r="G3" s="201"/>
      <c r="H3" s="201"/>
      <c r="I3" s="185"/>
      <c r="J3" s="186"/>
      <c r="K3" s="189"/>
      <c r="L3" s="190"/>
      <c r="S3" s="86"/>
      <c r="T3" s="86"/>
      <c r="U3" s="86"/>
      <c r="V3" s="87"/>
      <c r="W3" s="87"/>
    </row>
    <row r="4" spans="2:24" ht="13.5" thickTop="1">
      <c r="B4" s="202" t="str">
        <f>"Type E ("&amp;ROUND(Datasheet!C17,0)&amp;"°C)"</f>
        <v>Type E (0°C)</v>
      </c>
      <c r="C4" s="203"/>
      <c r="D4" s="203"/>
      <c r="E4" s="193" t="e">
        <f>ROUND('Type E (-200°C)'!AC11,1)</f>
        <v>#DIV/0!</v>
      </c>
      <c r="F4" s="193"/>
      <c r="G4" s="193">
        <f>Datasheet!F17</f>
        <v>0</v>
      </c>
      <c r="H4" s="193"/>
      <c r="I4" s="211" t="e">
        <f>'Type E (-200°C)'!I20</f>
        <v>#DIV/0!</v>
      </c>
      <c r="J4" s="212"/>
      <c r="K4" s="209" t="e">
        <f>ROUND(G4/I4,2)&amp;":1"</f>
        <v>#DIV/0!</v>
      </c>
      <c r="L4" s="210"/>
      <c r="M4" s="3"/>
      <c r="N4" s="3"/>
      <c r="O4" s="3"/>
      <c r="P4" s="3"/>
      <c r="Q4" s="3"/>
      <c r="R4" s="3"/>
      <c r="U4" s="12"/>
      <c r="V4" s="3"/>
      <c r="W4" s="3"/>
      <c r="X4" s="3"/>
    </row>
    <row r="5" spans="2:24">
      <c r="B5" s="198"/>
      <c r="C5" s="199"/>
      <c r="D5" s="199"/>
      <c r="E5" s="191"/>
      <c r="F5" s="191"/>
      <c r="G5" s="191"/>
      <c r="H5" s="191"/>
      <c r="I5" s="213"/>
      <c r="J5" s="214"/>
      <c r="K5" s="194"/>
      <c r="L5" s="195"/>
      <c r="M5" s="3"/>
      <c r="N5" s="3"/>
      <c r="O5" s="3"/>
      <c r="P5" s="3"/>
      <c r="Q5" s="3"/>
      <c r="R5" s="3"/>
      <c r="U5" s="12"/>
      <c r="V5" s="3"/>
      <c r="W5" s="3"/>
      <c r="X5" s="3"/>
    </row>
    <row r="6" spans="2:24">
      <c r="B6" s="198" t="str">
        <f>"Type E ("&amp;Datasheet!C18&amp;"°C)"</f>
        <v>Type E (-80°C)</v>
      </c>
      <c r="C6" s="199"/>
      <c r="D6" s="199"/>
      <c r="E6" s="191" t="e">
        <f>ROUND('Type E (-80°C)'!AC11,1)</f>
        <v>#DIV/0!</v>
      </c>
      <c r="F6" s="191"/>
      <c r="G6" s="191">
        <f>Datasheet!F18</f>
        <v>1</v>
      </c>
      <c r="H6" s="191"/>
      <c r="I6" s="191" t="e">
        <f>'Type E (-80°C)'!I20</f>
        <v>#DIV/0!</v>
      </c>
      <c r="J6" s="206"/>
      <c r="K6" s="194" t="e">
        <f>ROUND(G6/I6,2)&amp;":1"</f>
        <v>#DIV/0!</v>
      </c>
      <c r="L6" s="195"/>
      <c r="U6" s="88"/>
      <c r="V6" s="89"/>
    </row>
    <row r="7" spans="2:24">
      <c r="B7" s="198"/>
      <c r="C7" s="199"/>
      <c r="D7" s="199"/>
      <c r="E7" s="191"/>
      <c r="F7" s="191"/>
      <c r="G7" s="191"/>
      <c r="H7" s="191"/>
      <c r="I7" s="191"/>
      <c r="J7" s="206"/>
      <c r="K7" s="194"/>
      <c r="L7" s="195"/>
      <c r="U7" s="88"/>
      <c r="V7" s="89"/>
    </row>
    <row r="8" spans="2:24">
      <c r="B8" s="198" t="str">
        <f>"Type E ("&amp;Datasheet!C19&amp;"°C)"</f>
        <v>Type E (0°C)</v>
      </c>
      <c r="C8" s="199"/>
      <c r="D8" s="199"/>
      <c r="E8" s="191" t="e">
        <f>ROUND('Type E (0°C)'!AC11,1)</f>
        <v>#DIV/0!</v>
      </c>
      <c r="F8" s="191"/>
      <c r="G8" s="191">
        <f>Datasheet!F19</f>
        <v>1</v>
      </c>
      <c r="H8" s="191"/>
      <c r="I8" s="191" t="e">
        <f>'Type E (0°C)'!I20</f>
        <v>#DIV/0!</v>
      </c>
      <c r="J8" s="206"/>
      <c r="K8" s="194" t="e">
        <f>ROUND(G8/I8,2)&amp;":1"</f>
        <v>#DIV/0!</v>
      </c>
      <c r="L8" s="195"/>
      <c r="U8" s="88"/>
      <c r="V8" s="89"/>
    </row>
    <row r="9" spans="2:24">
      <c r="B9" s="198"/>
      <c r="C9" s="199"/>
      <c r="D9" s="199"/>
      <c r="E9" s="191"/>
      <c r="F9" s="191"/>
      <c r="G9" s="191"/>
      <c r="H9" s="191"/>
      <c r="I9" s="191"/>
      <c r="J9" s="206"/>
      <c r="K9" s="194"/>
      <c r="L9" s="195"/>
      <c r="U9" s="88"/>
      <c r="V9" s="89"/>
    </row>
    <row r="10" spans="2:24">
      <c r="B10" s="198" t="str">
        <f>"Type E ("&amp;ROUND(Datasheet!C20,0)&amp;"°C)"</f>
        <v>Type E (200°C)</v>
      </c>
      <c r="C10" s="199"/>
      <c r="D10" s="199"/>
      <c r="E10" s="191" t="e">
        <f>ROUND('Type E (200°C)'!AC11,1)</f>
        <v>#DIV/0!</v>
      </c>
      <c r="F10" s="191"/>
      <c r="G10" s="191">
        <f>Datasheet!F20</f>
        <v>1</v>
      </c>
      <c r="H10" s="191"/>
      <c r="I10" s="191" t="e">
        <f>'Type E (200°C)'!I20</f>
        <v>#DIV/0!</v>
      </c>
      <c r="J10" s="206"/>
      <c r="K10" s="194" t="e">
        <f>ROUND(G10/I10,2)&amp;":1"</f>
        <v>#DIV/0!</v>
      </c>
      <c r="L10" s="195"/>
      <c r="U10" s="88"/>
      <c r="V10" s="89"/>
    </row>
    <row r="11" spans="2:24">
      <c r="B11" s="198"/>
      <c r="C11" s="199"/>
      <c r="D11" s="199"/>
      <c r="E11" s="191"/>
      <c r="F11" s="191"/>
      <c r="G11" s="191"/>
      <c r="H11" s="191"/>
      <c r="I11" s="191"/>
      <c r="J11" s="206"/>
      <c r="K11" s="194"/>
      <c r="L11" s="195"/>
      <c r="U11" s="88"/>
      <c r="V11" s="89"/>
    </row>
    <row r="12" spans="2:24">
      <c r="B12" s="198" t="str">
        <f>"Type E ("&amp;ROUND(Datasheet!C21,0)&amp;"°C)"</f>
        <v>Type E (0°C)</v>
      </c>
      <c r="C12" s="199"/>
      <c r="D12" s="199"/>
      <c r="E12" s="191" t="e">
        <f>ROUND('Type E (1000°C)'!AC11,1)</f>
        <v>#DIV/0!</v>
      </c>
      <c r="F12" s="191"/>
      <c r="G12" s="191">
        <f>Datasheet!F21</f>
        <v>1</v>
      </c>
      <c r="H12" s="191"/>
      <c r="I12" s="191" t="e">
        <f>'Type E (1000°C)'!I20</f>
        <v>#DIV/0!</v>
      </c>
      <c r="J12" s="206"/>
      <c r="K12" s="194" t="e">
        <f>ROUND(G12/I12,2)&amp;":1"</f>
        <v>#DIV/0!</v>
      </c>
      <c r="L12" s="195"/>
    </row>
    <row r="13" spans="2:24" ht="13.5" thickBot="1">
      <c r="B13" s="204"/>
      <c r="C13" s="205"/>
      <c r="D13" s="205"/>
      <c r="E13" s="192"/>
      <c r="F13" s="192"/>
      <c r="G13" s="192"/>
      <c r="H13" s="192"/>
      <c r="I13" s="192"/>
      <c r="J13" s="207"/>
      <c r="K13" s="196"/>
      <c r="L13" s="197"/>
    </row>
    <row r="14" spans="2:24">
      <c r="B14" s="202" t="str">
        <f>"Type J ("&amp;ROUND(Datasheet!C23,0)&amp;"°C)"</f>
        <v>Type J (0°C)</v>
      </c>
      <c r="C14" s="203"/>
      <c r="D14" s="203"/>
      <c r="E14" s="193" t="e">
        <f>ROUND('Type J (-210°C)'!AC11,1)</f>
        <v>#DIV/0!</v>
      </c>
      <c r="F14" s="193"/>
      <c r="G14" s="193">
        <f>Datasheet!F23</f>
        <v>0</v>
      </c>
      <c r="H14" s="193"/>
      <c r="I14" s="193" t="e">
        <f>'Type J (-210°C)'!I20</f>
        <v>#DIV/0!</v>
      </c>
      <c r="J14" s="208"/>
      <c r="K14" s="209" t="e">
        <f>ROUND(G14/I14,2)&amp;":1"</f>
        <v>#DIV/0!</v>
      </c>
      <c r="L14" s="210"/>
    </row>
    <row r="15" spans="2:24">
      <c r="B15" s="198"/>
      <c r="C15" s="199"/>
      <c r="D15" s="199"/>
      <c r="E15" s="191"/>
      <c r="F15" s="191"/>
      <c r="G15" s="191"/>
      <c r="H15" s="191"/>
      <c r="I15" s="191"/>
      <c r="J15" s="206"/>
      <c r="K15" s="194"/>
      <c r="L15" s="195"/>
    </row>
    <row r="16" spans="2:24">
      <c r="B16" s="198" t="str">
        <f>"Type J ("&amp;Datasheet!C24&amp;"°C)"</f>
        <v>Type J (-80°C)</v>
      </c>
      <c r="C16" s="199"/>
      <c r="D16" s="199"/>
      <c r="E16" s="191" t="e">
        <f>ROUND('Type J (-80°C)'!AC11,1)</f>
        <v>#DIV/0!</v>
      </c>
      <c r="F16" s="191"/>
      <c r="G16" s="191">
        <f>Datasheet!F24</f>
        <v>1</v>
      </c>
      <c r="H16" s="191"/>
      <c r="I16" s="191" t="e">
        <f>'Type J (-80°C)'!I20</f>
        <v>#DIV/0!</v>
      </c>
      <c r="J16" s="206"/>
      <c r="K16" s="194" t="e">
        <f>ROUND(G16/I16,2)&amp;":1"</f>
        <v>#DIV/0!</v>
      </c>
      <c r="L16" s="195"/>
    </row>
    <row r="17" spans="2:12">
      <c r="B17" s="198"/>
      <c r="C17" s="199"/>
      <c r="D17" s="199"/>
      <c r="E17" s="191"/>
      <c r="F17" s="191"/>
      <c r="G17" s="191"/>
      <c r="H17" s="191"/>
      <c r="I17" s="191"/>
      <c r="J17" s="206"/>
      <c r="K17" s="194"/>
      <c r="L17" s="195"/>
    </row>
    <row r="18" spans="2:12">
      <c r="B18" s="198" t="str">
        <f>"Type J ("&amp;Datasheet!C25&amp;"°C)"</f>
        <v>Type J (0°C)</v>
      </c>
      <c r="C18" s="199"/>
      <c r="D18" s="199"/>
      <c r="E18" s="191" t="e">
        <f>ROUND('Type J (0°C)'!AC11,1)</f>
        <v>#DIV/0!</v>
      </c>
      <c r="F18" s="191"/>
      <c r="G18" s="191">
        <f>Datasheet!F25</f>
        <v>1</v>
      </c>
      <c r="H18" s="191"/>
      <c r="I18" s="191" t="e">
        <f>'Type J (0°C)'!I20</f>
        <v>#DIV/0!</v>
      </c>
      <c r="J18" s="206"/>
      <c r="K18" s="194" t="e">
        <f>ROUND(G18/I18,2)&amp;":1"</f>
        <v>#DIV/0!</v>
      </c>
      <c r="L18" s="195"/>
    </row>
    <row r="19" spans="2:12">
      <c r="B19" s="198"/>
      <c r="C19" s="199"/>
      <c r="D19" s="199"/>
      <c r="E19" s="191"/>
      <c r="F19" s="191"/>
      <c r="G19" s="191"/>
      <c r="H19" s="191"/>
      <c r="I19" s="191"/>
      <c r="J19" s="206"/>
      <c r="K19" s="194"/>
      <c r="L19" s="195"/>
    </row>
    <row r="20" spans="2:12">
      <c r="B20" s="198" t="str">
        <f>"Type J ("&amp;Datasheet!C26&amp;"°C)"</f>
        <v>Type J (200°C)</v>
      </c>
      <c r="C20" s="199"/>
      <c r="D20" s="199"/>
      <c r="E20" s="191" t="e">
        <f>ROUND('Type J (200°C)'!AC11,1)</f>
        <v>#DIV/0!</v>
      </c>
      <c r="F20" s="191"/>
      <c r="G20" s="191">
        <f>Datasheet!F26</f>
        <v>1</v>
      </c>
      <c r="H20" s="191"/>
      <c r="I20" s="191" t="e">
        <f>'Type J (200°C)'!I20</f>
        <v>#DIV/0!</v>
      </c>
      <c r="J20" s="206"/>
      <c r="K20" s="194" t="e">
        <f>ROUND(G20/I20,2)&amp;":1"</f>
        <v>#DIV/0!</v>
      </c>
      <c r="L20" s="195"/>
    </row>
    <row r="21" spans="2:12">
      <c r="B21" s="198"/>
      <c r="C21" s="199"/>
      <c r="D21" s="199"/>
      <c r="E21" s="191"/>
      <c r="F21" s="191"/>
      <c r="G21" s="191"/>
      <c r="H21" s="191"/>
      <c r="I21" s="191"/>
      <c r="J21" s="206"/>
      <c r="K21" s="194"/>
      <c r="L21" s="195"/>
    </row>
    <row r="22" spans="2:12">
      <c r="B22" s="198" t="str">
        <f>"Type J ("&amp;ROUND(Datasheet!C27,0)&amp;"°C)"</f>
        <v>Type J (0°C)</v>
      </c>
      <c r="C22" s="199"/>
      <c r="D22" s="199"/>
      <c r="E22" s="191" t="e">
        <f>ROUND('Type J (1200°C)'!AC11,1)</f>
        <v>#DIV/0!</v>
      </c>
      <c r="F22" s="191"/>
      <c r="G22" s="191">
        <f>Datasheet!F27</f>
        <v>1</v>
      </c>
      <c r="H22" s="191"/>
      <c r="I22" s="191" t="e">
        <f>'Type J (1200°C)'!I20</f>
        <v>#DIV/0!</v>
      </c>
      <c r="J22" s="206"/>
      <c r="K22" s="194" t="e">
        <f>ROUND(G22/I22,2)&amp;":1"</f>
        <v>#DIV/0!</v>
      </c>
      <c r="L22" s="195"/>
    </row>
    <row r="23" spans="2:12" ht="13.5" thickBot="1">
      <c r="B23" s="204"/>
      <c r="C23" s="205"/>
      <c r="D23" s="205"/>
      <c r="E23" s="192"/>
      <c r="F23" s="192"/>
      <c r="G23" s="192"/>
      <c r="H23" s="192"/>
      <c r="I23" s="192"/>
      <c r="J23" s="207"/>
      <c r="K23" s="196"/>
      <c r="L23" s="197"/>
    </row>
    <row r="24" spans="2:12">
      <c r="B24" s="202" t="str">
        <f>"Type K ("&amp;ROUND(Datasheet!C29,0)&amp;"°C)"</f>
        <v>Type K (0°C)</v>
      </c>
      <c r="C24" s="203"/>
      <c r="D24" s="203"/>
      <c r="E24" s="193" t="e">
        <f>ROUND('Type K (-195°C)'!AC11,1)</f>
        <v>#DIV/0!</v>
      </c>
      <c r="F24" s="193"/>
      <c r="G24" s="193">
        <f>Datasheet!F29</f>
        <v>0</v>
      </c>
      <c r="H24" s="193"/>
      <c r="I24" s="193" t="e">
        <f>'Type K (-195°C)'!I20</f>
        <v>#DIV/0!</v>
      </c>
      <c r="J24" s="208"/>
      <c r="K24" s="209" t="e">
        <f>ROUND(G24/I24,2)&amp;":1"</f>
        <v>#DIV/0!</v>
      </c>
      <c r="L24" s="210"/>
    </row>
    <row r="25" spans="2:12">
      <c r="B25" s="198"/>
      <c r="C25" s="199"/>
      <c r="D25" s="199"/>
      <c r="E25" s="191"/>
      <c r="F25" s="191"/>
      <c r="G25" s="191"/>
      <c r="H25" s="191"/>
      <c r="I25" s="191"/>
      <c r="J25" s="206"/>
      <c r="K25" s="194"/>
      <c r="L25" s="195"/>
    </row>
    <row r="26" spans="2:12">
      <c r="B26" s="198" t="str">
        <f>"Type K ("&amp;Datasheet!C30&amp;"°C)"</f>
        <v>Type K (-80°C)</v>
      </c>
      <c r="C26" s="199"/>
      <c r="D26" s="199"/>
      <c r="E26" s="191" t="e">
        <f>ROUND('Type K (-80°C)'!AC11,1)</f>
        <v>#DIV/0!</v>
      </c>
      <c r="F26" s="191"/>
      <c r="G26" s="191">
        <f>Datasheet!F30</f>
        <v>80</v>
      </c>
      <c r="H26" s="191"/>
      <c r="I26" s="191" t="e">
        <f>'Type K (-80°C)'!I20</f>
        <v>#DIV/0!</v>
      </c>
      <c r="J26" s="206"/>
      <c r="K26" s="194" t="e">
        <f>ROUND(G26/I26,2)&amp;":1"</f>
        <v>#DIV/0!</v>
      </c>
      <c r="L26" s="195"/>
    </row>
    <row r="27" spans="2:12">
      <c r="B27" s="198"/>
      <c r="C27" s="199"/>
      <c r="D27" s="199"/>
      <c r="E27" s="191"/>
      <c r="F27" s="191"/>
      <c r="G27" s="191"/>
      <c r="H27" s="191"/>
      <c r="I27" s="191"/>
      <c r="J27" s="206"/>
      <c r="K27" s="194"/>
      <c r="L27" s="195"/>
    </row>
    <row r="28" spans="2:12">
      <c r="B28" s="198" t="str">
        <f>"Type K ("&amp;Datasheet!C31&amp;"°C)"</f>
        <v>Type K (0°C)</v>
      </c>
      <c r="C28" s="199"/>
      <c r="D28" s="199"/>
      <c r="E28" s="191" t="e">
        <f>ROUND('Type K (0°C)'!AC11,1)</f>
        <v>#DIV/0!</v>
      </c>
      <c r="F28" s="191"/>
      <c r="G28" s="191">
        <f>Datasheet!F31</f>
        <v>80</v>
      </c>
      <c r="H28" s="191"/>
      <c r="I28" s="191" t="e">
        <f>'Type K (0°C)'!I20</f>
        <v>#DIV/0!</v>
      </c>
      <c r="J28" s="206"/>
      <c r="K28" s="194" t="e">
        <f>ROUND(G28/I28,2)&amp;":1"</f>
        <v>#DIV/0!</v>
      </c>
      <c r="L28" s="195"/>
    </row>
    <row r="29" spans="2:12">
      <c r="B29" s="198"/>
      <c r="C29" s="199"/>
      <c r="D29" s="199"/>
      <c r="E29" s="191"/>
      <c r="F29" s="191"/>
      <c r="G29" s="191"/>
      <c r="H29" s="191"/>
      <c r="I29" s="191"/>
      <c r="J29" s="206"/>
      <c r="K29" s="194"/>
      <c r="L29" s="195"/>
    </row>
    <row r="30" spans="2:12">
      <c r="B30" s="198" t="str">
        <f>"Type K ("&amp;Datasheet!C32&amp;"°C)"</f>
        <v>Type K (200°C)</v>
      </c>
      <c r="C30" s="199"/>
      <c r="D30" s="199"/>
      <c r="E30" s="191" t="e">
        <f>ROUND('Type K (200°C)'!AC11,1)</f>
        <v>#DIV/0!</v>
      </c>
      <c r="F30" s="191"/>
      <c r="G30" s="191">
        <f>Datasheet!F32</f>
        <v>80</v>
      </c>
      <c r="H30" s="191"/>
      <c r="I30" s="191" t="e">
        <f>'Type K (200°C)'!I20</f>
        <v>#DIV/0!</v>
      </c>
      <c r="J30" s="206"/>
      <c r="K30" s="194" t="e">
        <f>ROUND(G30/I30,2)&amp;":1"</f>
        <v>#DIV/0!</v>
      </c>
      <c r="L30" s="195"/>
    </row>
    <row r="31" spans="2:12">
      <c r="B31" s="198"/>
      <c r="C31" s="199"/>
      <c r="D31" s="199"/>
      <c r="E31" s="191"/>
      <c r="F31" s="191"/>
      <c r="G31" s="191"/>
      <c r="H31" s="191"/>
      <c r="I31" s="191"/>
      <c r="J31" s="206"/>
      <c r="K31" s="194"/>
      <c r="L31" s="195"/>
    </row>
    <row r="32" spans="2:12">
      <c r="B32" s="198" t="str">
        <f>"Type K ("&amp;Datasheet!C33&amp;"°C)"</f>
        <v>Type K (1200°C)</v>
      </c>
      <c r="C32" s="199"/>
      <c r="D32" s="199"/>
      <c r="E32" s="191" t="e">
        <f>ROUND('Type K (1200°C)'!AC11,1)</f>
        <v>#DIV/0!</v>
      </c>
      <c r="F32" s="191"/>
      <c r="G32" s="191">
        <f>Datasheet!F33</f>
        <v>80</v>
      </c>
      <c r="H32" s="191"/>
      <c r="I32" s="191" t="e">
        <f>'Type K (1200°C)'!I20</f>
        <v>#DIV/0!</v>
      </c>
      <c r="J32" s="206"/>
      <c r="K32" s="194" t="e">
        <f>ROUND(G32/I32,2)&amp;":1"</f>
        <v>#DIV/0!</v>
      </c>
      <c r="L32" s="195"/>
    </row>
    <row r="33" spans="2:12" ht="13.5" thickBot="1">
      <c r="B33" s="204"/>
      <c r="C33" s="205"/>
      <c r="D33" s="205"/>
      <c r="E33" s="192"/>
      <c r="F33" s="192"/>
      <c r="G33" s="192"/>
      <c r="H33" s="192"/>
      <c r="I33" s="192"/>
      <c r="J33" s="207"/>
      <c r="K33" s="196"/>
      <c r="L33" s="197"/>
    </row>
    <row r="34" spans="2:12">
      <c r="B34" s="202" t="str">
        <f>"Type T ("&amp;ROUND(Datasheet!C35,0)&amp;"°C)"</f>
        <v>Type T (0°C)</v>
      </c>
      <c r="C34" s="203"/>
      <c r="D34" s="203"/>
      <c r="E34" s="193" t="e">
        <f>ROUND('Type T (-200°C)'!AC11,1)</f>
        <v>#DIV/0!</v>
      </c>
      <c r="F34" s="193"/>
      <c r="G34" s="193">
        <f>Datasheet!F35</f>
        <v>0</v>
      </c>
      <c r="H34" s="193"/>
      <c r="I34" s="193" t="e">
        <f>'Type T (-200°C)'!I20</f>
        <v>#DIV/0!</v>
      </c>
      <c r="J34" s="208"/>
      <c r="K34" s="209" t="e">
        <f>ROUND(G34/I34,2)&amp;":1"</f>
        <v>#DIV/0!</v>
      </c>
      <c r="L34" s="210"/>
    </row>
    <row r="35" spans="2:12">
      <c r="B35" s="198"/>
      <c r="C35" s="199"/>
      <c r="D35" s="199"/>
      <c r="E35" s="191"/>
      <c r="F35" s="191"/>
      <c r="G35" s="191"/>
      <c r="H35" s="191"/>
      <c r="I35" s="191"/>
      <c r="J35" s="206"/>
      <c r="K35" s="194"/>
      <c r="L35" s="195"/>
    </row>
    <row r="36" spans="2:12">
      <c r="B36" s="198" t="str">
        <f>"Type T ("&amp;Datasheet!C36&amp;"°C)"</f>
        <v>Type T (-80°C)</v>
      </c>
      <c r="C36" s="199"/>
      <c r="D36" s="199"/>
      <c r="E36" s="191" t="e">
        <f>ROUND('Type T (-80°C)'!AC11,1)</f>
        <v>#DIV/0!</v>
      </c>
      <c r="F36" s="191"/>
      <c r="G36" s="191">
        <f>Datasheet!F36</f>
        <v>80</v>
      </c>
      <c r="H36" s="191"/>
      <c r="I36" s="191" t="e">
        <f>'Type T (-80°C)'!I20</f>
        <v>#DIV/0!</v>
      </c>
      <c r="J36" s="206"/>
      <c r="K36" s="194" t="e">
        <f>ROUND(G36/I36,2)&amp;":1"</f>
        <v>#DIV/0!</v>
      </c>
      <c r="L36" s="195"/>
    </row>
    <row r="37" spans="2:12">
      <c r="B37" s="198"/>
      <c r="C37" s="199"/>
      <c r="D37" s="199"/>
      <c r="E37" s="191"/>
      <c r="F37" s="191"/>
      <c r="G37" s="191"/>
      <c r="H37" s="191"/>
      <c r="I37" s="191"/>
      <c r="J37" s="206"/>
      <c r="K37" s="194"/>
      <c r="L37" s="195"/>
    </row>
    <row r="38" spans="2:12">
      <c r="B38" s="198" t="str">
        <f>"Type T ("&amp;Datasheet!C37&amp;"°C)"</f>
        <v>Type T (0°C)</v>
      </c>
      <c r="C38" s="199"/>
      <c r="D38" s="199"/>
      <c r="E38" s="191" t="e">
        <f>ROUND('Type T (0°C)'!AC11,1)</f>
        <v>#DIV/0!</v>
      </c>
      <c r="F38" s="191"/>
      <c r="G38" s="191">
        <f>Datasheet!F37</f>
        <v>80</v>
      </c>
      <c r="H38" s="191"/>
      <c r="I38" s="191" t="e">
        <f>'Type T (0°C)'!I20</f>
        <v>#DIV/0!</v>
      </c>
      <c r="J38" s="206"/>
      <c r="K38" s="194" t="e">
        <f>ROUND(G38/I38,2)&amp;":1"</f>
        <v>#DIV/0!</v>
      </c>
      <c r="L38" s="195"/>
    </row>
    <row r="39" spans="2:12">
      <c r="B39" s="198"/>
      <c r="C39" s="199"/>
      <c r="D39" s="199"/>
      <c r="E39" s="191"/>
      <c r="F39" s="191"/>
      <c r="G39" s="191"/>
      <c r="H39" s="191"/>
      <c r="I39" s="191"/>
      <c r="J39" s="206"/>
      <c r="K39" s="194"/>
      <c r="L39" s="195"/>
    </row>
    <row r="40" spans="2:12">
      <c r="B40" s="198" t="str">
        <f>"Type T ("&amp;Datasheet!C38&amp;"°C)"</f>
        <v>Type T (100°C)</v>
      </c>
      <c r="C40" s="199"/>
      <c r="D40" s="199"/>
      <c r="E40" s="191" t="e">
        <f>ROUND('Type T (100°C)'!AC11,1)</f>
        <v>#DIV/0!</v>
      </c>
      <c r="F40" s="191"/>
      <c r="G40" s="191">
        <f>Datasheet!F38</f>
        <v>80</v>
      </c>
      <c r="H40" s="191"/>
      <c r="I40" s="191" t="e">
        <f>'Type T (100°C)'!I20</f>
        <v>#DIV/0!</v>
      </c>
      <c r="J40" s="206"/>
      <c r="K40" s="194" t="e">
        <f>ROUND(G40/I40,2)&amp;":1"</f>
        <v>#DIV/0!</v>
      </c>
      <c r="L40" s="195"/>
    </row>
    <row r="41" spans="2:12">
      <c r="B41" s="198"/>
      <c r="C41" s="199"/>
      <c r="D41" s="199"/>
      <c r="E41" s="191"/>
      <c r="F41" s="191"/>
      <c r="G41" s="191"/>
      <c r="H41" s="191"/>
      <c r="I41" s="191"/>
      <c r="J41" s="206"/>
      <c r="K41" s="194"/>
      <c r="L41" s="195"/>
    </row>
    <row r="42" spans="2:12">
      <c r="B42" s="198" t="str">
        <f>"Type T ("&amp;ROUND(Datasheet!C39,0)&amp;"°C)"</f>
        <v>Type T (0°C)</v>
      </c>
      <c r="C42" s="199"/>
      <c r="D42" s="199"/>
      <c r="E42" s="191" t="e">
        <f>ROUND('Type T (400°C)'!AC11,1)</f>
        <v>#DIV/0!</v>
      </c>
      <c r="F42" s="191"/>
      <c r="G42" s="191">
        <f>Datasheet!F39</f>
        <v>80</v>
      </c>
      <c r="H42" s="191"/>
      <c r="I42" s="191" t="e">
        <f>'Type T (400°C)'!I20</f>
        <v>#DIV/0!</v>
      </c>
      <c r="J42" s="206"/>
      <c r="K42" s="194" t="e">
        <f>ROUND(G42/I42,2)&amp;":1"</f>
        <v>#DIV/0!</v>
      </c>
      <c r="L42" s="195"/>
    </row>
    <row r="43" spans="2:12" ht="13.5" thickBot="1">
      <c r="B43" s="204"/>
      <c r="C43" s="205"/>
      <c r="D43" s="205"/>
      <c r="E43" s="192"/>
      <c r="F43" s="192"/>
      <c r="G43" s="192"/>
      <c r="H43" s="192"/>
      <c r="I43" s="192"/>
      <c r="J43" s="207"/>
      <c r="K43" s="196"/>
      <c r="L43" s="197"/>
    </row>
  </sheetData>
  <mergeCells count="105">
    <mergeCell ref="K40:L41"/>
    <mergeCell ref="K42:L43"/>
    <mergeCell ref="K30:L31"/>
    <mergeCell ref="K32:L33"/>
    <mergeCell ref="K34:L35"/>
    <mergeCell ref="K36:L37"/>
    <mergeCell ref="K38:L39"/>
    <mergeCell ref="I38:J39"/>
    <mergeCell ref="I40:J41"/>
    <mergeCell ref="I42:J43"/>
    <mergeCell ref="K24:L25"/>
    <mergeCell ref="K26:L27"/>
    <mergeCell ref="K28:L29"/>
    <mergeCell ref="I28:J29"/>
    <mergeCell ref="I30:J31"/>
    <mergeCell ref="I32:J33"/>
    <mergeCell ref="I34:J35"/>
    <mergeCell ref="I36:J37"/>
    <mergeCell ref="K4:L5"/>
    <mergeCell ref="K6:L7"/>
    <mergeCell ref="K8:L9"/>
    <mergeCell ref="K10:L11"/>
    <mergeCell ref="K12:L13"/>
    <mergeCell ref="K14:L15"/>
    <mergeCell ref="K16:L17"/>
    <mergeCell ref="K18:L19"/>
    <mergeCell ref="K20:L21"/>
    <mergeCell ref="I22:J23"/>
    <mergeCell ref="I24:J25"/>
    <mergeCell ref="I26:J27"/>
    <mergeCell ref="I4:J5"/>
    <mergeCell ref="I6:J7"/>
    <mergeCell ref="I8:J9"/>
    <mergeCell ref="I10:J11"/>
    <mergeCell ref="I12:J13"/>
    <mergeCell ref="I14:J15"/>
    <mergeCell ref="I16:J17"/>
    <mergeCell ref="I18:J19"/>
    <mergeCell ref="I20:J21"/>
    <mergeCell ref="E14:F15"/>
    <mergeCell ref="E16:F17"/>
    <mergeCell ref="E18:F19"/>
    <mergeCell ref="E20:F21"/>
    <mergeCell ref="G16:H17"/>
    <mergeCell ref="G18:H19"/>
    <mergeCell ref="G20:H21"/>
    <mergeCell ref="G36:H37"/>
    <mergeCell ref="E10:F11"/>
    <mergeCell ref="G38:H39"/>
    <mergeCell ref="G40:H41"/>
    <mergeCell ref="G42:H43"/>
    <mergeCell ref="E40:F41"/>
    <mergeCell ref="E42:F43"/>
    <mergeCell ref="B40:D41"/>
    <mergeCell ref="B42:D43"/>
    <mergeCell ref="E30:F31"/>
    <mergeCell ref="B32:D33"/>
    <mergeCell ref="B34:D35"/>
    <mergeCell ref="B36:D37"/>
    <mergeCell ref="G26:H27"/>
    <mergeCell ref="G28:H29"/>
    <mergeCell ref="G30:H31"/>
    <mergeCell ref="G32:H33"/>
    <mergeCell ref="G34:H35"/>
    <mergeCell ref="G24:H25"/>
    <mergeCell ref="B2:D3"/>
    <mergeCell ref="B4:D5"/>
    <mergeCell ref="B6:D7"/>
    <mergeCell ref="B8:D9"/>
    <mergeCell ref="B10:D11"/>
    <mergeCell ref="B12:D13"/>
    <mergeCell ref="E24:F25"/>
    <mergeCell ref="E26:F27"/>
    <mergeCell ref="E28:F29"/>
    <mergeCell ref="B20:D21"/>
    <mergeCell ref="B22:D23"/>
    <mergeCell ref="B24:D25"/>
    <mergeCell ref="E22:F23"/>
    <mergeCell ref="E4:F5"/>
    <mergeCell ref="E6:F7"/>
    <mergeCell ref="E8:F9"/>
    <mergeCell ref="I2:J3"/>
    <mergeCell ref="K2:L3"/>
    <mergeCell ref="G12:H13"/>
    <mergeCell ref="G14:H15"/>
    <mergeCell ref="G22:H23"/>
    <mergeCell ref="K22:L23"/>
    <mergeCell ref="B38:D39"/>
    <mergeCell ref="E36:F37"/>
    <mergeCell ref="E38:F39"/>
    <mergeCell ref="G2:H3"/>
    <mergeCell ref="G4:H5"/>
    <mergeCell ref="G6:H7"/>
    <mergeCell ref="G8:H9"/>
    <mergeCell ref="G10:H11"/>
    <mergeCell ref="E2:F3"/>
    <mergeCell ref="B26:D27"/>
    <mergeCell ref="B14:D15"/>
    <mergeCell ref="B16:D17"/>
    <mergeCell ref="B18:D19"/>
    <mergeCell ref="B28:D29"/>
    <mergeCell ref="B30:D31"/>
    <mergeCell ref="E32:F33"/>
    <mergeCell ref="E34:F35"/>
    <mergeCell ref="E12:F13"/>
  </mergeCells>
  <pageMargins left="0.7" right="0.7" top="0.75" bottom="0.75" header="0.3" footer="0.3"/>
  <pageSetup paperSize="0" orientation="portrait" horizontalDpi="203" verticalDpi="20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9CD4A-91B9-4026-80A6-04F064DD51CE}">
  <sheetPr codeName="Sheet20"/>
  <dimension ref="B1:AD22"/>
  <sheetViews>
    <sheetView zoomScaleNormal="100" workbookViewId="0">
      <selection activeCell="G11" sqref="G11:J11"/>
    </sheetView>
  </sheetViews>
  <sheetFormatPr defaultRowHeight="15"/>
  <cols>
    <col min="1" max="1" width="4.28515625" style="50" customWidth="1"/>
    <col min="2" max="22" width="9.140625" style="50"/>
    <col min="23" max="24" width="2.85546875" style="50" customWidth="1"/>
    <col min="25" max="16384" width="9.140625" style="50"/>
  </cols>
  <sheetData>
    <row r="1" spans="2:30" ht="15.75" thickBot="1"/>
    <row r="2" spans="2:30" ht="15" customHeight="1">
      <c r="B2" s="280" t="e">
        <f>"Measurement Uncertainty Analysis (Type T "&amp;ROUND(Datasheet!C37,0)&amp;"°C test point)
The reported value ("&amp;ROUND(AC11,1)&amp;") is the mean UUT indication five (5) test runs"</f>
        <v>#DIV/0!</v>
      </c>
      <c r="C2" s="281"/>
      <c r="D2" s="281"/>
      <c r="E2" s="281"/>
      <c r="F2" s="281"/>
      <c r="G2" s="281"/>
      <c r="H2" s="281"/>
      <c r="I2" s="281"/>
      <c r="J2" s="281"/>
      <c r="K2" s="281"/>
      <c r="L2" s="281"/>
      <c r="M2" s="281"/>
      <c r="N2" s="281"/>
      <c r="O2" s="281"/>
      <c r="P2" s="281"/>
      <c r="Q2" s="281"/>
      <c r="R2" s="281"/>
      <c r="S2" s="281"/>
      <c r="T2" s="281"/>
      <c r="U2" s="281"/>
      <c r="V2" s="282"/>
    </row>
    <row r="3" spans="2:30" ht="15.75" thickBot="1">
      <c r="B3" s="283"/>
      <c r="C3" s="284"/>
      <c r="D3" s="284"/>
      <c r="E3" s="284"/>
      <c r="F3" s="284"/>
      <c r="G3" s="284"/>
      <c r="H3" s="284"/>
      <c r="I3" s="284"/>
      <c r="J3" s="284"/>
      <c r="K3" s="284"/>
      <c r="L3" s="284"/>
      <c r="M3" s="284"/>
      <c r="N3" s="284"/>
      <c r="O3" s="284"/>
      <c r="P3" s="284"/>
      <c r="Q3" s="284"/>
      <c r="R3" s="284"/>
      <c r="S3" s="284"/>
      <c r="T3" s="284"/>
      <c r="U3" s="284"/>
      <c r="V3" s="285"/>
    </row>
    <row r="4" spans="2:30" ht="30" customHeight="1">
      <c r="B4" s="71"/>
      <c r="C4" s="216" t="s">
        <v>45</v>
      </c>
      <c r="D4" s="216"/>
      <c r="E4" s="286" t="s">
        <v>46</v>
      </c>
      <c r="F4" s="286"/>
      <c r="G4" s="287" t="s">
        <v>47</v>
      </c>
      <c r="H4" s="287"/>
      <c r="I4" s="286" t="s">
        <v>48</v>
      </c>
      <c r="J4" s="216"/>
      <c r="K4" s="216" t="s">
        <v>49</v>
      </c>
      <c r="L4" s="216"/>
      <c r="M4" s="216" t="s">
        <v>50</v>
      </c>
      <c r="N4" s="216"/>
      <c r="O4" s="286" t="s">
        <v>51</v>
      </c>
      <c r="P4" s="286"/>
      <c r="Q4" s="216" t="s">
        <v>52</v>
      </c>
      <c r="R4" s="216"/>
      <c r="S4" s="216" t="s">
        <v>53</v>
      </c>
      <c r="T4" s="216"/>
      <c r="U4" s="286" t="s">
        <v>54</v>
      </c>
      <c r="V4" s="288"/>
      <c r="Y4" s="277" t="s">
        <v>55</v>
      </c>
      <c r="Z4" s="241"/>
      <c r="AA4" s="241"/>
      <c r="AB4" s="241"/>
      <c r="AC4" s="241" t="s">
        <v>56</v>
      </c>
      <c r="AD4" s="278"/>
    </row>
    <row r="5" spans="2:30" ht="30" customHeight="1" thickBot="1">
      <c r="B5" s="71" t="s">
        <v>57</v>
      </c>
      <c r="C5" s="263" t="s">
        <v>58</v>
      </c>
      <c r="D5" s="263"/>
      <c r="E5" s="254">
        <f>'STD Info'!L33</f>
        <v>0.08</v>
      </c>
      <c r="F5" s="263"/>
      <c r="G5" s="269">
        <v>0.95</v>
      </c>
      <c r="H5" s="263"/>
      <c r="I5" s="263" t="s">
        <v>59</v>
      </c>
      <c r="J5" s="263"/>
      <c r="K5" s="263" t="s">
        <v>60</v>
      </c>
      <c r="L5" s="263"/>
      <c r="M5" s="254">
        <f>NORMSINV((1+0.95)/2)</f>
        <v>1.9599639845400536</v>
      </c>
      <c r="N5" s="254"/>
      <c r="O5" s="270">
        <f>E5/M5</f>
        <v>4.0817076553972327E-2</v>
      </c>
      <c r="P5" s="270"/>
      <c r="Q5" s="254">
        <v>1</v>
      </c>
      <c r="R5" s="254"/>
      <c r="S5" s="270">
        <f>O5*Q5</f>
        <v>4.0817076553972327E-2</v>
      </c>
      <c r="T5" s="270"/>
      <c r="U5" s="271" t="s">
        <v>61</v>
      </c>
      <c r="V5" s="272"/>
      <c r="Y5" s="217"/>
      <c r="Z5" s="218"/>
      <c r="AA5" s="218"/>
      <c r="AB5" s="218"/>
      <c r="AC5" s="218"/>
      <c r="AD5" s="279"/>
    </row>
    <row r="6" spans="2:30" ht="30" customHeight="1">
      <c r="B6" s="71" t="s">
        <v>62</v>
      </c>
      <c r="C6" s="263" t="s">
        <v>63</v>
      </c>
      <c r="D6" s="263"/>
      <c r="E6" s="263">
        <f>'STD Info'!D9/2</f>
        <v>5.0000000000000001E-3</v>
      </c>
      <c r="F6" s="263"/>
      <c r="G6" s="269">
        <v>1</v>
      </c>
      <c r="H6" s="263"/>
      <c r="I6" s="263" t="s">
        <v>59</v>
      </c>
      <c r="J6" s="263"/>
      <c r="K6" s="263" t="s">
        <v>64</v>
      </c>
      <c r="L6" s="263"/>
      <c r="M6" s="254">
        <f>SQRT(3)</f>
        <v>1.7320508075688772</v>
      </c>
      <c r="N6" s="254"/>
      <c r="O6" s="270">
        <f>E6/M6</f>
        <v>2.886751345948129E-3</v>
      </c>
      <c r="P6" s="270"/>
      <c r="Q6" s="254">
        <v>1</v>
      </c>
      <c r="R6" s="254"/>
      <c r="S6" s="270">
        <f>O6*Q6</f>
        <v>2.886751345948129E-3</v>
      </c>
      <c r="T6" s="270"/>
      <c r="U6" s="271" t="s">
        <v>61</v>
      </c>
      <c r="V6" s="272"/>
      <c r="Y6" s="274">
        <v>1</v>
      </c>
      <c r="Z6" s="266"/>
      <c r="AA6" s="266"/>
      <c r="AB6" s="266"/>
      <c r="AC6" s="275"/>
      <c r="AD6" s="276"/>
    </row>
    <row r="7" spans="2:30" ht="30" customHeight="1">
      <c r="B7" s="71" t="s">
        <v>65</v>
      </c>
      <c r="C7" s="263" t="s">
        <v>66</v>
      </c>
      <c r="D7" s="263"/>
      <c r="E7" s="263">
        <f>IF(Datasheet!B6="DAQM901A",'UUT Info'!D9/2,'UUT Info'!P9/2)</f>
        <v>0.05</v>
      </c>
      <c r="F7" s="263"/>
      <c r="G7" s="269">
        <v>1</v>
      </c>
      <c r="H7" s="263"/>
      <c r="I7" s="263" t="s">
        <v>59</v>
      </c>
      <c r="J7" s="263"/>
      <c r="K7" s="263" t="s">
        <v>64</v>
      </c>
      <c r="L7" s="263"/>
      <c r="M7" s="254">
        <f>SQRT(3)</f>
        <v>1.7320508075688772</v>
      </c>
      <c r="N7" s="254"/>
      <c r="O7" s="270">
        <f>E7/M7</f>
        <v>2.8867513459481291E-2</v>
      </c>
      <c r="P7" s="270"/>
      <c r="Q7" s="254">
        <v>1</v>
      </c>
      <c r="R7" s="254"/>
      <c r="S7" s="270">
        <f>O7*Q7</f>
        <v>2.8867513459481291E-2</v>
      </c>
      <c r="T7" s="270"/>
      <c r="U7" s="271" t="s">
        <v>61</v>
      </c>
      <c r="V7" s="272"/>
      <c r="Y7" s="262">
        <v>2</v>
      </c>
      <c r="Z7" s="263"/>
      <c r="AA7" s="263"/>
      <c r="AB7" s="263"/>
      <c r="AC7" s="264"/>
      <c r="AD7" s="265"/>
    </row>
    <row r="8" spans="2:30" ht="30" customHeight="1" thickBot="1">
      <c r="B8" s="70" t="s">
        <v>67</v>
      </c>
      <c r="C8" s="266" t="s">
        <v>68</v>
      </c>
      <c r="D8" s="266"/>
      <c r="E8" s="267" t="e">
        <f>AC15</f>
        <v>#DIV/0!</v>
      </c>
      <c r="F8" s="267"/>
      <c r="G8" s="268">
        <v>0.68</v>
      </c>
      <c r="H8" s="266"/>
      <c r="I8" s="266" t="s">
        <v>69</v>
      </c>
      <c r="J8" s="266"/>
      <c r="K8" s="266" t="s">
        <v>60</v>
      </c>
      <c r="L8" s="266"/>
      <c r="M8" s="252" t="s">
        <v>70</v>
      </c>
      <c r="N8" s="252"/>
      <c r="O8" s="267" t="e">
        <f>E8/1</f>
        <v>#DIV/0!</v>
      </c>
      <c r="P8" s="267"/>
      <c r="Q8" s="252">
        <v>1</v>
      </c>
      <c r="R8" s="252"/>
      <c r="S8" s="267" t="e">
        <f>O8*Q8</f>
        <v>#DIV/0!</v>
      </c>
      <c r="T8" s="267"/>
      <c r="U8" s="266">
        <f>Y10-1</f>
        <v>4</v>
      </c>
      <c r="V8" s="273"/>
      <c r="Y8" s="262">
        <v>3</v>
      </c>
      <c r="Z8" s="263"/>
      <c r="AA8" s="263"/>
      <c r="AB8" s="263"/>
      <c r="AC8" s="264"/>
      <c r="AD8" s="265"/>
    </row>
    <row r="9" spans="2:30" ht="30" customHeight="1">
      <c r="B9" s="72" t="s">
        <v>71</v>
      </c>
      <c r="C9" s="241" t="s">
        <v>72</v>
      </c>
      <c r="D9" s="241"/>
      <c r="E9" s="241"/>
      <c r="F9" s="241"/>
      <c r="G9" s="242" t="e">
        <f>SQRT(SUMSQ(S5:T8))</f>
        <v>#DIV/0!</v>
      </c>
      <c r="H9" s="242"/>
      <c r="I9" s="242"/>
      <c r="J9" s="242"/>
      <c r="K9" s="243" t="s">
        <v>138</v>
      </c>
      <c r="L9" s="244"/>
      <c r="M9" s="244"/>
      <c r="N9" s="244"/>
      <c r="O9" s="244"/>
      <c r="P9" s="244"/>
      <c r="Q9" s="244"/>
      <c r="R9" s="244"/>
      <c r="S9" s="244"/>
      <c r="T9" s="244"/>
      <c r="U9" s="244"/>
      <c r="V9" s="245"/>
      <c r="Y9" s="262">
        <v>4</v>
      </c>
      <c r="Z9" s="263"/>
      <c r="AA9" s="263"/>
      <c r="AB9" s="263"/>
      <c r="AC9" s="264"/>
      <c r="AD9" s="265"/>
    </row>
    <row r="10" spans="2:30" ht="30" customHeight="1" thickBot="1">
      <c r="B10" s="69" t="s">
        <v>74</v>
      </c>
      <c r="C10" s="216" t="s">
        <v>75</v>
      </c>
      <c r="D10" s="216"/>
      <c r="E10" s="216"/>
      <c r="F10" s="216"/>
      <c r="G10" s="256" t="e">
        <f>ROUND(AC11,1) &amp; "°C ± " &amp; I20 &amp;"°C"</f>
        <v>#DIV/0!</v>
      </c>
      <c r="H10" s="256"/>
      <c r="I10" s="256"/>
      <c r="J10" s="256"/>
      <c r="K10" s="246"/>
      <c r="L10" s="246"/>
      <c r="M10" s="246"/>
      <c r="N10" s="246"/>
      <c r="O10" s="246"/>
      <c r="P10" s="246"/>
      <c r="Q10" s="246"/>
      <c r="R10" s="246"/>
      <c r="S10" s="246"/>
      <c r="T10" s="246"/>
      <c r="U10" s="246"/>
      <c r="V10" s="247"/>
      <c r="Y10" s="260">
        <v>5</v>
      </c>
      <c r="Z10" s="261"/>
      <c r="AA10" s="261"/>
      <c r="AB10" s="261"/>
      <c r="AC10" s="239"/>
      <c r="AD10" s="240"/>
    </row>
    <row r="11" spans="2:30" ht="30" customHeight="1" thickBot="1">
      <c r="B11" s="257" t="s">
        <v>76</v>
      </c>
      <c r="C11" s="258"/>
      <c r="D11" s="258"/>
      <c r="E11" s="258"/>
      <c r="F11" s="258"/>
      <c r="G11" s="259" t="e">
        <f>IF(S8=0,10000000000,IF(U8*((G9^4)/(S8^4))&gt;10000000000,10000000000,U8*((G9^4)/(S8^4))))</f>
        <v>#DIV/0!</v>
      </c>
      <c r="H11" s="259"/>
      <c r="I11" s="259"/>
      <c r="J11" s="259"/>
      <c r="K11" s="248"/>
      <c r="L11" s="248"/>
      <c r="M11" s="248"/>
      <c r="N11" s="248"/>
      <c r="O11" s="248"/>
      <c r="P11" s="248"/>
      <c r="Q11" s="248"/>
      <c r="R11" s="248"/>
      <c r="S11" s="248"/>
      <c r="T11" s="248"/>
      <c r="U11" s="248"/>
      <c r="V11" s="249"/>
      <c r="X11" s="54"/>
      <c r="Y11" s="250" t="s">
        <v>73</v>
      </c>
      <c r="Z11" s="251"/>
      <c r="AA11" s="251"/>
      <c r="AB11" s="251"/>
      <c r="AC11" s="252" t="e">
        <f>AVERAGE(AC6:AD10)</f>
        <v>#DIV/0!</v>
      </c>
      <c r="AD11" s="253"/>
    </row>
    <row r="12" spans="2:30" ht="30" customHeight="1" thickTop="1">
      <c r="B12" s="227" t="s">
        <v>78</v>
      </c>
      <c r="C12" s="228"/>
      <c r="D12" s="228"/>
      <c r="E12" s="228"/>
      <c r="F12" s="228"/>
      <c r="G12" s="229" t="s">
        <v>79</v>
      </c>
      <c r="H12" s="229"/>
      <c r="I12" s="229"/>
      <c r="J12" s="229"/>
      <c r="K12" s="229"/>
      <c r="L12" s="229"/>
      <c r="M12" s="229"/>
      <c r="N12" s="229"/>
      <c r="O12" s="229"/>
      <c r="P12" s="229"/>
      <c r="Q12" s="229"/>
      <c r="R12" s="229"/>
      <c r="S12" s="229"/>
      <c r="T12" s="229"/>
      <c r="U12" s="229"/>
      <c r="V12" s="230"/>
      <c r="X12" s="54"/>
      <c r="Y12" s="215"/>
      <c r="Z12" s="216"/>
      <c r="AA12" s="216"/>
      <c r="AB12" s="216"/>
      <c r="AC12" s="254"/>
      <c r="AD12" s="255"/>
    </row>
    <row r="13" spans="2:30" ht="30" customHeight="1">
      <c r="B13" s="223" t="s">
        <v>80</v>
      </c>
      <c r="C13" s="224"/>
      <c r="D13" s="224"/>
      <c r="E13" s="224"/>
      <c r="F13" s="224"/>
      <c r="G13" s="231" t="s">
        <v>81</v>
      </c>
      <c r="H13" s="231"/>
      <c r="I13" s="231"/>
      <c r="J13" s="231"/>
      <c r="K13" s="231"/>
      <c r="L13" s="231"/>
      <c r="M13" s="231"/>
      <c r="N13" s="231"/>
      <c r="O13" s="231"/>
      <c r="P13" s="231"/>
      <c r="Q13" s="231"/>
      <c r="R13" s="231"/>
      <c r="S13" s="231"/>
      <c r="T13" s="231"/>
      <c r="U13" s="231"/>
      <c r="V13" s="232"/>
      <c r="Y13" s="215" t="s">
        <v>77</v>
      </c>
      <c r="Z13" s="216"/>
      <c r="AA13" s="216"/>
      <c r="AB13" s="216"/>
      <c r="AC13" s="219" t="e">
        <f>_xlfn.STDEV.S(AC6:AD10)</f>
        <v>#DIV/0!</v>
      </c>
      <c r="AD13" s="220"/>
    </row>
    <row r="14" spans="2:30">
      <c r="B14" s="223" t="s">
        <v>83</v>
      </c>
      <c r="C14" s="224"/>
      <c r="D14" s="224"/>
      <c r="E14" s="224"/>
      <c r="F14" s="224"/>
      <c r="G14" s="225" t="s">
        <v>84</v>
      </c>
      <c r="H14" s="225"/>
      <c r="I14" s="225"/>
      <c r="J14" s="225"/>
      <c r="K14" s="225"/>
      <c r="L14" s="225"/>
      <c r="M14" s="225"/>
      <c r="N14" s="225"/>
      <c r="O14" s="225"/>
      <c r="P14" s="225"/>
      <c r="Q14" s="225"/>
      <c r="R14" s="225"/>
      <c r="S14" s="225"/>
      <c r="T14" s="225"/>
      <c r="U14" s="225"/>
      <c r="V14" s="226"/>
      <c r="Y14" s="215"/>
      <c r="Z14" s="216"/>
      <c r="AA14" s="216"/>
      <c r="AB14" s="216"/>
      <c r="AC14" s="219"/>
      <c r="AD14" s="220"/>
    </row>
    <row r="15" spans="2:30">
      <c r="B15" s="223"/>
      <c r="C15" s="224"/>
      <c r="D15" s="224"/>
      <c r="E15" s="224"/>
      <c r="F15" s="224"/>
      <c r="G15" s="225"/>
      <c r="H15" s="225"/>
      <c r="I15" s="225"/>
      <c r="J15" s="225"/>
      <c r="K15" s="225"/>
      <c r="L15" s="225"/>
      <c r="M15" s="225"/>
      <c r="N15" s="225"/>
      <c r="O15" s="225"/>
      <c r="P15" s="225"/>
      <c r="Q15" s="225"/>
      <c r="R15" s="225"/>
      <c r="S15" s="225"/>
      <c r="T15" s="225"/>
      <c r="U15" s="225"/>
      <c r="V15" s="226"/>
      <c r="Y15" s="215" t="s">
        <v>82</v>
      </c>
      <c r="Z15" s="216"/>
      <c r="AA15" s="216"/>
      <c r="AB15" s="216"/>
      <c r="AC15" s="219" t="e">
        <f>AC13/SQRT(Y10)</f>
        <v>#DIV/0!</v>
      </c>
      <c r="AD15" s="220"/>
    </row>
    <row r="16" spans="2:30" ht="15.75" thickBot="1">
      <c r="B16" s="223"/>
      <c r="C16" s="224"/>
      <c r="D16" s="224"/>
      <c r="E16" s="224"/>
      <c r="F16" s="224"/>
      <c r="G16" s="225"/>
      <c r="H16" s="225"/>
      <c r="I16" s="225"/>
      <c r="J16" s="225"/>
      <c r="K16" s="225"/>
      <c r="L16" s="225"/>
      <c r="M16" s="225"/>
      <c r="N16" s="225"/>
      <c r="O16" s="225"/>
      <c r="P16" s="225"/>
      <c r="Q16" s="225"/>
      <c r="R16" s="225"/>
      <c r="S16" s="225"/>
      <c r="T16" s="225"/>
      <c r="U16" s="225"/>
      <c r="V16" s="226"/>
      <c r="Y16" s="217"/>
      <c r="Z16" s="218"/>
      <c r="AA16" s="218"/>
      <c r="AB16" s="218"/>
      <c r="AC16" s="221"/>
      <c r="AD16" s="222"/>
    </row>
    <row r="17" spans="2:22" ht="15.75" thickBot="1">
      <c r="B17" s="233" t="s">
        <v>85</v>
      </c>
      <c r="C17" s="234"/>
      <c r="D17" s="234"/>
      <c r="E17" s="234"/>
      <c r="F17" s="234"/>
      <c r="G17" s="235" t="s">
        <v>86</v>
      </c>
      <c r="H17" s="235"/>
      <c r="I17" s="235"/>
      <c r="J17" s="235"/>
      <c r="K17" s="235"/>
      <c r="L17" s="235"/>
      <c r="M17" s="235"/>
      <c r="N17" s="235"/>
      <c r="O17" s="235"/>
      <c r="P17" s="235"/>
      <c r="Q17" s="235"/>
      <c r="R17" s="235"/>
      <c r="S17" s="235"/>
      <c r="T17" s="235"/>
      <c r="U17" s="235"/>
      <c r="V17" s="236"/>
    </row>
    <row r="19" spans="2:22">
      <c r="G19" s="237" t="s">
        <v>87</v>
      </c>
      <c r="H19" s="237"/>
      <c r="I19" s="238" t="e">
        <f>TINV(0.05,G11)</f>
        <v>#DIV/0!</v>
      </c>
      <c r="J19" s="238"/>
    </row>
    <row r="20" spans="2:22">
      <c r="G20" s="237" t="s">
        <v>88</v>
      </c>
      <c r="H20" s="237"/>
      <c r="I20" s="85" t="e">
        <f>ROUND(I19*G9,1)</f>
        <v>#DIV/0!</v>
      </c>
      <c r="J20" s="85"/>
    </row>
    <row r="21" spans="2:22" ht="30" customHeight="1"/>
    <row r="22" spans="2:22" ht="30" customHeight="1"/>
  </sheetData>
  <mergeCells count="87">
    <mergeCell ref="B2:V3"/>
    <mergeCell ref="C4:D4"/>
    <mergeCell ref="E4:F4"/>
    <mergeCell ref="G4:H4"/>
    <mergeCell ref="I4:J4"/>
    <mergeCell ref="K4:L4"/>
    <mergeCell ref="M4:N4"/>
    <mergeCell ref="O4:P4"/>
    <mergeCell ref="Q4:R4"/>
    <mergeCell ref="S4:T4"/>
    <mergeCell ref="U4:V4"/>
    <mergeCell ref="M5:N5"/>
    <mergeCell ref="O5:P5"/>
    <mergeCell ref="Q5:R5"/>
    <mergeCell ref="S5:T5"/>
    <mergeCell ref="U5:V5"/>
    <mergeCell ref="C5:D5"/>
    <mergeCell ref="E5:F5"/>
    <mergeCell ref="G5:H5"/>
    <mergeCell ref="I5:J5"/>
    <mergeCell ref="K5:L5"/>
    <mergeCell ref="AC6:AD6"/>
    <mergeCell ref="AC7:AD7"/>
    <mergeCell ref="Y7:AB7"/>
    <mergeCell ref="Y4:AB5"/>
    <mergeCell ref="AC4:AD5"/>
    <mergeCell ref="C6:D6"/>
    <mergeCell ref="E6:F6"/>
    <mergeCell ref="G6:H6"/>
    <mergeCell ref="I6:J6"/>
    <mergeCell ref="K6:L6"/>
    <mergeCell ref="M6:N6"/>
    <mergeCell ref="O6:P6"/>
    <mergeCell ref="Q6:R6"/>
    <mergeCell ref="S6:T6"/>
    <mergeCell ref="Y8:AB8"/>
    <mergeCell ref="U6:V6"/>
    <mergeCell ref="Y6:AB6"/>
    <mergeCell ref="AC8:AD8"/>
    <mergeCell ref="C7:D7"/>
    <mergeCell ref="E7:F7"/>
    <mergeCell ref="G7:H7"/>
    <mergeCell ref="I7:J7"/>
    <mergeCell ref="K7:L7"/>
    <mergeCell ref="M7:N7"/>
    <mergeCell ref="O7:P7"/>
    <mergeCell ref="Q7:R7"/>
    <mergeCell ref="S7:T7"/>
    <mergeCell ref="U7:V7"/>
    <mergeCell ref="M8:N8"/>
    <mergeCell ref="O8:P8"/>
    <mergeCell ref="Q8:R8"/>
    <mergeCell ref="S8:T8"/>
    <mergeCell ref="U8:V8"/>
    <mergeCell ref="C8:D8"/>
    <mergeCell ref="E8:F8"/>
    <mergeCell ref="G8:H8"/>
    <mergeCell ref="I8:J8"/>
    <mergeCell ref="K8:L8"/>
    <mergeCell ref="G19:H19"/>
    <mergeCell ref="I19:J19"/>
    <mergeCell ref="G20:H20"/>
    <mergeCell ref="AC10:AD10"/>
    <mergeCell ref="C9:F9"/>
    <mergeCell ref="G9:J9"/>
    <mergeCell ref="K9:V11"/>
    <mergeCell ref="Y11:AB12"/>
    <mergeCell ref="AC11:AD12"/>
    <mergeCell ref="C10:F10"/>
    <mergeCell ref="G10:J10"/>
    <mergeCell ref="B11:F11"/>
    <mergeCell ref="G11:J11"/>
    <mergeCell ref="Y10:AB10"/>
    <mergeCell ref="Y9:AB9"/>
    <mergeCell ref="AC9:AD9"/>
    <mergeCell ref="B12:F12"/>
    <mergeCell ref="G12:V12"/>
    <mergeCell ref="B13:F13"/>
    <mergeCell ref="G13:V13"/>
    <mergeCell ref="B17:F17"/>
    <mergeCell ref="G17:V17"/>
    <mergeCell ref="Y15:AB16"/>
    <mergeCell ref="AC15:AD16"/>
    <mergeCell ref="B14:F16"/>
    <mergeCell ref="G14:V16"/>
    <mergeCell ref="Y13:AB14"/>
    <mergeCell ref="AC13:AD14"/>
  </mergeCells>
  <pageMargins left="0.7" right="0.7" top="0.75" bottom="0.75" header="0.3" footer="0.3"/>
  <pageSetup scale="45" orientation="portrait" horizontalDpi="300" verticalDpi="300" r:id="rId1"/>
  <colBreaks count="1" manualBreakCount="1">
    <brk id="23" max="19" man="1"/>
  </colBreaks>
  <extLst>
    <ext xmlns:x14="http://schemas.microsoft.com/office/spreadsheetml/2009/9/main" uri="{78C0D931-6437-407d-A8EE-F0AAD7539E65}">
      <x14:conditionalFormattings>
        <x14:conditionalFormatting xmlns:xm="http://schemas.microsoft.com/office/excel/2006/main">
          <x14:cfRule type="expression" priority="1" id="{46CF95C9-CCD1-46BD-B448-374506DAD50D}">
            <xm:f>Datasheet!$B$6="34901A"</xm:f>
            <x14:dxf>
              <numFmt numFmtId="164" formatCode="0.0"/>
            </x14:dxf>
          </x14:cfRule>
          <xm:sqref>AC6:AD12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497B-98AF-494F-AAEE-04C58B636A1D}">
  <sheetPr codeName="Sheet21"/>
  <dimension ref="B1:AD22"/>
  <sheetViews>
    <sheetView zoomScaleNormal="100" workbookViewId="0">
      <selection activeCell="G11" sqref="G11:J11"/>
    </sheetView>
  </sheetViews>
  <sheetFormatPr defaultRowHeight="15"/>
  <cols>
    <col min="1" max="1" width="4.28515625" style="50" customWidth="1"/>
    <col min="2" max="22" width="9.140625" style="50"/>
    <col min="23" max="24" width="2.85546875" style="50" customWidth="1"/>
    <col min="25" max="16384" width="9.140625" style="50"/>
  </cols>
  <sheetData>
    <row r="1" spans="2:30" ht="15.75" thickBot="1"/>
    <row r="2" spans="2:30" ht="15" customHeight="1">
      <c r="B2" s="280" t="e">
        <f>"Measurement Uncertainty Analysis (Type T "&amp;ROUND(Datasheet!C38,0)&amp;"°C test point)
The reported value ("&amp;ROUND(AC11,1)&amp;") is the mean UUT indication five (5) test runs"</f>
        <v>#DIV/0!</v>
      </c>
      <c r="C2" s="281"/>
      <c r="D2" s="281"/>
      <c r="E2" s="281"/>
      <c r="F2" s="281"/>
      <c r="G2" s="281"/>
      <c r="H2" s="281"/>
      <c r="I2" s="281"/>
      <c r="J2" s="281"/>
      <c r="K2" s="281"/>
      <c r="L2" s="281"/>
      <c r="M2" s="281"/>
      <c r="N2" s="281"/>
      <c r="O2" s="281"/>
      <c r="P2" s="281"/>
      <c r="Q2" s="281"/>
      <c r="R2" s="281"/>
      <c r="S2" s="281"/>
      <c r="T2" s="281"/>
      <c r="U2" s="281"/>
      <c r="V2" s="282"/>
    </row>
    <row r="3" spans="2:30" ht="15.75" thickBot="1">
      <c r="B3" s="283"/>
      <c r="C3" s="284"/>
      <c r="D3" s="284"/>
      <c r="E3" s="284"/>
      <c r="F3" s="284"/>
      <c r="G3" s="284"/>
      <c r="H3" s="284"/>
      <c r="I3" s="284"/>
      <c r="J3" s="284"/>
      <c r="K3" s="284"/>
      <c r="L3" s="284"/>
      <c r="M3" s="284"/>
      <c r="N3" s="284"/>
      <c r="O3" s="284"/>
      <c r="P3" s="284"/>
      <c r="Q3" s="284"/>
      <c r="R3" s="284"/>
      <c r="S3" s="284"/>
      <c r="T3" s="284"/>
      <c r="U3" s="284"/>
      <c r="V3" s="285"/>
    </row>
    <row r="4" spans="2:30" ht="30" customHeight="1">
      <c r="B4" s="71"/>
      <c r="C4" s="216" t="s">
        <v>45</v>
      </c>
      <c r="D4" s="216"/>
      <c r="E4" s="286" t="s">
        <v>46</v>
      </c>
      <c r="F4" s="286"/>
      <c r="G4" s="287" t="s">
        <v>47</v>
      </c>
      <c r="H4" s="287"/>
      <c r="I4" s="286" t="s">
        <v>48</v>
      </c>
      <c r="J4" s="216"/>
      <c r="K4" s="216" t="s">
        <v>49</v>
      </c>
      <c r="L4" s="216"/>
      <c r="M4" s="216" t="s">
        <v>50</v>
      </c>
      <c r="N4" s="216"/>
      <c r="O4" s="286" t="s">
        <v>51</v>
      </c>
      <c r="P4" s="286"/>
      <c r="Q4" s="216" t="s">
        <v>52</v>
      </c>
      <c r="R4" s="216"/>
      <c r="S4" s="216" t="s">
        <v>53</v>
      </c>
      <c r="T4" s="216"/>
      <c r="U4" s="286" t="s">
        <v>54</v>
      </c>
      <c r="V4" s="288"/>
      <c r="Y4" s="277" t="s">
        <v>55</v>
      </c>
      <c r="Z4" s="241"/>
      <c r="AA4" s="241"/>
      <c r="AB4" s="241"/>
      <c r="AC4" s="241" t="s">
        <v>56</v>
      </c>
      <c r="AD4" s="278"/>
    </row>
    <row r="5" spans="2:30" ht="30" customHeight="1" thickBot="1">
      <c r="B5" s="71" t="s">
        <v>57</v>
      </c>
      <c r="C5" s="263" t="s">
        <v>58</v>
      </c>
      <c r="D5" s="263"/>
      <c r="E5" s="254">
        <f>'STD Info'!L34</f>
        <v>7.0000000000000007E-2</v>
      </c>
      <c r="F5" s="263"/>
      <c r="G5" s="269">
        <v>0.95</v>
      </c>
      <c r="H5" s="263"/>
      <c r="I5" s="263" t="s">
        <v>59</v>
      </c>
      <c r="J5" s="263"/>
      <c r="K5" s="263" t="s">
        <v>60</v>
      </c>
      <c r="L5" s="263"/>
      <c r="M5" s="254">
        <f>NORMSINV((1+0.95)/2)</f>
        <v>1.9599639845400536</v>
      </c>
      <c r="N5" s="254"/>
      <c r="O5" s="270">
        <f>E5/M5</f>
        <v>3.5714941984725787E-2</v>
      </c>
      <c r="P5" s="270"/>
      <c r="Q5" s="254">
        <v>1</v>
      </c>
      <c r="R5" s="254"/>
      <c r="S5" s="270">
        <f>O5*Q5</f>
        <v>3.5714941984725787E-2</v>
      </c>
      <c r="T5" s="270"/>
      <c r="U5" s="271" t="s">
        <v>61</v>
      </c>
      <c r="V5" s="272"/>
      <c r="Y5" s="217"/>
      <c r="Z5" s="218"/>
      <c r="AA5" s="218"/>
      <c r="AB5" s="218"/>
      <c r="AC5" s="218"/>
      <c r="AD5" s="279"/>
    </row>
    <row r="6" spans="2:30" ht="30" customHeight="1">
      <c r="B6" s="71" t="s">
        <v>62</v>
      </c>
      <c r="C6" s="263" t="s">
        <v>63</v>
      </c>
      <c r="D6" s="263"/>
      <c r="E6" s="263">
        <f>'STD Info'!D9/2</f>
        <v>5.0000000000000001E-3</v>
      </c>
      <c r="F6" s="263"/>
      <c r="G6" s="269">
        <v>1</v>
      </c>
      <c r="H6" s="263"/>
      <c r="I6" s="263" t="s">
        <v>59</v>
      </c>
      <c r="J6" s="263"/>
      <c r="K6" s="263" t="s">
        <v>64</v>
      </c>
      <c r="L6" s="263"/>
      <c r="M6" s="254">
        <f>SQRT(3)</f>
        <v>1.7320508075688772</v>
      </c>
      <c r="N6" s="254"/>
      <c r="O6" s="270">
        <f>E6/M6</f>
        <v>2.886751345948129E-3</v>
      </c>
      <c r="P6" s="270"/>
      <c r="Q6" s="254">
        <v>1</v>
      </c>
      <c r="R6" s="254"/>
      <c r="S6" s="270">
        <f>O6*Q6</f>
        <v>2.886751345948129E-3</v>
      </c>
      <c r="T6" s="270"/>
      <c r="U6" s="271" t="s">
        <v>61</v>
      </c>
      <c r="V6" s="272"/>
      <c r="Y6" s="274">
        <v>1</v>
      </c>
      <c r="Z6" s="266"/>
      <c r="AA6" s="266"/>
      <c r="AB6" s="266"/>
      <c r="AC6" s="275"/>
      <c r="AD6" s="276"/>
    </row>
    <row r="7" spans="2:30" ht="30" customHeight="1">
      <c r="B7" s="71" t="s">
        <v>65</v>
      </c>
      <c r="C7" s="263" t="s">
        <v>66</v>
      </c>
      <c r="D7" s="263"/>
      <c r="E7" s="263">
        <f>IF(Datasheet!B6="DAQM901A",'UUT Info'!D9/2,'UUT Info'!P9/2)</f>
        <v>0.05</v>
      </c>
      <c r="F7" s="263"/>
      <c r="G7" s="269">
        <v>1</v>
      </c>
      <c r="H7" s="263"/>
      <c r="I7" s="263" t="s">
        <v>59</v>
      </c>
      <c r="J7" s="263"/>
      <c r="K7" s="263" t="s">
        <v>64</v>
      </c>
      <c r="L7" s="263"/>
      <c r="M7" s="254">
        <f>SQRT(3)</f>
        <v>1.7320508075688772</v>
      </c>
      <c r="N7" s="254"/>
      <c r="O7" s="270">
        <f>E7/M7</f>
        <v>2.8867513459481291E-2</v>
      </c>
      <c r="P7" s="270"/>
      <c r="Q7" s="254">
        <v>1</v>
      </c>
      <c r="R7" s="254"/>
      <c r="S7" s="270">
        <f>O7*Q7</f>
        <v>2.8867513459481291E-2</v>
      </c>
      <c r="T7" s="270"/>
      <c r="U7" s="271" t="s">
        <v>61</v>
      </c>
      <c r="V7" s="272"/>
      <c r="Y7" s="262">
        <v>2</v>
      </c>
      <c r="Z7" s="263"/>
      <c r="AA7" s="263"/>
      <c r="AB7" s="263"/>
      <c r="AC7" s="264"/>
      <c r="AD7" s="265"/>
    </row>
    <row r="8" spans="2:30" ht="30" customHeight="1" thickBot="1">
      <c r="B8" s="70" t="s">
        <v>67</v>
      </c>
      <c r="C8" s="266" t="s">
        <v>68</v>
      </c>
      <c r="D8" s="266"/>
      <c r="E8" s="267" t="e">
        <f>AC15</f>
        <v>#DIV/0!</v>
      </c>
      <c r="F8" s="267"/>
      <c r="G8" s="268">
        <v>0.68</v>
      </c>
      <c r="H8" s="266"/>
      <c r="I8" s="266" t="s">
        <v>69</v>
      </c>
      <c r="J8" s="266"/>
      <c r="K8" s="266" t="s">
        <v>60</v>
      </c>
      <c r="L8" s="266"/>
      <c r="M8" s="252" t="s">
        <v>70</v>
      </c>
      <c r="N8" s="252"/>
      <c r="O8" s="267" t="e">
        <f>E8/1</f>
        <v>#DIV/0!</v>
      </c>
      <c r="P8" s="267"/>
      <c r="Q8" s="252">
        <v>1</v>
      </c>
      <c r="R8" s="252"/>
      <c r="S8" s="267" t="e">
        <f>O8*Q8</f>
        <v>#DIV/0!</v>
      </c>
      <c r="T8" s="267"/>
      <c r="U8" s="266">
        <f>Y10-1</f>
        <v>4</v>
      </c>
      <c r="V8" s="273"/>
      <c r="Y8" s="262">
        <v>3</v>
      </c>
      <c r="Z8" s="263"/>
      <c r="AA8" s="263"/>
      <c r="AB8" s="263"/>
      <c r="AC8" s="264"/>
      <c r="AD8" s="265"/>
    </row>
    <row r="9" spans="2:30" ht="30" customHeight="1">
      <c r="B9" s="72" t="s">
        <v>71</v>
      </c>
      <c r="C9" s="241" t="s">
        <v>72</v>
      </c>
      <c r="D9" s="241"/>
      <c r="E9" s="241"/>
      <c r="F9" s="241"/>
      <c r="G9" s="242" t="e">
        <f>SQRT(SUMSQ(S5:T8))</f>
        <v>#DIV/0!</v>
      </c>
      <c r="H9" s="242"/>
      <c r="I9" s="242"/>
      <c r="J9" s="242"/>
      <c r="K9" s="243" t="s">
        <v>138</v>
      </c>
      <c r="L9" s="244"/>
      <c r="M9" s="244"/>
      <c r="N9" s="244"/>
      <c r="O9" s="244"/>
      <c r="P9" s="244"/>
      <c r="Q9" s="244"/>
      <c r="R9" s="244"/>
      <c r="S9" s="244"/>
      <c r="T9" s="244"/>
      <c r="U9" s="244"/>
      <c r="V9" s="245"/>
      <c r="Y9" s="262">
        <v>4</v>
      </c>
      <c r="Z9" s="263"/>
      <c r="AA9" s="263"/>
      <c r="AB9" s="263"/>
      <c r="AC9" s="264"/>
      <c r="AD9" s="265"/>
    </row>
    <row r="10" spans="2:30" ht="30" customHeight="1" thickBot="1">
      <c r="B10" s="69" t="s">
        <v>74</v>
      </c>
      <c r="C10" s="216" t="s">
        <v>75</v>
      </c>
      <c r="D10" s="216"/>
      <c r="E10" s="216"/>
      <c r="F10" s="216"/>
      <c r="G10" s="256" t="e">
        <f>ROUND(AC11,1) &amp; "°C ± " &amp; I20 &amp;"°C"</f>
        <v>#DIV/0!</v>
      </c>
      <c r="H10" s="256"/>
      <c r="I10" s="256"/>
      <c r="J10" s="256"/>
      <c r="K10" s="246"/>
      <c r="L10" s="246"/>
      <c r="M10" s="246"/>
      <c r="N10" s="246"/>
      <c r="O10" s="246"/>
      <c r="P10" s="246"/>
      <c r="Q10" s="246"/>
      <c r="R10" s="246"/>
      <c r="S10" s="246"/>
      <c r="T10" s="246"/>
      <c r="U10" s="246"/>
      <c r="V10" s="247"/>
      <c r="Y10" s="260">
        <v>5</v>
      </c>
      <c r="Z10" s="261"/>
      <c r="AA10" s="261"/>
      <c r="AB10" s="261"/>
      <c r="AC10" s="239"/>
      <c r="AD10" s="240"/>
    </row>
    <row r="11" spans="2:30" ht="30" customHeight="1" thickBot="1">
      <c r="B11" s="257" t="s">
        <v>76</v>
      </c>
      <c r="C11" s="258"/>
      <c r="D11" s="258"/>
      <c r="E11" s="258"/>
      <c r="F11" s="258"/>
      <c r="G11" s="259" t="e">
        <f>IF(S8=0,10000000000,IF(U8*((G9^4)/(S8^4))&gt;10000000000,10000000000,U8*((G9^4)/(S8^4))))</f>
        <v>#DIV/0!</v>
      </c>
      <c r="H11" s="259"/>
      <c r="I11" s="259"/>
      <c r="J11" s="259"/>
      <c r="K11" s="248"/>
      <c r="L11" s="248"/>
      <c r="M11" s="248"/>
      <c r="N11" s="248"/>
      <c r="O11" s="248"/>
      <c r="P11" s="248"/>
      <c r="Q11" s="248"/>
      <c r="R11" s="248"/>
      <c r="S11" s="248"/>
      <c r="T11" s="248"/>
      <c r="U11" s="248"/>
      <c r="V11" s="249"/>
      <c r="X11" s="54"/>
      <c r="Y11" s="250" t="s">
        <v>73</v>
      </c>
      <c r="Z11" s="251"/>
      <c r="AA11" s="251"/>
      <c r="AB11" s="251"/>
      <c r="AC11" s="252" t="e">
        <f>AVERAGE(AC6:AD10)</f>
        <v>#DIV/0!</v>
      </c>
      <c r="AD11" s="253"/>
    </row>
    <row r="12" spans="2:30" ht="30" customHeight="1" thickTop="1">
      <c r="B12" s="227" t="s">
        <v>78</v>
      </c>
      <c r="C12" s="228"/>
      <c r="D12" s="228"/>
      <c r="E12" s="228"/>
      <c r="F12" s="228"/>
      <c r="G12" s="229" t="s">
        <v>79</v>
      </c>
      <c r="H12" s="229"/>
      <c r="I12" s="229"/>
      <c r="J12" s="229"/>
      <c r="K12" s="229"/>
      <c r="L12" s="229"/>
      <c r="M12" s="229"/>
      <c r="N12" s="229"/>
      <c r="O12" s="229"/>
      <c r="P12" s="229"/>
      <c r="Q12" s="229"/>
      <c r="R12" s="229"/>
      <c r="S12" s="229"/>
      <c r="T12" s="229"/>
      <c r="U12" s="229"/>
      <c r="V12" s="230"/>
      <c r="X12" s="54"/>
      <c r="Y12" s="215"/>
      <c r="Z12" s="216"/>
      <c r="AA12" s="216"/>
      <c r="AB12" s="216"/>
      <c r="AC12" s="254"/>
      <c r="AD12" s="255"/>
    </row>
    <row r="13" spans="2:30" ht="30" customHeight="1">
      <c r="B13" s="223" t="s">
        <v>80</v>
      </c>
      <c r="C13" s="224"/>
      <c r="D13" s="224"/>
      <c r="E13" s="224"/>
      <c r="F13" s="224"/>
      <c r="G13" s="231" t="s">
        <v>81</v>
      </c>
      <c r="H13" s="231"/>
      <c r="I13" s="231"/>
      <c r="J13" s="231"/>
      <c r="K13" s="231"/>
      <c r="L13" s="231"/>
      <c r="M13" s="231"/>
      <c r="N13" s="231"/>
      <c r="O13" s="231"/>
      <c r="P13" s="231"/>
      <c r="Q13" s="231"/>
      <c r="R13" s="231"/>
      <c r="S13" s="231"/>
      <c r="T13" s="231"/>
      <c r="U13" s="231"/>
      <c r="V13" s="232"/>
      <c r="Y13" s="215" t="s">
        <v>77</v>
      </c>
      <c r="Z13" s="216"/>
      <c r="AA13" s="216"/>
      <c r="AB13" s="216"/>
      <c r="AC13" s="219" t="e">
        <f>_xlfn.STDEV.S(AC6:AD10)</f>
        <v>#DIV/0!</v>
      </c>
      <c r="AD13" s="220"/>
    </row>
    <row r="14" spans="2:30">
      <c r="B14" s="223" t="s">
        <v>83</v>
      </c>
      <c r="C14" s="224"/>
      <c r="D14" s="224"/>
      <c r="E14" s="224"/>
      <c r="F14" s="224"/>
      <c r="G14" s="225" t="s">
        <v>84</v>
      </c>
      <c r="H14" s="225"/>
      <c r="I14" s="225"/>
      <c r="J14" s="225"/>
      <c r="K14" s="225"/>
      <c r="L14" s="225"/>
      <c r="M14" s="225"/>
      <c r="N14" s="225"/>
      <c r="O14" s="225"/>
      <c r="P14" s="225"/>
      <c r="Q14" s="225"/>
      <c r="R14" s="225"/>
      <c r="S14" s="225"/>
      <c r="T14" s="225"/>
      <c r="U14" s="225"/>
      <c r="V14" s="226"/>
      <c r="Y14" s="215"/>
      <c r="Z14" s="216"/>
      <c r="AA14" s="216"/>
      <c r="AB14" s="216"/>
      <c r="AC14" s="219"/>
      <c r="AD14" s="220"/>
    </row>
    <row r="15" spans="2:30">
      <c r="B15" s="223"/>
      <c r="C15" s="224"/>
      <c r="D15" s="224"/>
      <c r="E15" s="224"/>
      <c r="F15" s="224"/>
      <c r="G15" s="225"/>
      <c r="H15" s="225"/>
      <c r="I15" s="225"/>
      <c r="J15" s="225"/>
      <c r="K15" s="225"/>
      <c r="L15" s="225"/>
      <c r="M15" s="225"/>
      <c r="N15" s="225"/>
      <c r="O15" s="225"/>
      <c r="P15" s="225"/>
      <c r="Q15" s="225"/>
      <c r="R15" s="225"/>
      <c r="S15" s="225"/>
      <c r="T15" s="225"/>
      <c r="U15" s="225"/>
      <c r="V15" s="226"/>
      <c r="Y15" s="215" t="s">
        <v>82</v>
      </c>
      <c r="Z15" s="216"/>
      <c r="AA15" s="216"/>
      <c r="AB15" s="216"/>
      <c r="AC15" s="219" t="e">
        <f>AC13/SQRT(Y10)</f>
        <v>#DIV/0!</v>
      </c>
      <c r="AD15" s="220"/>
    </row>
    <row r="16" spans="2:30" ht="15.75" thickBot="1">
      <c r="B16" s="223"/>
      <c r="C16" s="224"/>
      <c r="D16" s="224"/>
      <c r="E16" s="224"/>
      <c r="F16" s="224"/>
      <c r="G16" s="225"/>
      <c r="H16" s="225"/>
      <c r="I16" s="225"/>
      <c r="J16" s="225"/>
      <c r="K16" s="225"/>
      <c r="L16" s="225"/>
      <c r="M16" s="225"/>
      <c r="N16" s="225"/>
      <c r="O16" s="225"/>
      <c r="P16" s="225"/>
      <c r="Q16" s="225"/>
      <c r="R16" s="225"/>
      <c r="S16" s="225"/>
      <c r="T16" s="225"/>
      <c r="U16" s="225"/>
      <c r="V16" s="226"/>
      <c r="Y16" s="217"/>
      <c r="Z16" s="218"/>
      <c r="AA16" s="218"/>
      <c r="AB16" s="218"/>
      <c r="AC16" s="221"/>
      <c r="AD16" s="222"/>
    </row>
    <row r="17" spans="2:22" ht="15.75" thickBot="1">
      <c r="B17" s="233" t="s">
        <v>85</v>
      </c>
      <c r="C17" s="234"/>
      <c r="D17" s="234"/>
      <c r="E17" s="234"/>
      <c r="F17" s="234"/>
      <c r="G17" s="235" t="s">
        <v>86</v>
      </c>
      <c r="H17" s="235"/>
      <c r="I17" s="235"/>
      <c r="J17" s="235"/>
      <c r="K17" s="235"/>
      <c r="L17" s="235"/>
      <c r="M17" s="235"/>
      <c r="N17" s="235"/>
      <c r="O17" s="235"/>
      <c r="P17" s="235"/>
      <c r="Q17" s="235"/>
      <c r="R17" s="235"/>
      <c r="S17" s="235"/>
      <c r="T17" s="235"/>
      <c r="U17" s="235"/>
      <c r="V17" s="236"/>
    </row>
    <row r="19" spans="2:22">
      <c r="G19" s="237" t="s">
        <v>87</v>
      </c>
      <c r="H19" s="237"/>
      <c r="I19" s="238" t="e">
        <f>TINV(0.05,G11)</f>
        <v>#DIV/0!</v>
      </c>
      <c r="J19" s="238"/>
    </row>
    <row r="20" spans="2:22">
      <c r="G20" s="237" t="s">
        <v>88</v>
      </c>
      <c r="H20" s="237"/>
      <c r="I20" s="85" t="e">
        <f>ROUND(I19*G9,1)</f>
        <v>#DIV/0!</v>
      </c>
      <c r="J20" s="85"/>
    </row>
    <row r="21" spans="2:22" ht="30" customHeight="1"/>
    <row r="22" spans="2:22" ht="30" customHeight="1"/>
  </sheetData>
  <mergeCells count="87">
    <mergeCell ref="B2:V3"/>
    <mergeCell ref="C4:D4"/>
    <mergeCell ref="E4:F4"/>
    <mergeCell ref="G4:H4"/>
    <mergeCell ref="I4:J4"/>
    <mergeCell ref="K4:L4"/>
    <mergeCell ref="M4:N4"/>
    <mergeCell ref="O4:P4"/>
    <mergeCell ref="Q4:R4"/>
    <mergeCell ref="S4:T4"/>
    <mergeCell ref="U4:V4"/>
    <mergeCell ref="M5:N5"/>
    <mergeCell ref="O5:P5"/>
    <mergeCell ref="Q5:R5"/>
    <mergeCell ref="S5:T5"/>
    <mergeCell ref="U5:V5"/>
    <mergeCell ref="C5:D5"/>
    <mergeCell ref="E5:F5"/>
    <mergeCell ref="G5:H5"/>
    <mergeCell ref="I5:J5"/>
    <mergeCell ref="K5:L5"/>
    <mergeCell ref="AC6:AD6"/>
    <mergeCell ref="AC7:AD7"/>
    <mergeCell ref="Y7:AB7"/>
    <mergeCell ref="Y4:AB5"/>
    <mergeCell ref="AC4:AD5"/>
    <mergeCell ref="C6:D6"/>
    <mergeCell ref="E6:F6"/>
    <mergeCell ref="G6:H6"/>
    <mergeCell ref="I6:J6"/>
    <mergeCell ref="K6:L6"/>
    <mergeCell ref="M6:N6"/>
    <mergeCell ref="O6:P6"/>
    <mergeCell ref="Q6:R6"/>
    <mergeCell ref="S6:T6"/>
    <mergeCell ref="Y8:AB8"/>
    <mergeCell ref="U6:V6"/>
    <mergeCell ref="Y6:AB6"/>
    <mergeCell ref="AC8:AD8"/>
    <mergeCell ref="C7:D7"/>
    <mergeCell ref="E7:F7"/>
    <mergeCell ref="G7:H7"/>
    <mergeCell ref="I7:J7"/>
    <mergeCell ref="K7:L7"/>
    <mergeCell ref="M7:N7"/>
    <mergeCell ref="O7:P7"/>
    <mergeCell ref="Q7:R7"/>
    <mergeCell ref="S7:T7"/>
    <mergeCell ref="U7:V7"/>
    <mergeCell ref="M8:N8"/>
    <mergeCell ref="O8:P8"/>
    <mergeCell ref="Q8:R8"/>
    <mergeCell ref="S8:T8"/>
    <mergeCell ref="U8:V8"/>
    <mergeCell ref="C8:D8"/>
    <mergeCell ref="E8:F8"/>
    <mergeCell ref="G8:H8"/>
    <mergeCell ref="I8:J8"/>
    <mergeCell ref="K8:L8"/>
    <mergeCell ref="G19:H19"/>
    <mergeCell ref="I19:J19"/>
    <mergeCell ref="G20:H20"/>
    <mergeCell ref="AC10:AD10"/>
    <mergeCell ref="C9:F9"/>
    <mergeCell ref="G9:J9"/>
    <mergeCell ref="K9:V11"/>
    <mergeCell ref="Y11:AB12"/>
    <mergeCell ref="AC11:AD12"/>
    <mergeCell ref="C10:F10"/>
    <mergeCell ref="G10:J10"/>
    <mergeCell ref="B11:F11"/>
    <mergeCell ref="G11:J11"/>
    <mergeCell ref="Y10:AB10"/>
    <mergeCell ref="Y9:AB9"/>
    <mergeCell ref="AC9:AD9"/>
    <mergeCell ref="B12:F12"/>
    <mergeCell ref="G12:V12"/>
    <mergeCell ref="B13:F13"/>
    <mergeCell ref="G13:V13"/>
    <mergeCell ref="B17:F17"/>
    <mergeCell ref="G17:V17"/>
    <mergeCell ref="Y15:AB16"/>
    <mergeCell ref="AC15:AD16"/>
    <mergeCell ref="B14:F16"/>
    <mergeCell ref="G14:V16"/>
    <mergeCell ref="Y13:AB14"/>
    <mergeCell ref="AC13:AD14"/>
  </mergeCells>
  <pageMargins left="0.7" right="0.7" top="0.75" bottom="0.75" header="0.3" footer="0.3"/>
  <pageSetup scale="45" orientation="portrait" horizontalDpi="300" verticalDpi="300" r:id="rId1"/>
  <colBreaks count="1" manualBreakCount="1">
    <brk id="23" max="19" man="1"/>
  </colBreaks>
  <extLst>
    <ext xmlns:x14="http://schemas.microsoft.com/office/spreadsheetml/2009/9/main" uri="{78C0D931-6437-407d-A8EE-F0AAD7539E65}">
      <x14:conditionalFormattings>
        <x14:conditionalFormatting xmlns:xm="http://schemas.microsoft.com/office/excel/2006/main">
          <x14:cfRule type="expression" priority="1" id="{53F27DBC-5356-4E6F-A206-A827053EC83C}">
            <xm:f>Datasheet!$B$6="34901A"</xm:f>
            <x14:dxf>
              <numFmt numFmtId="164" formatCode="0.0"/>
            </x14:dxf>
          </x14:cfRule>
          <xm:sqref>AC6:AD12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189FE-821E-44D0-9D11-EDBC54FFD690}">
  <sheetPr codeName="Sheet22"/>
  <dimension ref="B1:AD22"/>
  <sheetViews>
    <sheetView zoomScaleNormal="100" workbookViewId="0">
      <selection activeCell="G11" sqref="G11:J11"/>
    </sheetView>
  </sheetViews>
  <sheetFormatPr defaultRowHeight="15"/>
  <cols>
    <col min="1" max="1" width="4.28515625" style="50" customWidth="1"/>
    <col min="2" max="22" width="9.140625" style="50"/>
    <col min="23" max="24" width="2.85546875" style="50" customWidth="1"/>
    <col min="25" max="16384" width="9.140625" style="50"/>
  </cols>
  <sheetData>
    <row r="1" spans="2:30" ht="15.75" thickBot="1"/>
    <row r="2" spans="2:30" ht="15" customHeight="1">
      <c r="B2" s="280" t="e">
        <f>"Measurement Uncertainty Analysis (Type T "&amp;ROUND(Datasheet!C39,0)&amp;"°C test point)
The reported value ("&amp;ROUND(AC11,1)&amp;") is the mean UUT indication five (5) test runs"</f>
        <v>#DIV/0!</v>
      </c>
      <c r="C2" s="281"/>
      <c r="D2" s="281"/>
      <c r="E2" s="281"/>
      <c r="F2" s="281"/>
      <c r="G2" s="281"/>
      <c r="H2" s="281"/>
      <c r="I2" s="281"/>
      <c r="J2" s="281"/>
      <c r="K2" s="281"/>
      <c r="L2" s="281"/>
      <c r="M2" s="281"/>
      <c r="N2" s="281"/>
      <c r="O2" s="281"/>
      <c r="P2" s="281"/>
      <c r="Q2" s="281"/>
      <c r="R2" s="281"/>
      <c r="S2" s="281"/>
      <c r="T2" s="281"/>
      <c r="U2" s="281"/>
      <c r="V2" s="282"/>
    </row>
    <row r="3" spans="2:30" ht="15.75" thickBot="1">
      <c r="B3" s="283"/>
      <c r="C3" s="284"/>
      <c r="D3" s="284"/>
      <c r="E3" s="284"/>
      <c r="F3" s="284"/>
      <c r="G3" s="284"/>
      <c r="H3" s="284"/>
      <c r="I3" s="284"/>
      <c r="J3" s="284"/>
      <c r="K3" s="284"/>
      <c r="L3" s="284"/>
      <c r="M3" s="284"/>
      <c r="N3" s="284"/>
      <c r="O3" s="284"/>
      <c r="P3" s="284"/>
      <c r="Q3" s="284"/>
      <c r="R3" s="284"/>
      <c r="S3" s="284"/>
      <c r="T3" s="284"/>
      <c r="U3" s="284"/>
      <c r="V3" s="285"/>
    </row>
    <row r="4" spans="2:30" ht="30" customHeight="1">
      <c r="B4" s="71"/>
      <c r="C4" s="216" t="s">
        <v>45</v>
      </c>
      <c r="D4" s="216"/>
      <c r="E4" s="286" t="s">
        <v>46</v>
      </c>
      <c r="F4" s="286"/>
      <c r="G4" s="287" t="s">
        <v>47</v>
      </c>
      <c r="H4" s="287"/>
      <c r="I4" s="286" t="s">
        <v>48</v>
      </c>
      <c r="J4" s="216"/>
      <c r="K4" s="216" t="s">
        <v>49</v>
      </c>
      <c r="L4" s="216"/>
      <c r="M4" s="216" t="s">
        <v>50</v>
      </c>
      <c r="N4" s="216"/>
      <c r="O4" s="286" t="s">
        <v>51</v>
      </c>
      <c r="P4" s="286"/>
      <c r="Q4" s="216" t="s">
        <v>52</v>
      </c>
      <c r="R4" s="216"/>
      <c r="S4" s="216" t="s">
        <v>53</v>
      </c>
      <c r="T4" s="216"/>
      <c r="U4" s="286" t="s">
        <v>54</v>
      </c>
      <c r="V4" s="288"/>
      <c r="Y4" s="277" t="s">
        <v>55</v>
      </c>
      <c r="Z4" s="241"/>
      <c r="AA4" s="241"/>
      <c r="AB4" s="241"/>
      <c r="AC4" s="241" t="s">
        <v>56</v>
      </c>
      <c r="AD4" s="278"/>
    </row>
    <row r="5" spans="2:30" ht="30" customHeight="1" thickBot="1">
      <c r="B5" s="71" t="s">
        <v>57</v>
      </c>
      <c r="C5" s="263" t="s">
        <v>58</v>
      </c>
      <c r="D5" s="263"/>
      <c r="E5" s="254">
        <f>'STD Info'!L34</f>
        <v>7.0000000000000007E-2</v>
      </c>
      <c r="F5" s="263"/>
      <c r="G5" s="269">
        <v>0.95</v>
      </c>
      <c r="H5" s="263"/>
      <c r="I5" s="263" t="s">
        <v>59</v>
      </c>
      <c r="J5" s="263"/>
      <c r="K5" s="263" t="s">
        <v>60</v>
      </c>
      <c r="L5" s="263"/>
      <c r="M5" s="254">
        <f>NORMSINV((1+0.95)/2)</f>
        <v>1.9599639845400536</v>
      </c>
      <c r="N5" s="254"/>
      <c r="O5" s="270">
        <f>E5/M5</f>
        <v>3.5714941984725787E-2</v>
      </c>
      <c r="P5" s="270"/>
      <c r="Q5" s="254">
        <v>1</v>
      </c>
      <c r="R5" s="254"/>
      <c r="S5" s="270">
        <f>O5*Q5</f>
        <v>3.5714941984725787E-2</v>
      </c>
      <c r="T5" s="270"/>
      <c r="U5" s="271" t="s">
        <v>61</v>
      </c>
      <c r="V5" s="272"/>
      <c r="Y5" s="217"/>
      <c r="Z5" s="218"/>
      <c r="AA5" s="218"/>
      <c r="AB5" s="218"/>
      <c r="AC5" s="218"/>
      <c r="AD5" s="279"/>
    </row>
    <row r="6" spans="2:30" ht="30" customHeight="1">
      <c r="B6" s="71" t="s">
        <v>62</v>
      </c>
      <c r="C6" s="263" t="s">
        <v>63</v>
      </c>
      <c r="D6" s="263"/>
      <c r="E6" s="263">
        <f>'STD Info'!D9/2</f>
        <v>5.0000000000000001E-3</v>
      </c>
      <c r="F6" s="263"/>
      <c r="G6" s="269">
        <v>1</v>
      </c>
      <c r="H6" s="263"/>
      <c r="I6" s="263" t="s">
        <v>59</v>
      </c>
      <c r="J6" s="263"/>
      <c r="K6" s="263" t="s">
        <v>64</v>
      </c>
      <c r="L6" s="263"/>
      <c r="M6" s="254">
        <f>SQRT(3)</f>
        <v>1.7320508075688772</v>
      </c>
      <c r="N6" s="254"/>
      <c r="O6" s="270">
        <f>E6/M6</f>
        <v>2.886751345948129E-3</v>
      </c>
      <c r="P6" s="270"/>
      <c r="Q6" s="254">
        <v>1</v>
      </c>
      <c r="R6" s="254"/>
      <c r="S6" s="270">
        <f>O6*Q6</f>
        <v>2.886751345948129E-3</v>
      </c>
      <c r="T6" s="270"/>
      <c r="U6" s="271" t="s">
        <v>61</v>
      </c>
      <c r="V6" s="272"/>
      <c r="Y6" s="274">
        <v>1</v>
      </c>
      <c r="Z6" s="266"/>
      <c r="AA6" s="266"/>
      <c r="AB6" s="266"/>
      <c r="AC6" s="275"/>
      <c r="AD6" s="276"/>
    </row>
    <row r="7" spans="2:30" ht="30" customHeight="1">
      <c r="B7" s="71" t="s">
        <v>65</v>
      </c>
      <c r="C7" s="263" t="s">
        <v>66</v>
      </c>
      <c r="D7" s="263"/>
      <c r="E7" s="263">
        <f>IF(Datasheet!B6="DAQM901A",'UUT Info'!D9/2,'UUT Info'!P9/2)</f>
        <v>0.05</v>
      </c>
      <c r="F7" s="263"/>
      <c r="G7" s="269">
        <v>1</v>
      </c>
      <c r="H7" s="263"/>
      <c r="I7" s="263" t="s">
        <v>59</v>
      </c>
      <c r="J7" s="263"/>
      <c r="K7" s="263" t="s">
        <v>64</v>
      </c>
      <c r="L7" s="263"/>
      <c r="M7" s="254">
        <f>SQRT(3)</f>
        <v>1.7320508075688772</v>
      </c>
      <c r="N7" s="254"/>
      <c r="O7" s="270">
        <f>E7/M7</f>
        <v>2.8867513459481291E-2</v>
      </c>
      <c r="P7" s="270"/>
      <c r="Q7" s="254">
        <v>1</v>
      </c>
      <c r="R7" s="254"/>
      <c r="S7" s="270">
        <f>O7*Q7</f>
        <v>2.8867513459481291E-2</v>
      </c>
      <c r="T7" s="270"/>
      <c r="U7" s="271" t="s">
        <v>61</v>
      </c>
      <c r="V7" s="272"/>
      <c r="Y7" s="262">
        <v>2</v>
      </c>
      <c r="Z7" s="263"/>
      <c r="AA7" s="263"/>
      <c r="AB7" s="263"/>
      <c r="AC7" s="264"/>
      <c r="AD7" s="265"/>
    </row>
    <row r="8" spans="2:30" ht="30" customHeight="1" thickBot="1">
      <c r="B8" s="70" t="s">
        <v>67</v>
      </c>
      <c r="C8" s="266" t="s">
        <v>68</v>
      </c>
      <c r="D8" s="266"/>
      <c r="E8" s="267" t="e">
        <f>AC15</f>
        <v>#DIV/0!</v>
      </c>
      <c r="F8" s="267"/>
      <c r="G8" s="268">
        <v>0.68</v>
      </c>
      <c r="H8" s="266"/>
      <c r="I8" s="266" t="s">
        <v>69</v>
      </c>
      <c r="J8" s="266"/>
      <c r="K8" s="266" t="s">
        <v>60</v>
      </c>
      <c r="L8" s="266"/>
      <c r="M8" s="252" t="s">
        <v>70</v>
      </c>
      <c r="N8" s="252"/>
      <c r="O8" s="267" t="e">
        <f>E8/1</f>
        <v>#DIV/0!</v>
      </c>
      <c r="P8" s="267"/>
      <c r="Q8" s="252">
        <v>1</v>
      </c>
      <c r="R8" s="252"/>
      <c r="S8" s="267" t="e">
        <f>O8*Q8</f>
        <v>#DIV/0!</v>
      </c>
      <c r="T8" s="267"/>
      <c r="U8" s="266">
        <f>Y10-1</f>
        <v>4</v>
      </c>
      <c r="V8" s="273"/>
      <c r="Y8" s="262">
        <v>3</v>
      </c>
      <c r="Z8" s="263"/>
      <c r="AA8" s="263"/>
      <c r="AB8" s="263"/>
      <c r="AC8" s="264"/>
      <c r="AD8" s="265"/>
    </row>
    <row r="9" spans="2:30" ht="30" customHeight="1">
      <c r="B9" s="72" t="s">
        <v>71</v>
      </c>
      <c r="C9" s="241" t="s">
        <v>72</v>
      </c>
      <c r="D9" s="241"/>
      <c r="E9" s="241"/>
      <c r="F9" s="241"/>
      <c r="G9" s="242" t="e">
        <f>SQRT(SUMSQ(S5:T8))</f>
        <v>#DIV/0!</v>
      </c>
      <c r="H9" s="242"/>
      <c r="I9" s="242"/>
      <c r="J9" s="242"/>
      <c r="K9" s="243" t="s">
        <v>138</v>
      </c>
      <c r="L9" s="244"/>
      <c r="M9" s="244"/>
      <c r="N9" s="244"/>
      <c r="O9" s="244"/>
      <c r="P9" s="244"/>
      <c r="Q9" s="244"/>
      <c r="R9" s="244"/>
      <c r="S9" s="244"/>
      <c r="T9" s="244"/>
      <c r="U9" s="244"/>
      <c r="V9" s="245"/>
      <c r="Y9" s="262">
        <v>4</v>
      </c>
      <c r="Z9" s="263"/>
      <c r="AA9" s="263"/>
      <c r="AB9" s="263"/>
      <c r="AC9" s="264"/>
      <c r="AD9" s="265"/>
    </row>
    <row r="10" spans="2:30" ht="30" customHeight="1" thickBot="1">
      <c r="B10" s="69" t="s">
        <v>74</v>
      </c>
      <c r="C10" s="216" t="s">
        <v>75</v>
      </c>
      <c r="D10" s="216"/>
      <c r="E10" s="216"/>
      <c r="F10" s="216"/>
      <c r="G10" s="256" t="e">
        <f>ROUND(AC11,1) &amp; "°C ± " &amp; I20 &amp;"°C"</f>
        <v>#DIV/0!</v>
      </c>
      <c r="H10" s="256"/>
      <c r="I10" s="256"/>
      <c r="J10" s="256"/>
      <c r="K10" s="246"/>
      <c r="L10" s="246"/>
      <c r="M10" s="246"/>
      <c r="N10" s="246"/>
      <c r="O10" s="246"/>
      <c r="P10" s="246"/>
      <c r="Q10" s="246"/>
      <c r="R10" s="246"/>
      <c r="S10" s="246"/>
      <c r="T10" s="246"/>
      <c r="U10" s="246"/>
      <c r="V10" s="247"/>
      <c r="Y10" s="260">
        <v>5</v>
      </c>
      <c r="Z10" s="261"/>
      <c r="AA10" s="261"/>
      <c r="AB10" s="261"/>
      <c r="AC10" s="239"/>
      <c r="AD10" s="240"/>
    </row>
    <row r="11" spans="2:30" ht="30" customHeight="1" thickBot="1">
      <c r="B11" s="257" t="s">
        <v>76</v>
      </c>
      <c r="C11" s="258"/>
      <c r="D11" s="258"/>
      <c r="E11" s="258"/>
      <c r="F11" s="258"/>
      <c r="G11" s="259" t="e">
        <f>IF(S8=0,10000000000,IF(U8*((G9^4)/(S8^4))&gt;10000000000,10000000000,U8*((G9^4)/(S8^4))))</f>
        <v>#DIV/0!</v>
      </c>
      <c r="H11" s="259"/>
      <c r="I11" s="259"/>
      <c r="J11" s="259"/>
      <c r="K11" s="248"/>
      <c r="L11" s="248"/>
      <c r="M11" s="248"/>
      <c r="N11" s="248"/>
      <c r="O11" s="248"/>
      <c r="P11" s="248"/>
      <c r="Q11" s="248"/>
      <c r="R11" s="248"/>
      <c r="S11" s="248"/>
      <c r="T11" s="248"/>
      <c r="U11" s="248"/>
      <c r="V11" s="249"/>
      <c r="X11" s="54"/>
      <c r="Y11" s="250" t="s">
        <v>73</v>
      </c>
      <c r="Z11" s="251"/>
      <c r="AA11" s="251"/>
      <c r="AB11" s="251"/>
      <c r="AC11" s="252" t="e">
        <f>AVERAGE(AC6:AD10)</f>
        <v>#DIV/0!</v>
      </c>
      <c r="AD11" s="253"/>
    </row>
    <row r="12" spans="2:30" ht="30" customHeight="1" thickTop="1">
      <c r="B12" s="227" t="s">
        <v>78</v>
      </c>
      <c r="C12" s="228"/>
      <c r="D12" s="228"/>
      <c r="E12" s="228"/>
      <c r="F12" s="228"/>
      <c r="G12" s="229" t="s">
        <v>79</v>
      </c>
      <c r="H12" s="229"/>
      <c r="I12" s="229"/>
      <c r="J12" s="229"/>
      <c r="K12" s="229"/>
      <c r="L12" s="229"/>
      <c r="M12" s="229"/>
      <c r="N12" s="229"/>
      <c r="O12" s="229"/>
      <c r="P12" s="229"/>
      <c r="Q12" s="229"/>
      <c r="R12" s="229"/>
      <c r="S12" s="229"/>
      <c r="T12" s="229"/>
      <c r="U12" s="229"/>
      <c r="V12" s="230"/>
      <c r="X12" s="54"/>
      <c r="Y12" s="215"/>
      <c r="Z12" s="216"/>
      <c r="AA12" s="216"/>
      <c r="AB12" s="216"/>
      <c r="AC12" s="254"/>
      <c r="AD12" s="255"/>
    </row>
    <row r="13" spans="2:30" ht="30" customHeight="1">
      <c r="B13" s="223" t="s">
        <v>80</v>
      </c>
      <c r="C13" s="224"/>
      <c r="D13" s="224"/>
      <c r="E13" s="224"/>
      <c r="F13" s="224"/>
      <c r="G13" s="231" t="s">
        <v>81</v>
      </c>
      <c r="H13" s="231"/>
      <c r="I13" s="231"/>
      <c r="J13" s="231"/>
      <c r="K13" s="231"/>
      <c r="L13" s="231"/>
      <c r="M13" s="231"/>
      <c r="N13" s="231"/>
      <c r="O13" s="231"/>
      <c r="P13" s="231"/>
      <c r="Q13" s="231"/>
      <c r="R13" s="231"/>
      <c r="S13" s="231"/>
      <c r="T13" s="231"/>
      <c r="U13" s="231"/>
      <c r="V13" s="232"/>
      <c r="Y13" s="215" t="s">
        <v>77</v>
      </c>
      <c r="Z13" s="216"/>
      <c r="AA13" s="216"/>
      <c r="AB13" s="216"/>
      <c r="AC13" s="219" t="e">
        <f>_xlfn.STDEV.S(AC6:AD10)</f>
        <v>#DIV/0!</v>
      </c>
      <c r="AD13" s="220"/>
    </row>
    <row r="14" spans="2:30">
      <c r="B14" s="223" t="s">
        <v>83</v>
      </c>
      <c r="C14" s="224"/>
      <c r="D14" s="224"/>
      <c r="E14" s="224"/>
      <c r="F14" s="224"/>
      <c r="G14" s="225" t="s">
        <v>84</v>
      </c>
      <c r="H14" s="225"/>
      <c r="I14" s="225"/>
      <c r="J14" s="225"/>
      <c r="K14" s="225"/>
      <c r="L14" s="225"/>
      <c r="M14" s="225"/>
      <c r="N14" s="225"/>
      <c r="O14" s="225"/>
      <c r="P14" s="225"/>
      <c r="Q14" s="225"/>
      <c r="R14" s="225"/>
      <c r="S14" s="225"/>
      <c r="T14" s="225"/>
      <c r="U14" s="225"/>
      <c r="V14" s="226"/>
      <c r="Y14" s="215"/>
      <c r="Z14" s="216"/>
      <c r="AA14" s="216"/>
      <c r="AB14" s="216"/>
      <c r="AC14" s="219"/>
      <c r="AD14" s="220"/>
    </row>
    <row r="15" spans="2:30">
      <c r="B15" s="223"/>
      <c r="C15" s="224"/>
      <c r="D15" s="224"/>
      <c r="E15" s="224"/>
      <c r="F15" s="224"/>
      <c r="G15" s="225"/>
      <c r="H15" s="225"/>
      <c r="I15" s="225"/>
      <c r="J15" s="225"/>
      <c r="K15" s="225"/>
      <c r="L15" s="225"/>
      <c r="M15" s="225"/>
      <c r="N15" s="225"/>
      <c r="O15" s="225"/>
      <c r="P15" s="225"/>
      <c r="Q15" s="225"/>
      <c r="R15" s="225"/>
      <c r="S15" s="225"/>
      <c r="T15" s="225"/>
      <c r="U15" s="225"/>
      <c r="V15" s="226"/>
      <c r="Y15" s="215" t="s">
        <v>82</v>
      </c>
      <c r="Z15" s="216"/>
      <c r="AA15" s="216"/>
      <c r="AB15" s="216"/>
      <c r="AC15" s="219" t="e">
        <f>AC13/SQRT(Y10)</f>
        <v>#DIV/0!</v>
      </c>
      <c r="AD15" s="220"/>
    </row>
    <row r="16" spans="2:30" ht="15.75" thickBot="1">
      <c r="B16" s="223"/>
      <c r="C16" s="224"/>
      <c r="D16" s="224"/>
      <c r="E16" s="224"/>
      <c r="F16" s="224"/>
      <c r="G16" s="225"/>
      <c r="H16" s="225"/>
      <c r="I16" s="225"/>
      <c r="J16" s="225"/>
      <c r="K16" s="225"/>
      <c r="L16" s="225"/>
      <c r="M16" s="225"/>
      <c r="N16" s="225"/>
      <c r="O16" s="225"/>
      <c r="P16" s="225"/>
      <c r="Q16" s="225"/>
      <c r="R16" s="225"/>
      <c r="S16" s="225"/>
      <c r="T16" s="225"/>
      <c r="U16" s="225"/>
      <c r="V16" s="226"/>
      <c r="Y16" s="217"/>
      <c r="Z16" s="218"/>
      <c r="AA16" s="218"/>
      <c r="AB16" s="218"/>
      <c r="AC16" s="221"/>
      <c r="AD16" s="222"/>
    </row>
    <row r="17" spans="2:22" ht="15.75" thickBot="1">
      <c r="B17" s="233" t="s">
        <v>85</v>
      </c>
      <c r="C17" s="234"/>
      <c r="D17" s="234"/>
      <c r="E17" s="234"/>
      <c r="F17" s="234"/>
      <c r="G17" s="235" t="s">
        <v>86</v>
      </c>
      <c r="H17" s="235"/>
      <c r="I17" s="235"/>
      <c r="J17" s="235"/>
      <c r="K17" s="235"/>
      <c r="L17" s="235"/>
      <c r="M17" s="235"/>
      <c r="N17" s="235"/>
      <c r="O17" s="235"/>
      <c r="P17" s="235"/>
      <c r="Q17" s="235"/>
      <c r="R17" s="235"/>
      <c r="S17" s="235"/>
      <c r="T17" s="235"/>
      <c r="U17" s="235"/>
      <c r="V17" s="236"/>
    </row>
    <row r="19" spans="2:22">
      <c r="G19" s="237" t="s">
        <v>87</v>
      </c>
      <c r="H19" s="237"/>
      <c r="I19" s="238" t="e">
        <f>TINV(0.05,G11)</f>
        <v>#DIV/0!</v>
      </c>
      <c r="J19" s="238"/>
    </row>
    <row r="20" spans="2:22">
      <c r="G20" s="237" t="s">
        <v>88</v>
      </c>
      <c r="H20" s="237"/>
      <c r="I20" s="85" t="e">
        <f>ROUND(I19*G9,1)</f>
        <v>#DIV/0!</v>
      </c>
      <c r="J20" s="85"/>
    </row>
    <row r="21" spans="2:22" ht="30" customHeight="1"/>
    <row r="22" spans="2:22" ht="30" customHeight="1"/>
  </sheetData>
  <mergeCells count="87">
    <mergeCell ref="B2:V3"/>
    <mergeCell ref="C4:D4"/>
    <mergeCell ref="E4:F4"/>
    <mergeCell ref="G4:H4"/>
    <mergeCell ref="I4:J4"/>
    <mergeCell ref="K4:L4"/>
    <mergeCell ref="M4:N4"/>
    <mergeCell ref="O4:P4"/>
    <mergeCell ref="Q4:R4"/>
    <mergeCell ref="S4:T4"/>
    <mergeCell ref="U4:V4"/>
    <mergeCell ref="M5:N5"/>
    <mergeCell ref="O5:P5"/>
    <mergeCell ref="Q5:R5"/>
    <mergeCell ref="S5:T5"/>
    <mergeCell ref="U5:V5"/>
    <mergeCell ref="C5:D5"/>
    <mergeCell ref="E5:F5"/>
    <mergeCell ref="G5:H5"/>
    <mergeCell ref="I5:J5"/>
    <mergeCell ref="K5:L5"/>
    <mergeCell ref="AC6:AD6"/>
    <mergeCell ref="AC7:AD7"/>
    <mergeCell ref="Y7:AB7"/>
    <mergeCell ref="Y4:AB5"/>
    <mergeCell ref="AC4:AD5"/>
    <mergeCell ref="C6:D6"/>
    <mergeCell ref="E6:F6"/>
    <mergeCell ref="G6:H6"/>
    <mergeCell ref="I6:J6"/>
    <mergeCell ref="K6:L6"/>
    <mergeCell ref="M6:N6"/>
    <mergeCell ref="O6:P6"/>
    <mergeCell ref="Q6:R6"/>
    <mergeCell ref="S6:T6"/>
    <mergeCell ref="Y8:AB8"/>
    <mergeCell ref="U6:V6"/>
    <mergeCell ref="Y6:AB6"/>
    <mergeCell ref="AC8:AD8"/>
    <mergeCell ref="C7:D7"/>
    <mergeCell ref="E7:F7"/>
    <mergeCell ref="G7:H7"/>
    <mergeCell ref="I7:J7"/>
    <mergeCell ref="K7:L7"/>
    <mergeCell ref="M7:N7"/>
    <mergeCell ref="O7:P7"/>
    <mergeCell ref="Q7:R7"/>
    <mergeCell ref="S7:T7"/>
    <mergeCell ref="U7:V7"/>
    <mergeCell ref="M8:N8"/>
    <mergeCell ref="O8:P8"/>
    <mergeCell ref="Q8:R8"/>
    <mergeCell ref="S8:T8"/>
    <mergeCell ref="U8:V8"/>
    <mergeCell ref="C8:D8"/>
    <mergeCell ref="E8:F8"/>
    <mergeCell ref="G8:H8"/>
    <mergeCell ref="I8:J8"/>
    <mergeCell ref="K8:L8"/>
    <mergeCell ref="G19:H19"/>
    <mergeCell ref="I19:J19"/>
    <mergeCell ref="G20:H20"/>
    <mergeCell ref="AC10:AD10"/>
    <mergeCell ref="C9:F9"/>
    <mergeCell ref="G9:J9"/>
    <mergeCell ref="K9:V11"/>
    <mergeCell ref="Y11:AB12"/>
    <mergeCell ref="AC11:AD12"/>
    <mergeCell ref="C10:F10"/>
    <mergeCell ref="G10:J10"/>
    <mergeCell ref="B11:F11"/>
    <mergeCell ref="G11:J11"/>
    <mergeCell ref="Y10:AB10"/>
    <mergeCell ref="Y9:AB9"/>
    <mergeCell ref="AC9:AD9"/>
    <mergeCell ref="B12:F12"/>
    <mergeCell ref="G12:V12"/>
    <mergeCell ref="B13:F13"/>
    <mergeCell ref="G13:V13"/>
    <mergeCell ref="B17:F17"/>
    <mergeCell ref="G17:V17"/>
    <mergeCell ref="Y15:AB16"/>
    <mergeCell ref="AC15:AD16"/>
    <mergeCell ref="B14:F16"/>
    <mergeCell ref="G14:V16"/>
    <mergeCell ref="Y13:AB14"/>
    <mergeCell ref="AC13:AD14"/>
  </mergeCells>
  <pageMargins left="0.7" right="0.7" top="0.75" bottom="0.75" header="0.3" footer="0.3"/>
  <pageSetup scale="45" orientation="portrait" horizontalDpi="300" verticalDpi="300" r:id="rId1"/>
  <colBreaks count="1" manualBreakCount="1">
    <brk id="23" max="19" man="1"/>
  </colBreaks>
  <extLst>
    <ext xmlns:x14="http://schemas.microsoft.com/office/spreadsheetml/2009/9/main" uri="{78C0D931-6437-407d-A8EE-F0AAD7539E65}">
      <x14:conditionalFormattings>
        <x14:conditionalFormatting xmlns:xm="http://schemas.microsoft.com/office/excel/2006/main">
          <x14:cfRule type="expression" priority="1" id="{3EBF7E6C-57B9-4CD2-BAE7-1CCBAFA9E010}">
            <xm:f>Datasheet!$B$6="34901A"</xm:f>
            <x14:dxf>
              <numFmt numFmtId="164" formatCode="0.0"/>
            </x14:dxf>
          </x14:cfRule>
          <xm:sqref>AC6:AD12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53796-B71D-4D4C-A021-31EF747E2EDB}">
  <sheetPr codeName="Sheet23"/>
  <dimension ref="B2:L34"/>
  <sheetViews>
    <sheetView zoomScaleNormal="100" workbookViewId="0">
      <selection activeCell="B35" sqref="B35"/>
    </sheetView>
  </sheetViews>
  <sheetFormatPr defaultRowHeight="15"/>
  <cols>
    <col min="1" max="3" width="9.140625" style="62" customWidth="1"/>
    <col min="4" max="16384" width="9.140625" style="62"/>
  </cols>
  <sheetData>
    <row r="2" spans="2:12">
      <c r="B2" s="60" t="s">
        <v>89</v>
      </c>
      <c r="C2" s="60"/>
      <c r="D2" s="60"/>
      <c r="E2" s="60"/>
      <c r="F2" s="60"/>
      <c r="G2" s="60"/>
      <c r="H2" s="60"/>
      <c r="I2" s="60"/>
      <c r="J2" s="60"/>
      <c r="K2" s="60"/>
      <c r="L2" s="61"/>
    </row>
    <row r="3" spans="2:12">
      <c r="B3" s="60" t="s">
        <v>90</v>
      </c>
      <c r="C3" s="60"/>
      <c r="D3" s="60"/>
      <c r="E3" s="60"/>
      <c r="F3" s="60"/>
      <c r="G3" s="60"/>
      <c r="H3" s="60"/>
      <c r="I3" s="60"/>
      <c r="J3" s="60"/>
      <c r="K3" s="60"/>
      <c r="L3" s="61"/>
    </row>
    <row r="4" spans="2:12">
      <c r="B4" s="60"/>
      <c r="C4" s="60"/>
      <c r="D4" s="60"/>
      <c r="E4" s="60"/>
      <c r="F4" s="60"/>
      <c r="G4" s="60"/>
      <c r="H4" s="60"/>
      <c r="I4" s="60"/>
      <c r="J4" s="60"/>
      <c r="K4" s="60"/>
      <c r="L4" s="61"/>
    </row>
    <row r="5" spans="2:12" ht="30" customHeight="1">
      <c r="B5" s="290" t="s">
        <v>91</v>
      </c>
      <c r="C5" s="291"/>
      <c r="D5" s="299" t="s">
        <v>92</v>
      </c>
      <c r="E5" s="300"/>
    </row>
    <row r="6" spans="2:12" ht="30" customHeight="1">
      <c r="B6" s="292" t="s">
        <v>93</v>
      </c>
      <c r="C6" s="293"/>
      <c r="D6" s="294" t="s">
        <v>40</v>
      </c>
      <c r="E6" s="295"/>
      <c r="F6" s="295"/>
      <c r="G6" s="296"/>
    </row>
    <row r="7" spans="2:12" ht="30" customHeight="1">
      <c r="B7" s="292" t="s">
        <v>94</v>
      </c>
      <c r="C7" s="293"/>
      <c r="D7" s="294" t="s">
        <v>41</v>
      </c>
      <c r="E7" s="295"/>
      <c r="F7" s="295"/>
      <c r="G7" s="296"/>
    </row>
    <row r="8" spans="2:12" ht="30" customHeight="1">
      <c r="B8" s="292" t="s">
        <v>95</v>
      </c>
      <c r="C8" s="293"/>
      <c r="D8" s="294" t="s">
        <v>96</v>
      </c>
      <c r="E8" s="295"/>
      <c r="F8" s="295"/>
      <c r="G8" s="296"/>
    </row>
    <row r="9" spans="2:12" ht="30" customHeight="1">
      <c r="B9" s="292" t="s">
        <v>97</v>
      </c>
      <c r="C9" s="293"/>
      <c r="D9" s="294">
        <v>0.01</v>
      </c>
      <c r="E9" s="295"/>
      <c r="F9" s="295"/>
      <c r="G9" s="296"/>
    </row>
    <row r="10" spans="2:12" ht="30" customHeight="1">
      <c r="B10" s="292" t="s">
        <v>98</v>
      </c>
      <c r="C10" s="293"/>
      <c r="D10" s="294" t="s">
        <v>99</v>
      </c>
      <c r="E10" s="295"/>
      <c r="F10" s="295"/>
      <c r="G10" s="296"/>
    </row>
    <row r="13" spans="2:12">
      <c r="B13" s="289" t="s">
        <v>100</v>
      </c>
      <c r="C13" s="289"/>
      <c r="H13" s="289" t="s">
        <v>101</v>
      </c>
      <c r="I13" s="289"/>
    </row>
    <row r="14" spans="2:12">
      <c r="B14" s="297" t="s">
        <v>102</v>
      </c>
      <c r="C14" s="297"/>
      <c r="D14" s="297" t="s">
        <v>103</v>
      </c>
      <c r="E14" s="297"/>
      <c r="F14" s="297"/>
      <c r="H14" s="297" t="s">
        <v>102</v>
      </c>
      <c r="I14" s="297"/>
      <c r="J14" s="297" t="s">
        <v>103</v>
      </c>
      <c r="K14" s="297"/>
      <c r="L14" s="297"/>
    </row>
    <row r="15" spans="2:12">
      <c r="B15" s="298"/>
      <c r="C15" s="298"/>
      <c r="D15" s="63" t="s">
        <v>104</v>
      </c>
      <c r="E15" s="63" t="s">
        <v>105</v>
      </c>
      <c r="F15" s="64" t="s">
        <v>106</v>
      </c>
      <c r="H15" s="298"/>
      <c r="I15" s="298"/>
      <c r="J15" s="63" t="s">
        <v>104</v>
      </c>
      <c r="K15" s="63" t="s">
        <v>105</v>
      </c>
      <c r="L15" s="64" t="s">
        <v>106</v>
      </c>
    </row>
    <row r="16" spans="2:12">
      <c r="B16" s="65">
        <v>-270</v>
      </c>
      <c r="C16" s="65" t="s">
        <v>107</v>
      </c>
      <c r="D16" s="68">
        <v>0.95</v>
      </c>
      <c r="E16" s="68">
        <v>1.1000000000000001</v>
      </c>
      <c r="F16" s="68">
        <v>1.2</v>
      </c>
      <c r="H16" s="65">
        <v>-210</v>
      </c>
      <c r="I16" s="65" t="s">
        <v>108</v>
      </c>
      <c r="J16" s="68">
        <v>7.0000000000000007E-2</v>
      </c>
      <c r="K16" s="68">
        <v>0.1</v>
      </c>
      <c r="L16" s="68">
        <v>0.12</v>
      </c>
    </row>
    <row r="17" spans="2:12">
      <c r="B17" s="65">
        <v>-245</v>
      </c>
      <c r="C17" s="65" t="s">
        <v>109</v>
      </c>
      <c r="D17" s="68">
        <v>0.13</v>
      </c>
      <c r="E17" s="68">
        <v>0.16</v>
      </c>
      <c r="F17" s="68">
        <v>0.18</v>
      </c>
      <c r="H17" s="65">
        <v>-180</v>
      </c>
      <c r="I17" s="65" t="s">
        <v>110</v>
      </c>
      <c r="J17" s="68">
        <v>0.06</v>
      </c>
      <c r="K17" s="68">
        <v>0.09</v>
      </c>
      <c r="L17" s="68">
        <v>0.1</v>
      </c>
    </row>
    <row r="18" spans="2:12">
      <c r="B18" s="65">
        <v>-195</v>
      </c>
      <c r="C18" s="65" t="s">
        <v>111</v>
      </c>
      <c r="D18" s="68">
        <v>7.0000000000000007E-2</v>
      </c>
      <c r="E18" s="68">
        <v>0.09</v>
      </c>
      <c r="F18" s="68">
        <v>0.1</v>
      </c>
      <c r="H18" s="65">
        <v>-120</v>
      </c>
      <c r="I18" s="65" t="s">
        <v>112</v>
      </c>
      <c r="J18" s="68">
        <v>0.06</v>
      </c>
      <c r="K18" s="68">
        <v>7.0000000000000007E-2</v>
      </c>
      <c r="L18" s="68">
        <v>0.08</v>
      </c>
    </row>
    <row r="19" spans="2:12">
      <c r="B19" s="65">
        <v>-155</v>
      </c>
      <c r="C19" s="65" t="s">
        <v>113</v>
      </c>
      <c r="D19" s="68">
        <v>0.06</v>
      </c>
      <c r="E19" s="68">
        <v>7.0000000000000007E-2</v>
      </c>
      <c r="F19" s="68">
        <v>0.08</v>
      </c>
      <c r="H19" s="65">
        <v>-50</v>
      </c>
      <c r="I19" s="65" t="s">
        <v>114</v>
      </c>
      <c r="J19" s="68">
        <v>0.05</v>
      </c>
      <c r="K19" s="68">
        <v>0.06</v>
      </c>
      <c r="L19" s="68">
        <v>7.0000000000000007E-2</v>
      </c>
    </row>
    <row r="20" spans="2:12">
      <c r="B20" s="65">
        <v>-90</v>
      </c>
      <c r="C20" s="65" t="s">
        <v>115</v>
      </c>
      <c r="D20" s="68">
        <v>0.05</v>
      </c>
      <c r="E20" s="68">
        <v>0.06</v>
      </c>
      <c r="F20" s="68">
        <v>7.0000000000000007E-2</v>
      </c>
      <c r="H20" s="65">
        <v>990</v>
      </c>
      <c r="I20" s="65">
        <v>1200</v>
      </c>
      <c r="J20" s="68">
        <v>0.05</v>
      </c>
      <c r="K20" s="68">
        <v>7.0000000000000007E-2</v>
      </c>
      <c r="L20" s="68">
        <v>7.0000000000000007E-2</v>
      </c>
    </row>
    <row r="21" spans="2:12">
      <c r="B21" s="65">
        <v>15</v>
      </c>
      <c r="C21" s="65" t="s">
        <v>116</v>
      </c>
      <c r="D21" s="68">
        <v>0.05</v>
      </c>
      <c r="E21" s="68">
        <v>0.06</v>
      </c>
      <c r="F21" s="68">
        <v>0.06</v>
      </c>
    </row>
    <row r="22" spans="2:12">
      <c r="B22" s="65">
        <v>890</v>
      </c>
      <c r="C22" s="65">
        <v>1000</v>
      </c>
      <c r="D22" s="68">
        <v>0.05</v>
      </c>
      <c r="E22" s="68">
        <v>0.06</v>
      </c>
      <c r="F22" s="68">
        <v>7.0000000000000007E-2</v>
      </c>
    </row>
    <row r="23" spans="2:12">
      <c r="B23" s="66"/>
      <c r="C23" s="66"/>
      <c r="D23" s="66"/>
      <c r="E23" s="66"/>
      <c r="F23" s="66"/>
    </row>
    <row r="25" spans="2:12">
      <c r="B25" s="289" t="s">
        <v>117</v>
      </c>
      <c r="C25" s="289"/>
      <c r="H25" s="289" t="s">
        <v>118</v>
      </c>
      <c r="I25" s="289"/>
    </row>
    <row r="26" spans="2:12">
      <c r="B26" s="297" t="s">
        <v>102</v>
      </c>
      <c r="C26" s="297"/>
      <c r="D26" s="297" t="s">
        <v>103</v>
      </c>
      <c r="E26" s="297"/>
      <c r="F26" s="297"/>
      <c r="H26" s="297" t="s">
        <v>102</v>
      </c>
      <c r="I26" s="297"/>
      <c r="J26" s="297" t="s">
        <v>103</v>
      </c>
      <c r="K26" s="297"/>
      <c r="L26" s="297"/>
    </row>
    <row r="27" spans="2:12">
      <c r="B27" s="298"/>
      <c r="C27" s="298"/>
      <c r="D27" s="63" t="s">
        <v>104</v>
      </c>
      <c r="E27" s="63" t="s">
        <v>105</v>
      </c>
      <c r="F27" s="64" t="s">
        <v>106</v>
      </c>
      <c r="H27" s="298"/>
      <c r="I27" s="298"/>
      <c r="J27" s="63" t="s">
        <v>104</v>
      </c>
      <c r="K27" s="63" t="s">
        <v>105</v>
      </c>
      <c r="L27" s="64" t="s">
        <v>106</v>
      </c>
    </row>
    <row r="28" spans="2:12">
      <c r="B28" s="65">
        <v>-270</v>
      </c>
      <c r="C28" s="65" t="s">
        <v>119</v>
      </c>
      <c r="D28" s="68">
        <v>1.5</v>
      </c>
      <c r="E28" s="68">
        <v>1.9</v>
      </c>
      <c r="F28" s="68">
        <v>2.2000000000000002</v>
      </c>
      <c r="H28" s="65">
        <v>-270</v>
      </c>
      <c r="I28" s="65" t="s">
        <v>119</v>
      </c>
      <c r="J28" s="68">
        <v>1.4</v>
      </c>
      <c r="K28" s="68">
        <v>1.6</v>
      </c>
      <c r="L28" s="68">
        <v>1.8</v>
      </c>
    </row>
    <row r="29" spans="2:12">
      <c r="B29" s="65">
        <v>-255</v>
      </c>
      <c r="C29" s="65" t="s">
        <v>109</v>
      </c>
      <c r="D29" s="68">
        <v>0.3</v>
      </c>
      <c r="E29" s="68">
        <v>0.4</v>
      </c>
      <c r="F29" s="68">
        <v>0.7</v>
      </c>
      <c r="H29" s="65">
        <v>-255</v>
      </c>
      <c r="I29" s="65" t="s">
        <v>120</v>
      </c>
      <c r="J29" s="68">
        <v>0.27</v>
      </c>
      <c r="K29" s="68">
        <v>0.35</v>
      </c>
      <c r="L29" s="68">
        <v>0.49</v>
      </c>
    </row>
    <row r="30" spans="2:12">
      <c r="B30" s="65">
        <v>-195</v>
      </c>
      <c r="C30" s="65" t="s">
        <v>121</v>
      </c>
      <c r="D30" s="68">
        <v>0.1</v>
      </c>
      <c r="E30" s="68">
        <v>0.11</v>
      </c>
      <c r="F30" s="68">
        <v>0.12</v>
      </c>
      <c r="H30" s="65">
        <v>-240</v>
      </c>
      <c r="I30" s="65" t="s">
        <v>122</v>
      </c>
      <c r="J30" s="68">
        <v>0.17</v>
      </c>
      <c r="K30" s="68">
        <v>0.24</v>
      </c>
      <c r="L30" s="68">
        <v>0.3</v>
      </c>
    </row>
    <row r="31" spans="2:12">
      <c r="B31" s="65">
        <v>-115</v>
      </c>
      <c r="C31" s="65" t="s">
        <v>123</v>
      </c>
      <c r="D31" s="68">
        <v>7.0000000000000007E-2</v>
      </c>
      <c r="E31" s="68">
        <v>0.08</v>
      </c>
      <c r="F31" s="68">
        <v>0.09</v>
      </c>
      <c r="H31" s="65">
        <v>-210</v>
      </c>
      <c r="I31" s="65" t="s">
        <v>124</v>
      </c>
      <c r="J31" s="68">
        <v>0.11</v>
      </c>
      <c r="K31" s="68">
        <v>0.15</v>
      </c>
      <c r="L31" s="68">
        <v>0.18</v>
      </c>
    </row>
    <row r="32" spans="2:12">
      <c r="B32" s="65">
        <v>-55</v>
      </c>
      <c r="C32" s="65" t="s">
        <v>125</v>
      </c>
      <c r="D32" s="68">
        <v>0.06</v>
      </c>
      <c r="E32" s="68">
        <v>7.0000000000000007E-2</v>
      </c>
      <c r="F32" s="68">
        <v>7.0000000000000007E-2</v>
      </c>
      <c r="H32" s="65">
        <v>-150</v>
      </c>
      <c r="I32" s="65" t="s">
        <v>126</v>
      </c>
      <c r="J32" s="68">
        <v>0.08</v>
      </c>
      <c r="K32" s="68">
        <v>0.1</v>
      </c>
      <c r="L32" s="68">
        <v>0.12</v>
      </c>
    </row>
    <row r="33" spans="2:12">
      <c r="B33" s="65">
        <v>1000</v>
      </c>
      <c r="C33" s="65">
        <v>1372</v>
      </c>
      <c r="D33" s="68">
        <v>0.06</v>
      </c>
      <c r="E33" s="68">
        <v>0.08</v>
      </c>
      <c r="F33" s="68">
        <v>0.08</v>
      </c>
      <c r="H33" s="65">
        <v>-40</v>
      </c>
      <c r="I33" s="65" t="s">
        <v>127</v>
      </c>
      <c r="J33" s="68">
        <v>0.06</v>
      </c>
      <c r="K33" s="68">
        <v>7.0000000000000007E-2</v>
      </c>
      <c r="L33" s="68">
        <v>0.08</v>
      </c>
    </row>
    <row r="34" spans="2:12">
      <c r="H34" s="65">
        <v>100</v>
      </c>
      <c r="I34" s="65">
        <v>400</v>
      </c>
      <c r="J34" s="68">
        <v>0.05</v>
      </c>
      <c r="K34" s="68">
        <v>0.06</v>
      </c>
      <c r="L34" s="68">
        <v>7.0000000000000007E-2</v>
      </c>
    </row>
  </sheetData>
  <mergeCells count="24">
    <mergeCell ref="B26:C27"/>
    <mergeCell ref="D26:F26"/>
    <mergeCell ref="H26:I27"/>
    <mergeCell ref="J26:L26"/>
    <mergeCell ref="D5:E5"/>
    <mergeCell ref="B14:C15"/>
    <mergeCell ref="D14:F14"/>
    <mergeCell ref="H14:I15"/>
    <mergeCell ref="J14:L14"/>
    <mergeCell ref="B25:C25"/>
    <mergeCell ref="H25:I25"/>
    <mergeCell ref="B9:C9"/>
    <mergeCell ref="D9:G9"/>
    <mergeCell ref="B10:C10"/>
    <mergeCell ref="D10:G10"/>
    <mergeCell ref="B13:C13"/>
    <mergeCell ref="H13:I13"/>
    <mergeCell ref="B5:C5"/>
    <mergeCell ref="B6:C6"/>
    <mergeCell ref="D6:G6"/>
    <mergeCell ref="B7:C7"/>
    <mergeCell ref="D7:G7"/>
    <mergeCell ref="B8:C8"/>
    <mergeCell ref="D8:G8"/>
  </mergeCells>
  <pageMargins left="0.7" right="0.7" top="0.75" bottom="0.75" header="0.3" footer="0.3"/>
  <pageSetup scale="76" orientation="portrait" horizontalDpi="300" verticalDpi="300" r:id="rId1"/>
  <colBreaks count="1" manualBreakCount="1">
    <brk id="13" max="34"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FD141-D9B0-45B4-88DE-2DC4F47349A1}">
  <sheetPr codeName="Sheet24"/>
  <dimension ref="B2:V24"/>
  <sheetViews>
    <sheetView zoomScaleNormal="100" workbookViewId="0">
      <selection activeCell="B26" sqref="B26"/>
    </sheetView>
  </sheetViews>
  <sheetFormatPr defaultRowHeight="15"/>
  <cols>
    <col min="1" max="3" width="9.140625" style="62" customWidth="1"/>
    <col min="4" max="16384" width="9.140625" style="62"/>
  </cols>
  <sheetData>
    <row r="2" spans="2:22">
      <c r="B2" s="60"/>
      <c r="C2" s="60"/>
      <c r="D2" s="60"/>
      <c r="E2" s="60"/>
      <c r="F2" s="60"/>
      <c r="G2" s="60"/>
      <c r="H2" s="60"/>
      <c r="I2" s="60"/>
      <c r="J2" s="60"/>
      <c r="K2" s="60"/>
      <c r="L2" s="61"/>
    </row>
    <row r="3" spans="2:22">
      <c r="B3" s="60"/>
      <c r="C3" s="60"/>
      <c r="D3" s="60"/>
      <c r="E3" s="60"/>
      <c r="F3" s="60"/>
      <c r="G3" s="60"/>
      <c r="H3" s="60"/>
      <c r="I3" s="60"/>
      <c r="J3" s="60"/>
      <c r="K3" s="60"/>
      <c r="L3" s="61"/>
    </row>
    <row r="4" spans="2:22">
      <c r="B4" s="60"/>
      <c r="C4" s="60"/>
      <c r="D4" s="60"/>
      <c r="E4" s="60"/>
      <c r="F4" s="60"/>
      <c r="G4" s="60"/>
      <c r="H4" s="60"/>
      <c r="I4" s="60"/>
      <c r="J4" s="60"/>
      <c r="K4" s="60"/>
      <c r="L4" s="61"/>
    </row>
    <row r="5" spans="2:22" ht="30" customHeight="1">
      <c r="B5" s="305" t="s">
        <v>140</v>
      </c>
      <c r="C5" s="291"/>
      <c r="D5" s="299" t="s">
        <v>92</v>
      </c>
      <c r="E5" s="300"/>
      <c r="N5" s="305" t="s">
        <v>140</v>
      </c>
      <c r="O5" s="291"/>
      <c r="P5" s="299" t="s">
        <v>92</v>
      </c>
      <c r="Q5" s="300"/>
    </row>
    <row r="6" spans="2:22" ht="30" customHeight="1">
      <c r="B6" s="292" t="s">
        <v>93</v>
      </c>
      <c r="C6" s="293"/>
      <c r="D6" s="294" t="s">
        <v>42</v>
      </c>
      <c r="E6" s="296"/>
      <c r="F6" s="67"/>
      <c r="G6" s="67"/>
      <c r="H6" s="67"/>
      <c r="N6" s="292" t="s">
        <v>93</v>
      </c>
      <c r="O6" s="293"/>
      <c r="P6" s="294" t="s">
        <v>42</v>
      </c>
      <c r="Q6" s="296"/>
    </row>
    <row r="7" spans="2:22" ht="30" customHeight="1">
      <c r="B7" s="292" t="s">
        <v>94</v>
      </c>
      <c r="C7" s="293"/>
      <c r="D7" s="307" t="s">
        <v>44</v>
      </c>
      <c r="E7" s="296"/>
      <c r="F7" s="67"/>
      <c r="G7" s="67"/>
      <c r="H7" s="67"/>
      <c r="N7" s="292" t="s">
        <v>94</v>
      </c>
      <c r="O7" s="293"/>
      <c r="P7" s="306" t="s">
        <v>146</v>
      </c>
      <c r="Q7" s="296"/>
    </row>
    <row r="8" spans="2:22" ht="30" customHeight="1">
      <c r="B8" s="292" t="s">
        <v>95</v>
      </c>
      <c r="C8" s="293"/>
      <c r="D8" s="294" t="s">
        <v>128</v>
      </c>
      <c r="E8" s="296"/>
      <c r="F8" s="67"/>
      <c r="G8" s="67"/>
      <c r="H8" s="67"/>
      <c r="N8" s="292" t="s">
        <v>95</v>
      </c>
      <c r="O8" s="293"/>
      <c r="P8" s="294" t="s">
        <v>128</v>
      </c>
      <c r="Q8" s="296"/>
    </row>
    <row r="9" spans="2:22" ht="30" customHeight="1">
      <c r="B9" s="292" t="s">
        <v>97</v>
      </c>
      <c r="C9" s="293"/>
      <c r="D9" s="294">
        <v>0.01</v>
      </c>
      <c r="E9" s="296"/>
      <c r="F9" s="67"/>
      <c r="G9" s="67"/>
      <c r="H9" s="67"/>
      <c r="N9" s="292" t="s">
        <v>97</v>
      </c>
      <c r="O9" s="293"/>
      <c r="P9" s="294">
        <v>0.1</v>
      </c>
      <c r="Q9" s="296"/>
    </row>
    <row r="10" spans="2:22" ht="30" customHeight="1">
      <c r="B10" s="292" t="s">
        <v>98</v>
      </c>
      <c r="C10" s="293"/>
      <c r="D10" s="294" t="s">
        <v>99</v>
      </c>
      <c r="E10" s="296"/>
      <c r="F10" s="67"/>
      <c r="G10" s="67"/>
      <c r="H10" s="67"/>
      <c r="N10" s="292" t="s">
        <v>98</v>
      </c>
      <c r="O10" s="293"/>
      <c r="P10" s="294" t="s">
        <v>99</v>
      </c>
      <c r="Q10" s="296"/>
    </row>
    <row r="13" spans="2:22">
      <c r="B13" s="289" t="s">
        <v>100</v>
      </c>
      <c r="C13" s="289"/>
      <c r="G13" s="289" t="s">
        <v>101</v>
      </c>
      <c r="H13" s="289"/>
      <c r="N13" s="289" t="s">
        <v>100</v>
      </c>
      <c r="O13" s="289"/>
      <c r="S13" s="289" t="s">
        <v>101</v>
      </c>
      <c r="T13" s="289"/>
    </row>
    <row r="14" spans="2:22">
      <c r="B14" s="297" t="s">
        <v>102</v>
      </c>
      <c r="C14" s="297"/>
      <c r="D14" s="297" t="s">
        <v>129</v>
      </c>
      <c r="E14" s="297"/>
      <c r="G14" s="297" t="s">
        <v>102</v>
      </c>
      <c r="H14" s="297"/>
      <c r="I14" s="297" t="s">
        <v>129</v>
      </c>
      <c r="J14" s="297"/>
      <c r="N14" s="297" t="s">
        <v>102</v>
      </c>
      <c r="O14" s="297"/>
      <c r="P14" s="297" t="s">
        <v>129</v>
      </c>
      <c r="Q14" s="297"/>
      <c r="S14" s="297" t="s">
        <v>102</v>
      </c>
      <c r="T14" s="297"/>
      <c r="U14" s="297" t="s">
        <v>129</v>
      </c>
      <c r="V14" s="297"/>
    </row>
    <row r="15" spans="2:22">
      <c r="B15" s="297"/>
      <c r="C15" s="297"/>
      <c r="D15" s="297"/>
      <c r="E15" s="297"/>
      <c r="G15" s="297"/>
      <c r="H15" s="297"/>
      <c r="I15" s="297"/>
      <c r="J15" s="297"/>
      <c r="N15" s="297"/>
      <c r="O15" s="297"/>
      <c r="P15" s="297"/>
      <c r="Q15" s="297"/>
      <c r="S15" s="297"/>
      <c r="T15" s="297"/>
      <c r="U15" s="297"/>
      <c r="V15" s="297"/>
    </row>
    <row r="16" spans="2:22">
      <c r="B16" s="301" t="s">
        <v>130</v>
      </c>
      <c r="C16" s="302"/>
      <c r="D16" s="304">
        <v>1.4</v>
      </c>
      <c r="E16" s="304"/>
      <c r="G16" s="301" t="s">
        <v>131</v>
      </c>
      <c r="H16" s="302"/>
      <c r="I16" s="304">
        <v>1.6</v>
      </c>
      <c r="J16" s="304"/>
      <c r="N16" s="301" t="s">
        <v>130</v>
      </c>
      <c r="O16" s="302"/>
      <c r="P16" s="304">
        <v>1.5</v>
      </c>
      <c r="Q16" s="304"/>
      <c r="S16" s="301" t="s">
        <v>131</v>
      </c>
      <c r="T16" s="302"/>
      <c r="U16" s="304">
        <v>1.2</v>
      </c>
      <c r="V16" s="304"/>
    </row>
    <row r="17" spans="2:22">
      <c r="B17" s="301" t="s">
        <v>132</v>
      </c>
      <c r="C17" s="302"/>
      <c r="D17" s="303">
        <v>1</v>
      </c>
      <c r="E17" s="303"/>
      <c r="G17" s="301" t="s">
        <v>133</v>
      </c>
      <c r="H17" s="302"/>
      <c r="I17" s="303">
        <v>1</v>
      </c>
      <c r="J17" s="303"/>
      <c r="N17" s="301" t="s">
        <v>132</v>
      </c>
      <c r="O17" s="302"/>
      <c r="P17" s="303">
        <v>1</v>
      </c>
      <c r="Q17" s="303"/>
      <c r="S17" s="301" t="s">
        <v>133</v>
      </c>
      <c r="T17" s="302"/>
      <c r="U17" s="303">
        <v>1</v>
      </c>
      <c r="V17" s="303"/>
    </row>
    <row r="20" spans="2:22">
      <c r="B20" s="289" t="s">
        <v>117</v>
      </c>
      <c r="C20" s="289"/>
      <c r="G20" s="289" t="s">
        <v>118</v>
      </c>
      <c r="H20" s="289"/>
      <c r="N20" s="289" t="s">
        <v>117</v>
      </c>
      <c r="O20" s="289"/>
      <c r="S20" s="289" t="s">
        <v>118</v>
      </c>
      <c r="T20" s="289"/>
    </row>
    <row r="21" spans="2:22">
      <c r="B21" s="297" t="s">
        <v>102</v>
      </c>
      <c r="C21" s="297"/>
      <c r="D21" s="297" t="s">
        <v>129</v>
      </c>
      <c r="E21" s="297"/>
      <c r="G21" s="297" t="s">
        <v>102</v>
      </c>
      <c r="H21" s="297"/>
      <c r="I21" s="297" t="s">
        <v>129</v>
      </c>
      <c r="J21" s="297"/>
      <c r="N21" s="297" t="s">
        <v>102</v>
      </c>
      <c r="O21" s="297"/>
      <c r="P21" s="297" t="s">
        <v>129</v>
      </c>
      <c r="Q21" s="297"/>
      <c r="S21" s="297" t="s">
        <v>102</v>
      </c>
      <c r="T21" s="297"/>
      <c r="U21" s="297" t="s">
        <v>129</v>
      </c>
      <c r="V21" s="297"/>
    </row>
    <row r="22" spans="2:22">
      <c r="B22" s="297"/>
      <c r="C22" s="297"/>
      <c r="D22" s="297"/>
      <c r="E22" s="297"/>
      <c r="G22" s="297"/>
      <c r="H22" s="297"/>
      <c r="I22" s="297"/>
      <c r="J22" s="297"/>
      <c r="N22" s="297"/>
      <c r="O22" s="297"/>
      <c r="P22" s="297"/>
      <c r="Q22" s="297"/>
      <c r="S22" s="297"/>
      <c r="T22" s="297"/>
      <c r="U22" s="297"/>
      <c r="V22" s="297"/>
    </row>
    <row r="23" spans="2:22">
      <c r="B23" s="301" t="s">
        <v>134</v>
      </c>
      <c r="C23" s="302"/>
      <c r="D23" s="304">
        <v>1.7</v>
      </c>
      <c r="E23" s="304"/>
      <c r="G23" s="301" t="s">
        <v>134</v>
      </c>
      <c r="H23" s="302"/>
      <c r="I23" s="304">
        <v>1.7</v>
      </c>
      <c r="J23" s="304"/>
      <c r="N23" s="301" t="s">
        <v>134</v>
      </c>
      <c r="O23" s="302"/>
      <c r="P23" s="304">
        <v>1.5</v>
      </c>
      <c r="Q23" s="304"/>
      <c r="S23" s="301" t="s">
        <v>134</v>
      </c>
      <c r="T23" s="302"/>
      <c r="U23" s="304">
        <v>1.5</v>
      </c>
      <c r="V23" s="304"/>
    </row>
    <row r="24" spans="2:22">
      <c r="B24" s="301" t="s">
        <v>135</v>
      </c>
      <c r="C24" s="302"/>
      <c r="D24" s="303">
        <v>0.9</v>
      </c>
      <c r="E24" s="303"/>
      <c r="G24" s="301" t="s">
        <v>136</v>
      </c>
      <c r="H24" s="302"/>
      <c r="I24" s="303">
        <v>0.9</v>
      </c>
      <c r="J24" s="303"/>
      <c r="N24" s="301" t="s">
        <v>135</v>
      </c>
      <c r="O24" s="302"/>
      <c r="P24" s="303">
        <v>1</v>
      </c>
      <c r="Q24" s="303"/>
      <c r="S24" s="301" t="s">
        <v>136</v>
      </c>
      <c r="T24" s="302"/>
      <c r="U24" s="303">
        <v>1</v>
      </c>
      <c r="V24" s="303"/>
    </row>
  </sheetData>
  <mergeCells count="80">
    <mergeCell ref="B24:C24"/>
    <mergeCell ref="D24:E24"/>
    <mergeCell ref="G24:H24"/>
    <mergeCell ref="I24:J24"/>
    <mergeCell ref="D5:E5"/>
    <mergeCell ref="B21:C22"/>
    <mergeCell ref="D21:E22"/>
    <mergeCell ref="G21:H22"/>
    <mergeCell ref="I21:J22"/>
    <mergeCell ref="B23:C23"/>
    <mergeCell ref="D23:E23"/>
    <mergeCell ref="G23:H23"/>
    <mergeCell ref="I23:J23"/>
    <mergeCell ref="B17:C17"/>
    <mergeCell ref="D17:E17"/>
    <mergeCell ref="G17:H17"/>
    <mergeCell ref="I17:J17"/>
    <mergeCell ref="B20:C20"/>
    <mergeCell ref="G20:H20"/>
    <mergeCell ref="B14:C15"/>
    <mergeCell ref="D14:E15"/>
    <mergeCell ref="G14:H15"/>
    <mergeCell ref="I14:J15"/>
    <mergeCell ref="B16:C16"/>
    <mergeCell ref="D16:E16"/>
    <mergeCell ref="G16:H16"/>
    <mergeCell ref="I16:J16"/>
    <mergeCell ref="G13:H13"/>
    <mergeCell ref="B5:C5"/>
    <mergeCell ref="B6:C6"/>
    <mergeCell ref="D6:E6"/>
    <mergeCell ref="B7:C7"/>
    <mergeCell ref="D7:E7"/>
    <mergeCell ref="B8:C8"/>
    <mergeCell ref="D8:E8"/>
    <mergeCell ref="B9:C9"/>
    <mergeCell ref="D9:E9"/>
    <mergeCell ref="B10:C10"/>
    <mergeCell ref="D10:E10"/>
    <mergeCell ref="B13:C13"/>
    <mergeCell ref="N5:O5"/>
    <mergeCell ref="P5:Q5"/>
    <mergeCell ref="N6:O6"/>
    <mergeCell ref="P6:Q6"/>
    <mergeCell ref="N7:O7"/>
    <mergeCell ref="P7:Q7"/>
    <mergeCell ref="N8:O8"/>
    <mergeCell ref="P8:Q8"/>
    <mergeCell ref="N9:O9"/>
    <mergeCell ref="P9:Q9"/>
    <mergeCell ref="N10:O10"/>
    <mergeCell ref="P10:Q10"/>
    <mergeCell ref="N13:O13"/>
    <mergeCell ref="S13:T13"/>
    <mergeCell ref="N14:O15"/>
    <mergeCell ref="P14:Q15"/>
    <mergeCell ref="S14:T15"/>
    <mergeCell ref="U14:V15"/>
    <mergeCell ref="N16:O16"/>
    <mergeCell ref="P16:Q16"/>
    <mergeCell ref="S16:T16"/>
    <mergeCell ref="U16:V16"/>
    <mergeCell ref="N17:O17"/>
    <mergeCell ref="P17:Q17"/>
    <mergeCell ref="S17:T17"/>
    <mergeCell ref="U17:V17"/>
    <mergeCell ref="N20:O20"/>
    <mergeCell ref="S20:T20"/>
    <mergeCell ref="N24:O24"/>
    <mergeCell ref="P24:Q24"/>
    <mergeCell ref="S24:T24"/>
    <mergeCell ref="U24:V24"/>
    <mergeCell ref="N21:O22"/>
    <mergeCell ref="P21:Q22"/>
    <mergeCell ref="S21:T22"/>
    <mergeCell ref="U21:V22"/>
    <mergeCell ref="N23:O23"/>
    <mergeCell ref="P23:Q23"/>
    <mergeCell ref="S23:T23"/>
    <mergeCell ref="U23:V23"/>
  </mergeCells>
  <pageMargins left="0.7" right="0.7" top="0.75" bottom="0.75" header="0.3" footer="0.3"/>
  <pageSetup scale="82" orientation="portrait" horizontalDpi="300" verticalDpi="300" r:id="rId1"/>
  <colBreaks count="1" manualBreakCount="1">
    <brk id="12" max="2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29FCC-1398-4F53-843A-4C498989154A}">
  <sheetPr codeName="Sheet2"/>
  <dimension ref="A1:AD22"/>
  <sheetViews>
    <sheetView zoomScaleNormal="100" workbookViewId="0">
      <selection activeCell="G11" sqref="G11:J11"/>
    </sheetView>
  </sheetViews>
  <sheetFormatPr defaultRowHeight="15"/>
  <cols>
    <col min="1" max="1" width="4.28515625" style="50" customWidth="1"/>
    <col min="2" max="22" width="9.140625" style="50"/>
    <col min="23" max="24" width="2.85546875" style="50" customWidth="1"/>
    <col min="25" max="16384" width="9.140625" style="50"/>
  </cols>
  <sheetData>
    <row r="1" spans="1:30" ht="15.75" thickBot="1">
      <c r="A1" s="94"/>
    </row>
    <row r="2" spans="1:30" ht="15" customHeight="1">
      <c r="B2" s="280" t="e">
        <f>"Measurement Uncertainty Analysis (Type E "&amp;ROUND(Datasheet!C17,0)&amp;"°C test point)
The reported value ("&amp;ROUND(AC11,1)&amp;") is the mean UUT indication five (5) test runs"</f>
        <v>#DIV/0!</v>
      </c>
      <c r="C2" s="281"/>
      <c r="D2" s="281"/>
      <c r="E2" s="281"/>
      <c r="F2" s="281"/>
      <c r="G2" s="281"/>
      <c r="H2" s="281"/>
      <c r="I2" s="281"/>
      <c r="J2" s="281"/>
      <c r="K2" s="281"/>
      <c r="L2" s="281"/>
      <c r="M2" s="281"/>
      <c r="N2" s="281"/>
      <c r="O2" s="281"/>
      <c r="P2" s="281"/>
      <c r="Q2" s="281"/>
      <c r="R2" s="281"/>
      <c r="S2" s="281"/>
      <c r="T2" s="281"/>
      <c r="U2" s="281"/>
      <c r="V2" s="282"/>
    </row>
    <row r="3" spans="1:30" ht="15.75" thickBot="1">
      <c r="B3" s="283"/>
      <c r="C3" s="284"/>
      <c r="D3" s="284"/>
      <c r="E3" s="284"/>
      <c r="F3" s="284"/>
      <c r="G3" s="284"/>
      <c r="H3" s="284"/>
      <c r="I3" s="284"/>
      <c r="J3" s="284"/>
      <c r="K3" s="284"/>
      <c r="L3" s="284"/>
      <c r="M3" s="284"/>
      <c r="N3" s="284"/>
      <c r="O3" s="284"/>
      <c r="P3" s="284"/>
      <c r="Q3" s="284"/>
      <c r="R3" s="284"/>
      <c r="S3" s="284"/>
      <c r="T3" s="284"/>
      <c r="U3" s="284"/>
      <c r="V3" s="285"/>
    </row>
    <row r="4" spans="1:30" ht="30" customHeight="1">
      <c r="B4" s="51"/>
      <c r="C4" s="216" t="s">
        <v>45</v>
      </c>
      <c r="D4" s="216"/>
      <c r="E4" s="286" t="s">
        <v>46</v>
      </c>
      <c r="F4" s="286"/>
      <c r="G4" s="287" t="s">
        <v>47</v>
      </c>
      <c r="H4" s="287"/>
      <c r="I4" s="286" t="s">
        <v>48</v>
      </c>
      <c r="J4" s="216"/>
      <c r="K4" s="216" t="s">
        <v>49</v>
      </c>
      <c r="L4" s="216"/>
      <c r="M4" s="216" t="s">
        <v>50</v>
      </c>
      <c r="N4" s="216"/>
      <c r="O4" s="286" t="s">
        <v>51</v>
      </c>
      <c r="P4" s="286"/>
      <c r="Q4" s="216" t="s">
        <v>52</v>
      </c>
      <c r="R4" s="216"/>
      <c r="S4" s="216" t="s">
        <v>53</v>
      </c>
      <c r="T4" s="216"/>
      <c r="U4" s="286" t="s">
        <v>54</v>
      </c>
      <c r="V4" s="288"/>
      <c r="Y4" s="277" t="s">
        <v>55</v>
      </c>
      <c r="Z4" s="241"/>
      <c r="AA4" s="241"/>
      <c r="AB4" s="241"/>
      <c r="AC4" s="241" t="s">
        <v>56</v>
      </c>
      <c r="AD4" s="278"/>
    </row>
    <row r="5" spans="1:30" ht="30" customHeight="1" thickBot="1">
      <c r="B5" s="51" t="s">
        <v>57</v>
      </c>
      <c r="C5" s="263" t="s">
        <v>58</v>
      </c>
      <c r="D5" s="263"/>
      <c r="E5" s="263">
        <f>'STD Info'!F17</f>
        <v>0.18</v>
      </c>
      <c r="F5" s="263"/>
      <c r="G5" s="269">
        <v>0.95</v>
      </c>
      <c r="H5" s="263"/>
      <c r="I5" s="263" t="s">
        <v>59</v>
      </c>
      <c r="J5" s="263"/>
      <c r="K5" s="263" t="s">
        <v>60</v>
      </c>
      <c r="L5" s="263"/>
      <c r="M5" s="254">
        <f>NORMSINV(0.975)</f>
        <v>1.9599639845400536</v>
      </c>
      <c r="N5" s="254"/>
      <c r="O5" s="270">
        <f>E5/M5</f>
        <v>9.1838422246437734E-2</v>
      </c>
      <c r="P5" s="270"/>
      <c r="Q5" s="254">
        <v>1</v>
      </c>
      <c r="R5" s="254"/>
      <c r="S5" s="270">
        <f>O5*Q5</f>
        <v>9.1838422246437734E-2</v>
      </c>
      <c r="T5" s="270"/>
      <c r="U5" s="271" t="s">
        <v>61</v>
      </c>
      <c r="V5" s="272"/>
      <c r="Y5" s="217"/>
      <c r="Z5" s="218"/>
      <c r="AA5" s="218"/>
      <c r="AB5" s="218"/>
      <c r="AC5" s="218"/>
      <c r="AD5" s="279"/>
    </row>
    <row r="6" spans="1:30" ht="30" customHeight="1">
      <c r="B6" s="51" t="s">
        <v>62</v>
      </c>
      <c r="C6" s="263" t="s">
        <v>63</v>
      </c>
      <c r="D6" s="263"/>
      <c r="E6" s="263">
        <f>'STD Info'!D9/2</f>
        <v>5.0000000000000001E-3</v>
      </c>
      <c r="F6" s="263"/>
      <c r="G6" s="269">
        <v>1</v>
      </c>
      <c r="H6" s="263"/>
      <c r="I6" s="263" t="s">
        <v>59</v>
      </c>
      <c r="J6" s="263"/>
      <c r="K6" s="263" t="s">
        <v>64</v>
      </c>
      <c r="L6" s="263"/>
      <c r="M6" s="254">
        <f>SQRT(3)</f>
        <v>1.7320508075688772</v>
      </c>
      <c r="N6" s="254"/>
      <c r="O6" s="270">
        <f>E6/M6</f>
        <v>2.886751345948129E-3</v>
      </c>
      <c r="P6" s="270"/>
      <c r="Q6" s="254">
        <v>1</v>
      </c>
      <c r="R6" s="254"/>
      <c r="S6" s="270">
        <f>O6*Q6</f>
        <v>2.886751345948129E-3</v>
      </c>
      <c r="T6" s="270"/>
      <c r="U6" s="271" t="s">
        <v>61</v>
      </c>
      <c r="V6" s="272"/>
      <c r="Y6" s="274">
        <v>1</v>
      </c>
      <c r="Z6" s="266"/>
      <c r="AA6" s="266"/>
      <c r="AB6" s="266"/>
      <c r="AC6" s="275"/>
      <c r="AD6" s="276"/>
    </row>
    <row r="7" spans="1:30" ht="30" customHeight="1">
      <c r="B7" s="51" t="s">
        <v>65</v>
      </c>
      <c r="C7" s="263" t="s">
        <v>66</v>
      </c>
      <c r="D7" s="263"/>
      <c r="E7" s="263">
        <f>IF(Datasheet!B6="DAQM901A",'UUT Info'!D9/2,'UUT Info'!P9/2)</f>
        <v>0.05</v>
      </c>
      <c r="F7" s="263"/>
      <c r="G7" s="269">
        <v>1</v>
      </c>
      <c r="H7" s="263"/>
      <c r="I7" s="263" t="s">
        <v>59</v>
      </c>
      <c r="J7" s="263"/>
      <c r="K7" s="263" t="s">
        <v>64</v>
      </c>
      <c r="L7" s="263"/>
      <c r="M7" s="254">
        <f>SQRT(3)</f>
        <v>1.7320508075688772</v>
      </c>
      <c r="N7" s="254"/>
      <c r="O7" s="270">
        <f>E7/M7</f>
        <v>2.8867513459481291E-2</v>
      </c>
      <c r="P7" s="270"/>
      <c r="Q7" s="254">
        <v>1</v>
      </c>
      <c r="R7" s="254"/>
      <c r="S7" s="270">
        <f>O7*Q7</f>
        <v>2.8867513459481291E-2</v>
      </c>
      <c r="T7" s="270"/>
      <c r="U7" s="271" t="s">
        <v>61</v>
      </c>
      <c r="V7" s="272"/>
      <c r="Y7" s="262">
        <v>2</v>
      </c>
      <c r="Z7" s="263"/>
      <c r="AA7" s="263"/>
      <c r="AB7" s="263"/>
      <c r="AC7" s="264"/>
      <c r="AD7" s="265"/>
    </row>
    <row r="8" spans="1:30" ht="30" customHeight="1" thickBot="1">
      <c r="B8" s="52" t="s">
        <v>67</v>
      </c>
      <c r="C8" s="266" t="s">
        <v>68</v>
      </c>
      <c r="D8" s="266"/>
      <c r="E8" s="267" t="e">
        <f>AC15</f>
        <v>#DIV/0!</v>
      </c>
      <c r="F8" s="267"/>
      <c r="G8" s="268">
        <v>0.68</v>
      </c>
      <c r="H8" s="266"/>
      <c r="I8" s="266" t="s">
        <v>69</v>
      </c>
      <c r="J8" s="266"/>
      <c r="K8" s="266" t="s">
        <v>60</v>
      </c>
      <c r="L8" s="266"/>
      <c r="M8" s="252" t="s">
        <v>70</v>
      </c>
      <c r="N8" s="252"/>
      <c r="O8" s="267" t="e">
        <f>E8/1</f>
        <v>#DIV/0!</v>
      </c>
      <c r="P8" s="267"/>
      <c r="Q8" s="252">
        <v>1</v>
      </c>
      <c r="R8" s="252"/>
      <c r="S8" s="267" t="e">
        <f>O8*Q8</f>
        <v>#DIV/0!</v>
      </c>
      <c r="T8" s="267"/>
      <c r="U8" s="266">
        <f>Y10-1</f>
        <v>4</v>
      </c>
      <c r="V8" s="273"/>
      <c r="Y8" s="262">
        <v>3</v>
      </c>
      <c r="Z8" s="263"/>
      <c r="AA8" s="263"/>
      <c r="AB8" s="263"/>
      <c r="AC8" s="264"/>
      <c r="AD8" s="265"/>
    </row>
    <row r="9" spans="1:30" ht="30" customHeight="1">
      <c r="B9" s="53" t="s">
        <v>71</v>
      </c>
      <c r="C9" s="241" t="s">
        <v>72</v>
      </c>
      <c r="D9" s="241"/>
      <c r="E9" s="241"/>
      <c r="F9" s="241"/>
      <c r="G9" s="242" t="e">
        <f>SQRT(SUMSQ(S5:T8))</f>
        <v>#DIV/0!</v>
      </c>
      <c r="H9" s="242"/>
      <c r="I9" s="242"/>
      <c r="J9" s="242"/>
      <c r="K9" s="243" t="s">
        <v>138</v>
      </c>
      <c r="L9" s="244"/>
      <c r="M9" s="244"/>
      <c r="N9" s="244"/>
      <c r="O9" s="244"/>
      <c r="P9" s="244"/>
      <c r="Q9" s="244"/>
      <c r="R9" s="244"/>
      <c r="S9" s="244"/>
      <c r="T9" s="244"/>
      <c r="U9" s="244"/>
      <c r="V9" s="245"/>
      <c r="Y9" s="262">
        <v>4</v>
      </c>
      <c r="Z9" s="263"/>
      <c r="AA9" s="263"/>
      <c r="AB9" s="263"/>
      <c r="AC9" s="264"/>
      <c r="AD9" s="265"/>
    </row>
    <row r="10" spans="1:30" ht="30" customHeight="1" thickBot="1">
      <c r="B10" s="55" t="s">
        <v>74</v>
      </c>
      <c r="C10" s="216" t="s">
        <v>75</v>
      </c>
      <c r="D10" s="216"/>
      <c r="E10" s="216"/>
      <c r="F10" s="216"/>
      <c r="G10" s="256" t="e">
        <f>ROUND(AC11,1) &amp; "°C ± " &amp; I20 &amp;"°C"</f>
        <v>#DIV/0!</v>
      </c>
      <c r="H10" s="256"/>
      <c r="I10" s="256"/>
      <c r="J10" s="256"/>
      <c r="K10" s="246"/>
      <c r="L10" s="246"/>
      <c r="M10" s="246"/>
      <c r="N10" s="246"/>
      <c r="O10" s="246"/>
      <c r="P10" s="246"/>
      <c r="Q10" s="246"/>
      <c r="R10" s="246"/>
      <c r="S10" s="246"/>
      <c r="T10" s="246"/>
      <c r="U10" s="246"/>
      <c r="V10" s="247"/>
      <c r="Y10" s="260">
        <v>5</v>
      </c>
      <c r="Z10" s="261"/>
      <c r="AA10" s="261"/>
      <c r="AB10" s="261"/>
      <c r="AC10" s="239"/>
      <c r="AD10" s="240"/>
    </row>
    <row r="11" spans="1:30" ht="30" customHeight="1" thickBot="1">
      <c r="B11" s="257" t="s">
        <v>76</v>
      </c>
      <c r="C11" s="258"/>
      <c r="D11" s="258"/>
      <c r="E11" s="258"/>
      <c r="F11" s="258"/>
      <c r="G11" s="259" t="e">
        <f>IF(S8=0,10000000000,IF(U8*((G9^4)/(S8^4))&gt;10000000000,10000000000,U8*((G9^4)/(S8^4))))</f>
        <v>#DIV/0!</v>
      </c>
      <c r="H11" s="259"/>
      <c r="I11" s="259"/>
      <c r="J11" s="259"/>
      <c r="K11" s="248"/>
      <c r="L11" s="248"/>
      <c r="M11" s="248"/>
      <c r="N11" s="248"/>
      <c r="O11" s="248"/>
      <c r="P11" s="248"/>
      <c r="Q11" s="248"/>
      <c r="R11" s="248"/>
      <c r="S11" s="248"/>
      <c r="T11" s="248"/>
      <c r="U11" s="248"/>
      <c r="V11" s="249"/>
      <c r="X11" s="54"/>
      <c r="Y11" s="250" t="s">
        <v>73</v>
      </c>
      <c r="Z11" s="251"/>
      <c r="AA11" s="251"/>
      <c r="AB11" s="251"/>
      <c r="AC11" s="252" t="e">
        <f>AVERAGE(AC6:AD10)</f>
        <v>#DIV/0!</v>
      </c>
      <c r="AD11" s="253"/>
    </row>
    <row r="12" spans="1:30" ht="30" customHeight="1" thickTop="1">
      <c r="B12" s="227" t="s">
        <v>78</v>
      </c>
      <c r="C12" s="228"/>
      <c r="D12" s="228"/>
      <c r="E12" s="228"/>
      <c r="F12" s="228"/>
      <c r="G12" s="229" t="s">
        <v>79</v>
      </c>
      <c r="H12" s="229"/>
      <c r="I12" s="229"/>
      <c r="J12" s="229"/>
      <c r="K12" s="229"/>
      <c r="L12" s="229"/>
      <c r="M12" s="229"/>
      <c r="N12" s="229"/>
      <c r="O12" s="229"/>
      <c r="P12" s="229"/>
      <c r="Q12" s="229"/>
      <c r="R12" s="229"/>
      <c r="S12" s="229"/>
      <c r="T12" s="229"/>
      <c r="U12" s="229"/>
      <c r="V12" s="230"/>
      <c r="X12" s="54"/>
      <c r="Y12" s="215"/>
      <c r="Z12" s="216"/>
      <c r="AA12" s="216"/>
      <c r="AB12" s="216"/>
      <c r="AC12" s="254"/>
      <c r="AD12" s="255"/>
    </row>
    <row r="13" spans="1:30" ht="30" customHeight="1">
      <c r="B13" s="223" t="s">
        <v>80</v>
      </c>
      <c r="C13" s="224"/>
      <c r="D13" s="224"/>
      <c r="E13" s="224"/>
      <c r="F13" s="224"/>
      <c r="G13" s="231" t="s">
        <v>81</v>
      </c>
      <c r="H13" s="231"/>
      <c r="I13" s="231"/>
      <c r="J13" s="231"/>
      <c r="K13" s="231"/>
      <c r="L13" s="231"/>
      <c r="M13" s="231"/>
      <c r="N13" s="231"/>
      <c r="O13" s="231"/>
      <c r="P13" s="231"/>
      <c r="Q13" s="231"/>
      <c r="R13" s="231"/>
      <c r="S13" s="231"/>
      <c r="T13" s="231"/>
      <c r="U13" s="231"/>
      <c r="V13" s="232"/>
      <c r="Y13" s="215" t="s">
        <v>77</v>
      </c>
      <c r="Z13" s="216"/>
      <c r="AA13" s="216"/>
      <c r="AB13" s="216"/>
      <c r="AC13" s="219" t="e">
        <f>_xlfn.STDEV.S(AC6:AD10)</f>
        <v>#DIV/0!</v>
      </c>
      <c r="AD13" s="220"/>
    </row>
    <row r="14" spans="1:30">
      <c r="B14" s="223" t="s">
        <v>83</v>
      </c>
      <c r="C14" s="224"/>
      <c r="D14" s="224"/>
      <c r="E14" s="224"/>
      <c r="F14" s="224"/>
      <c r="G14" s="225" t="s">
        <v>84</v>
      </c>
      <c r="H14" s="225"/>
      <c r="I14" s="225"/>
      <c r="J14" s="225"/>
      <c r="K14" s="225"/>
      <c r="L14" s="225"/>
      <c r="M14" s="225"/>
      <c r="N14" s="225"/>
      <c r="O14" s="225"/>
      <c r="P14" s="225"/>
      <c r="Q14" s="225"/>
      <c r="R14" s="225"/>
      <c r="S14" s="225"/>
      <c r="T14" s="225"/>
      <c r="U14" s="225"/>
      <c r="V14" s="226"/>
      <c r="Y14" s="215"/>
      <c r="Z14" s="216"/>
      <c r="AA14" s="216"/>
      <c r="AB14" s="216"/>
      <c r="AC14" s="219"/>
      <c r="AD14" s="220"/>
    </row>
    <row r="15" spans="1:30">
      <c r="B15" s="223"/>
      <c r="C15" s="224"/>
      <c r="D15" s="224"/>
      <c r="E15" s="224"/>
      <c r="F15" s="224"/>
      <c r="G15" s="225"/>
      <c r="H15" s="225"/>
      <c r="I15" s="225"/>
      <c r="J15" s="225"/>
      <c r="K15" s="225"/>
      <c r="L15" s="225"/>
      <c r="M15" s="225"/>
      <c r="N15" s="225"/>
      <c r="O15" s="225"/>
      <c r="P15" s="225"/>
      <c r="Q15" s="225"/>
      <c r="R15" s="225"/>
      <c r="S15" s="225"/>
      <c r="T15" s="225"/>
      <c r="U15" s="225"/>
      <c r="V15" s="226"/>
      <c r="Y15" s="215" t="s">
        <v>82</v>
      </c>
      <c r="Z15" s="216"/>
      <c r="AA15" s="216"/>
      <c r="AB15" s="216"/>
      <c r="AC15" s="219" t="e">
        <f>AC13/SQRT(Y10)</f>
        <v>#DIV/0!</v>
      </c>
      <c r="AD15" s="220"/>
    </row>
    <row r="16" spans="1:30" ht="15.75" thickBot="1">
      <c r="B16" s="223"/>
      <c r="C16" s="224"/>
      <c r="D16" s="224"/>
      <c r="E16" s="224"/>
      <c r="F16" s="224"/>
      <c r="G16" s="225"/>
      <c r="H16" s="225"/>
      <c r="I16" s="225"/>
      <c r="J16" s="225"/>
      <c r="K16" s="225"/>
      <c r="L16" s="225"/>
      <c r="M16" s="225"/>
      <c r="N16" s="225"/>
      <c r="O16" s="225"/>
      <c r="P16" s="225"/>
      <c r="Q16" s="225"/>
      <c r="R16" s="225"/>
      <c r="S16" s="225"/>
      <c r="T16" s="225"/>
      <c r="U16" s="225"/>
      <c r="V16" s="226"/>
      <c r="Y16" s="217"/>
      <c r="Z16" s="218"/>
      <c r="AA16" s="218"/>
      <c r="AB16" s="218"/>
      <c r="AC16" s="221"/>
      <c r="AD16" s="222"/>
    </row>
    <row r="17" spans="2:22" ht="15.75" thickBot="1">
      <c r="B17" s="233" t="s">
        <v>85</v>
      </c>
      <c r="C17" s="234"/>
      <c r="D17" s="234"/>
      <c r="E17" s="234"/>
      <c r="F17" s="234"/>
      <c r="G17" s="235" t="s">
        <v>86</v>
      </c>
      <c r="H17" s="235"/>
      <c r="I17" s="235"/>
      <c r="J17" s="235"/>
      <c r="K17" s="235"/>
      <c r="L17" s="235"/>
      <c r="M17" s="235"/>
      <c r="N17" s="235"/>
      <c r="O17" s="235"/>
      <c r="P17" s="235"/>
      <c r="Q17" s="235"/>
      <c r="R17" s="235"/>
      <c r="S17" s="235"/>
      <c r="T17" s="235"/>
      <c r="U17" s="235"/>
      <c r="V17" s="236"/>
    </row>
    <row r="19" spans="2:22">
      <c r="G19" s="237" t="s">
        <v>87</v>
      </c>
      <c r="H19" s="237"/>
      <c r="I19" s="238" t="e">
        <f>TINV(0.05,G11)</f>
        <v>#DIV/0!</v>
      </c>
      <c r="J19" s="238"/>
    </row>
    <row r="20" spans="2:22">
      <c r="G20" s="237" t="s">
        <v>88</v>
      </c>
      <c r="H20" s="237"/>
      <c r="I20" s="85" t="e">
        <f>ROUND(I19*G9,1)</f>
        <v>#DIV/0!</v>
      </c>
      <c r="J20" s="85"/>
    </row>
    <row r="21" spans="2:22" ht="30" customHeight="1"/>
    <row r="22" spans="2:22" ht="30" customHeight="1"/>
  </sheetData>
  <mergeCells count="87">
    <mergeCell ref="B2:V3"/>
    <mergeCell ref="C4:D4"/>
    <mergeCell ref="E4:F4"/>
    <mergeCell ref="G4:H4"/>
    <mergeCell ref="I4:J4"/>
    <mergeCell ref="K4:L4"/>
    <mergeCell ref="M4:N4"/>
    <mergeCell ref="O4:P4"/>
    <mergeCell ref="Q4:R4"/>
    <mergeCell ref="S4:T4"/>
    <mergeCell ref="U4:V4"/>
    <mergeCell ref="M5:N5"/>
    <mergeCell ref="O5:P5"/>
    <mergeCell ref="Q5:R5"/>
    <mergeCell ref="S5:T5"/>
    <mergeCell ref="U5:V5"/>
    <mergeCell ref="C5:D5"/>
    <mergeCell ref="E5:F5"/>
    <mergeCell ref="G5:H5"/>
    <mergeCell ref="I5:J5"/>
    <mergeCell ref="K5:L5"/>
    <mergeCell ref="AC6:AD6"/>
    <mergeCell ref="AC7:AD7"/>
    <mergeCell ref="Y7:AB7"/>
    <mergeCell ref="Y4:AB5"/>
    <mergeCell ref="AC4:AD5"/>
    <mergeCell ref="C6:D6"/>
    <mergeCell ref="E6:F6"/>
    <mergeCell ref="G6:H6"/>
    <mergeCell ref="I6:J6"/>
    <mergeCell ref="K6:L6"/>
    <mergeCell ref="M6:N6"/>
    <mergeCell ref="O6:P6"/>
    <mergeCell ref="Q6:R6"/>
    <mergeCell ref="S6:T6"/>
    <mergeCell ref="Y8:AB8"/>
    <mergeCell ref="U6:V6"/>
    <mergeCell ref="Y6:AB6"/>
    <mergeCell ref="AC8:AD8"/>
    <mergeCell ref="C7:D7"/>
    <mergeCell ref="E7:F7"/>
    <mergeCell ref="G7:H7"/>
    <mergeCell ref="I7:J7"/>
    <mergeCell ref="K7:L7"/>
    <mergeCell ref="M7:N7"/>
    <mergeCell ref="O7:P7"/>
    <mergeCell ref="Q7:R7"/>
    <mergeCell ref="S7:T7"/>
    <mergeCell ref="U7:V7"/>
    <mergeCell ref="M8:N8"/>
    <mergeCell ref="O8:P8"/>
    <mergeCell ref="Q8:R8"/>
    <mergeCell ref="S8:T8"/>
    <mergeCell ref="U8:V8"/>
    <mergeCell ref="C8:D8"/>
    <mergeCell ref="E8:F8"/>
    <mergeCell ref="G8:H8"/>
    <mergeCell ref="I8:J8"/>
    <mergeCell ref="K8:L8"/>
    <mergeCell ref="G19:H19"/>
    <mergeCell ref="I19:J19"/>
    <mergeCell ref="G20:H20"/>
    <mergeCell ref="AC10:AD10"/>
    <mergeCell ref="C9:F9"/>
    <mergeCell ref="G9:J9"/>
    <mergeCell ref="K9:V11"/>
    <mergeCell ref="Y11:AB12"/>
    <mergeCell ref="AC11:AD12"/>
    <mergeCell ref="C10:F10"/>
    <mergeCell ref="G10:J10"/>
    <mergeCell ref="B11:F11"/>
    <mergeCell ref="G11:J11"/>
    <mergeCell ref="Y10:AB10"/>
    <mergeCell ref="Y9:AB9"/>
    <mergeCell ref="AC9:AD9"/>
    <mergeCell ref="B12:F12"/>
    <mergeCell ref="G12:V12"/>
    <mergeCell ref="B13:F13"/>
    <mergeCell ref="G13:V13"/>
    <mergeCell ref="B17:F17"/>
    <mergeCell ref="G17:V17"/>
    <mergeCell ref="Y15:AB16"/>
    <mergeCell ref="AC15:AD16"/>
    <mergeCell ref="B14:F16"/>
    <mergeCell ref="G14:V16"/>
    <mergeCell ref="Y13:AB14"/>
    <mergeCell ref="AC13:AD14"/>
  </mergeCells>
  <pageMargins left="0.7" right="0.7" top="0.75" bottom="0.75" header="0.3" footer="0.3"/>
  <pageSetup scale="45" orientation="portrait" horizontalDpi="300" verticalDpi="300" r:id="rId1"/>
  <colBreaks count="1" manualBreakCount="1">
    <brk id="23" max="19" man="1"/>
  </colBreaks>
  <ignoredErrors>
    <ignoredError sqref="M6" formula="1"/>
  </ignoredErrors>
  <extLst>
    <ext xmlns:x14="http://schemas.microsoft.com/office/spreadsheetml/2009/9/main" uri="{78C0D931-6437-407d-A8EE-F0AAD7539E65}">
      <x14:conditionalFormattings>
        <x14:conditionalFormatting xmlns:xm="http://schemas.microsoft.com/office/excel/2006/main">
          <x14:cfRule type="expression" priority="1" id="{A08B1ABC-247B-4D17-AFF6-C74B9CAE4563}">
            <xm:f>Datasheet!$B$6="34901A"</xm:f>
            <x14:dxf>
              <numFmt numFmtId="164" formatCode="0.0"/>
            </x14:dxf>
          </x14:cfRule>
          <xm:sqref>AC6:AD12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F10FC-196B-400D-AB81-C33DEBA98EE8}">
  <sheetPr codeName="Sheet3"/>
  <dimension ref="B1:AD22"/>
  <sheetViews>
    <sheetView zoomScaleNormal="100" workbookViewId="0">
      <selection activeCell="G11" sqref="G11:J11"/>
    </sheetView>
  </sheetViews>
  <sheetFormatPr defaultRowHeight="15"/>
  <cols>
    <col min="1" max="1" width="4.28515625" style="50" customWidth="1"/>
    <col min="2" max="22" width="9.140625" style="50"/>
    <col min="23" max="24" width="2.85546875" style="50" customWidth="1"/>
    <col min="25" max="16384" width="9.140625" style="50"/>
  </cols>
  <sheetData>
    <row r="1" spans="2:30" ht="15.75" thickBot="1"/>
    <row r="2" spans="2:30" ht="15" customHeight="1">
      <c r="B2" s="280" t="e">
        <f>"Measurement Uncertainty Analysis (Type E "&amp;ROUND(Datasheet!C18,0)&amp;"°C test point)
The reported value ("&amp;ROUND(AC11,1)&amp;") is the mean UUT indication five (5) test runs"</f>
        <v>#DIV/0!</v>
      </c>
      <c r="C2" s="281"/>
      <c r="D2" s="281"/>
      <c r="E2" s="281"/>
      <c r="F2" s="281"/>
      <c r="G2" s="281"/>
      <c r="H2" s="281"/>
      <c r="I2" s="281"/>
      <c r="J2" s="281"/>
      <c r="K2" s="281"/>
      <c r="L2" s="281"/>
      <c r="M2" s="281"/>
      <c r="N2" s="281"/>
      <c r="O2" s="281"/>
      <c r="P2" s="281"/>
      <c r="Q2" s="281"/>
      <c r="R2" s="281"/>
      <c r="S2" s="281"/>
      <c r="T2" s="281"/>
      <c r="U2" s="281"/>
      <c r="V2" s="282"/>
    </row>
    <row r="3" spans="2:30" ht="15.75" thickBot="1">
      <c r="B3" s="283"/>
      <c r="C3" s="284"/>
      <c r="D3" s="284"/>
      <c r="E3" s="284"/>
      <c r="F3" s="284"/>
      <c r="G3" s="284"/>
      <c r="H3" s="284"/>
      <c r="I3" s="284"/>
      <c r="J3" s="284"/>
      <c r="K3" s="284"/>
      <c r="L3" s="284"/>
      <c r="M3" s="284"/>
      <c r="N3" s="284"/>
      <c r="O3" s="284"/>
      <c r="P3" s="284"/>
      <c r="Q3" s="284"/>
      <c r="R3" s="284"/>
      <c r="S3" s="284"/>
      <c r="T3" s="284"/>
      <c r="U3" s="284"/>
      <c r="V3" s="285"/>
    </row>
    <row r="4" spans="2:30" ht="30" customHeight="1">
      <c r="B4" s="57"/>
      <c r="C4" s="216" t="s">
        <v>45</v>
      </c>
      <c r="D4" s="216"/>
      <c r="E4" s="286" t="s">
        <v>46</v>
      </c>
      <c r="F4" s="286"/>
      <c r="G4" s="287" t="s">
        <v>47</v>
      </c>
      <c r="H4" s="287"/>
      <c r="I4" s="286" t="s">
        <v>48</v>
      </c>
      <c r="J4" s="216"/>
      <c r="K4" s="216" t="s">
        <v>49</v>
      </c>
      <c r="L4" s="216"/>
      <c r="M4" s="216" t="s">
        <v>50</v>
      </c>
      <c r="N4" s="216"/>
      <c r="O4" s="286" t="s">
        <v>51</v>
      </c>
      <c r="P4" s="286"/>
      <c r="Q4" s="216" t="s">
        <v>52</v>
      </c>
      <c r="R4" s="216"/>
      <c r="S4" s="216" t="s">
        <v>53</v>
      </c>
      <c r="T4" s="216"/>
      <c r="U4" s="286" t="s">
        <v>54</v>
      </c>
      <c r="V4" s="288"/>
      <c r="Y4" s="277" t="s">
        <v>55</v>
      </c>
      <c r="Z4" s="241"/>
      <c r="AA4" s="241"/>
      <c r="AB4" s="241"/>
      <c r="AC4" s="241" t="s">
        <v>56</v>
      </c>
      <c r="AD4" s="278"/>
    </row>
    <row r="5" spans="2:30" ht="30" customHeight="1" thickBot="1">
      <c r="B5" s="57" t="s">
        <v>57</v>
      </c>
      <c r="C5" s="263" t="s">
        <v>58</v>
      </c>
      <c r="D5" s="263"/>
      <c r="E5" s="254">
        <f>'STD Info'!F20</f>
        <v>7.0000000000000007E-2</v>
      </c>
      <c r="F5" s="263"/>
      <c r="G5" s="269">
        <v>0.95</v>
      </c>
      <c r="H5" s="263"/>
      <c r="I5" s="263" t="s">
        <v>59</v>
      </c>
      <c r="J5" s="263"/>
      <c r="K5" s="263" t="s">
        <v>60</v>
      </c>
      <c r="L5" s="263"/>
      <c r="M5" s="254">
        <f>NORMSINV((1+0.95)/2)</f>
        <v>1.9599639845400536</v>
      </c>
      <c r="N5" s="254"/>
      <c r="O5" s="270">
        <f>E5/M5</f>
        <v>3.5714941984725787E-2</v>
      </c>
      <c r="P5" s="270"/>
      <c r="Q5" s="254">
        <v>1</v>
      </c>
      <c r="R5" s="254"/>
      <c r="S5" s="270">
        <f>O5*Q5</f>
        <v>3.5714941984725787E-2</v>
      </c>
      <c r="T5" s="270"/>
      <c r="U5" s="271" t="s">
        <v>61</v>
      </c>
      <c r="V5" s="272"/>
      <c r="Y5" s="217"/>
      <c r="Z5" s="218"/>
      <c r="AA5" s="218"/>
      <c r="AB5" s="218"/>
      <c r="AC5" s="218"/>
      <c r="AD5" s="279"/>
    </row>
    <row r="6" spans="2:30" ht="30" customHeight="1">
      <c r="B6" s="57" t="s">
        <v>62</v>
      </c>
      <c r="C6" s="263" t="s">
        <v>63</v>
      </c>
      <c r="D6" s="263"/>
      <c r="E6" s="263">
        <f>'STD Info'!D9/2</f>
        <v>5.0000000000000001E-3</v>
      </c>
      <c r="F6" s="263"/>
      <c r="G6" s="269">
        <v>1</v>
      </c>
      <c r="H6" s="263"/>
      <c r="I6" s="263" t="s">
        <v>59</v>
      </c>
      <c r="J6" s="263"/>
      <c r="K6" s="263" t="s">
        <v>64</v>
      </c>
      <c r="L6" s="263"/>
      <c r="M6" s="254">
        <f>SQRT(3)</f>
        <v>1.7320508075688772</v>
      </c>
      <c r="N6" s="254"/>
      <c r="O6" s="270">
        <f>E6/M6</f>
        <v>2.886751345948129E-3</v>
      </c>
      <c r="P6" s="270"/>
      <c r="Q6" s="254">
        <v>1</v>
      </c>
      <c r="R6" s="254"/>
      <c r="S6" s="270">
        <f>O6*Q6</f>
        <v>2.886751345948129E-3</v>
      </c>
      <c r="T6" s="270"/>
      <c r="U6" s="271" t="s">
        <v>61</v>
      </c>
      <c r="V6" s="272"/>
      <c r="Y6" s="274">
        <v>1</v>
      </c>
      <c r="Z6" s="266"/>
      <c r="AA6" s="266"/>
      <c r="AB6" s="266"/>
      <c r="AC6" s="275"/>
      <c r="AD6" s="276"/>
    </row>
    <row r="7" spans="2:30" ht="30" customHeight="1">
      <c r="B7" s="57" t="s">
        <v>65</v>
      </c>
      <c r="C7" s="263" t="s">
        <v>66</v>
      </c>
      <c r="D7" s="263"/>
      <c r="E7" s="263">
        <f>IF(Datasheet!B6="DAQM901A",'UUT Info'!D9/2,'UUT Info'!P9/2)</f>
        <v>0.05</v>
      </c>
      <c r="F7" s="263"/>
      <c r="G7" s="269">
        <v>1</v>
      </c>
      <c r="H7" s="263"/>
      <c r="I7" s="263" t="s">
        <v>59</v>
      </c>
      <c r="J7" s="263"/>
      <c r="K7" s="263" t="s">
        <v>64</v>
      </c>
      <c r="L7" s="263"/>
      <c r="M7" s="254">
        <f>SQRT(3)</f>
        <v>1.7320508075688772</v>
      </c>
      <c r="N7" s="254"/>
      <c r="O7" s="270">
        <f>E7/M7</f>
        <v>2.8867513459481291E-2</v>
      </c>
      <c r="P7" s="270"/>
      <c r="Q7" s="254">
        <v>1</v>
      </c>
      <c r="R7" s="254"/>
      <c r="S7" s="270">
        <f>O7*Q7</f>
        <v>2.8867513459481291E-2</v>
      </c>
      <c r="T7" s="270"/>
      <c r="U7" s="271" t="s">
        <v>61</v>
      </c>
      <c r="V7" s="272"/>
      <c r="Y7" s="262">
        <v>2</v>
      </c>
      <c r="Z7" s="263"/>
      <c r="AA7" s="263"/>
      <c r="AB7" s="263"/>
      <c r="AC7" s="264"/>
      <c r="AD7" s="265"/>
    </row>
    <row r="8" spans="2:30" ht="30" customHeight="1" thickBot="1">
      <c r="B8" s="59" t="s">
        <v>67</v>
      </c>
      <c r="C8" s="266" t="s">
        <v>68</v>
      </c>
      <c r="D8" s="266"/>
      <c r="E8" s="267" t="e">
        <f>AC15</f>
        <v>#DIV/0!</v>
      </c>
      <c r="F8" s="267"/>
      <c r="G8" s="268">
        <v>0.68</v>
      </c>
      <c r="H8" s="266"/>
      <c r="I8" s="266" t="s">
        <v>69</v>
      </c>
      <c r="J8" s="266"/>
      <c r="K8" s="266" t="s">
        <v>60</v>
      </c>
      <c r="L8" s="266"/>
      <c r="M8" s="252" t="s">
        <v>70</v>
      </c>
      <c r="N8" s="252"/>
      <c r="O8" s="267" t="e">
        <f>E8/1</f>
        <v>#DIV/0!</v>
      </c>
      <c r="P8" s="267"/>
      <c r="Q8" s="252">
        <v>1</v>
      </c>
      <c r="R8" s="252"/>
      <c r="S8" s="267" t="e">
        <f>O8*Q8</f>
        <v>#DIV/0!</v>
      </c>
      <c r="T8" s="267"/>
      <c r="U8" s="266">
        <f>Y10-1</f>
        <v>4</v>
      </c>
      <c r="V8" s="273"/>
      <c r="Y8" s="262">
        <v>3</v>
      </c>
      <c r="Z8" s="263"/>
      <c r="AA8" s="263"/>
      <c r="AB8" s="263"/>
      <c r="AC8" s="264"/>
      <c r="AD8" s="265"/>
    </row>
    <row r="9" spans="2:30" ht="30" customHeight="1">
      <c r="B9" s="56" t="s">
        <v>71</v>
      </c>
      <c r="C9" s="241" t="s">
        <v>72</v>
      </c>
      <c r="D9" s="241"/>
      <c r="E9" s="241"/>
      <c r="F9" s="241"/>
      <c r="G9" s="242" t="e">
        <f>SQRT(SUMSQ(S5:T8))</f>
        <v>#DIV/0!</v>
      </c>
      <c r="H9" s="242"/>
      <c r="I9" s="242"/>
      <c r="J9" s="242"/>
      <c r="K9" s="243" t="s">
        <v>138</v>
      </c>
      <c r="L9" s="244"/>
      <c r="M9" s="244"/>
      <c r="N9" s="244"/>
      <c r="O9" s="244"/>
      <c r="P9" s="244"/>
      <c r="Q9" s="244"/>
      <c r="R9" s="244"/>
      <c r="S9" s="244"/>
      <c r="T9" s="244"/>
      <c r="U9" s="244"/>
      <c r="V9" s="245"/>
      <c r="Y9" s="262">
        <v>4</v>
      </c>
      <c r="Z9" s="263"/>
      <c r="AA9" s="263"/>
      <c r="AB9" s="263"/>
      <c r="AC9" s="264"/>
      <c r="AD9" s="265"/>
    </row>
    <row r="10" spans="2:30" ht="30" customHeight="1" thickBot="1">
      <c r="B10" s="58" t="s">
        <v>74</v>
      </c>
      <c r="C10" s="216" t="s">
        <v>75</v>
      </c>
      <c r="D10" s="216"/>
      <c r="E10" s="216"/>
      <c r="F10" s="216"/>
      <c r="G10" s="256" t="e">
        <f>ROUND(AC11,1) &amp; "°C ± " &amp; I20 &amp;"°C"</f>
        <v>#DIV/0!</v>
      </c>
      <c r="H10" s="256"/>
      <c r="I10" s="256"/>
      <c r="J10" s="256"/>
      <c r="K10" s="246"/>
      <c r="L10" s="246"/>
      <c r="M10" s="246"/>
      <c r="N10" s="246"/>
      <c r="O10" s="246"/>
      <c r="P10" s="246"/>
      <c r="Q10" s="246"/>
      <c r="R10" s="246"/>
      <c r="S10" s="246"/>
      <c r="T10" s="246"/>
      <c r="U10" s="246"/>
      <c r="V10" s="247"/>
      <c r="Y10" s="260">
        <v>5</v>
      </c>
      <c r="Z10" s="261"/>
      <c r="AA10" s="261"/>
      <c r="AB10" s="261"/>
      <c r="AC10" s="239"/>
      <c r="AD10" s="240"/>
    </row>
    <row r="11" spans="2:30" ht="30" customHeight="1" thickBot="1">
      <c r="B11" s="257" t="s">
        <v>76</v>
      </c>
      <c r="C11" s="258"/>
      <c r="D11" s="258"/>
      <c r="E11" s="258"/>
      <c r="F11" s="258"/>
      <c r="G11" s="259" t="e">
        <f>IF(S8=0,10000000000,IF(U8*((G9^4)/(S8^4))&gt;10000000000,10000000000,U8*((G9^4)/(S8^4))))</f>
        <v>#DIV/0!</v>
      </c>
      <c r="H11" s="259"/>
      <c r="I11" s="259"/>
      <c r="J11" s="259"/>
      <c r="K11" s="248"/>
      <c r="L11" s="248"/>
      <c r="M11" s="248"/>
      <c r="N11" s="248"/>
      <c r="O11" s="248"/>
      <c r="P11" s="248"/>
      <c r="Q11" s="248"/>
      <c r="R11" s="248"/>
      <c r="S11" s="248"/>
      <c r="T11" s="248"/>
      <c r="U11" s="248"/>
      <c r="V11" s="249"/>
      <c r="X11" s="54"/>
      <c r="Y11" s="250" t="s">
        <v>73</v>
      </c>
      <c r="Z11" s="251"/>
      <c r="AA11" s="251"/>
      <c r="AB11" s="251"/>
      <c r="AC11" s="252" t="e">
        <f>AVERAGE(AC6:AD10)</f>
        <v>#DIV/0!</v>
      </c>
      <c r="AD11" s="253"/>
    </row>
    <row r="12" spans="2:30" ht="30" customHeight="1" thickTop="1">
      <c r="B12" s="227" t="s">
        <v>78</v>
      </c>
      <c r="C12" s="228"/>
      <c r="D12" s="228"/>
      <c r="E12" s="228"/>
      <c r="F12" s="228"/>
      <c r="G12" s="229" t="s">
        <v>79</v>
      </c>
      <c r="H12" s="229"/>
      <c r="I12" s="229"/>
      <c r="J12" s="229"/>
      <c r="K12" s="229"/>
      <c r="L12" s="229"/>
      <c r="M12" s="229"/>
      <c r="N12" s="229"/>
      <c r="O12" s="229"/>
      <c r="P12" s="229"/>
      <c r="Q12" s="229"/>
      <c r="R12" s="229"/>
      <c r="S12" s="229"/>
      <c r="T12" s="229"/>
      <c r="U12" s="229"/>
      <c r="V12" s="230"/>
      <c r="X12" s="54"/>
      <c r="Y12" s="215"/>
      <c r="Z12" s="216"/>
      <c r="AA12" s="216"/>
      <c r="AB12" s="216"/>
      <c r="AC12" s="254"/>
      <c r="AD12" s="255"/>
    </row>
    <row r="13" spans="2:30" ht="30" customHeight="1">
      <c r="B13" s="223" t="s">
        <v>80</v>
      </c>
      <c r="C13" s="224"/>
      <c r="D13" s="224"/>
      <c r="E13" s="224"/>
      <c r="F13" s="224"/>
      <c r="G13" s="231" t="s">
        <v>81</v>
      </c>
      <c r="H13" s="231"/>
      <c r="I13" s="231"/>
      <c r="J13" s="231"/>
      <c r="K13" s="231"/>
      <c r="L13" s="231"/>
      <c r="M13" s="231"/>
      <c r="N13" s="231"/>
      <c r="O13" s="231"/>
      <c r="P13" s="231"/>
      <c r="Q13" s="231"/>
      <c r="R13" s="231"/>
      <c r="S13" s="231"/>
      <c r="T13" s="231"/>
      <c r="U13" s="231"/>
      <c r="V13" s="232"/>
      <c r="Y13" s="215" t="s">
        <v>77</v>
      </c>
      <c r="Z13" s="216"/>
      <c r="AA13" s="216"/>
      <c r="AB13" s="216"/>
      <c r="AC13" s="219" t="e">
        <f>_xlfn.STDEV.S(AC6:AD10)</f>
        <v>#DIV/0!</v>
      </c>
      <c r="AD13" s="220"/>
    </row>
    <row r="14" spans="2:30">
      <c r="B14" s="223" t="s">
        <v>83</v>
      </c>
      <c r="C14" s="224"/>
      <c r="D14" s="224"/>
      <c r="E14" s="224"/>
      <c r="F14" s="224"/>
      <c r="G14" s="225" t="s">
        <v>84</v>
      </c>
      <c r="H14" s="225"/>
      <c r="I14" s="225"/>
      <c r="J14" s="225"/>
      <c r="K14" s="225"/>
      <c r="L14" s="225"/>
      <c r="M14" s="225"/>
      <c r="N14" s="225"/>
      <c r="O14" s="225"/>
      <c r="P14" s="225"/>
      <c r="Q14" s="225"/>
      <c r="R14" s="225"/>
      <c r="S14" s="225"/>
      <c r="T14" s="225"/>
      <c r="U14" s="225"/>
      <c r="V14" s="226"/>
      <c r="Y14" s="215"/>
      <c r="Z14" s="216"/>
      <c r="AA14" s="216"/>
      <c r="AB14" s="216"/>
      <c r="AC14" s="219"/>
      <c r="AD14" s="220"/>
    </row>
    <row r="15" spans="2:30">
      <c r="B15" s="223"/>
      <c r="C15" s="224"/>
      <c r="D15" s="224"/>
      <c r="E15" s="224"/>
      <c r="F15" s="224"/>
      <c r="G15" s="225"/>
      <c r="H15" s="225"/>
      <c r="I15" s="225"/>
      <c r="J15" s="225"/>
      <c r="K15" s="225"/>
      <c r="L15" s="225"/>
      <c r="M15" s="225"/>
      <c r="N15" s="225"/>
      <c r="O15" s="225"/>
      <c r="P15" s="225"/>
      <c r="Q15" s="225"/>
      <c r="R15" s="225"/>
      <c r="S15" s="225"/>
      <c r="T15" s="225"/>
      <c r="U15" s="225"/>
      <c r="V15" s="226"/>
      <c r="Y15" s="215" t="s">
        <v>82</v>
      </c>
      <c r="Z15" s="216"/>
      <c r="AA15" s="216"/>
      <c r="AB15" s="216"/>
      <c r="AC15" s="219" t="e">
        <f>AC13/SQRT(Y10)</f>
        <v>#DIV/0!</v>
      </c>
      <c r="AD15" s="220"/>
    </row>
    <row r="16" spans="2:30" ht="15.75" thickBot="1">
      <c r="B16" s="223"/>
      <c r="C16" s="224"/>
      <c r="D16" s="224"/>
      <c r="E16" s="224"/>
      <c r="F16" s="224"/>
      <c r="G16" s="225"/>
      <c r="H16" s="225"/>
      <c r="I16" s="225"/>
      <c r="J16" s="225"/>
      <c r="K16" s="225"/>
      <c r="L16" s="225"/>
      <c r="M16" s="225"/>
      <c r="N16" s="225"/>
      <c r="O16" s="225"/>
      <c r="P16" s="225"/>
      <c r="Q16" s="225"/>
      <c r="R16" s="225"/>
      <c r="S16" s="225"/>
      <c r="T16" s="225"/>
      <c r="U16" s="225"/>
      <c r="V16" s="226"/>
      <c r="Y16" s="217"/>
      <c r="Z16" s="218"/>
      <c r="AA16" s="218"/>
      <c r="AB16" s="218"/>
      <c r="AC16" s="221"/>
      <c r="AD16" s="222"/>
    </row>
    <row r="17" spans="2:22" ht="15.75" thickBot="1">
      <c r="B17" s="233" t="s">
        <v>85</v>
      </c>
      <c r="C17" s="234"/>
      <c r="D17" s="234"/>
      <c r="E17" s="234"/>
      <c r="F17" s="234"/>
      <c r="G17" s="235" t="s">
        <v>86</v>
      </c>
      <c r="H17" s="235"/>
      <c r="I17" s="235"/>
      <c r="J17" s="235"/>
      <c r="K17" s="235"/>
      <c r="L17" s="235"/>
      <c r="M17" s="235"/>
      <c r="N17" s="235"/>
      <c r="O17" s="235"/>
      <c r="P17" s="235"/>
      <c r="Q17" s="235"/>
      <c r="R17" s="235"/>
      <c r="S17" s="235"/>
      <c r="T17" s="235"/>
      <c r="U17" s="235"/>
      <c r="V17" s="236"/>
    </row>
    <row r="19" spans="2:22">
      <c r="G19" s="237" t="s">
        <v>87</v>
      </c>
      <c r="H19" s="237"/>
      <c r="I19" s="238" t="e">
        <f>TINV(0.05,G11)</f>
        <v>#DIV/0!</v>
      </c>
      <c r="J19" s="238"/>
    </row>
    <row r="20" spans="2:22">
      <c r="G20" s="237" t="s">
        <v>88</v>
      </c>
      <c r="H20" s="237"/>
      <c r="I20" s="85" t="e">
        <f>ROUND(I19*G9,1)</f>
        <v>#DIV/0!</v>
      </c>
      <c r="J20" s="85"/>
    </row>
    <row r="21" spans="2:22" ht="30" customHeight="1"/>
    <row r="22" spans="2:22" ht="30" customHeight="1"/>
  </sheetData>
  <mergeCells count="87">
    <mergeCell ref="B17:F17"/>
    <mergeCell ref="G17:V17"/>
    <mergeCell ref="G19:H19"/>
    <mergeCell ref="I19:J19"/>
    <mergeCell ref="G20:H20"/>
    <mergeCell ref="Y13:AB14"/>
    <mergeCell ref="AC13:AD14"/>
    <mergeCell ref="B12:F12"/>
    <mergeCell ref="G12:V12"/>
    <mergeCell ref="B13:F13"/>
    <mergeCell ref="G13:V13"/>
    <mergeCell ref="Y15:AB16"/>
    <mergeCell ref="AC15:AD16"/>
    <mergeCell ref="B14:F16"/>
    <mergeCell ref="G14:V16"/>
    <mergeCell ref="C8:D8"/>
    <mergeCell ref="E8:F8"/>
    <mergeCell ref="G8:H8"/>
    <mergeCell ref="I8:J8"/>
    <mergeCell ref="K8:L8"/>
    <mergeCell ref="AC10:AD10"/>
    <mergeCell ref="C9:F9"/>
    <mergeCell ref="G9:J9"/>
    <mergeCell ref="K9:V11"/>
    <mergeCell ref="Y11:AB12"/>
    <mergeCell ref="AC11:AD12"/>
    <mergeCell ref="C10:F10"/>
    <mergeCell ref="G10:J10"/>
    <mergeCell ref="B11:F11"/>
    <mergeCell ref="G11:J11"/>
    <mergeCell ref="M8:N8"/>
    <mergeCell ref="O8:P8"/>
    <mergeCell ref="Q8:R8"/>
    <mergeCell ref="S8:T8"/>
    <mergeCell ref="U8:V8"/>
    <mergeCell ref="Y10:AB10"/>
    <mergeCell ref="Y8:AB8"/>
    <mergeCell ref="Y9:AB9"/>
    <mergeCell ref="M7:N7"/>
    <mergeCell ref="O7:P7"/>
    <mergeCell ref="Q7:R7"/>
    <mergeCell ref="S7:T7"/>
    <mergeCell ref="U7:V7"/>
    <mergeCell ref="C7:D7"/>
    <mergeCell ref="E7:F7"/>
    <mergeCell ref="G7:H7"/>
    <mergeCell ref="I7:J7"/>
    <mergeCell ref="K7:L7"/>
    <mergeCell ref="AC9:AD9"/>
    <mergeCell ref="U6:V6"/>
    <mergeCell ref="Y6:AB6"/>
    <mergeCell ref="AC6:AD6"/>
    <mergeCell ref="AC7:AD7"/>
    <mergeCell ref="Y7:AB7"/>
    <mergeCell ref="AC8:AD8"/>
    <mergeCell ref="C6:D6"/>
    <mergeCell ref="E6:F6"/>
    <mergeCell ref="G6:H6"/>
    <mergeCell ref="I6:J6"/>
    <mergeCell ref="K6:L6"/>
    <mergeCell ref="M6:N6"/>
    <mergeCell ref="O6:P6"/>
    <mergeCell ref="Q6:R6"/>
    <mergeCell ref="S6:T6"/>
    <mergeCell ref="Y4:AB5"/>
    <mergeCell ref="AC4:AD5"/>
    <mergeCell ref="C5:D5"/>
    <mergeCell ref="E5:F5"/>
    <mergeCell ref="G5:H5"/>
    <mergeCell ref="I5:J5"/>
    <mergeCell ref="K5:L5"/>
    <mergeCell ref="M5:N5"/>
    <mergeCell ref="O5:P5"/>
    <mergeCell ref="Q5:R5"/>
    <mergeCell ref="S5:T5"/>
    <mergeCell ref="U5:V5"/>
    <mergeCell ref="B2:V3"/>
    <mergeCell ref="C4:D4"/>
    <mergeCell ref="E4:F4"/>
    <mergeCell ref="G4:H4"/>
    <mergeCell ref="I4:J4"/>
    <mergeCell ref="K4:L4"/>
    <mergeCell ref="M4:N4"/>
    <mergeCell ref="O4:P4"/>
    <mergeCell ref="Q4:R4"/>
    <mergeCell ref="S4:T4"/>
    <mergeCell ref="U4:V4"/>
  </mergeCells>
  <pageMargins left="0.7" right="0.7" top="0.75" bottom="0.75" header="0.3" footer="0.3"/>
  <pageSetup scale="45" orientation="portrait" horizontalDpi="300" verticalDpi="300" r:id="rId1"/>
  <colBreaks count="1" manualBreakCount="1">
    <brk id="23" max="19" man="1"/>
  </colBreaks>
  <extLst>
    <ext xmlns:x14="http://schemas.microsoft.com/office/spreadsheetml/2009/9/main" uri="{78C0D931-6437-407d-A8EE-F0AAD7539E65}">
      <x14:conditionalFormattings>
        <x14:conditionalFormatting xmlns:xm="http://schemas.microsoft.com/office/excel/2006/main">
          <x14:cfRule type="expression" priority="1" id="{368C358E-D4E6-4BE9-9EED-0CC756812195}">
            <xm:f>Datasheet!$B$6="34901A"</xm:f>
            <x14:dxf>
              <numFmt numFmtId="164" formatCode="0.0"/>
            </x14:dxf>
          </x14:cfRule>
          <xm:sqref>AC6:AD12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A0DF6-E8C5-42F9-AEE2-ECEE781E394C}">
  <sheetPr codeName="Sheet4"/>
  <dimension ref="B1:AD22"/>
  <sheetViews>
    <sheetView zoomScaleNormal="100" workbookViewId="0">
      <selection activeCell="G11" sqref="G11:J11"/>
    </sheetView>
  </sheetViews>
  <sheetFormatPr defaultRowHeight="15"/>
  <cols>
    <col min="1" max="1" width="4.28515625" style="50" customWidth="1"/>
    <col min="2" max="22" width="9.140625" style="50"/>
    <col min="23" max="24" width="2.85546875" style="50" customWidth="1"/>
    <col min="25" max="16384" width="9.140625" style="50"/>
  </cols>
  <sheetData>
    <row r="1" spans="2:30" ht="15.75" thickBot="1"/>
    <row r="2" spans="2:30" ht="15" customHeight="1">
      <c r="B2" s="280" t="e">
        <f>"Measurement Uncertainty Analysis (Type E "&amp;ROUND(Datasheet!C19,0)&amp;"°C test point)
The reported value ("&amp;ROUND(AC11,1)&amp;") is the mean UUT indication five (5) test runs"</f>
        <v>#DIV/0!</v>
      </c>
      <c r="C2" s="281"/>
      <c r="D2" s="281"/>
      <c r="E2" s="281"/>
      <c r="F2" s="281"/>
      <c r="G2" s="281"/>
      <c r="H2" s="281"/>
      <c r="I2" s="281"/>
      <c r="J2" s="281"/>
      <c r="K2" s="281"/>
      <c r="L2" s="281"/>
      <c r="M2" s="281"/>
      <c r="N2" s="281"/>
      <c r="O2" s="281"/>
      <c r="P2" s="281"/>
      <c r="Q2" s="281"/>
      <c r="R2" s="281"/>
      <c r="S2" s="281"/>
      <c r="T2" s="281"/>
      <c r="U2" s="281"/>
      <c r="V2" s="282"/>
    </row>
    <row r="3" spans="2:30" ht="15.75" thickBot="1">
      <c r="B3" s="283"/>
      <c r="C3" s="284"/>
      <c r="D3" s="284"/>
      <c r="E3" s="284"/>
      <c r="F3" s="284"/>
      <c r="G3" s="284"/>
      <c r="H3" s="284"/>
      <c r="I3" s="284"/>
      <c r="J3" s="284"/>
      <c r="K3" s="284"/>
      <c r="L3" s="284"/>
      <c r="M3" s="284"/>
      <c r="N3" s="284"/>
      <c r="O3" s="284"/>
      <c r="P3" s="284"/>
      <c r="Q3" s="284"/>
      <c r="R3" s="284"/>
      <c r="S3" s="284"/>
      <c r="T3" s="284"/>
      <c r="U3" s="284"/>
      <c r="V3" s="285"/>
    </row>
    <row r="4" spans="2:30" ht="30" customHeight="1">
      <c r="B4" s="57"/>
      <c r="C4" s="216" t="s">
        <v>45</v>
      </c>
      <c r="D4" s="216"/>
      <c r="E4" s="286" t="s">
        <v>46</v>
      </c>
      <c r="F4" s="286"/>
      <c r="G4" s="287" t="s">
        <v>47</v>
      </c>
      <c r="H4" s="287"/>
      <c r="I4" s="286" t="s">
        <v>48</v>
      </c>
      <c r="J4" s="216"/>
      <c r="K4" s="216" t="s">
        <v>49</v>
      </c>
      <c r="L4" s="216"/>
      <c r="M4" s="216" t="s">
        <v>50</v>
      </c>
      <c r="N4" s="216"/>
      <c r="O4" s="286" t="s">
        <v>51</v>
      </c>
      <c r="P4" s="286"/>
      <c r="Q4" s="216" t="s">
        <v>52</v>
      </c>
      <c r="R4" s="216"/>
      <c r="S4" s="216" t="s">
        <v>53</v>
      </c>
      <c r="T4" s="216"/>
      <c r="U4" s="286" t="s">
        <v>54</v>
      </c>
      <c r="V4" s="288"/>
      <c r="Y4" s="277" t="s">
        <v>55</v>
      </c>
      <c r="Z4" s="241"/>
      <c r="AA4" s="241"/>
      <c r="AB4" s="241"/>
      <c r="AC4" s="241" t="s">
        <v>56</v>
      </c>
      <c r="AD4" s="278"/>
    </row>
    <row r="5" spans="2:30" ht="30" customHeight="1" thickBot="1">
      <c r="B5" s="57" t="s">
        <v>57</v>
      </c>
      <c r="C5" s="263" t="s">
        <v>58</v>
      </c>
      <c r="D5" s="263"/>
      <c r="E5" s="254">
        <f>'STD Info'!F20</f>
        <v>7.0000000000000007E-2</v>
      </c>
      <c r="F5" s="263"/>
      <c r="G5" s="269">
        <v>0.95</v>
      </c>
      <c r="H5" s="263"/>
      <c r="I5" s="263" t="s">
        <v>59</v>
      </c>
      <c r="J5" s="263"/>
      <c r="K5" s="263" t="s">
        <v>60</v>
      </c>
      <c r="L5" s="263"/>
      <c r="M5" s="254">
        <f>NORMSINV((1+0.95)/2)</f>
        <v>1.9599639845400536</v>
      </c>
      <c r="N5" s="254"/>
      <c r="O5" s="270">
        <f>E5/M5</f>
        <v>3.5714941984725787E-2</v>
      </c>
      <c r="P5" s="270"/>
      <c r="Q5" s="254">
        <v>1</v>
      </c>
      <c r="R5" s="254"/>
      <c r="S5" s="270">
        <f>O5*Q5</f>
        <v>3.5714941984725787E-2</v>
      </c>
      <c r="T5" s="270"/>
      <c r="U5" s="271" t="s">
        <v>61</v>
      </c>
      <c r="V5" s="272"/>
      <c r="Y5" s="217"/>
      <c r="Z5" s="218"/>
      <c r="AA5" s="218"/>
      <c r="AB5" s="218"/>
      <c r="AC5" s="218"/>
      <c r="AD5" s="279"/>
    </row>
    <row r="6" spans="2:30" ht="30" customHeight="1">
      <c r="B6" s="57" t="s">
        <v>62</v>
      </c>
      <c r="C6" s="263" t="s">
        <v>63</v>
      </c>
      <c r="D6" s="263"/>
      <c r="E6" s="263">
        <f>'STD Info'!D9/2</f>
        <v>5.0000000000000001E-3</v>
      </c>
      <c r="F6" s="263"/>
      <c r="G6" s="269">
        <v>1</v>
      </c>
      <c r="H6" s="263"/>
      <c r="I6" s="263" t="s">
        <v>59</v>
      </c>
      <c r="J6" s="263"/>
      <c r="K6" s="263" t="s">
        <v>64</v>
      </c>
      <c r="L6" s="263"/>
      <c r="M6" s="254">
        <f>SQRT(3)</f>
        <v>1.7320508075688772</v>
      </c>
      <c r="N6" s="254"/>
      <c r="O6" s="270">
        <f>E6/M6</f>
        <v>2.886751345948129E-3</v>
      </c>
      <c r="P6" s="270"/>
      <c r="Q6" s="254">
        <v>1</v>
      </c>
      <c r="R6" s="254"/>
      <c r="S6" s="270">
        <f>O6*Q6</f>
        <v>2.886751345948129E-3</v>
      </c>
      <c r="T6" s="270"/>
      <c r="U6" s="271" t="s">
        <v>61</v>
      </c>
      <c r="V6" s="272"/>
      <c r="Y6" s="274">
        <v>1</v>
      </c>
      <c r="Z6" s="266"/>
      <c r="AA6" s="266"/>
      <c r="AB6" s="266"/>
      <c r="AC6" s="275"/>
      <c r="AD6" s="276"/>
    </row>
    <row r="7" spans="2:30" ht="30" customHeight="1">
      <c r="B7" s="57" t="s">
        <v>65</v>
      </c>
      <c r="C7" s="263" t="s">
        <v>66</v>
      </c>
      <c r="D7" s="263"/>
      <c r="E7" s="263">
        <f>IF(Datasheet!B6="DAQM901A",'UUT Info'!D9/2,'UUT Info'!P9/2)</f>
        <v>0.05</v>
      </c>
      <c r="F7" s="263"/>
      <c r="G7" s="269">
        <v>1</v>
      </c>
      <c r="H7" s="263"/>
      <c r="I7" s="263" t="s">
        <v>59</v>
      </c>
      <c r="J7" s="263"/>
      <c r="K7" s="263" t="s">
        <v>64</v>
      </c>
      <c r="L7" s="263"/>
      <c r="M7" s="254">
        <f>SQRT(3)</f>
        <v>1.7320508075688772</v>
      </c>
      <c r="N7" s="254"/>
      <c r="O7" s="270">
        <f>E7/M7</f>
        <v>2.8867513459481291E-2</v>
      </c>
      <c r="P7" s="270"/>
      <c r="Q7" s="254">
        <v>1</v>
      </c>
      <c r="R7" s="254"/>
      <c r="S7" s="270">
        <f>O7*Q7</f>
        <v>2.8867513459481291E-2</v>
      </c>
      <c r="T7" s="270"/>
      <c r="U7" s="271" t="s">
        <v>61</v>
      </c>
      <c r="V7" s="272"/>
      <c r="Y7" s="262">
        <v>2</v>
      </c>
      <c r="Z7" s="263"/>
      <c r="AA7" s="263"/>
      <c r="AB7" s="263"/>
      <c r="AC7" s="264"/>
      <c r="AD7" s="265"/>
    </row>
    <row r="8" spans="2:30" ht="30" customHeight="1" thickBot="1">
      <c r="B8" s="59" t="s">
        <v>67</v>
      </c>
      <c r="C8" s="266" t="s">
        <v>68</v>
      </c>
      <c r="D8" s="266"/>
      <c r="E8" s="267" t="e">
        <f>AC15</f>
        <v>#DIV/0!</v>
      </c>
      <c r="F8" s="267"/>
      <c r="G8" s="268">
        <v>0.68</v>
      </c>
      <c r="H8" s="266"/>
      <c r="I8" s="266" t="s">
        <v>69</v>
      </c>
      <c r="J8" s="266"/>
      <c r="K8" s="266" t="s">
        <v>60</v>
      </c>
      <c r="L8" s="266"/>
      <c r="M8" s="252" t="s">
        <v>70</v>
      </c>
      <c r="N8" s="252"/>
      <c r="O8" s="267" t="e">
        <f>E8/1</f>
        <v>#DIV/0!</v>
      </c>
      <c r="P8" s="267"/>
      <c r="Q8" s="252">
        <v>1</v>
      </c>
      <c r="R8" s="252"/>
      <c r="S8" s="267" t="e">
        <f>O8*Q8</f>
        <v>#DIV/0!</v>
      </c>
      <c r="T8" s="267"/>
      <c r="U8" s="266">
        <f>Y10-1</f>
        <v>4</v>
      </c>
      <c r="V8" s="273"/>
      <c r="Y8" s="262">
        <v>3</v>
      </c>
      <c r="Z8" s="263"/>
      <c r="AA8" s="263"/>
      <c r="AB8" s="263"/>
      <c r="AC8" s="264"/>
      <c r="AD8" s="265"/>
    </row>
    <row r="9" spans="2:30" ht="30" customHeight="1">
      <c r="B9" s="56" t="s">
        <v>71</v>
      </c>
      <c r="C9" s="241" t="s">
        <v>72</v>
      </c>
      <c r="D9" s="241"/>
      <c r="E9" s="241"/>
      <c r="F9" s="241"/>
      <c r="G9" s="242" t="e">
        <f>SQRT(SUMSQ(S5:T8))</f>
        <v>#DIV/0!</v>
      </c>
      <c r="H9" s="242"/>
      <c r="I9" s="242"/>
      <c r="J9" s="242"/>
      <c r="K9" s="243" t="s">
        <v>138</v>
      </c>
      <c r="L9" s="244"/>
      <c r="M9" s="244"/>
      <c r="N9" s="244"/>
      <c r="O9" s="244"/>
      <c r="P9" s="244"/>
      <c r="Q9" s="244"/>
      <c r="R9" s="244"/>
      <c r="S9" s="244"/>
      <c r="T9" s="244"/>
      <c r="U9" s="244"/>
      <c r="V9" s="245"/>
      <c r="Y9" s="262">
        <v>4</v>
      </c>
      <c r="Z9" s="263"/>
      <c r="AA9" s="263"/>
      <c r="AB9" s="263"/>
      <c r="AC9" s="264"/>
      <c r="AD9" s="265"/>
    </row>
    <row r="10" spans="2:30" ht="30" customHeight="1" thickBot="1">
      <c r="B10" s="58" t="s">
        <v>74</v>
      </c>
      <c r="C10" s="216" t="s">
        <v>75</v>
      </c>
      <c r="D10" s="216"/>
      <c r="E10" s="216"/>
      <c r="F10" s="216"/>
      <c r="G10" s="256" t="e">
        <f>ROUND(AC11,1) &amp; "°C ± " &amp; I20 &amp;"°C"</f>
        <v>#DIV/0!</v>
      </c>
      <c r="H10" s="256"/>
      <c r="I10" s="256"/>
      <c r="J10" s="256"/>
      <c r="K10" s="246"/>
      <c r="L10" s="246"/>
      <c r="M10" s="246"/>
      <c r="N10" s="246"/>
      <c r="O10" s="246"/>
      <c r="P10" s="246"/>
      <c r="Q10" s="246"/>
      <c r="R10" s="246"/>
      <c r="S10" s="246"/>
      <c r="T10" s="246"/>
      <c r="U10" s="246"/>
      <c r="V10" s="247"/>
      <c r="Y10" s="260">
        <v>5</v>
      </c>
      <c r="Z10" s="261"/>
      <c r="AA10" s="261"/>
      <c r="AB10" s="261"/>
      <c r="AC10" s="239"/>
      <c r="AD10" s="240"/>
    </row>
    <row r="11" spans="2:30" ht="30" customHeight="1" thickBot="1">
      <c r="B11" s="257" t="s">
        <v>76</v>
      </c>
      <c r="C11" s="258"/>
      <c r="D11" s="258"/>
      <c r="E11" s="258"/>
      <c r="F11" s="258"/>
      <c r="G11" s="259" t="e">
        <f>IF(S8=0,10000000000,IF(U8*((G9^4)/(S8^4))&gt;10000000000,10000000000,U8*((G9^4)/(S8^4))))</f>
        <v>#DIV/0!</v>
      </c>
      <c r="H11" s="259"/>
      <c r="I11" s="259"/>
      <c r="J11" s="259"/>
      <c r="K11" s="248"/>
      <c r="L11" s="248"/>
      <c r="M11" s="248"/>
      <c r="N11" s="248"/>
      <c r="O11" s="248"/>
      <c r="P11" s="248"/>
      <c r="Q11" s="248"/>
      <c r="R11" s="248"/>
      <c r="S11" s="248"/>
      <c r="T11" s="248"/>
      <c r="U11" s="248"/>
      <c r="V11" s="249"/>
      <c r="X11" s="54"/>
      <c r="Y11" s="250" t="s">
        <v>73</v>
      </c>
      <c r="Z11" s="251"/>
      <c r="AA11" s="251"/>
      <c r="AB11" s="251"/>
      <c r="AC11" s="252" t="e">
        <f>AVERAGE(AC6:AD10)</f>
        <v>#DIV/0!</v>
      </c>
      <c r="AD11" s="253"/>
    </row>
    <row r="12" spans="2:30" ht="30" customHeight="1" thickTop="1">
      <c r="B12" s="227" t="s">
        <v>78</v>
      </c>
      <c r="C12" s="228"/>
      <c r="D12" s="228"/>
      <c r="E12" s="228"/>
      <c r="F12" s="228"/>
      <c r="G12" s="229" t="s">
        <v>79</v>
      </c>
      <c r="H12" s="229"/>
      <c r="I12" s="229"/>
      <c r="J12" s="229"/>
      <c r="K12" s="229"/>
      <c r="L12" s="229"/>
      <c r="M12" s="229"/>
      <c r="N12" s="229"/>
      <c r="O12" s="229"/>
      <c r="P12" s="229"/>
      <c r="Q12" s="229"/>
      <c r="R12" s="229"/>
      <c r="S12" s="229"/>
      <c r="T12" s="229"/>
      <c r="U12" s="229"/>
      <c r="V12" s="230"/>
      <c r="X12" s="54"/>
      <c r="Y12" s="215"/>
      <c r="Z12" s="216"/>
      <c r="AA12" s="216"/>
      <c r="AB12" s="216"/>
      <c r="AC12" s="254"/>
      <c r="AD12" s="255"/>
    </row>
    <row r="13" spans="2:30" ht="30" customHeight="1">
      <c r="B13" s="223" t="s">
        <v>80</v>
      </c>
      <c r="C13" s="224"/>
      <c r="D13" s="224"/>
      <c r="E13" s="224"/>
      <c r="F13" s="224"/>
      <c r="G13" s="231" t="s">
        <v>81</v>
      </c>
      <c r="H13" s="231"/>
      <c r="I13" s="231"/>
      <c r="J13" s="231"/>
      <c r="K13" s="231"/>
      <c r="L13" s="231"/>
      <c r="M13" s="231"/>
      <c r="N13" s="231"/>
      <c r="O13" s="231"/>
      <c r="P13" s="231"/>
      <c r="Q13" s="231"/>
      <c r="R13" s="231"/>
      <c r="S13" s="231"/>
      <c r="T13" s="231"/>
      <c r="U13" s="231"/>
      <c r="V13" s="232"/>
      <c r="Y13" s="215" t="s">
        <v>77</v>
      </c>
      <c r="Z13" s="216"/>
      <c r="AA13" s="216"/>
      <c r="AB13" s="216"/>
      <c r="AC13" s="219" t="e">
        <f>_xlfn.STDEV.S(AC6:AD10)</f>
        <v>#DIV/0!</v>
      </c>
      <c r="AD13" s="220"/>
    </row>
    <row r="14" spans="2:30">
      <c r="B14" s="223" t="s">
        <v>83</v>
      </c>
      <c r="C14" s="224"/>
      <c r="D14" s="224"/>
      <c r="E14" s="224"/>
      <c r="F14" s="224"/>
      <c r="G14" s="225" t="s">
        <v>84</v>
      </c>
      <c r="H14" s="225"/>
      <c r="I14" s="225"/>
      <c r="J14" s="225"/>
      <c r="K14" s="225"/>
      <c r="L14" s="225"/>
      <c r="M14" s="225"/>
      <c r="N14" s="225"/>
      <c r="O14" s="225"/>
      <c r="P14" s="225"/>
      <c r="Q14" s="225"/>
      <c r="R14" s="225"/>
      <c r="S14" s="225"/>
      <c r="T14" s="225"/>
      <c r="U14" s="225"/>
      <c r="V14" s="226"/>
      <c r="Y14" s="215"/>
      <c r="Z14" s="216"/>
      <c r="AA14" s="216"/>
      <c r="AB14" s="216"/>
      <c r="AC14" s="219"/>
      <c r="AD14" s="220"/>
    </row>
    <row r="15" spans="2:30">
      <c r="B15" s="223"/>
      <c r="C15" s="224"/>
      <c r="D15" s="224"/>
      <c r="E15" s="224"/>
      <c r="F15" s="224"/>
      <c r="G15" s="225"/>
      <c r="H15" s="225"/>
      <c r="I15" s="225"/>
      <c r="J15" s="225"/>
      <c r="K15" s="225"/>
      <c r="L15" s="225"/>
      <c r="M15" s="225"/>
      <c r="N15" s="225"/>
      <c r="O15" s="225"/>
      <c r="P15" s="225"/>
      <c r="Q15" s="225"/>
      <c r="R15" s="225"/>
      <c r="S15" s="225"/>
      <c r="T15" s="225"/>
      <c r="U15" s="225"/>
      <c r="V15" s="226"/>
      <c r="Y15" s="215" t="s">
        <v>82</v>
      </c>
      <c r="Z15" s="216"/>
      <c r="AA15" s="216"/>
      <c r="AB15" s="216"/>
      <c r="AC15" s="219" t="e">
        <f>AC13/SQRT(Y10)</f>
        <v>#DIV/0!</v>
      </c>
      <c r="AD15" s="220"/>
    </row>
    <row r="16" spans="2:30" ht="15.75" thickBot="1">
      <c r="B16" s="223"/>
      <c r="C16" s="224"/>
      <c r="D16" s="224"/>
      <c r="E16" s="224"/>
      <c r="F16" s="224"/>
      <c r="G16" s="225"/>
      <c r="H16" s="225"/>
      <c r="I16" s="225"/>
      <c r="J16" s="225"/>
      <c r="K16" s="225"/>
      <c r="L16" s="225"/>
      <c r="M16" s="225"/>
      <c r="N16" s="225"/>
      <c r="O16" s="225"/>
      <c r="P16" s="225"/>
      <c r="Q16" s="225"/>
      <c r="R16" s="225"/>
      <c r="S16" s="225"/>
      <c r="T16" s="225"/>
      <c r="U16" s="225"/>
      <c r="V16" s="226"/>
      <c r="Y16" s="217"/>
      <c r="Z16" s="218"/>
      <c r="AA16" s="218"/>
      <c r="AB16" s="218"/>
      <c r="AC16" s="221"/>
      <c r="AD16" s="222"/>
    </row>
    <row r="17" spans="2:22" ht="15.75" thickBot="1">
      <c r="B17" s="233" t="s">
        <v>85</v>
      </c>
      <c r="C17" s="234"/>
      <c r="D17" s="234"/>
      <c r="E17" s="234"/>
      <c r="F17" s="234"/>
      <c r="G17" s="235" t="s">
        <v>86</v>
      </c>
      <c r="H17" s="235"/>
      <c r="I17" s="235"/>
      <c r="J17" s="235"/>
      <c r="K17" s="235"/>
      <c r="L17" s="235"/>
      <c r="M17" s="235"/>
      <c r="N17" s="235"/>
      <c r="O17" s="235"/>
      <c r="P17" s="235"/>
      <c r="Q17" s="235"/>
      <c r="R17" s="235"/>
      <c r="S17" s="235"/>
      <c r="T17" s="235"/>
      <c r="U17" s="235"/>
      <c r="V17" s="236"/>
    </row>
    <row r="19" spans="2:22">
      <c r="G19" s="237" t="s">
        <v>87</v>
      </c>
      <c r="H19" s="237"/>
      <c r="I19" s="238" t="e">
        <f>TINV(0.05,G11)</f>
        <v>#DIV/0!</v>
      </c>
      <c r="J19" s="238"/>
    </row>
    <row r="20" spans="2:22">
      <c r="G20" s="237" t="s">
        <v>88</v>
      </c>
      <c r="H20" s="237"/>
      <c r="I20" s="85" t="e">
        <f>ROUND(I19*G9,1)</f>
        <v>#DIV/0!</v>
      </c>
      <c r="J20" s="85"/>
    </row>
    <row r="21" spans="2:22" ht="30" customHeight="1"/>
    <row r="22" spans="2:22" ht="30" customHeight="1"/>
  </sheetData>
  <mergeCells count="87">
    <mergeCell ref="B17:F17"/>
    <mergeCell ref="G17:V17"/>
    <mergeCell ref="G19:H19"/>
    <mergeCell ref="I19:J19"/>
    <mergeCell ref="G20:H20"/>
    <mergeCell ref="Y13:AB14"/>
    <mergeCell ref="AC13:AD14"/>
    <mergeCell ref="B12:F12"/>
    <mergeCell ref="G12:V12"/>
    <mergeCell ref="B13:F13"/>
    <mergeCell ref="G13:V13"/>
    <mergeCell ref="Y15:AB16"/>
    <mergeCell ref="AC15:AD16"/>
    <mergeCell ref="B14:F16"/>
    <mergeCell ref="G14:V16"/>
    <mergeCell ref="C8:D8"/>
    <mergeCell ref="E8:F8"/>
    <mergeCell ref="G8:H8"/>
    <mergeCell ref="I8:J8"/>
    <mergeCell ref="K8:L8"/>
    <mergeCell ref="AC10:AD10"/>
    <mergeCell ref="C9:F9"/>
    <mergeCell ref="G9:J9"/>
    <mergeCell ref="K9:V11"/>
    <mergeCell ref="Y11:AB12"/>
    <mergeCell ref="AC11:AD12"/>
    <mergeCell ref="C10:F10"/>
    <mergeCell ref="G10:J10"/>
    <mergeCell ref="B11:F11"/>
    <mergeCell ref="G11:J11"/>
    <mergeCell ref="M8:N8"/>
    <mergeCell ref="O8:P8"/>
    <mergeCell ref="Q8:R8"/>
    <mergeCell ref="S8:T8"/>
    <mergeCell ref="U8:V8"/>
    <mergeCell ref="Y10:AB10"/>
    <mergeCell ref="Y8:AB8"/>
    <mergeCell ref="Y9:AB9"/>
    <mergeCell ref="M7:N7"/>
    <mergeCell ref="O7:P7"/>
    <mergeCell ref="Q7:R7"/>
    <mergeCell ref="S7:T7"/>
    <mergeCell ref="U7:V7"/>
    <mergeCell ref="C7:D7"/>
    <mergeCell ref="E7:F7"/>
    <mergeCell ref="G7:H7"/>
    <mergeCell ref="I7:J7"/>
    <mergeCell ref="K7:L7"/>
    <mergeCell ref="AC9:AD9"/>
    <mergeCell ref="U6:V6"/>
    <mergeCell ref="Y6:AB6"/>
    <mergeCell ref="AC6:AD6"/>
    <mergeCell ref="AC7:AD7"/>
    <mergeCell ref="Y7:AB7"/>
    <mergeCell ref="AC8:AD8"/>
    <mergeCell ref="C6:D6"/>
    <mergeCell ref="E6:F6"/>
    <mergeCell ref="G6:H6"/>
    <mergeCell ref="I6:J6"/>
    <mergeCell ref="K6:L6"/>
    <mergeCell ref="M6:N6"/>
    <mergeCell ref="O6:P6"/>
    <mergeCell ref="Q6:R6"/>
    <mergeCell ref="S6:T6"/>
    <mergeCell ref="Y4:AB5"/>
    <mergeCell ref="AC4:AD5"/>
    <mergeCell ref="C5:D5"/>
    <mergeCell ref="E5:F5"/>
    <mergeCell ref="G5:H5"/>
    <mergeCell ref="I5:J5"/>
    <mergeCell ref="K5:L5"/>
    <mergeCell ref="M5:N5"/>
    <mergeCell ref="O5:P5"/>
    <mergeCell ref="Q5:R5"/>
    <mergeCell ref="S5:T5"/>
    <mergeCell ref="U5:V5"/>
    <mergeCell ref="B2:V3"/>
    <mergeCell ref="C4:D4"/>
    <mergeCell ref="E4:F4"/>
    <mergeCell ref="G4:H4"/>
    <mergeCell ref="I4:J4"/>
    <mergeCell ref="K4:L4"/>
    <mergeCell ref="M4:N4"/>
    <mergeCell ref="O4:P4"/>
    <mergeCell ref="Q4:R4"/>
    <mergeCell ref="S4:T4"/>
    <mergeCell ref="U4:V4"/>
  </mergeCells>
  <pageMargins left="0.7" right="0.7" top="0.75" bottom="0.75" header="0.3" footer="0.3"/>
  <pageSetup scale="45" orientation="portrait" horizontalDpi="300" verticalDpi="300" r:id="rId1"/>
  <colBreaks count="1" manualBreakCount="1">
    <brk id="23" max="19" man="1"/>
  </colBreaks>
  <extLst>
    <ext xmlns:x14="http://schemas.microsoft.com/office/spreadsheetml/2009/9/main" uri="{78C0D931-6437-407d-A8EE-F0AAD7539E65}">
      <x14:conditionalFormattings>
        <x14:conditionalFormatting xmlns:xm="http://schemas.microsoft.com/office/excel/2006/main">
          <x14:cfRule type="expression" priority="1" id="{A9AC719B-A1E4-40B0-88E9-6FF34E3BA74B}">
            <xm:f>Datasheet!$B$6="34901A"</xm:f>
            <x14:dxf>
              <numFmt numFmtId="164" formatCode="0.0"/>
            </x14:dxf>
          </x14:cfRule>
          <xm:sqref>AC6:AD12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68E2E-B803-4121-925A-C5E52668A09D}">
  <sheetPr codeName="Sheet6"/>
  <dimension ref="B1:AD22"/>
  <sheetViews>
    <sheetView zoomScaleNormal="100" workbookViewId="0">
      <selection activeCell="G11" sqref="G11:J11"/>
    </sheetView>
  </sheetViews>
  <sheetFormatPr defaultRowHeight="15"/>
  <cols>
    <col min="1" max="1" width="4.28515625" style="50" customWidth="1"/>
    <col min="2" max="22" width="9.140625" style="50"/>
    <col min="23" max="24" width="2.85546875" style="50" customWidth="1"/>
    <col min="25" max="16384" width="9.140625" style="50"/>
  </cols>
  <sheetData>
    <row r="1" spans="2:30" ht="15.75" thickBot="1"/>
    <row r="2" spans="2:30" ht="15" customHeight="1">
      <c r="B2" s="280" t="e">
        <f>"Measurement Uncertainty Analysis (Type E "&amp;ROUND(Datasheet!C20,0)&amp;"°C test point)
The reported value ("&amp;ROUND(AC11,1)&amp;") is the mean UUT indication five (5) test runs"</f>
        <v>#DIV/0!</v>
      </c>
      <c r="C2" s="281"/>
      <c r="D2" s="281"/>
      <c r="E2" s="281"/>
      <c r="F2" s="281"/>
      <c r="G2" s="281"/>
      <c r="H2" s="281"/>
      <c r="I2" s="281"/>
      <c r="J2" s="281"/>
      <c r="K2" s="281"/>
      <c r="L2" s="281"/>
      <c r="M2" s="281"/>
      <c r="N2" s="281"/>
      <c r="O2" s="281"/>
      <c r="P2" s="281"/>
      <c r="Q2" s="281"/>
      <c r="R2" s="281"/>
      <c r="S2" s="281"/>
      <c r="T2" s="281"/>
      <c r="U2" s="281"/>
      <c r="V2" s="282"/>
    </row>
    <row r="3" spans="2:30" ht="15.75" thickBot="1">
      <c r="B3" s="283"/>
      <c r="C3" s="284"/>
      <c r="D3" s="284"/>
      <c r="E3" s="284"/>
      <c r="F3" s="284"/>
      <c r="G3" s="284"/>
      <c r="H3" s="284"/>
      <c r="I3" s="284"/>
      <c r="J3" s="284"/>
      <c r="K3" s="284"/>
      <c r="L3" s="284"/>
      <c r="M3" s="284"/>
      <c r="N3" s="284"/>
      <c r="O3" s="284"/>
      <c r="P3" s="284"/>
      <c r="Q3" s="284"/>
      <c r="R3" s="284"/>
      <c r="S3" s="284"/>
      <c r="T3" s="284"/>
      <c r="U3" s="284"/>
      <c r="V3" s="285"/>
    </row>
    <row r="4" spans="2:30" ht="30" customHeight="1">
      <c r="B4" s="57"/>
      <c r="C4" s="216" t="s">
        <v>45</v>
      </c>
      <c r="D4" s="216"/>
      <c r="E4" s="286" t="s">
        <v>46</v>
      </c>
      <c r="F4" s="286"/>
      <c r="G4" s="287" t="s">
        <v>47</v>
      </c>
      <c r="H4" s="287"/>
      <c r="I4" s="286" t="s">
        <v>48</v>
      </c>
      <c r="J4" s="216"/>
      <c r="K4" s="216" t="s">
        <v>49</v>
      </c>
      <c r="L4" s="216"/>
      <c r="M4" s="216" t="s">
        <v>50</v>
      </c>
      <c r="N4" s="216"/>
      <c r="O4" s="286" t="s">
        <v>51</v>
      </c>
      <c r="P4" s="286"/>
      <c r="Q4" s="216" t="s">
        <v>52</v>
      </c>
      <c r="R4" s="216"/>
      <c r="S4" s="216" t="s">
        <v>53</v>
      </c>
      <c r="T4" s="216"/>
      <c r="U4" s="286" t="s">
        <v>54</v>
      </c>
      <c r="V4" s="288"/>
      <c r="Y4" s="277" t="s">
        <v>55</v>
      </c>
      <c r="Z4" s="241"/>
      <c r="AA4" s="241"/>
      <c r="AB4" s="241"/>
      <c r="AC4" s="241" t="s">
        <v>56</v>
      </c>
      <c r="AD4" s="278"/>
    </row>
    <row r="5" spans="2:30" ht="30" customHeight="1" thickBot="1">
      <c r="B5" s="57" t="s">
        <v>57</v>
      </c>
      <c r="C5" s="263" t="s">
        <v>58</v>
      </c>
      <c r="D5" s="263"/>
      <c r="E5" s="254">
        <f>'STD Info'!F21</f>
        <v>0.06</v>
      </c>
      <c r="F5" s="263"/>
      <c r="G5" s="269">
        <v>0.95</v>
      </c>
      <c r="H5" s="263"/>
      <c r="I5" s="263" t="s">
        <v>59</v>
      </c>
      <c r="J5" s="263"/>
      <c r="K5" s="263" t="s">
        <v>60</v>
      </c>
      <c r="L5" s="263"/>
      <c r="M5" s="254">
        <f>NORMSINV((1+0.95)/2)</f>
        <v>1.9599639845400536</v>
      </c>
      <c r="N5" s="254"/>
      <c r="O5" s="270">
        <f>E5/M5</f>
        <v>3.0612807415479244E-2</v>
      </c>
      <c r="P5" s="270"/>
      <c r="Q5" s="254">
        <v>1</v>
      </c>
      <c r="R5" s="254"/>
      <c r="S5" s="270">
        <f>O5*Q5</f>
        <v>3.0612807415479244E-2</v>
      </c>
      <c r="T5" s="270"/>
      <c r="U5" s="271" t="s">
        <v>61</v>
      </c>
      <c r="V5" s="272"/>
      <c r="Y5" s="217"/>
      <c r="Z5" s="218"/>
      <c r="AA5" s="218"/>
      <c r="AB5" s="218"/>
      <c r="AC5" s="218"/>
      <c r="AD5" s="279"/>
    </row>
    <row r="6" spans="2:30" ht="30" customHeight="1">
      <c r="B6" s="57" t="s">
        <v>62</v>
      </c>
      <c r="C6" s="263" t="s">
        <v>63</v>
      </c>
      <c r="D6" s="263"/>
      <c r="E6" s="263">
        <f>'STD Info'!D9/2</f>
        <v>5.0000000000000001E-3</v>
      </c>
      <c r="F6" s="263"/>
      <c r="G6" s="269">
        <v>1</v>
      </c>
      <c r="H6" s="263"/>
      <c r="I6" s="263" t="s">
        <v>59</v>
      </c>
      <c r="J6" s="263"/>
      <c r="K6" s="263" t="s">
        <v>64</v>
      </c>
      <c r="L6" s="263"/>
      <c r="M6" s="254">
        <f>SQRT(3)</f>
        <v>1.7320508075688772</v>
      </c>
      <c r="N6" s="254"/>
      <c r="O6" s="270">
        <f>E6/M6</f>
        <v>2.886751345948129E-3</v>
      </c>
      <c r="P6" s="270"/>
      <c r="Q6" s="254">
        <v>1</v>
      </c>
      <c r="R6" s="254"/>
      <c r="S6" s="270">
        <f>O6*Q6</f>
        <v>2.886751345948129E-3</v>
      </c>
      <c r="T6" s="270"/>
      <c r="U6" s="271" t="s">
        <v>61</v>
      </c>
      <c r="V6" s="272"/>
      <c r="Y6" s="274">
        <v>1</v>
      </c>
      <c r="Z6" s="266"/>
      <c r="AA6" s="266"/>
      <c r="AB6" s="266"/>
      <c r="AC6" s="275"/>
      <c r="AD6" s="276"/>
    </row>
    <row r="7" spans="2:30" ht="30" customHeight="1">
      <c r="B7" s="57" t="s">
        <v>65</v>
      </c>
      <c r="C7" s="263" t="s">
        <v>66</v>
      </c>
      <c r="D7" s="263"/>
      <c r="E7" s="263">
        <f>IF(Datasheet!B6="DAQM901A",'UUT Info'!D9/2,'UUT Info'!P9/2)</f>
        <v>0.05</v>
      </c>
      <c r="F7" s="263"/>
      <c r="G7" s="269">
        <v>1</v>
      </c>
      <c r="H7" s="263"/>
      <c r="I7" s="263" t="s">
        <v>59</v>
      </c>
      <c r="J7" s="263"/>
      <c r="K7" s="263" t="s">
        <v>64</v>
      </c>
      <c r="L7" s="263"/>
      <c r="M7" s="254">
        <f>SQRT(3)</f>
        <v>1.7320508075688772</v>
      </c>
      <c r="N7" s="254"/>
      <c r="O7" s="270">
        <f>E7/M7</f>
        <v>2.8867513459481291E-2</v>
      </c>
      <c r="P7" s="270"/>
      <c r="Q7" s="254">
        <v>1</v>
      </c>
      <c r="R7" s="254"/>
      <c r="S7" s="270">
        <f>O7*Q7</f>
        <v>2.8867513459481291E-2</v>
      </c>
      <c r="T7" s="270"/>
      <c r="U7" s="271" t="s">
        <v>61</v>
      </c>
      <c r="V7" s="272"/>
      <c r="Y7" s="262">
        <v>2</v>
      </c>
      <c r="Z7" s="263"/>
      <c r="AA7" s="263"/>
      <c r="AB7" s="263"/>
      <c r="AC7" s="264"/>
      <c r="AD7" s="265"/>
    </row>
    <row r="8" spans="2:30" ht="30" customHeight="1" thickBot="1">
      <c r="B8" s="59" t="s">
        <v>67</v>
      </c>
      <c r="C8" s="266" t="s">
        <v>68</v>
      </c>
      <c r="D8" s="266"/>
      <c r="E8" s="267" t="e">
        <f>AC15</f>
        <v>#DIV/0!</v>
      </c>
      <c r="F8" s="267"/>
      <c r="G8" s="268">
        <v>0.68</v>
      </c>
      <c r="H8" s="266"/>
      <c r="I8" s="266" t="s">
        <v>69</v>
      </c>
      <c r="J8" s="266"/>
      <c r="K8" s="266" t="s">
        <v>60</v>
      </c>
      <c r="L8" s="266"/>
      <c r="M8" s="252" t="s">
        <v>70</v>
      </c>
      <c r="N8" s="252"/>
      <c r="O8" s="267" t="e">
        <f>E8/1</f>
        <v>#DIV/0!</v>
      </c>
      <c r="P8" s="267"/>
      <c r="Q8" s="252">
        <v>1</v>
      </c>
      <c r="R8" s="252"/>
      <c r="S8" s="267" t="e">
        <f>O8*Q8</f>
        <v>#DIV/0!</v>
      </c>
      <c r="T8" s="267"/>
      <c r="U8" s="266">
        <f>Y10-1</f>
        <v>4</v>
      </c>
      <c r="V8" s="273"/>
      <c r="Y8" s="262">
        <v>3</v>
      </c>
      <c r="Z8" s="263"/>
      <c r="AA8" s="263"/>
      <c r="AB8" s="263"/>
      <c r="AC8" s="264"/>
      <c r="AD8" s="265"/>
    </row>
    <row r="9" spans="2:30" ht="30" customHeight="1">
      <c r="B9" s="56" t="s">
        <v>71</v>
      </c>
      <c r="C9" s="241" t="s">
        <v>72</v>
      </c>
      <c r="D9" s="241"/>
      <c r="E9" s="241"/>
      <c r="F9" s="241"/>
      <c r="G9" s="242" t="e">
        <f>SQRT(SUMSQ(S5:T8))</f>
        <v>#DIV/0!</v>
      </c>
      <c r="H9" s="242"/>
      <c r="I9" s="242"/>
      <c r="J9" s="242"/>
      <c r="K9" s="243" t="s">
        <v>138</v>
      </c>
      <c r="L9" s="244"/>
      <c r="M9" s="244"/>
      <c r="N9" s="244"/>
      <c r="O9" s="244"/>
      <c r="P9" s="244"/>
      <c r="Q9" s="244"/>
      <c r="R9" s="244"/>
      <c r="S9" s="244"/>
      <c r="T9" s="244"/>
      <c r="U9" s="244"/>
      <c r="V9" s="245"/>
      <c r="Y9" s="262">
        <v>4</v>
      </c>
      <c r="Z9" s="263"/>
      <c r="AA9" s="263"/>
      <c r="AB9" s="263"/>
      <c r="AC9" s="264"/>
      <c r="AD9" s="265"/>
    </row>
    <row r="10" spans="2:30" ht="30" customHeight="1" thickBot="1">
      <c r="B10" s="58" t="s">
        <v>74</v>
      </c>
      <c r="C10" s="216" t="s">
        <v>75</v>
      </c>
      <c r="D10" s="216"/>
      <c r="E10" s="216"/>
      <c r="F10" s="216"/>
      <c r="G10" s="256" t="e">
        <f>ROUND(AC11,1) &amp; "°C ± " &amp; I20 &amp;"°C"</f>
        <v>#DIV/0!</v>
      </c>
      <c r="H10" s="256"/>
      <c r="I10" s="256"/>
      <c r="J10" s="256"/>
      <c r="K10" s="246"/>
      <c r="L10" s="246"/>
      <c r="M10" s="246"/>
      <c r="N10" s="246"/>
      <c r="O10" s="246"/>
      <c r="P10" s="246"/>
      <c r="Q10" s="246"/>
      <c r="R10" s="246"/>
      <c r="S10" s="246"/>
      <c r="T10" s="246"/>
      <c r="U10" s="246"/>
      <c r="V10" s="247"/>
      <c r="Y10" s="260">
        <v>5</v>
      </c>
      <c r="Z10" s="261"/>
      <c r="AA10" s="261"/>
      <c r="AB10" s="261"/>
      <c r="AC10" s="239"/>
      <c r="AD10" s="240"/>
    </row>
    <row r="11" spans="2:30" ht="30" customHeight="1" thickBot="1">
      <c r="B11" s="257" t="s">
        <v>76</v>
      </c>
      <c r="C11" s="258"/>
      <c r="D11" s="258"/>
      <c r="E11" s="258"/>
      <c r="F11" s="258"/>
      <c r="G11" s="259" t="e">
        <f>IF(S8=0,10000000000,IF(U8*((G9^4)/(S8^4))&gt;10000000000,10000000000,U8*((G9^4)/(S8^4))))</f>
        <v>#DIV/0!</v>
      </c>
      <c r="H11" s="259"/>
      <c r="I11" s="259"/>
      <c r="J11" s="259"/>
      <c r="K11" s="248"/>
      <c r="L11" s="248"/>
      <c r="M11" s="248"/>
      <c r="N11" s="248"/>
      <c r="O11" s="248"/>
      <c r="P11" s="248"/>
      <c r="Q11" s="248"/>
      <c r="R11" s="248"/>
      <c r="S11" s="248"/>
      <c r="T11" s="248"/>
      <c r="U11" s="248"/>
      <c r="V11" s="249"/>
      <c r="X11" s="54"/>
      <c r="Y11" s="250" t="s">
        <v>73</v>
      </c>
      <c r="Z11" s="251"/>
      <c r="AA11" s="251"/>
      <c r="AB11" s="251"/>
      <c r="AC11" s="252" t="e">
        <f>AVERAGE(AC6:AD10)</f>
        <v>#DIV/0!</v>
      </c>
      <c r="AD11" s="253"/>
    </row>
    <row r="12" spans="2:30" ht="30" customHeight="1" thickTop="1">
      <c r="B12" s="227" t="s">
        <v>78</v>
      </c>
      <c r="C12" s="228"/>
      <c r="D12" s="228"/>
      <c r="E12" s="228"/>
      <c r="F12" s="228"/>
      <c r="G12" s="229" t="s">
        <v>79</v>
      </c>
      <c r="H12" s="229"/>
      <c r="I12" s="229"/>
      <c r="J12" s="229"/>
      <c r="K12" s="229"/>
      <c r="L12" s="229"/>
      <c r="M12" s="229"/>
      <c r="N12" s="229"/>
      <c r="O12" s="229"/>
      <c r="P12" s="229"/>
      <c r="Q12" s="229"/>
      <c r="R12" s="229"/>
      <c r="S12" s="229"/>
      <c r="T12" s="229"/>
      <c r="U12" s="229"/>
      <c r="V12" s="230"/>
      <c r="X12" s="54"/>
      <c r="Y12" s="215"/>
      <c r="Z12" s="216"/>
      <c r="AA12" s="216"/>
      <c r="AB12" s="216"/>
      <c r="AC12" s="254"/>
      <c r="AD12" s="255"/>
    </row>
    <row r="13" spans="2:30" ht="30" customHeight="1">
      <c r="B13" s="223" t="s">
        <v>80</v>
      </c>
      <c r="C13" s="224"/>
      <c r="D13" s="224"/>
      <c r="E13" s="224"/>
      <c r="F13" s="224"/>
      <c r="G13" s="231" t="s">
        <v>81</v>
      </c>
      <c r="H13" s="231"/>
      <c r="I13" s="231"/>
      <c r="J13" s="231"/>
      <c r="K13" s="231"/>
      <c r="L13" s="231"/>
      <c r="M13" s="231"/>
      <c r="N13" s="231"/>
      <c r="O13" s="231"/>
      <c r="P13" s="231"/>
      <c r="Q13" s="231"/>
      <c r="R13" s="231"/>
      <c r="S13" s="231"/>
      <c r="T13" s="231"/>
      <c r="U13" s="231"/>
      <c r="V13" s="232"/>
      <c r="Y13" s="215" t="s">
        <v>77</v>
      </c>
      <c r="Z13" s="216"/>
      <c r="AA13" s="216"/>
      <c r="AB13" s="216"/>
      <c r="AC13" s="219" t="e">
        <f>_xlfn.STDEV.S(AC6:AD10)</f>
        <v>#DIV/0!</v>
      </c>
      <c r="AD13" s="220"/>
    </row>
    <row r="14" spans="2:30">
      <c r="B14" s="223" t="s">
        <v>83</v>
      </c>
      <c r="C14" s="224"/>
      <c r="D14" s="224"/>
      <c r="E14" s="224"/>
      <c r="F14" s="224"/>
      <c r="G14" s="225" t="s">
        <v>84</v>
      </c>
      <c r="H14" s="225"/>
      <c r="I14" s="225"/>
      <c r="J14" s="225"/>
      <c r="K14" s="225"/>
      <c r="L14" s="225"/>
      <c r="M14" s="225"/>
      <c r="N14" s="225"/>
      <c r="O14" s="225"/>
      <c r="P14" s="225"/>
      <c r="Q14" s="225"/>
      <c r="R14" s="225"/>
      <c r="S14" s="225"/>
      <c r="T14" s="225"/>
      <c r="U14" s="225"/>
      <c r="V14" s="226"/>
      <c r="Y14" s="215"/>
      <c r="Z14" s="216"/>
      <c r="AA14" s="216"/>
      <c r="AB14" s="216"/>
      <c r="AC14" s="219"/>
      <c r="AD14" s="220"/>
    </row>
    <row r="15" spans="2:30">
      <c r="B15" s="223"/>
      <c r="C15" s="224"/>
      <c r="D15" s="224"/>
      <c r="E15" s="224"/>
      <c r="F15" s="224"/>
      <c r="G15" s="225"/>
      <c r="H15" s="225"/>
      <c r="I15" s="225"/>
      <c r="J15" s="225"/>
      <c r="K15" s="225"/>
      <c r="L15" s="225"/>
      <c r="M15" s="225"/>
      <c r="N15" s="225"/>
      <c r="O15" s="225"/>
      <c r="P15" s="225"/>
      <c r="Q15" s="225"/>
      <c r="R15" s="225"/>
      <c r="S15" s="225"/>
      <c r="T15" s="225"/>
      <c r="U15" s="225"/>
      <c r="V15" s="226"/>
      <c r="Y15" s="215" t="s">
        <v>82</v>
      </c>
      <c r="Z15" s="216"/>
      <c r="AA15" s="216"/>
      <c r="AB15" s="216"/>
      <c r="AC15" s="219" t="e">
        <f>AC13/SQRT(Y10)</f>
        <v>#DIV/0!</v>
      </c>
      <c r="AD15" s="220"/>
    </row>
    <row r="16" spans="2:30" ht="15.75" thickBot="1">
      <c r="B16" s="223"/>
      <c r="C16" s="224"/>
      <c r="D16" s="224"/>
      <c r="E16" s="224"/>
      <c r="F16" s="224"/>
      <c r="G16" s="225"/>
      <c r="H16" s="225"/>
      <c r="I16" s="225"/>
      <c r="J16" s="225"/>
      <c r="K16" s="225"/>
      <c r="L16" s="225"/>
      <c r="M16" s="225"/>
      <c r="N16" s="225"/>
      <c r="O16" s="225"/>
      <c r="P16" s="225"/>
      <c r="Q16" s="225"/>
      <c r="R16" s="225"/>
      <c r="S16" s="225"/>
      <c r="T16" s="225"/>
      <c r="U16" s="225"/>
      <c r="V16" s="226"/>
      <c r="Y16" s="217"/>
      <c r="Z16" s="218"/>
      <c r="AA16" s="218"/>
      <c r="AB16" s="218"/>
      <c r="AC16" s="221"/>
      <c r="AD16" s="222"/>
    </row>
    <row r="17" spans="2:22" ht="15.75" thickBot="1">
      <c r="B17" s="233" t="s">
        <v>85</v>
      </c>
      <c r="C17" s="234"/>
      <c r="D17" s="234"/>
      <c r="E17" s="234"/>
      <c r="F17" s="234"/>
      <c r="G17" s="235" t="s">
        <v>86</v>
      </c>
      <c r="H17" s="235"/>
      <c r="I17" s="235"/>
      <c r="J17" s="235"/>
      <c r="K17" s="235"/>
      <c r="L17" s="235"/>
      <c r="M17" s="235"/>
      <c r="N17" s="235"/>
      <c r="O17" s="235"/>
      <c r="P17" s="235"/>
      <c r="Q17" s="235"/>
      <c r="R17" s="235"/>
      <c r="S17" s="235"/>
      <c r="T17" s="235"/>
      <c r="U17" s="235"/>
      <c r="V17" s="236"/>
    </row>
    <row r="19" spans="2:22">
      <c r="G19" s="237" t="s">
        <v>87</v>
      </c>
      <c r="H19" s="237"/>
      <c r="I19" s="238" t="e">
        <f>TINV(0.05,G11)</f>
        <v>#DIV/0!</v>
      </c>
      <c r="J19" s="238"/>
    </row>
    <row r="20" spans="2:22">
      <c r="G20" s="237" t="s">
        <v>88</v>
      </c>
      <c r="H20" s="237"/>
      <c r="I20" s="85" t="e">
        <f>ROUND(I19*G9,1)</f>
        <v>#DIV/0!</v>
      </c>
      <c r="J20" s="85"/>
    </row>
    <row r="21" spans="2:22" ht="30" customHeight="1"/>
    <row r="22" spans="2:22" ht="30" customHeight="1"/>
  </sheetData>
  <mergeCells count="87">
    <mergeCell ref="B17:F17"/>
    <mergeCell ref="G17:V17"/>
    <mergeCell ref="G19:H19"/>
    <mergeCell ref="I19:J19"/>
    <mergeCell ref="G20:H20"/>
    <mergeCell ref="Y13:AB14"/>
    <mergeCell ref="AC13:AD14"/>
    <mergeCell ref="B12:F12"/>
    <mergeCell ref="G12:V12"/>
    <mergeCell ref="B13:F13"/>
    <mergeCell ref="G13:V13"/>
    <mergeCell ref="Y15:AB16"/>
    <mergeCell ref="AC15:AD16"/>
    <mergeCell ref="B14:F16"/>
    <mergeCell ref="G14:V16"/>
    <mergeCell ref="C8:D8"/>
    <mergeCell ref="E8:F8"/>
    <mergeCell ref="G8:H8"/>
    <mergeCell ref="I8:J8"/>
    <mergeCell ref="K8:L8"/>
    <mergeCell ref="AC10:AD10"/>
    <mergeCell ref="C9:F9"/>
    <mergeCell ref="G9:J9"/>
    <mergeCell ref="K9:V11"/>
    <mergeCell ref="Y11:AB12"/>
    <mergeCell ref="AC11:AD12"/>
    <mergeCell ref="C10:F10"/>
    <mergeCell ref="G10:J10"/>
    <mergeCell ref="B11:F11"/>
    <mergeCell ref="G11:J11"/>
    <mergeCell ref="M8:N8"/>
    <mergeCell ref="O8:P8"/>
    <mergeCell ref="Q8:R8"/>
    <mergeCell ref="S8:T8"/>
    <mergeCell ref="U8:V8"/>
    <mergeCell ref="Y10:AB10"/>
    <mergeCell ref="Y8:AB8"/>
    <mergeCell ref="Y9:AB9"/>
    <mergeCell ref="M7:N7"/>
    <mergeCell ref="O7:P7"/>
    <mergeCell ref="Q7:R7"/>
    <mergeCell ref="S7:T7"/>
    <mergeCell ref="U7:V7"/>
    <mergeCell ref="C7:D7"/>
    <mergeCell ref="E7:F7"/>
    <mergeCell ref="G7:H7"/>
    <mergeCell ref="I7:J7"/>
    <mergeCell ref="K7:L7"/>
    <mergeCell ref="AC9:AD9"/>
    <mergeCell ref="U6:V6"/>
    <mergeCell ref="Y6:AB6"/>
    <mergeCell ref="AC6:AD6"/>
    <mergeCell ref="AC7:AD7"/>
    <mergeCell ref="Y7:AB7"/>
    <mergeCell ref="AC8:AD8"/>
    <mergeCell ref="C6:D6"/>
    <mergeCell ref="E6:F6"/>
    <mergeCell ref="G6:H6"/>
    <mergeCell ref="I6:J6"/>
    <mergeCell ref="K6:L6"/>
    <mergeCell ref="M6:N6"/>
    <mergeCell ref="O6:P6"/>
    <mergeCell ref="Q6:R6"/>
    <mergeCell ref="S6:T6"/>
    <mergeCell ref="Y4:AB5"/>
    <mergeCell ref="AC4:AD5"/>
    <mergeCell ref="C5:D5"/>
    <mergeCell ref="E5:F5"/>
    <mergeCell ref="G5:H5"/>
    <mergeCell ref="I5:J5"/>
    <mergeCell ref="K5:L5"/>
    <mergeCell ref="M5:N5"/>
    <mergeCell ref="O5:P5"/>
    <mergeCell ref="Q5:R5"/>
    <mergeCell ref="S5:T5"/>
    <mergeCell ref="U5:V5"/>
    <mergeCell ref="B2:V3"/>
    <mergeCell ref="C4:D4"/>
    <mergeCell ref="E4:F4"/>
    <mergeCell ref="G4:H4"/>
    <mergeCell ref="I4:J4"/>
    <mergeCell ref="K4:L4"/>
    <mergeCell ref="M4:N4"/>
    <mergeCell ref="O4:P4"/>
    <mergeCell ref="Q4:R4"/>
    <mergeCell ref="S4:T4"/>
    <mergeCell ref="U4:V4"/>
  </mergeCells>
  <pageMargins left="0.7" right="0.7" top="0.75" bottom="0.75" header="0.3" footer="0.3"/>
  <pageSetup scale="45" orientation="portrait" horizontalDpi="300" verticalDpi="300" r:id="rId1"/>
  <colBreaks count="1" manualBreakCount="1">
    <brk id="23" max="19" man="1"/>
  </colBreaks>
  <extLst>
    <ext xmlns:x14="http://schemas.microsoft.com/office/spreadsheetml/2009/9/main" uri="{78C0D931-6437-407d-A8EE-F0AAD7539E65}">
      <x14:conditionalFormattings>
        <x14:conditionalFormatting xmlns:xm="http://schemas.microsoft.com/office/excel/2006/main">
          <x14:cfRule type="expression" priority="1" id="{153C0348-1900-448A-A277-B4B112771C4B}">
            <xm:f>Datasheet!$B$6="34901A"</xm:f>
            <x14:dxf>
              <numFmt numFmtId="164" formatCode="0.0"/>
            </x14:dxf>
          </x14:cfRule>
          <xm:sqref>AC6:AD12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D4382-7A55-442C-B7B4-A729D709CDA3}">
  <sheetPr codeName="Sheet7"/>
  <dimension ref="B1:AD22"/>
  <sheetViews>
    <sheetView zoomScaleNormal="100" workbookViewId="0">
      <selection activeCell="G11" sqref="G11:J11"/>
    </sheetView>
  </sheetViews>
  <sheetFormatPr defaultRowHeight="15"/>
  <cols>
    <col min="1" max="1" width="4.28515625" style="50" customWidth="1"/>
    <col min="2" max="22" width="9.140625" style="50"/>
    <col min="23" max="24" width="2.85546875" style="50" customWidth="1"/>
    <col min="25" max="16384" width="9.140625" style="50"/>
  </cols>
  <sheetData>
    <row r="1" spans="2:30" ht="15.75" thickBot="1"/>
    <row r="2" spans="2:30" ht="15" customHeight="1">
      <c r="B2" s="280" t="e">
        <f>"Measurement Uncertainty Analysis (Type E "&amp;ROUND(Datasheet!C21,0)&amp;"°C test point)
The reported value ("&amp;ROUND(AC11,1)&amp;") is the mean UUT indication five (5) test runs"</f>
        <v>#DIV/0!</v>
      </c>
      <c r="C2" s="281"/>
      <c r="D2" s="281"/>
      <c r="E2" s="281"/>
      <c r="F2" s="281"/>
      <c r="G2" s="281"/>
      <c r="H2" s="281"/>
      <c r="I2" s="281"/>
      <c r="J2" s="281"/>
      <c r="K2" s="281"/>
      <c r="L2" s="281"/>
      <c r="M2" s="281"/>
      <c r="N2" s="281"/>
      <c r="O2" s="281"/>
      <c r="P2" s="281"/>
      <c r="Q2" s="281"/>
      <c r="R2" s="281"/>
      <c r="S2" s="281"/>
      <c r="T2" s="281"/>
      <c r="U2" s="281"/>
      <c r="V2" s="282"/>
    </row>
    <row r="3" spans="2:30" ht="15.75" thickBot="1">
      <c r="B3" s="283"/>
      <c r="C3" s="284"/>
      <c r="D3" s="284"/>
      <c r="E3" s="284"/>
      <c r="F3" s="284"/>
      <c r="G3" s="284"/>
      <c r="H3" s="284"/>
      <c r="I3" s="284"/>
      <c r="J3" s="284"/>
      <c r="K3" s="284"/>
      <c r="L3" s="284"/>
      <c r="M3" s="284"/>
      <c r="N3" s="284"/>
      <c r="O3" s="284"/>
      <c r="P3" s="284"/>
      <c r="Q3" s="284"/>
      <c r="R3" s="284"/>
      <c r="S3" s="284"/>
      <c r="T3" s="284"/>
      <c r="U3" s="284"/>
      <c r="V3" s="285"/>
    </row>
    <row r="4" spans="2:30" ht="30" customHeight="1">
      <c r="B4" s="57"/>
      <c r="C4" s="216" t="s">
        <v>45</v>
      </c>
      <c r="D4" s="216"/>
      <c r="E4" s="286" t="s">
        <v>46</v>
      </c>
      <c r="F4" s="286"/>
      <c r="G4" s="287" t="s">
        <v>47</v>
      </c>
      <c r="H4" s="287"/>
      <c r="I4" s="286" t="s">
        <v>48</v>
      </c>
      <c r="J4" s="216"/>
      <c r="K4" s="216" t="s">
        <v>49</v>
      </c>
      <c r="L4" s="216"/>
      <c r="M4" s="216" t="s">
        <v>50</v>
      </c>
      <c r="N4" s="216"/>
      <c r="O4" s="286" t="s">
        <v>51</v>
      </c>
      <c r="P4" s="286"/>
      <c r="Q4" s="216" t="s">
        <v>52</v>
      </c>
      <c r="R4" s="216"/>
      <c r="S4" s="216" t="s">
        <v>53</v>
      </c>
      <c r="T4" s="216"/>
      <c r="U4" s="286" t="s">
        <v>54</v>
      </c>
      <c r="V4" s="288"/>
      <c r="Y4" s="277" t="s">
        <v>55</v>
      </c>
      <c r="Z4" s="241"/>
      <c r="AA4" s="241"/>
      <c r="AB4" s="241"/>
      <c r="AC4" s="241" t="s">
        <v>56</v>
      </c>
      <c r="AD4" s="278"/>
    </row>
    <row r="5" spans="2:30" ht="30" customHeight="1" thickBot="1">
      <c r="B5" s="57" t="s">
        <v>57</v>
      </c>
      <c r="C5" s="263" t="s">
        <v>58</v>
      </c>
      <c r="D5" s="263"/>
      <c r="E5" s="254">
        <f>'STD Info'!F22</f>
        <v>7.0000000000000007E-2</v>
      </c>
      <c r="F5" s="263"/>
      <c r="G5" s="269">
        <v>0.95</v>
      </c>
      <c r="H5" s="263"/>
      <c r="I5" s="263" t="s">
        <v>59</v>
      </c>
      <c r="J5" s="263"/>
      <c r="K5" s="263" t="s">
        <v>60</v>
      </c>
      <c r="L5" s="263"/>
      <c r="M5" s="254">
        <f>NORMSINV((1+0.95)/2)</f>
        <v>1.9599639845400536</v>
      </c>
      <c r="N5" s="254"/>
      <c r="O5" s="270">
        <f>E5/M5</f>
        <v>3.5714941984725787E-2</v>
      </c>
      <c r="P5" s="270"/>
      <c r="Q5" s="254">
        <v>1</v>
      </c>
      <c r="R5" s="254"/>
      <c r="S5" s="270">
        <f>O5*Q5</f>
        <v>3.5714941984725787E-2</v>
      </c>
      <c r="T5" s="270"/>
      <c r="U5" s="271" t="s">
        <v>61</v>
      </c>
      <c r="V5" s="272"/>
      <c r="Y5" s="217"/>
      <c r="Z5" s="218"/>
      <c r="AA5" s="218"/>
      <c r="AB5" s="218"/>
      <c r="AC5" s="218"/>
      <c r="AD5" s="279"/>
    </row>
    <row r="6" spans="2:30" ht="30" customHeight="1">
      <c r="B6" s="57" t="s">
        <v>62</v>
      </c>
      <c r="C6" s="263" t="s">
        <v>63</v>
      </c>
      <c r="D6" s="263"/>
      <c r="E6" s="263">
        <f>'STD Info'!D9/2</f>
        <v>5.0000000000000001E-3</v>
      </c>
      <c r="F6" s="263"/>
      <c r="G6" s="269">
        <v>1</v>
      </c>
      <c r="H6" s="263"/>
      <c r="I6" s="263" t="s">
        <v>59</v>
      </c>
      <c r="J6" s="263"/>
      <c r="K6" s="263" t="s">
        <v>64</v>
      </c>
      <c r="L6" s="263"/>
      <c r="M6" s="254">
        <f>SQRT(3)</f>
        <v>1.7320508075688772</v>
      </c>
      <c r="N6" s="254"/>
      <c r="O6" s="270">
        <f>E6/M6</f>
        <v>2.886751345948129E-3</v>
      </c>
      <c r="P6" s="270"/>
      <c r="Q6" s="254">
        <v>1</v>
      </c>
      <c r="R6" s="254"/>
      <c r="S6" s="270">
        <f>O6*Q6</f>
        <v>2.886751345948129E-3</v>
      </c>
      <c r="T6" s="270"/>
      <c r="U6" s="271" t="s">
        <v>61</v>
      </c>
      <c r="V6" s="272"/>
      <c r="Y6" s="274">
        <v>1</v>
      </c>
      <c r="Z6" s="266"/>
      <c r="AA6" s="266"/>
      <c r="AB6" s="266"/>
      <c r="AC6" s="275"/>
      <c r="AD6" s="276"/>
    </row>
    <row r="7" spans="2:30" ht="30" customHeight="1">
      <c r="B7" s="57" t="s">
        <v>65</v>
      </c>
      <c r="C7" s="263" t="s">
        <v>66</v>
      </c>
      <c r="D7" s="263"/>
      <c r="E7" s="263">
        <f>IF(Datasheet!B6="DAQM901A",'UUT Info'!D9/2,'UUT Info'!P9/2)</f>
        <v>0.05</v>
      </c>
      <c r="F7" s="263"/>
      <c r="G7" s="269">
        <v>1</v>
      </c>
      <c r="H7" s="263"/>
      <c r="I7" s="263" t="s">
        <v>59</v>
      </c>
      <c r="J7" s="263"/>
      <c r="K7" s="263" t="s">
        <v>64</v>
      </c>
      <c r="L7" s="263"/>
      <c r="M7" s="254">
        <f>SQRT(3)</f>
        <v>1.7320508075688772</v>
      </c>
      <c r="N7" s="254"/>
      <c r="O7" s="270">
        <f>E7/M7</f>
        <v>2.8867513459481291E-2</v>
      </c>
      <c r="P7" s="270"/>
      <c r="Q7" s="254">
        <v>1</v>
      </c>
      <c r="R7" s="254"/>
      <c r="S7" s="270">
        <f>O7*Q7</f>
        <v>2.8867513459481291E-2</v>
      </c>
      <c r="T7" s="270"/>
      <c r="U7" s="271" t="s">
        <v>61</v>
      </c>
      <c r="V7" s="272"/>
      <c r="Y7" s="262">
        <v>2</v>
      </c>
      <c r="Z7" s="263"/>
      <c r="AA7" s="263"/>
      <c r="AB7" s="263"/>
      <c r="AC7" s="264"/>
      <c r="AD7" s="265"/>
    </row>
    <row r="8" spans="2:30" ht="30" customHeight="1" thickBot="1">
      <c r="B8" s="59" t="s">
        <v>67</v>
      </c>
      <c r="C8" s="266" t="s">
        <v>68</v>
      </c>
      <c r="D8" s="266"/>
      <c r="E8" s="267" t="e">
        <f>AC15</f>
        <v>#DIV/0!</v>
      </c>
      <c r="F8" s="267"/>
      <c r="G8" s="268">
        <v>0.68</v>
      </c>
      <c r="H8" s="266"/>
      <c r="I8" s="266" t="s">
        <v>69</v>
      </c>
      <c r="J8" s="266"/>
      <c r="K8" s="266" t="s">
        <v>60</v>
      </c>
      <c r="L8" s="266"/>
      <c r="M8" s="252" t="s">
        <v>70</v>
      </c>
      <c r="N8" s="252"/>
      <c r="O8" s="267" t="e">
        <f>E8/1</f>
        <v>#DIV/0!</v>
      </c>
      <c r="P8" s="267"/>
      <c r="Q8" s="252">
        <v>1</v>
      </c>
      <c r="R8" s="252"/>
      <c r="S8" s="267" t="e">
        <f>O8*Q8</f>
        <v>#DIV/0!</v>
      </c>
      <c r="T8" s="267"/>
      <c r="U8" s="266">
        <f>Y10-1</f>
        <v>4</v>
      </c>
      <c r="V8" s="273"/>
      <c r="Y8" s="262">
        <v>3</v>
      </c>
      <c r="Z8" s="263"/>
      <c r="AA8" s="263"/>
      <c r="AB8" s="263"/>
      <c r="AC8" s="264"/>
      <c r="AD8" s="265"/>
    </row>
    <row r="9" spans="2:30" ht="30" customHeight="1">
      <c r="B9" s="56" t="s">
        <v>71</v>
      </c>
      <c r="C9" s="241" t="s">
        <v>72</v>
      </c>
      <c r="D9" s="241"/>
      <c r="E9" s="241"/>
      <c r="F9" s="241"/>
      <c r="G9" s="242" t="e">
        <f>SQRT(SUMSQ(S5:T8))</f>
        <v>#DIV/0!</v>
      </c>
      <c r="H9" s="242"/>
      <c r="I9" s="242"/>
      <c r="J9" s="242"/>
      <c r="K9" s="243" t="s">
        <v>138</v>
      </c>
      <c r="L9" s="244"/>
      <c r="M9" s="244"/>
      <c r="N9" s="244"/>
      <c r="O9" s="244"/>
      <c r="P9" s="244"/>
      <c r="Q9" s="244"/>
      <c r="R9" s="244"/>
      <c r="S9" s="244"/>
      <c r="T9" s="244"/>
      <c r="U9" s="244"/>
      <c r="V9" s="245"/>
      <c r="Y9" s="262">
        <v>4</v>
      </c>
      <c r="Z9" s="263"/>
      <c r="AA9" s="263"/>
      <c r="AB9" s="263"/>
      <c r="AC9" s="264"/>
      <c r="AD9" s="265"/>
    </row>
    <row r="10" spans="2:30" ht="30" customHeight="1" thickBot="1">
      <c r="B10" s="58" t="s">
        <v>74</v>
      </c>
      <c r="C10" s="216" t="s">
        <v>75</v>
      </c>
      <c r="D10" s="216"/>
      <c r="E10" s="216"/>
      <c r="F10" s="216"/>
      <c r="G10" s="256" t="e">
        <f>ROUND(AC11,1) &amp; "°C ± " &amp; I20 &amp;"°C"</f>
        <v>#DIV/0!</v>
      </c>
      <c r="H10" s="256"/>
      <c r="I10" s="256"/>
      <c r="J10" s="256"/>
      <c r="K10" s="246"/>
      <c r="L10" s="246"/>
      <c r="M10" s="246"/>
      <c r="N10" s="246"/>
      <c r="O10" s="246"/>
      <c r="P10" s="246"/>
      <c r="Q10" s="246"/>
      <c r="R10" s="246"/>
      <c r="S10" s="246"/>
      <c r="T10" s="246"/>
      <c r="U10" s="246"/>
      <c r="V10" s="247"/>
      <c r="Y10" s="260">
        <v>5</v>
      </c>
      <c r="Z10" s="261"/>
      <c r="AA10" s="261"/>
      <c r="AB10" s="261"/>
      <c r="AC10" s="239"/>
      <c r="AD10" s="240"/>
    </row>
    <row r="11" spans="2:30" ht="30" customHeight="1" thickBot="1">
      <c r="B11" s="257" t="s">
        <v>76</v>
      </c>
      <c r="C11" s="258"/>
      <c r="D11" s="258"/>
      <c r="E11" s="258"/>
      <c r="F11" s="258"/>
      <c r="G11" s="259" t="e">
        <f>IF(S8=0,10000000000,IF(U8*((G9^4)/(S8^4))&gt;10000000000,10000000000,U8*((G9^4)/(S8^4))))</f>
        <v>#DIV/0!</v>
      </c>
      <c r="H11" s="259"/>
      <c r="I11" s="259"/>
      <c r="J11" s="259"/>
      <c r="K11" s="248"/>
      <c r="L11" s="248"/>
      <c r="M11" s="248"/>
      <c r="N11" s="248"/>
      <c r="O11" s="248"/>
      <c r="P11" s="248"/>
      <c r="Q11" s="248"/>
      <c r="R11" s="248"/>
      <c r="S11" s="248"/>
      <c r="T11" s="248"/>
      <c r="U11" s="248"/>
      <c r="V11" s="249"/>
      <c r="X11" s="54"/>
      <c r="Y11" s="250" t="s">
        <v>73</v>
      </c>
      <c r="Z11" s="251"/>
      <c r="AA11" s="251"/>
      <c r="AB11" s="251"/>
      <c r="AC11" s="252" t="e">
        <f>AVERAGE(AC6:AD10)</f>
        <v>#DIV/0!</v>
      </c>
      <c r="AD11" s="253"/>
    </row>
    <row r="12" spans="2:30" ht="30" customHeight="1" thickTop="1">
      <c r="B12" s="227" t="s">
        <v>78</v>
      </c>
      <c r="C12" s="228"/>
      <c r="D12" s="228"/>
      <c r="E12" s="228"/>
      <c r="F12" s="228"/>
      <c r="G12" s="229" t="s">
        <v>79</v>
      </c>
      <c r="H12" s="229"/>
      <c r="I12" s="229"/>
      <c r="J12" s="229"/>
      <c r="K12" s="229"/>
      <c r="L12" s="229"/>
      <c r="M12" s="229"/>
      <c r="N12" s="229"/>
      <c r="O12" s="229"/>
      <c r="P12" s="229"/>
      <c r="Q12" s="229"/>
      <c r="R12" s="229"/>
      <c r="S12" s="229"/>
      <c r="T12" s="229"/>
      <c r="U12" s="229"/>
      <c r="V12" s="230"/>
      <c r="X12" s="54"/>
      <c r="Y12" s="215"/>
      <c r="Z12" s="216"/>
      <c r="AA12" s="216"/>
      <c r="AB12" s="216"/>
      <c r="AC12" s="254"/>
      <c r="AD12" s="255"/>
    </row>
    <row r="13" spans="2:30" ht="30" customHeight="1">
      <c r="B13" s="223" t="s">
        <v>80</v>
      </c>
      <c r="C13" s="224"/>
      <c r="D13" s="224"/>
      <c r="E13" s="224"/>
      <c r="F13" s="224"/>
      <c r="G13" s="231" t="s">
        <v>81</v>
      </c>
      <c r="H13" s="231"/>
      <c r="I13" s="231"/>
      <c r="J13" s="231"/>
      <c r="K13" s="231"/>
      <c r="L13" s="231"/>
      <c r="M13" s="231"/>
      <c r="N13" s="231"/>
      <c r="O13" s="231"/>
      <c r="P13" s="231"/>
      <c r="Q13" s="231"/>
      <c r="R13" s="231"/>
      <c r="S13" s="231"/>
      <c r="T13" s="231"/>
      <c r="U13" s="231"/>
      <c r="V13" s="232"/>
      <c r="Y13" s="215" t="s">
        <v>77</v>
      </c>
      <c r="Z13" s="216"/>
      <c r="AA13" s="216"/>
      <c r="AB13" s="216"/>
      <c r="AC13" s="219" t="e">
        <f>_xlfn.STDEV.S(AC6:AD10)</f>
        <v>#DIV/0!</v>
      </c>
      <c r="AD13" s="220"/>
    </row>
    <row r="14" spans="2:30">
      <c r="B14" s="223" t="s">
        <v>83</v>
      </c>
      <c r="C14" s="224"/>
      <c r="D14" s="224"/>
      <c r="E14" s="224"/>
      <c r="F14" s="224"/>
      <c r="G14" s="225" t="s">
        <v>84</v>
      </c>
      <c r="H14" s="225"/>
      <c r="I14" s="225"/>
      <c r="J14" s="225"/>
      <c r="K14" s="225"/>
      <c r="L14" s="225"/>
      <c r="M14" s="225"/>
      <c r="N14" s="225"/>
      <c r="O14" s="225"/>
      <c r="P14" s="225"/>
      <c r="Q14" s="225"/>
      <c r="R14" s="225"/>
      <c r="S14" s="225"/>
      <c r="T14" s="225"/>
      <c r="U14" s="225"/>
      <c r="V14" s="226"/>
      <c r="Y14" s="215"/>
      <c r="Z14" s="216"/>
      <c r="AA14" s="216"/>
      <c r="AB14" s="216"/>
      <c r="AC14" s="219"/>
      <c r="AD14" s="220"/>
    </row>
    <row r="15" spans="2:30">
      <c r="B15" s="223"/>
      <c r="C15" s="224"/>
      <c r="D15" s="224"/>
      <c r="E15" s="224"/>
      <c r="F15" s="224"/>
      <c r="G15" s="225"/>
      <c r="H15" s="225"/>
      <c r="I15" s="225"/>
      <c r="J15" s="225"/>
      <c r="K15" s="225"/>
      <c r="L15" s="225"/>
      <c r="M15" s="225"/>
      <c r="N15" s="225"/>
      <c r="O15" s="225"/>
      <c r="P15" s="225"/>
      <c r="Q15" s="225"/>
      <c r="R15" s="225"/>
      <c r="S15" s="225"/>
      <c r="T15" s="225"/>
      <c r="U15" s="225"/>
      <c r="V15" s="226"/>
      <c r="Y15" s="215" t="s">
        <v>82</v>
      </c>
      <c r="Z15" s="216"/>
      <c r="AA15" s="216"/>
      <c r="AB15" s="216"/>
      <c r="AC15" s="219" t="e">
        <f>AC13/SQRT(Y10)</f>
        <v>#DIV/0!</v>
      </c>
      <c r="AD15" s="220"/>
    </row>
    <row r="16" spans="2:30" ht="15.75" thickBot="1">
      <c r="B16" s="223"/>
      <c r="C16" s="224"/>
      <c r="D16" s="224"/>
      <c r="E16" s="224"/>
      <c r="F16" s="224"/>
      <c r="G16" s="225"/>
      <c r="H16" s="225"/>
      <c r="I16" s="225"/>
      <c r="J16" s="225"/>
      <c r="K16" s="225"/>
      <c r="L16" s="225"/>
      <c r="M16" s="225"/>
      <c r="N16" s="225"/>
      <c r="O16" s="225"/>
      <c r="P16" s="225"/>
      <c r="Q16" s="225"/>
      <c r="R16" s="225"/>
      <c r="S16" s="225"/>
      <c r="T16" s="225"/>
      <c r="U16" s="225"/>
      <c r="V16" s="226"/>
      <c r="Y16" s="217"/>
      <c r="Z16" s="218"/>
      <c r="AA16" s="218"/>
      <c r="AB16" s="218"/>
      <c r="AC16" s="221"/>
      <c r="AD16" s="222"/>
    </row>
    <row r="17" spans="2:22" ht="15.75" thickBot="1">
      <c r="B17" s="233" t="s">
        <v>85</v>
      </c>
      <c r="C17" s="234"/>
      <c r="D17" s="234"/>
      <c r="E17" s="234"/>
      <c r="F17" s="234"/>
      <c r="G17" s="235" t="s">
        <v>86</v>
      </c>
      <c r="H17" s="235"/>
      <c r="I17" s="235"/>
      <c r="J17" s="235"/>
      <c r="K17" s="235"/>
      <c r="L17" s="235"/>
      <c r="M17" s="235"/>
      <c r="N17" s="235"/>
      <c r="O17" s="235"/>
      <c r="P17" s="235"/>
      <c r="Q17" s="235"/>
      <c r="R17" s="235"/>
      <c r="S17" s="235"/>
      <c r="T17" s="235"/>
      <c r="U17" s="235"/>
      <c r="V17" s="236"/>
    </row>
    <row r="19" spans="2:22">
      <c r="G19" s="237" t="s">
        <v>87</v>
      </c>
      <c r="H19" s="237"/>
      <c r="I19" s="238" t="e">
        <f>TINV(0.05,G11)</f>
        <v>#DIV/0!</v>
      </c>
      <c r="J19" s="238"/>
    </row>
    <row r="20" spans="2:22">
      <c r="G20" s="237" t="s">
        <v>88</v>
      </c>
      <c r="H20" s="237"/>
      <c r="I20" s="85" t="e">
        <f>ROUND(I19*G9,1)</f>
        <v>#DIV/0!</v>
      </c>
      <c r="J20" s="85"/>
    </row>
    <row r="21" spans="2:22" ht="30" customHeight="1"/>
    <row r="22" spans="2:22" ht="30" customHeight="1"/>
  </sheetData>
  <mergeCells count="87">
    <mergeCell ref="B17:F17"/>
    <mergeCell ref="G17:V17"/>
    <mergeCell ref="G19:H19"/>
    <mergeCell ref="I19:J19"/>
    <mergeCell ref="G20:H20"/>
    <mergeCell ref="Y13:AB14"/>
    <mergeCell ref="AC13:AD14"/>
    <mergeCell ref="B12:F12"/>
    <mergeCell ref="G12:V12"/>
    <mergeCell ref="B13:F13"/>
    <mergeCell ref="G13:V13"/>
    <mergeCell ref="Y15:AB16"/>
    <mergeCell ref="AC15:AD16"/>
    <mergeCell ref="B14:F16"/>
    <mergeCell ref="G14:V16"/>
    <mergeCell ref="C8:D8"/>
    <mergeCell ref="E8:F8"/>
    <mergeCell ref="G8:H8"/>
    <mergeCell ref="I8:J8"/>
    <mergeCell ref="K8:L8"/>
    <mergeCell ref="AC10:AD10"/>
    <mergeCell ref="C9:F9"/>
    <mergeCell ref="G9:J9"/>
    <mergeCell ref="K9:V11"/>
    <mergeCell ref="Y11:AB12"/>
    <mergeCell ref="AC11:AD12"/>
    <mergeCell ref="C10:F10"/>
    <mergeCell ref="G10:J10"/>
    <mergeCell ref="B11:F11"/>
    <mergeCell ref="G11:J11"/>
    <mergeCell ref="M8:N8"/>
    <mergeCell ref="O8:P8"/>
    <mergeCell ref="Q8:R8"/>
    <mergeCell ref="S8:T8"/>
    <mergeCell ref="U8:V8"/>
    <mergeCell ref="Y10:AB10"/>
    <mergeCell ref="Y8:AB8"/>
    <mergeCell ref="Y9:AB9"/>
    <mergeCell ref="M7:N7"/>
    <mergeCell ref="O7:P7"/>
    <mergeCell ref="Q7:R7"/>
    <mergeCell ref="S7:T7"/>
    <mergeCell ref="U7:V7"/>
    <mergeCell ref="C7:D7"/>
    <mergeCell ref="E7:F7"/>
    <mergeCell ref="G7:H7"/>
    <mergeCell ref="I7:J7"/>
    <mergeCell ref="K7:L7"/>
    <mergeCell ref="AC9:AD9"/>
    <mergeCell ref="U6:V6"/>
    <mergeCell ref="Y6:AB6"/>
    <mergeCell ref="AC6:AD6"/>
    <mergeCell ref="AC7:AD7"/>
    <mergeCell ref="Y7:AB7"/>
    <mergeCell ref="AC8:AD8"/>
    <mergeCell ref="C6:D6"/>
    <mergeCell ref="E6:F6"/>
    <mergeCell ref="G6:H6"/>
    <mergeCell ref="I6:J6"/>
    <mergeCell ref="K6:L6"/>
    <mergeCell ref="M6:N6"/>
    <mergeCell ref="O6:P6"/>
    <mergeCell ref="Q6:R6"/>
    <mergeCell ref="S6:T6"/>
    <mergeCell ref="Y4:AB5"/>
    <mergeCell ref="AC4:AD5"/>
    <mergeCell ref="C5:D5"/>
    <mergeCell ref="E5:F5"/>
    <mergeCell ref="G5:H5"/>
    <mergeCell ref="I5:J5"/>
    <mergeCell ref="K5:L5"/>
    <mergeCell ref="M5:N5"/>
    <mergeCell ref="O5:P5"/>
    <mergeCell ref="Q5:R5"/>
    <mergeCell ref="S5:T5"/>
    <mergeCell ref="U5:V5"/>
    <mergeCell ref="B2:V3"/>
    <mergeCell ref="C4:D4"/>
    <mergeCell ref="E4:F4"/>
    <mergeCell ref="G4:H4"/>
    <mergeCell ref="I4:J4"/>
    <mergeCell ref="K4:L4"/>
    <mergeCell ref="M4:N4"/>
    <mergeCell ref="O4:P4"/>
    <mergeCell ref="Q4:R4"/>
    <mergeCell ref="S4:T4"/>
    <mergeCell ref="U4:V4"/>
  </mergeCells>
  <pageMargins left="0.7" right="0.7" top="0.75" bottom="0.75" header="0.3" footer="0.3"/>
  <pageSetup scale="45" orientation="portrait" horizontalDpi="300" verticalDpi="300" r:id="rId1"/>
  <colBreaks count="1" manualBreakCount="1">
    <brk id="23" max="19" man="1"/>
  </colBreaks>
  <extLst>
    <ext xmlns:x14="http://schemas.microsoft.com/office/spreadsheetml/2009/9/main" uri="{78C0D931-6437-407d-A8EE-F0AAD7539E65}">
      <x14:conditionalFormattings>
        <x14:conditionalFormatting xmlns:xm="http://schemas.microsoft.com/office/excel/2006/main">
          <x14:cfRule type="expression" priority="1" id="{AE9B5F98-C355-4D40-94A7-D2A19CCF2935}">
            <xm:f>Datasheet!$B$6="34901A"</xm:f>
            <x14:dxf>
              <numFmt numFmtId="164" formatCode="0.0"/>
            </x14:dxf>
          </x14:cfRule>
          <xm:sqref>AC6:AD12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567A1-B754-4AAA-AE73-0E95388AC0C3}">
  <sheetPr codeName="Sheet8"/>
  <dimension ref="B1:AD22"/>
  <sheetViews>
    <sheetView zoomScaleNormal="100" workbookViewId="0">
      <selection activeCell="G11" sqref="G11:J11"/>
    </sheetView>
  </sheetViews>
  <sheetFormatPr defaultRowHeight="15"/>
  <cols>
    <col min="1" max="1" width="4.28515625" style="50" customWidth="1"/>
    <col min="2" max="22" width="9.140625" style="50"/>
    <col min="23" max="24" width="2.85546875" style="50" customWidth="1"/>
    <col min="25" max="16384" width="9.140625" style="50"/>
  </cols>
  <sheetData>
    <row r="1" spans="2:30" ht="15.75" thickBot="1"/>
    <row r="2" spans="2:30" ht="15" customHeight="1">
      <c r="B2" s="280" t="e">
        <f>"Measurement Uncertainty Analysis (Type J "&amp;ROUND(Datasheet!C23,0)&amp;"°C test point)
The reported value ("&amp;ROUND(AC11,1)&amp;") is the mean UUT indication five (5) test runs"</f>
        <v>#DIV/0!</v>
      </c>
      <c r="C2" s="281"/>
      <c r="D2" s="281"/>
      <c r="E2" s="281"/>
      <c r="F2" s="281"/>
      <c r="G2" s="281"/>
      <c r="H2" s="281"/>
      <c r="I2" s="281"/>
      <c r="J2" s="281"/>
      <c r="K2" s="281"/>
      <c r="L2" s="281"/>
      <c r="M2" s="281"/>
      <c r="N2" s="281"/>
      <c r="O2" s="281"/>
      <c r="P2" s="281"/>
      <c r="Q2" s="281"/>
      <c r="R2" s="281"/>
      <c r="S2" s="281"/>
      <c r="T2" s="281"/>
      <c r="U2" s="281"/>
      <c r="V2" s="282"/>
    </row>
    <row r="3" spans="2:30" ht="15.75" thickBot="1">
      <c r="B3" s="283"/>
      <c r="C3" s="284"/>
      <c r="D3" s="284"/>
      <c r="E3" s="284"/>
      <c r="F3" s="284"/>
      <c r="G3" s="284"/>
      <c r="H3" s="284"/>
      <c r="I3" s="284"/>
      <c r="J3" s="284"/>
      <c r="K3" s="284"/>
      <c r="L3" s="284"/>
      <c r="M3" s="284"/>
      <c r="N3" s="284"/>
      <c r="O3" s="284"/>
      <c r="P3" s="284"/>
      <c r="Q3" s="284"/>
      <c r="R3" s="284"/>
      <c r="S3" s="284"/>
      <c r="T3" s="284"/>
      <c r="U3" s="284"/>
      <c r="V3" s="285"/>
    </row>
    <row r="4" spans="2:30" ht="30" customHeight="1">
      <c r="B4" s="71"/>
      <c r="C4" s="216" t="s">
        <v>45</v>
      </c>
      <c r="D4" s="216"/>
      <c r="E4" s="286" t="s">
        <v>46</v>
      </c>
      <c r="F4" s="286"/>
      <c r="G4" s="287" t="s">
        <v>47</v>
      </c>
      <c r="H4" s="287"/>
      <c r="I4" s="286" t="s">
        <v>48</v>
      </c>
      <c r="J4" s="216"/>
      <c r="K4" s="216" t="s">
        <v>49</v>
      </c>
      <c r="L4" s="216"/>
      <c r="M4" s="216" t="s">
        <v>50</v>
      </c>
      <c r="N4" s="216"/>
      <c r="O4" s="286" t="s">
        <v>51</v>
      </c>
      <c r="P4" s="286"/>
      <c r="Q4" s="216" t="s">
        <v>52</v>
      </c>
      <c r="R4" s="216"/>
      <c r="S4" s="216" t="s">
        <v>53</v>
      </c>
      <c r="T4" s="216"/>
      <c r="U4" s="286" t="s">
        <v>54</v>
      </c>
      <c r="V4" s="288"/>
      <c r="Y4" s="277" t="s">
        <v>55</v>
      </c>
      <c r="Z4" s="241"/>
      <c r="AA4" s="241"/>
      <c r="AB4" s="241"/>
      <c r="AC4" s="241" t="s">
        <v>56</v>
      </c>
      <c r="AD4" s="278"/>
    </row>
    <row r="5" spans="2:30" ht="30" customHeight="1" thickBot="1">
      <c r="B5" s="71" t="s">
        <v>57</v>
      </c>
      <c r="C5" s="263" t="s">
        <v>58</v>
      </c>
      <c r="D5" s="263"/>
      <c r="E5" s="254">
        <f>'STD Info'!L16</f>
        <v>0.12</v>
      </c>
      <c r="F5" s="263"/>
      <c r="G5" s="269">
        <v>0.95</v>
      </c>
      <c r="H5" s="263"/>
      <c r="I5" s="263" t="s">
        <v>59</v>
      </c>
      <c r="J5" s="263"/>
      <c r="K5" s="263" t="s">
        <v>60</v>
      </c>
      <c r="L5" s="263"/>
      <c r="M5" s="254">
        <f>NORMSINV(0.975)</f>
        <v>1.9599639845400536</v>
      </c>
      <c r="N5" s="254"/>
      <c r="O5" s="270">
        <f>E5/M5</f>
        <v>6.1225614830958487E-2</v>
      </c>
      <c r="P5" s="270"/>
      <c r="Q5" s="254">
        <v>1</v>
      </c>
      <c r="R5" s="254"/>
      <c r="S5" s="270">
        <f>O5*Q5</f>
        <v>6.1225614830958487E-2</v>
      </c>
      <c r="T5" s="270"/>
      <c r="U5" s="271" t="s">
        <v>61</v>
      </c>
      <c r="V5" s="272"/>
      <c r="Y5" s="217"/>
      <c r="Z5" s="218"/>
      <c r="AA5" s="218"/>
      <c r="AB5" s="218"/>
      <c r="AC5" s="218"/>
      <c r="AD5" s="279"/>
    </row>
    <row r="6" spans="2:30" ht="30" customHeight="1">
      <c r="B6" s="71" t="s">
        <v>62</v>
      </c>
      <c r="C6" s="263" t="s">
        <v>63</v>
      </c>
      <c r="D6" s="263"/>
      <c r="E6" s="263">
        <f>'STD Info'!D9/2</f>
        <v>5.0000000000000001E-3</v>
      </c>
      <c r="F6" s="263"/>
      <c r="G6" s="269">
        <v>1</v>
      </c>
      <c r="H6" s="263"/>
      <c r="I6" s="263" t="s">
        <v>59</v>
      </c>
      <c r="J6" s="263"/>
      <c r="K6" s="263" t="s">
        <v>64</v>
      </c>
      <c r="L6" s="263"/>
      <c r="M6" s="254">
        <f>SQRT(3)</f>
        <v>1.7320508075688772</v>
      </c>
      <c r="N6" s="254"/>
      <c r="O6" s="270">
        <f>E6/M6</f>
        <v>2.886751345948129E-3</v>
      </c>
      <c r="P6" s="270"/>
      <c r="Q6" s="254">
        <v>1</v>
      </c>
      <c r="R6" s="254"/>
      <c r="S6" s="270">
        <f>O6*Q6</f>
        <v>2.886751345948129E-3</v>
      </c>
      <c r="T6" s="270"/>
      <c r="U6" s="271" t="s">
        <v>61</v>
      </c>
      <c r="V6" s="272"/>
      <c r="Y6" s="274">
        <v>1</v>
      </c>
      <c r="Z6" s="266"/>
      <c r="AA6" s="266"/>
      <c r="AB6" s="266"/>
      <c r="AC6" s="275"/>
      <c r="AD6" s="276"/>
    </row>
    <row r="7" spans="2:30" ht="30" customHeight="1">
      <c r="B7" s="71" t="s">
        <v>65</v>
      </c>
      <c r="C7" s="263" t="s">
        <v>66</v>
      </c>
      <c r="D7" s="263"/>
      <c r="E7" s="263">
        <f>IF(Datasheet!B6="DAQM901A",'UUT Info'!D9/2,'UUT Info'!P9/2)</f>
        <v>0.05</v>
      </c>
      <c r="F7" s="263"/>
      <c r="G7" s="269">
        <v>1</v>
      </c>
      <c r="H7" s="263"/>
      <c r="I7" s="263" t="s">
        <v>59</v>
      </c>
      <c r="J7" s="263"/>
      <c r="K7" s="263" t="s">
        <v>64</v>
      </c>
      <c r="L7" s="263"/>
      <c r="M7" s="254">
        <f>SQRT(3)</f>
        <v>1.7320508075688772</v>
      </c>
      <c r="N7" s="254"/>
      <c r="O7" s="270">
        <f>E7/M7</f>
        <v>2.8867513459481291E-2</v>
      </c>
      <c r="P7" s="270"/>
      <c r="Q7" s="254">
        <v>1</v>
      </c>
      <c r="R7" s="254"/>
      <c r="S7" s="270">
        <f>O7*Q7</f>
        <v>2.8867513459481291E-2</v>
      </c>
      <c r="T7" s="270"/>
      <c r="U7" s="271" t="s">
        <v>61</v>
      </c>
      <c r="V7" s="272"/>
      <c r="Y7" s="262">
        <v>2</v>
      </c>
      <c r="Z7" s="263"/>
      <c r="AA7" s="263"/>
      <c r="AB7" s="263"/>
      <c r="AC7" s="264"/>
      <c r="AD7" s="265"/>
    </row>
    <row r="8" spans="2:30" ht="30" customHeight="1" thickBot="1">
      <c r="B8" s="70" t="s">
        <v>67</v>
      </c>
      <c r="C8" s="266" t="s">
        <v>68</v>
      </c>
      <c r="D8" s="266"/>
      <c r="E8" s="267" t="e">
        <f>AC15</f>
        <v>#DIV/0!</v>
      </c>
      <c r="F8" s="267"/>
      <c r="G8" s="268">
        <v>0.68</v>
      </c>
      <c r="H8" s="266"/>
      <c r="I8" s="266" t="s">
        <v>69</v>
      </c>
      <c r="J8" s="266"/>
      <c r="K8" s="266" t="s">
        <v>60</v>
      </c>
      <c r="L8" s="266"/>
      <c r="M8" s="252" t="s">
        <v>70</v>
      </c>
      <c r="N8" s="252"/>
      <c r="O8" s="267" t="e">
        <f>E8/1</f>
        <v>#DIV/0!</v>
      </c>
      <c r="P8" s="267"/>
      <c r="Q8" s="252">
        <v>1</v>
      </c>
      <c r="R8" s="252"/>
      <c r="S8" s="267" t="e">
        <f>O8*Q8</f>
        <v>#DIV/0!</v>
      </c>
      <c r="T8" s="267"/>
      <c r="U8" s="266">
        <f>Y10-1</f>
        <v>4</v>
      </c>
      <c r="V8" s="273"/>
      <c r="Y8" s="262">
        <v>3</v>
      </c>
      <c r="Z8" s="263"/>
      <c r="AA8" s="263"/>
      <c r="AB8" s="263"/>
      <c r="AC8" s="264"/>
      <c r="AD8" s="265"/>
    </row>
    <row r="9" spans="2:30" ht="30" customHeight="1">
      <c r="B9" s="72" t="s">
        <v>71</v>
      </c>
      <c r="C9" s="241" t="s">
        <v>72</v>
      </c>
      <c r="D9" s="241"/>
      <c r="E9" s="241"/>
      <c r="F9" s="241"/>
      <c r="G9" s="242" t="e">
        <f>SQRT(SUMSQ(S5:T8))</f>
        <v>#DIV/0!</v>
      </c>
      <c r="H9" s="242"/>
      <c r="I9" s="242"/>
      <c r="J9" s="242"/>
      <c r="K9" s="243" t="s">
        <v>138</v>
      </c>
      <c r="L9" s="244"/>
      <c r="M9" s="244"/>
      <c r="N9" s="244"/>
      <c r="O9" s="244"/>
      <c r="P9" s="244"/>
      <c r="Q9" s="244"/>
      <c r="R9" s="244"/>
      <c r="S9" s="244"/>
      <c r="T9" s="244"/>
      <c r="U9" s="244"/>
      <c r="V9" s="245"/>
      <c r="Y9" s="262">
        <v>4</v>
      </c>
      <c r="Z9" s="263"/>
      <c r="AA9" s="263"/>
      <c r="AB9" s="263"/>
      <c r="AC9" s="264"/>
      <c r="AD9" s="265"/>
    </row>
    <row r="10" spans="2:30" ht="30" customHeight="1" thickBot="1">
      <c r="B10" s="69" t="s">
        <v>74</v>
      </c>
      <c r="C10" s="216" t="s">
        <v>75</v>
      </c>
      <c r="D10" s="216"/>
      <c r="E10" s="216"/>
      <c r="F10" s="216"/>
      <c r="G10" s="256" t="e">
        <f>ROUND(AC11,1) &amp; "°C ± " &amp; I20 &amp;"°C"</f>
        <v>#DIV/0!</v>
      </c>
      <c r="H10" s="256"/>
      <c r="I10" s="256"/>
      <c r="J10" s="256"/>
      <c r="K10" s="246"/>
      <c r="L10" s="246"/>
      <c r="M10" s="246"/>
      <c r="N10" s="246"/>
      <c r="O10" s="246"/>
      <c r="P10" s="246"/>
      <c r="Q10" s="246"/>
      <c r="R10" s="246"/>
      <c r="S10" s="246"/>
      <c r="T10" s="246"/>
      <c r="U10" s="246"/>
      <c r="V10" s="247"/>
      <c r="Y10" s="260">
        <v>5</v>
      </c>
      <c r="Z10" s="261"/>
      <c r="AA10" s="261"/>
      <c r="AB10" s="261"/>
      <c r="AC10" s="239"/>
      <c r="AD10" s="240"/>
    </row>
    <row r="11" spans="2:30" ht="30" customHeight="1" thickBot="1">
      <c r="B11" s="257" t="s">
        <v>76</v>
      </c>
      <c r="C11" s="258"/>
      <c r="D11" s="258"/>
      <c r="E11" s="258"/>
      <c r="F11" s="258"/>
      <c r="G11" s="259" t="e">
        <f>IF(S8=0,10000000000,IF(U8*((G9^4)/(S8^4))&gt;10000000000,10000000000,U8*((G9^4)/(S8^4))))</f>
        <v>#DIV/0!</v>
      </c>
      <c r="H11" s="259"/>
      <c r="I11" s="259"/>
      <c r="J11" s="259"/>
      <c r="K11" s="248"/>
      <c r="L11" s="248"/>
      <c r="M11" s="248"/>
      <c r="N11" s="248"/>
      <c r="O11" s="248"/>
      <c r="P11" s="248"/>
      <c r="Q11" s="248"/>
      <c r="R11" s="248"/>
      <c r="S11" s="248"/>
      <c r="T11" s="248"/>
      <c r="U11" s="248"/>
      <c r="V11" s="249"/>
      <c r="X11" s="54"/>
      <c r="Y11" s="250" t="s">
        <v>73</v>
      </c>
      <c r="Z11" s="251"/>
      <c r="AA11" s="251"/>
      <c r="AB11" s="251"/>
      <c r="AC11" s="252" t="e">
        <f>AVERAGE(AC6:AD10)</f>
        <v>#DIV/0!</v>
      </c>
      <c r="AD11" s="253"/>
    </row>
    <row r="12" spans="2:30" ht="30" customHeight="1" thickTop="1">
      <c r="B12" s="227" t="s">
        <v>78</v>
      </c>
      <c r="C12" s="228"/>
      <c r="D12" s="228"/>
      <c r="E12" s="228"/>
      <c r="F12" s="228"/>
      <c r="G12" s="229" t="s">
        <v>79</v>
      </c>
      <c r="H12" s="229"/>
      <c r="I12" s="229"/>
      <c r="J12" s="229"/>
      <c r="K12" s="229"/>
      <c r="L12" s="229"/>
      <c r="M12" s="229"/>
      <c r="N12" s="229"/>
      <c r="O12" s="229"/>
      <c r="P12" s="229"/>
      <c r="Q12" s="229"/>
      <c r="R12" s="229"/>
      <c r="S12" s="229"/>
      <c r="T12" s="229"/>
      <c r="U12" s="229"/>
      <c r="V12" s="230"/>
      <c r="X12" s="54"/>
      <c r="Y12" s="215"/>
      <c r="Z12" s="216"/>
      <c r="AA12" s="216"/>
      <c r="AB12" s="216"/>
      <c r="AC12" s="254"/>
      <c r="AD12" s="255"/>
    </row>
    <row r="13" spans="2:30" ht="30" customHeight="1">
      <c r="B13" s="223" t="s">
        <v>80</v>
      </c>
      <c r="C13" s="224"/>
      <c r="D13" s="224"/>
      <c r="E13" s="224"/>
      <c r="F13" s="224"/>
      <c r="G13" s="231" t="s">
        <v>81</v>
      </c>
      <c r="H13" s="231"/>
      <c r="I13" s="231"/>
      <c r="J13" s="231"/>
      <c r="K13" s="231"/>
      <c r="L13" s="231"/>
      <c r="M13" s="231"/>
      <c r="N13" s="231"/>
      <c r="O13" s="231"/>
      <c r="P13" s="231"/>
      <c r="Q13" s="231"/>
      <c r="R13" s="231"/>
      <c r="S13" s="231"/>
      <c r="T13" s="231"/>
      <c r="U13" s="231"/>
      <c r="V13" s="232"/>
      <c r="Y13" s="215" t="s">
        <v>77</v>
      </c>
      <c r="Z13" s="216"/>
      <c r="AA13" s="216"/>
      <c r="AB13" s="216"/>
      <c r="AC13" s="219" t="e">
        <f>_xlfn.STDEV.S(AC6:AD10)</f>
        <v>#DIV/0!</v>
      </c>
      <c r="AD13" s="220"/>
    </row>
    <row r="14" spans="2:30">
      <c r="B14" s="223" t="s">
        <v>83</v>
      </c>
      <c r="C14" s="224"/>
      <c r="D14" s="224"/>
      <c r="E14" s="224"/>
      <c r="F14" s="224"/>
      <c r="G14" s="225" t="s">
        <v>84</v>
      </c>
      <c r="H14" s="225"/>
      <c r="I14" s="225"/>
      <c r="J14" s="225"/>
      <c r="K14" s="225"/>
      <c r="L14" s="225"/>
      <c r="M14" s="225"/>
      <c r="N14" s="225"/>
      <c r="O14" s="225"/>
      <c r="P14" s="225"/>
      <c r="Q14" s="225"/>
      <c r="R14" s="225"/>
      <c r="S14" s="225"/>
      <c r="T14" s="225"/>
      <c r="U14" s="225"/>
      <c r="V14" s="226"/>
      <c r="Y14" s="215"/>
      <c r="Z14" s="216"/>
      <c r="AA14" s="216"/>
      <c r="AB14" s="216"/>
      <c r="AC14" s="219"/>
      <c r="AD14" s="220"/>
    </row>
    <row r="15" spans="2:30">
      <c r="B15" s="223"/>
      <c r="C15" s="224"/>
      <c r="D15" s="224"/>
      <c r="E15" s="224"/>
      <c r="F15" s="224"/>
      <c r="G15" s="225"/>
      <c r="H15" s="225"/>
      <c r="I15" s="225"/>
      <c r="J15" s="225"/>
      <c r="K15" s="225"/>
      <c r="L15" s="225"/>
      <c r="M15" s="225"/>
      <c r="N15" s="225"/>
      <c r="O15" s="225"/>
      <c r="P15" s="225"/>
      <c r="Q15" s="225"/>
      <c r="R15" s="225"/>
      <c r="S15" s="225"/>
      <c r="T15" s="225"/>
      <c r="U15" s="225"/>
      <c r="V15" s="226"/>
      <c r="Y15" s="215" t="s">
        <v>82</v>
      </c>
      <c r="Z15" s="216"/>
      <c r="AA15" s="216"/>
      <c r="AB15" s="216"/>
      <c r="AC15" s="219" t="e">
        <f>AC13/SQRT(Y10)</f>
        <v>#DIV/0!</v>
      </c>
      <c r="AD15" s="220"/>
    </row>
    <row r="16" spans="2:30" ht="15.75" thickBot="1">
      <c r="B16" s="223"/>
      <c r="C16" s="224"/>
      <c r="D16" s="224"/>
      <c r="E16" s="224"/>
      <c r="F16" s="224"/>
      <c r="G16" s="225"/>
      <c r="H16" s="225"/>
      <c r="I16" s="225"/>
      <c r="J16" s="225"/>
      <c r="K16" s="225"/>
      <c r="L16" s="225"/>
      <c r="M16" s="225"/>
      <c r="N16" s="225"/>
      <c r="O16" s="225"/>
      <c r="P16" s="225"/>
      <c r="Q16" s="225"/>
      <c r="R16" s="225"/>
      <c r="S16" s="225"/>
      <c r="T16" s="225"/>
      <c r="U16" s="225"/>
      <c r="V16" s="226"/>
      <c r="Y16" s="217"/>
      <c r="Z16" s="218"/>
      <c r="AA16" s="218"/>
      <c r="AB16" s="218"/>
      <c r="AC16" s="221"/>
      <c r="AD16" s="222"/>
    </row>
    <row r="17" spans="2:22" ht="15.75" thickBot="1">
      <c r="B17" s="233" t="s">
        <v>85</v>
      </c>
      <c r="C17" s="234"/>
      <c r="D17" s="234"/>
      <c r="E17" s="234"/>
      <c r="F17" s="234"/>
      <c r="G17" s="235" t="s">
        <v>86</v>
      </c>
      <c r="H17" s="235"/>
      <c r="I17" s="235"/>
      <c r="J17" s="235"/>
      <c r="K17" s="235"/>
      <c r="L17" s="235"/>
      <c r="M17" s="235"/>
      <c r="N17" s="235"/>
      <c r="O17" s="235"/>
      <c r="P17" s="235"/>
      <c r="Q17" s="235"/>
      <c r="R17" s="235"/>
      <c r="S17" s="235"/>
      <c r="T17" s="235"/>
      <c r="U17" s="235"/>
      <c r="V17" s="236"/>
    </row>
    <row r="19" spans="2:22">
      <c r="G19" s="237" t="s">
        <v>87</v>
      </c>
      <c r="H19" s="237"/>
      <c r="I19" s="238" t="e">
        <f>TINV(0.05,G11)</f>
        <v>#DIV/0!</v>
      </c>
      <c r="J19" s="238"/>
    </row>
    <row r="20" spans="2:22">
      <c r="G20" s="237" t="s">
        <v>88</v>
      </c>
      <c r="H20" s="237"/>
      <c r="I20" s="85" t="e">
        <f>ROUND(I19*G9,1)</f>
        <v>#DIV/0!</v>
      </c>
      <c r="J20" s="85"/>
    </row>
    <row r="21" spans="2:22" ht="30" customHeight="1"/>
    <row r="22" spans="2:22" ht="30" customHeight="1"/>
  </sheetData>
  <mergeCells count="87">
    <mergeCell ref="B2:V3"/>
    <mergeCell ref="C4:D4"/>
    <mergeCell ref="E4:F4"/>
    <mergeCell ref="G4:H4"/>
    <mergeCell ref="I4:J4"/>
    <mergeCell ref="K4:L4"/>
    <mergeCell ref="M4:N4"/>
    <mergeCell ref="O4:P4"/>
    <mergeCell ref="Q4:R4"/>
    <mergeCell ref="S4:T4"/>
    <mergeCell ref="U4:V4"/>
    <mergeCell ref="M5:N5"/>
    <mergeCell ref="O5:P5"/>
    <mergeCell ref="Q5:R5"/>
    <mergeCell ref="S5:T5"/>
    <mergeCell ref="U5:V5"/>
    <mergeCell ref="C5:D5"/>
    <mergeCell ref="E5:F5"/>
    <mergeCell ref="G5:H5"/>
    <mergeCell ref="I5:J5"/>
    <mergeCell ref="K5:L5"/>
    <mergeCell ref="AC6:AD6"/>
    <mergeCell ref="AC7:AD7"/>
    <mergeCell ref="Y7:AB7"/>
    <mergeCell ref="Y4:AB5"/>
    <mergeCell ref="AC4:AD5"/>
    <mergeCell ref="C6:D6"/>
    <mergeCell ref="E6:F6"/>
    <mergeCell ref="G6:H6"/>
    <mergeCell ref="I6:J6"/>
    <mergeCell ref="K6:L6"/>
    <mergeCell ref="M6:N6"/>
    <mergeCell ref="O6:P6"/>
    <mergeCell ref="Q6:R6"/>
    <mergeCell ref="S6:T6"/>
    <mergeCell ref="Y8:AB8"/>
    <mergeCell ref="U6:V6"/>
    <mergeCell ref="Y6:AB6"/>
    <mergeCell ref="AC8:AD8"/>
    <mergeCell ref="C7:D7"/>
    <mergeCell ref="E7:F7"/>
    <mergeCell ref="G7:H7"/>
    <mergeCell ref="I7:J7"/>
    <mergeCell ref="K7:L7"/>
    <mergeCell ref="M7:N7"/>
    <mergeCell ref="O7:P7"/>
    <mergeCell ref="Q7:R7"/>
    <mergeCell ref="S7:T7"/>
    <mergeCell ref="U7:V7"/>
    <mergeCell ref="M8:N8"/>
    <mergeCell ref="O8:P8"/>
    <mergeCell ref="Q8:R8"/>
    <mergeCell ref="S8:T8"/>
    <mergeCell ref="U8:V8"/>
    <mergeCell ref="C8:D8"/>
    <mergeCell ref="E8:F8"/>
    <mergeCell ref="G8:H8"/>
    <mergeCell ref="I8:J8"/>
    <mergeCell ref="K8:L8"/>
    <mergeCell ref="G19:H19"/>
    <mergeCell ref="I19:J19"/>
    <mergeCell ref="G20:H20"/>
    <mergeCell ref="AC10:AD10"/>
    <mergeCell ref="C9:F9"/>
    <mergeCell ref="G9:J9"/>
    <mergeCell ref="K9:V11"/>
    <mergeCell ref="Y11:AB12"/>
    <mergeCell ref="AC11:AD12"/>
    <mergeCell ref="C10:F10"/>
    <mergeCell ref="G10:J10"/>
    <mergeCell ref="B11:F11"/>
    <mergeCell ref="G11:J11"/>
    <mergeCell ref="Y10:AB10"/>
    <mergeCell ref="Y9:AB9"/>
    <mergeCell ref="AC9:AD9"/>
    <mergeCell ref="B12:F12"/>
    <mergeCell ref="G12:V12"/>
    <mergeCell ref="B13:F13"/>
    <mergeCell ref="G13:V13"/>
    <mergeCell ref="B17:F17"/>
    <mergeCell ref="G17:V17"/>
    <mergeCell ref="Y15:AB16"/>
    <mergeCell ref="AC15:AD16"/>
    <mergeCell ref="B14:F16"/>
    <mergeCell ref="G14:V16"/>
    <mergeCell ref="Y13:AB14"/>
    <mergeCell ref="AC13:AD14"/>
  </mergeCells>
  <pageMargins left="0.7" right="0.7" top="0.75" bottom="0.75" header="0.3" footer="0.3"/>
  <pageSetup scale="45" orientation="portrait" horizontalDpi="300" verticalDpi="300" r:id="rId1"/>
  <colBreaks count="1" manualBreakCount="1">
    <brk id="23" max="19" man="1"/>
  </colBreaks>
  <extLst>
    <ext xmlns:x14="http://schemas.microsoft.com/office/spreadsheetml/2009/9/main" uri="{78C0D931-6437-407d-A8EE-F0AAD7539E65}">
      <x14:conditionalFormattings>
        <x14:conditionalFormatting xmlns:xm="http://schemas.microsoft.com/office/excel/2006/main">
          <x14:cfRule type="expression" priority="1" id="{0B7999DA-5071-4651-8E5C-E0ED498B6CCF}">
            <xm:f>Datasheet!$B$6="34901A"</xm:f>
            <x14:dxf>
              <numFmt numFmtId="164" formatCode="0.0"/>
            </x14:dxf>
          </x14:cfRule>
          <xm:sqref>AC6:AD12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3C1CD-D8BA-42CA-846C-30CCDE53B19D}">
  <sheetPr codeName="Sheet9"/>
  <dimension ref="B1:AD22"/>
  <sheetViews>
    <sheetView zoomScaleNormal="100" workbookViewId="0">
      <selection activeCell="G11" sqref="G11:J11"/>
    </sheetView>
  </sheetViews>
  <sheetFormatPr defaultRowHeight="15"/>
  <cols>
    <col min="1" max="1" width="4.28515625" style="50" customWidth="1"/>
    <col min="2" max="22" width="9.140625" style="50"/>
    <col min="23" max="24" width="2.85546875" style="50" customWidth="1"/>
    <col min="25" max="16384" width="9.140625" style="50"/>
  </cols>
  <sheetData>
    <row r="1" spans="2:30" ht="15.75" thickBot="1"/>
    <row r="2" spans="2:30" ht="15" customHeight="1">
      <c r="B2" s="280" t="e">
        <f>"Measurement Uncertainty Analysis (Type J "&amp;ROUND(Datasheet!C24,0)&amp;"°C test point)
The reported value ("&amp;ROUND(AC11,1)&amp;") is the mean UUT indication five (5) test runs"</f>
        <v>#DIV/0!</v>
      </c>
      <c r="C2" s="281"/>
      <c r="D2" s="281"/>
      <c r="E2" s="281"/>
      <c r="F2" s="281"/>
      <c r="G2" s="281"/>
      <c r="H2" s="281"/>
      <c r="I2" s="281"/>
      <c r="J2" s="281"/>
      <c r="K2" s="281"/>
      <c r="L2" s="281"/>
      <c r="M2" s="281"/>
      <c r="N2" s="281"/>
      <c r="O2" s="281"/>
      <c r="P2" s="281"/>
      <c r="Q2" s="281"/>
      <c r="R2" s="281"/>
      <c r="S2" s="281"/>
      <c r="T2" s="281"/>
      <c r="U2" s="281"/>
      <c r="V2" s="282"/>
    </row>
    <row r="3" spans="2:30" ht="15.75" thickBot="1">
      <c r="B3" s="283"/>
      <c r="C3" s="284"/>
      <c r="D3" s="284"/>
      <c r="E3" s="284"/>
      <c r="F3" s="284"/>
      <c r="G3" s="284"/>
      <c r="H3" s="284"/>
      <c r="I3" s="284"/>
      <c r="J3" s="284"/>
      <c r="K3" s="284"/>
      <c r="L3" s="284"/>
      <c r="M3" s="284"/>
      <c r="N3" s="284"/>
      <c r="O3" s="284"/>
      <c r="P3" s="284"/>
      <c r="Q3" s="284"/>
      <c r="R3" s="284"/>
      <c r="S3" s="284"/>
      <c r="T3" s="284"/>
      <c r="U3" s="284"/>
      <c r="V3" s="285"/>
    </row>
    <row r="4" spans="2:30" ht="30" customHeight="1">
      <c r="B4" s="71"/>
      <c r="C4" s="216" t="s">
        <v>45</v>
      </c>
      <c r="D4" s="216"/>
      <c r="E4" s="286" t="s">
        <v>46</v>
      </c>
      <c r="F4" s="286"/>
      <c r="G4" s="287" t="s">
        <v>47</v>
      </c>
      <c r="H4" s="287"/>
      <c r="I4" s="286" t="s">
        <v>48</v>
      </c>
      <c r="J4" s="216"/>
      <c r="K4" s="216" t="s">
        <v>49</v>
      </c>
      <c r="L4" s="216"/>
      <c r="M4" s="216" t="s">
        <v>50</v>
      </c>
      <c r="N4" s="216"/>
      <c r="O4" s="286" t="s">
        <v>51</v>
      </c>
      <c r="P4" s="286"/>
      <c r="Q4" s="216" t="s">
        <v>52</v>
      </c>
      <c r="R4" s="216"/>
      <c r="S4" s="216" t="s">
        <v>53</v>
      </c>
      <c r="T4" s="216"/>
      <c r="U4" s="286" t="s">
        <v>54</v>
      </c>
      <c r="V4" s="288"/>
      <c r="Y4" s="277" t="s">
        <v>55</v>
      </c>
      <c r="Z4" s="241"/>
      <c r="AA4" s="241"/>
      <c r="AB4" s="241"/>
      <c r="AC4" s="241" t="s">
        <v>56</v>
      </c>
      <c r="AD4" s="278"/>
    </row>
    <row r="5" spans="2:30" ht="30" customHeight="1" thickBot="1">
      <c r="B5" s="71" t="s">
        <v>57</v>
      </c>
      <c r="C5" s="263" t="s">
        <v>58</v>
      </c>
      <c r="D5" s="263"/>
      <c r="E5" s="254">
        <f>'STD Info'!L18</f>
        <v>0.08</v>
      </c>
      <c r="F5" s="263"/>
      <c r="G5" s="269">
        <v>0.95</v>
      </c>
      <c r="H5" s="263"/>
      <c r="I5" s="263" t="s">
        <v>59</v>
      </c>
      <c r="J5" s="263"/>
      <c r="K5" s="263" t="s">
        <v>60</v>
      </c>
      <c r="L5" s="263"/>
      <c r="M5" s="254">
        <f>NORMSINV((1+0.95)/2)</f>
        <v>1.9599639845400536</v>
      </c>
      <c r="N5" s="254"/>
      <c r="O5" s="270">
        <f>E5/M5</f>
        <v>4.0817076553972327E-2</v>
      </c>
      <c r="P5" s="270"/>
      <c r="Q5" s="254">
        <v>1</v>
      </c>
      <c r="R5" s="254"/>
      <c r="S5" s="270">
        <f>O5*Q5</f>
        <v>4.0817076553972327E-2</v>
      </c>
      <c r="T5" s="270"/>
      <c r="U5" s="271" t="s">
        <v>61</v>
      </c>
      <c r="V5" s="272"/>
      <c r="Y5" s="217"/>
      <c r="Z5" s="218"/>
      <c r="AA5" s="218"/>
      <c r="AB5" s="218"/>
      <c r="AC5" s="218"/>
      <c r="AD5" s="279"/>
    </row>
    <row r="6" spans="2:30" ht="30" customHeight="1">
      <c r="B6" s="71" t="s">
        <v>62</v>
      </c>
      <c r="C6" s="263" t="s">
        <v>63</v>
      </c>
      <c r="D6" s="263"/>
      <c r="E6" s="263">
        <f>'STD Info'!D9/2</f>
        <v>5.0000000000000001E-3</v>
      </c>
      <c r="F6" s="263"/>
      <c r="G6" s="269">
        <v>1</v>
      </c>
      <c r="H6" s="263"/>
      <c r="I6" s="263" t="s">
        <v>59</v>
      </c>
      <c r="J6" s="263"/>
      <c r="K6" s="263" t="s">
        <v>64</v>
      </c>
      <c r="L6" s="263"/>
      <c r="M6" s="254">
        <f>SQRT(3)</f>
        <v>1.7320508075688772</v>
      </c>
      <c r="N6" s="254"/>
      <c r="O6" s="270">
        <f>E6/M6</f>
        <v>2.886751345948129E-3</v>
      </c>
      <c r="P6" s="270"/>
      <c r="Q6" s="254">
        <v>1</v>
      </c>
      <c r="R6" s="254"/>
      <c r="S6" s="270">
        <f>O6*Q6</f>
        <v>2.886751345948129E-3</v>
      </c>
      <c r="T6" s="270"/>
      <c r="U6" s="271" t="s">
        <v>61</v>
      </c>
      <c r="V6" s="272"/>
      <c r="Y6" s="274">
        <v>1</v>
      </c>
      <c r="Z6" s="266"/>
      <c r="AA6" s="266"/>
      <c r="AB6" s="266"/>
      <c r="AC6" s="275"/>
      <c r="AD6" s="276"/>
    </row>
    <row r="7" spans="2:30" ht="30" customHeight="1">
      <c r="B7" s="71" t="s">
        <v>65</v>
      </c>
      <c r="C7" s="263" t="s">
        <v>66</v>
      </c>
      <c r="D7" s="263"/>
      <c r="E7" s="263">
        <f>IF(Datasheet!B6="DAQM901A",'UUT Info'!D9/2,'UUT Info'!P9/2)</f>
        <v>0.05</v>
      </c>
      <c r="F7" s="263"/>
      <c r="G7" s="269">
        <v>1</v>
      </c>
      <c r="H7" s="263"/>
      <c r="I7" s="263" t="s">
        <v>59</v>
      </c>
      <c r="J7" s="263"/>
      <c r="K7" s="263" t="s">
        <v>64</v>
      </c>
      <c r="L7" s="263"/>
      <c r="M7" s="254">
        <f>SQRT(3)</f>
        <v>1.7320508075688772</v>
      </c>
      <c r="N7" s="254"/>
      <c r="O7" s="270">
        <f>E7/M7</f>
        <v>2.8867513459481291E-2</v>
      </c>
      <c r="P7" s="270"/>
      <c r="Q7" s="254">
        <v>1</v>
      </c>
      <c r="R7" s="254"/>
      <c r="S7" s="270">
        <f>O7*Q7</f>
        <v>2.8867513459481291E-2</v>
      </c>
      <c r="T7" s="270"/>
      <c r="U7" s="271" t="s">
        <v>61</v>
      </c>
      <c r="V7" s="272"/>
      <c r="Y7" s="262">
        <v>2</v>
      </c>
      <c r="Z7" s="263"/>
      <c r="AA7" s="263"/>
      <c r="AB7" s="263"/>
      <c r="AC7" s="264"/>
      <c r="AD7" s="265"/>
    </row>
    <row r="8" spans="2:30" ht="30" customHeight="1" thickBot="1">
      <c r="B8" s="70" t="s">
        <v>67</v>
      </c>
      <c r="C8" s="266" t="s">
        <v>68</v>
      </c>
      <c r="D8" s="266"/>
      <c r="E8" s="267" t="e">
        <f>AC15</f>
        <v>#DIV/0!</v>
      </c>
      <c r="F8" s="267"/>
      <c r="G8" s="268">
        <v>0.68</v>
      </c>
      <c r="H8" s="266"/>
      <c r="I8" s="266" t="s">
        <v>69</v>
      </c>
      <c r="J8" s="266"/>
      <c r="K8" s="266" t="s">
        <v>60</v>
      </c>
      <c r="L8" s="266"/>
      <c r="M8" s="252" t="s">
        <v>70</v>
      </c>
      <c r="N8" s="252"/>
      <c r="O8" s="267" t="e">
        <f>E8/1</f>
        <v>#DIV/0!</v>
      </c>
      <c r="P8" s="267"/>
      <c r="Q8" s="252">
        <v>1</v>
      </c>
      <c r="R8" s="252"/>
      <c r="S8" s="267" t="e">
        <f>O8*Q8</f>
        <v>#DIV/0!</v>
      </c>
      <c r="T8" s="267"/>
      <c r="U8" s="266">
        <f>Y10-1</f>
        <v>4</v>
      </c>
      <c r="V8" s="273"/>
      <c r="Y8" s="262">
        <v>3</v>
      </c>
      <c r="Z8" s="263"/>
      <c r="AA8" s="263"/>
      <c r="AB8" s="263"/>
      <c r="AC8" s="264"/>
      <c r="AD8" s="265"/>
    </row>
    <row r="9" spans="2:30" ht="30" customHeight="1">
      <c r="B9" s="72" t="s">
        <v>71</v>
      </c>
      <c r="C9" s="241" t="s">
        <v>72</v>
      </c>
      <c r="D9" s="241"/>
      <c r="E9" s="241"/>
      <c r="F9" s="241"/>
      <c r="G9" s="242" t="e">
        <f>SQRT(SUMSQ(S5:T8))</f>
        <v>#DIV/0!</v>
      </c>
      <c r="H9" s="242"/>
      <c r="I9" s="242"/>
      <c r="J9" s="242"/>
      <c r="K9" s="243" t="s">
        <v>138</v>
      </c>
      <c r="L9" s="244"/>
      <c r="M9" s="244"/>
      <c r="N9" s="244"/>
      <c r="O9" s="244"/>
      <c r="P9" s="244"/>
      <c r="Q9" s="244"/>
      <c r="R9" s="244"/>
      <c r="S9" s="244"/>
      <c r="T9" s="244"/>
      <c r="U9" s="244"/>
      <c r="V9" s="245"/>
      <c r="Y9" s="262">
        <v>4</v>
      </c>
      <c r="Z9" s="263"/>
      <c r="AA9" s="263"/>
      <c r="AB9" s="263"/>
      <c r="AC9" s="264"/>
      <c r="AD9" s="265"/>
    </row>
    <row r="10" spans="2:30" ht="30" customHeight="1" thickBot="1">
      <c r="B10" s="69" t="s">
        <v>74</v>
      </c>
      <c r="C10" s="216" t="s">
        <v>75</v>
      </c>
      <c r="D10" s="216"/>
      <c r="E10" s="216"/>
      <c r="F10" s="216"/>
      <c r="G10" s="256" t="e">
        <f>ROUND(AC11,1) &amp; "°C ± " &amp; I20 &amp;"°C"</f>
        <v>#DIV/0!</v>
      </c>
      <c r="H10" s="256"/>
      <c r="I10" s="256"/>
      <c r="J10" s="256"/>
      <c r="K10" s="246"/>
      <c r="L10" s="246"/>
      <c r="M10" s="246"/>
      <c r="N10" s="246"/>
      <c r="O10" s="246"/>
      <c r="P10" s="246"/>
      <c r="Q10" s="246"/>
      <c r="R10" s="246"/>
      <c r="S10" s="246"/>
      <c r="T10" s="246"/>
      <c r="U10" s="246"/>
      <c r="V10" s="247"/>
      <c r="Y10" s="260">
        <v>5</v>
      </c>
      <c r="Z10" s="261"/>
      <c r="AA10" s="261"/>
      <c r="AB10" s="261"/>
      <c r="AC10" s="239"/>
      <c r="AD10" s="240"/>
    </row>
    <row r="11" spans="2:30" ht="30" customHeight="1" thickBot="1">
      <c r="B11" s="257" t="s">
        <v>76</v>
      </c>
      <c r="C11" s="258"/>
      <c r="D11" s="258"/>
      <c r="E11" s="258"/>
      <c r="F11" s="258"/>
      <c r="G11" s="259" t="e">
        <f>IF(S8=0,10000000000,IF(U8*((G9^4)/(S8^4))&gt;10000000000,10000000000,U8*((G9^4)/(S8^4))))</f>
        <v>#DIV/0!</v>
      </c>
      <c r="H11" s="259"/>
      <c r="I11" s="259"/>
      <c r="J11" s="259"/>
      <c r="K11" s="248"/>
      <c r="L11" s="248"/>
      <c r="M11" s="248"/>
      <c r="N11" s="248"/>
      <c r="O11" s="248"/>
      <c r="P11" s="248"/>
      <c r="Q11" s="248"/>
      <c r="R11" s="248"/>
      <c r="S11" s="248"/>
      <c r="T11" s="248"/>
      <c r="U11" s="248"/>
      <c r="V11" s="249"/>
      <c r="X11" s="54"/>
      <c r="Y11" s="250" t="s">
        <v>73</v>
      </c>
      <c r="Z11" s="251"/>
      <c r="AA11" s="251"/>
      <c r="AB11" s="251"/>
      <c r="AC11" s="252" t="e">
        <f>AVERAGE(AC6:AD10)</f>
        <v>#DIV/0!</v>
      </c>
      <c r="AD11" s="253"/>
    </row>
    <row r="12" spans="2:30" ht="30" customHeight="1" thickTop="1">
      <c r="B12" s="227" t="s">
        <v>78</v>
      </c>
      <c r="C12" s="228"/>
      <c r="D12" s="228"/>
      <c r="E12" s="228"/>
      <c r="F12" s="228"/>
      <c r="G12" s="229" t="s">
        <v>79</v>
      </c>
      <c r="H12" s="229"/>
      <c r="I12" s="229"/>
      <c r="J12" s="229"/>
      <c r="K12" s="229"/>
      <c r="L12" s="229"/>
      <c r="M12" s="229"/>
      <c r="N12" s="229"/>
      <c r="O12" s="229"/>
      <c r="P12" s="229"/>
      <c r="Q12" s="229"/>
      <c r="R12" s="229"/>
      <c r="S12" s="229"/>
      <c r="T12" s="229"/>
      <c r="U12" s="229"/>
      <c r="V12" s="230"/>
      <c r="X12" s="54"/>
      <c r="Y12" s="215"/>
      <c r="Z12" s="216"/>
      <c r="AA12" s="216"/>
      <c r="AB12" s="216"/>
      <c r="AC12" s="254"/>
      <c r="AD12" s="255"/>
    </row>
    <row r="13" spans="2:30" ht="30" customHeight="1">
      <c r="B13" s="223" t="s">
        <v>80</v>
      </c>
      <c r="C13" s="224"/>
      <c r="D13" s="224"/>
      <c r="E13" s="224"/>
      <c r="F13" s="224"/>
      <c r="G13" s="231" t="s">
        <v>81</v>
      </c>
      <c r="H13" s="231"/>
      <c r="I13" s="231"/>
      <c r="J13" s="231"/>
      <c r="K13" s="231"/>
      <c r="L13" s="231"/>
      <c r="M13" s="231"/>
      <c r="N13" s="231"/>
      <c r="O13" s="231"/>
      <c r="P13" s="231"/>
      <c r="Q13" s="231"/>
      <c r="R13" s="231"/>
      <c r="S13" s="231"/>
      <c r="T13" s="231"/>
      <c r="U13" s="231"/>
      <c r="V13" s="232"/>
      <c r="Y13" s="215" t="s">
        <v>77</v>
      </c>
      <c r="Z13" s="216"/>
      <c r="AA13" s="216"/>
      <c r="AB13" s="216"/>
      <c r="AC13" s="219" t="e">
        <f>_xlfn.STDEV.S(AC6:AD10)</f>
        <v>#DIV/0!</v>
      </c>
      <c r="AD13" s="220"/>
    </row>
    <row r="14" spans="2:30">
      <c r="B14" s="223" t="s">
        <v>83</v>
      </c>
      <c r="C14" s="224"/>
      <c r="D14" s="224"/>
      <c r="E14" s="224"/>
      <c r="F14" s="224"/>
      <c r="G14" s="225" t="s">
        <v>84</v>
      </c>
      <c r="H14" s="225"/>
      <c r="I14" s="225"/>
      <c r="J14" s="225"/>
      <c r="K14" s="225"/>
      <c r="L14" s="225"/>
      <c r="M14" s="225"/>
      <c r="N14" s="225"/>
      <c r="O14" s="225"/>
      <c r="P14" s="225"/>
      <c r="Q14" s="225"/>
      <c r="R14" s="225"/>
      <c r="S14" s="225"/>
      <c r="T14" s="225"/>
      <c r="U14" s="225"/>
      <c r="V14" s="226"/>
      <c r="Y14" s="215"/>
      <c r="Z14" s="216"/>
      <c r="AA14" s="216"/>
      <c r="AB14" s="216"/>
      <c r="AC14" s="219"/>
      <c r="AD14" s="220"/>
    </row>
    <row r="15" spans="2:30">
      <c r="B15" s="223"/>
      <c r="C15" s="224"/>
      <c r="D15" s="224"/>
      <c r="E15" s="224"/>
      <c r="F15" s="224"/>
      <c r="G15" s="225"/>
      <c r="H15" s="225"/>
      <c r="I15" s="225"/>
      <c r="J15" s="225"/>
      <c r="K15" s="225"/>
      <c r="L15" s="225"/>
      <c r="M15" s="225"/>
      <c r="N15" s="225"/>
      <c r="O15" s="225"/>
      <c r="P15" s="225"/>
      <c r="Q15" s="225"/>
      <c r="R15" s="225"/>
      <c r="S15" s="225"/>
      <c r="T15" s="225"/>
      <c r="U15" s="225"/>
      <c r="V15" s="226"/>
      <c r="Y15" s="215" t="s">
        <v>82</v>
      </c>
      <c r="Z15" s="216"/>
      <c r="AA15" s="216"/>
      <c r="AB15" s="216"/>
      <c r="AC15" s="219" t="e">
        <f>AC13/SQRT(Y10)</f>
        <v>#DIV/0!</v>
      </c>
      <c r="AD15" s="220"/>
    </row>
    <row r="16" spans="2:30" ht="15.75" thickBot="1">
      <c r="B16" s="223"/>
      <c r="C16" s="224"/>
      <c r="D16" s="224"/>
      <c r="E16" s="224"/>
      <c r="F16" s="224"/>
      <c r="G16" s="225"/>
      <c r="H16" s="225"/>
      <c r="I16" s="225"/>
      <c r="J16" s="225"/>
      <c r="K16" s="225"/>
      <c r="L16" s="225"/>
      <c r="M16" s="225"/>
      <c r="N16" s="225"/>
      <c r="O16" s="225"/>
      <c r="P16" s="225"/>
      <c r="Q16" s="225"/>
      <c r="R16" s="225"/>
      <c r="S16" s="225"/>
      <c r="T16" s="225"/>
      <c r="U16" s="225"/>
      <c r="V16" s="226"/>
      <c r="Y16" s="217"/>
      <c r="Z16" s="218"/>
      <c r="AA16" s="218"/>
      <c r="AB16" s="218"/>
      <c r="AC16" s="221"/>
      <c r="AD16" s="222"/>
    </row>
    <row r="17" spans="2:22" ht="15.75" thickBot="1">
      <c r="B17" s="233" t="s">
        <v>85</v>
      </c>
      <c r="C17" s="234"/>
      <c r="D17" s="234"/>
      <c r="E17" s="234"/>
      <c r="F17" s="234"/>
      <c r="G17" s="235" t="s">
        <v>86</v>
      </c>
      <c r="H17" s="235"/>
      <c r="I17" s="235"/>
      <c r="J17" s="235"/>
      <c r="K17" s="235"/>
      <c r="L17" s="235"/>
      <c r="M17" s="235"/>
      <c r="N17" s="235"/>
      <c r="O17" s="235"/>
      <c r="P17" s="235"/>
      <c r="Q17" s="235"/>
      <c r="R17" s="235"/>
      <c r="S17" s="235"/>
      <c r="T17" s="235"/>
      <c r="U17" s="235"/>
      <c r="V17" s="236"/>
    </row>
    <row r="19" spans="2:22">
      <c r="G19" s="237" t="s">
        <v>87</v>
      </c>
      <c r="H19" s="237"/>
      <c r="I19" s="238" t="e">
        <f>TINV(0.05,G11)</f>
        <v>#DIV/0!</v>
      </c>
      <c r="J19" s="238"/>
    </row>
    <row r="20" spans="2:22">
      <c r="G20" s="237" t="s">
        <v>88</v>
      </c>
      <c r="H20" s="237"/>
      <c r="I20" s="85" t="e">
        <f>ROUND(I19*G9,1)</f>
        <v>#DIV/0!</v>
      </c>
      <c r="J20" s="85"/>
    </row>
    <row r="21" spans="2:22" ht="30" customHeight="1"/>
    <row r="22" spans="2:22" ht="30" customHeight="1"/>
  </sheetData>
  <mergeCells count="87">
    <mergeCell ref="B2:V3"/>
    <mergeCell ref="C4:D4"/>
    <mergeCell ref="E4:F4"/>
    <mergeCell ref="G4:H4"/>
    <mergeCell ref="I4:J4"/>
    <mergeCell ref="K4:L4"/>
    <mergeCell ref="M4:N4"/>
    <mergeCell ref="O4:P4"/>
    <mergeCell ref="Q4:R4"/>
    <mergeCell ref="S4:T4"/>
    <mergeCell ref="U4:V4"/>
    <mergeCell ref="M5:N5"/>
    <mergeCell ref="O5:P5"/>
    <mergeCell ref="Q5:R5"/>
    <mergeCell ref="S5:T5"/>
    <mergeCell ref="U5:V5"/>
    <mergeCell ref="C5:D5"/>
    <mergeCell ref="E5:F5"/>
    <mergeCell ref="G5:H5"/>
    <mergeCell ref="I5:J5"/>
    <mergeCell ref="K5:L5"/>
    <mergeCell ref="AC6:AD6"/>
    <mergeCell ref="AC7:AD7"/>
    <mergeCell ref="Y7:AB7"/>
    <mergeCell ref="Y4:AB5"/>
    <mergeCell ref="AC4:AD5"/>
    <mergeCell ref="C6:D6"/>
    <mergeCell ref="E6:F6"/>
    <mergeCell ref="G6:H6"/>
    <mergeCell ref="I6:J6"/>
    <mergeCell ref="K6:L6"/>
    <mergeCell ref="M6:N6"/>
    <mergeCell ref="O6:P6"/>
    <mergeCell ref="Q6:R6"/>
    <mergeCell ref="S6:T6"/>
    <mergeCell ref="Y8:AB8"/>
    <mergeCell ref="U6:V6"/>
    <mergeCell ref="Y6:AB6"/>
    <mergeCell ref="AC8:AD8"/>
    <mergeCell ref="C7:D7"/>
    <mergeCell ref="E7:F7"/>
    <mergeCell ref="G7:H7"/>
    <mergeCell ref="I7:J7"/>
    <mergeCell ref="K7:L7"/>
    <mergeCell ref="M7:N7"/>
    <mergeCell ref="O7:P7"/>
    <mergeCell ref="Q7:R7"/>
    <mergeCell ref="S7:T7"/>
    <mergeCell ref="U7:V7"/>
    <mergeCell ref="M8:N8"/>
    <mergeCell ref="O8:P8"/>
    <mergeCell ref="Q8:R8"/>
    <mergeCell ref="S8:T8"/>
    <mergeCell ref="U8:V8"/>
    <mergeCell ref="C8:D8"/>
    <mergeCell ref="E8:F8"/>
    <mergeCell ref="G8:H8"/>
    <mergeCell ref="I8:J8"/>
    <mergeCell ref="K8:L8"/>
    <mergeCell ref="G19:H19"/>
    <mergeCell ref="I19:J19"/>
    <mergeCell ref="G20:H20"/>
    <mergeCell ref="AC10:AD10"/>
    <mergeCell ref="C9:F9"/>
    <mergeCell ref="G9:J9"/>
    <mergeCell ref="K9:V11"/>
    <mergeCell ref="Y11:AB12"/>
    <mergeCell ref="AC11:AD12"/>
    <mergeCell ref="C10:F10"/>
    <mergeCell ref="G10:J10"/>
    <mergeCell ref="B11:F11"/>
    <mergeCell ref="G11:J11"/>
    <mergeCell ref="Y10:AB10"/>
    <mergeCell ref="Y9:AB9"/>
    <mergeCell ref="AC9:AD9"/>
    <mergeCell ref="B12:F12"/>
    <mergeCell ref="G12:V12"/>
    <mergeCell ref="B13:F13"/>
    <mergeCell ref="G13:V13"/>
    <mergeCell ref="B17:F17"/>
    <mergeCell ref="G17:V17"/>
    <mergeCell ref="Y15:AB16"/>
    <mergeCell ref="AC15:AD16"/>
    <mergeCell ref="B14:F16"/>
    <mergeCell ref="G14:V16"/>
    <mergeCell ref="Y13:AB14"/>
    <mergeCell ref="AC13:AD14"/>
  </mergeCells>
  <pageMargins left="0.7" right="0.7" top="0.75" bottom="0.75" header="0.3" footer="0.3"/>
  <pageSetup scale="45" orientation="portrait" horizontalDpi="300" verticalDpi="300" r:id="rId1"/>
  <colBreaks count="1" manualBreakCount="1">
    <brk id="23" max="19" man="1"/>
  </colBreaks>
  <extLst>
    <ext xmlns:x14="http://schemas.microsoft.com/office/spreadsheetml/2009/9/main" uri="{78C0D931-6437-407d-A8EE-F0AAD7539E65}">
      <x14:conditionalFormattings>
        <x14:conditionalFormatting xmlns:xm="http://schemas.microsoft.com/office/excel/2006/main">
          <x14:cfRule type="expression" priority="1" id="{8CA70003-D7BB-4148-A615-DE51DED86681}">
            <xm:f>Datasheet!$B$6="34901A"</xm:f>
            <x14:dxf>
              <numFmt numFmtId="164" formatCode="0.0"/>
            </x14:dxf>
          </x14:cfRule>
          <xm:sqref>AC6:AD12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23</vt:i4>
      </vt:variant>
    </vt:vector>
  </HeadingPairs>
  <TitlesOfParts>
    <vt:vector size="47" baseType="lpstr">
      <vt:lpstr>Datasheet</vt:lpstr>
      <vt:lpstr>Total TUR</vt:lpstr>
      <vt:lpstr>Type E (-200°C)</vt:lpstr>
      <vt:lpstr>Type E (-80°C)</vt:lpstr>
      <vt:lpstr>Type E (0°C)</vt:lpstr>
      <vt:lpstr>Type E (200°C)</vt:lpstr>
      <vt:lpstr>Type E (1000°C)</vt:lpstr>
      <vt:lpstr>Type J (-210°C)</vt:lpstr>
      <vt:lpstr>Type J (-80°C)</vt:lpstr>
      <vt:lpstr>Type J (0°C)</vt:lpstr>
      <vt:lpstr>Type J (200°C)</vt:lpstr>
      <vt:lpstr>Type J (1200°C)</vt:lpstr>
      <vt:lpstr>Type K (-195°C)</vt:lpstr>
      <vt:lpstr>Type K (-80°C)</vt:lpstr>
      <vt:lpstr>Type K (0°C)</vt:lpstr>
      <vt:lpstr>Type K (200°C)</vt:lpstr>
      <vt:lpstr>Type K (1200°C)</vt:lpstr>
      <vt:lpstr>Type T (-200°C)</vt:lpstr>
      <vt:lpstr>Type T (-80°C)</vt:lpstr>
      <vt:lpstr>Type T (0°C)</vt:lpstr>
      <vt:lpstr>Type T (100°C)</vt:lpstr>
      <vt:lpstr>Type T (400°C)</vt:lpstr>
      <vt:lpstr>STD Info</vt:lpstr>
      <vt:lpstr>UUT Info</vt:lpstr>
      <vt:lpstr>Datasheet!Print_Area</vt:lpstr>
      <vt:lpstr>'STD Info'!Print_Area</vt:lpstr>
      <vt:lpstr>'Type E (0°C)'!Print_Area</vt:lpstr>
      <vt:lpstr>'Type E (1000°C)'!Print_Area</vt:lpstr>
      <vt:lpstr>'Type E (200°C)'!Print_Area</vt:lpstr>
      <vt:lpstr>'Type E (-200°C)'!Print_Area</vt:lpstr>
      <vt:lpstr>'Type E (-80°C)'!Print_Area</vt:lpstr>
      <vt:lpstr>'Type J (0°C)'!Print_Area</vt:lpstr>
      <vt:lpstr>'Type J (1200°C)'!Print_Area</vt:lpstr>
      <vt:lpstr>'Type J (200°C)'!Print_Area</vt:lpstr>
      <vt:lpstr>'Type J (-210°C)'!Print_Area</vt:lpstr>
      <vt:lpstr>'Type J (-80°C)'!Print_Area</vt:lpstr>
      <vt:lpstr>'Type K (0°C)'!Print_Area</vt:lpstr>
      <vt:lpstr>'Type K (1200°C)'!Print_Area</vt:lpstr>
      <vt:lpstr>'Type K (-195°C)'!Print_Area</vt:lpstr>
      <vt:lpstr>'Type K (200°C)'!Print_Area</vt:lpstr>
      <vt:lpstr>'Type K (-80°C)'!Print_Area</vt:lpstr>
      <vt:lpstr>'Type T (0°C)'!Print_Area</vt:lpstr>
      <vt:lpstr>'Type T (100°C)'!Print_Area</vt:lpstr>
      <vt:lpstr>'Type T (-200°C)'!Print_Area</vt:lpstr>
      <vt:lpstr>'Type T (400°C)'!Print_Area</vt:lpstr>
      <vt:lpstr>'Type T (-80°C)'!Print_Area</vt:lpstr>
      <vt:lpstr>'UUT Info'!Print_Area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Davis, Andy (US 356F)</dc:creator>
  <cp:lastModifiedBy>Davis, Andy (US 356F)</cp:lastModifiedBy>
  <cp:lastPrinted>2020-05-19T21:55:19Z</cp:lastPrinted>
  <dcterms:created xsi:type="dcterms:W3CDTF">1997-07-16T16:00:24Z</dcterms:created>
  <dcterms:modified xsi:type="dcterms:W3CDTF">2020-06-03T17:34:50Z</dcterms:modified>
</cp:coreProperties>
</file>