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8e228b5af19f61bf/Documents/OTHER/BUDGET WORKSHEETS/"/>
    </mc:Choice>
  </mc:AlternateContent>
  <xr:revisionPtr revIDLastSave="2" documentId="8_{C7B5347F-D9A8-4060-A74E-2ECC38B939A7}" xr6:coauthVersionLast="47" xr6:coauthVersionMax="47" xr10:uidLastSave="{ECA85574-0047-44E7-BC18-415246BEA722}"/>
  <bookViews>
    <workbookView xWindow="-96" yWindow="-96" windowWidth="20928" windowHeight="12432" xr2:uid="{1A1B00EE-F114-42E2-8040-2B9393CC1A36}"/>
  </bookViews>
  <sheets>
    <sheet name="Retirement (v.05a)" sheetId="2" r:id="rId1"/>
  </sheets>
  <definedNames>
    <definedName name="AprSun1">DATE(CalendarYear,4,1)-WEEKDAY(DATE(CalendarYear,4,1))+1</definedName>
    <definedName name="AugSun1">DATE(CalendarYear,8,1)-WEEKDAY(DATE(CalendarYear,8,1))+1</definedName>
    <definedName name="CalendarYear">#REF!</definedName>
    <definedName name="DecSun1">DATE(CalendarYear,12,1)-WEEKDAY(DATE(CalendarYear,12,1))+1</definedName>
    <definedName name="FebSun1">DATE(CalendarYear,2,1)-WEEKDAY(DATE(CalendarYear,2,1))+1</definedName>
    <definedName name="JanSun1">DATE(CalendarYear,1,1)-WEEKDAY(DATE(CalendarYear,1,1))+1</definedName>
    <definedName name="JulSun1">DATE(CalendarYear,7,1)-WEEKDAY(DATE(CalendarYear,7,1))+1</definedName>
    <definedName name="JunSun1">DATE(CalendarYear,6,1)-WEEKDAY(DATE(CalendarYear,6,1))+1</definedName>
    <definedName name="MarSun1">DATE(CalendarYear,3,1)-WEEKDAY(DATE(CalendarYear,3,1))+1</definedName>
    <definedName name="MaySun1">DATE(CalendarYear,5,1)-WEEKDAY(DATE(CalendarYear,5,1))+1</definedName>
    <definedName name="NovSun1">DATE(CalendarYear,11,1)-WEEKDAY(DATE(CalendarYear,11,1))+1</definedName>
    <definedName name="OctSun1">DATE(CalendarYear,10,1)-WEEKDAY(DATE(CalendarYear,10,1))+1</definedName>
    <definedName name="SepSun1">DATE(CalendarYear,9,1)-WEEKDAY(DATE(CalendarYear,9,1))+1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2" l="1"/>
  <c r="G15" i="2"/>
  <c r="H15" i="2"/>
  <c r="H5" i="2"/>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C82" i="2"/>
  <c r="G82" i="2" s="1"/>
  <c r="Q81" i="2"/>
  <c r="P81" i="2"/>
  <c r="G81" i="2"/>
  <c r="D81" i="2"/>
  <c r="C81" i="2"/>
  <c r="G25" i="2"/>
  <c r="E25" i="2"/>
  <c r="D25" i="2"/>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C25" i="2"/>
  <c r="C26" i="2" s="1"/>
  <c r="B25" i="2"/>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D24" i="2"/>
  <c r="C24" i="2"/>
  <c r="L20" i="2"/>
  <c r="Q20" i="2" s="1"/>
  <c r="H18" i="2"/>
  <c r="G18" i="2"/>
  <c r="L18" i="2"/>
  <c r="Q18" i="2" s="1"/>
  <c r="Q17" i="2" s="1"/>
  <c r="Q14" i="2"/>
  <c r="L22" i="2" s="1"/>
  <c r="H7" i="2"/>
  <c r="I6" i="2"/>
  <c r="G6" i="2"/>
  <c r="B82" i="2" s="1"/>
  <c r="H4" i="2"/>
  <c r="J4" i="2" s="1"/>
  <c r="G4" i="2"/>
  <c r="I4" i="2" s="1"/>
  <c r="U82" i="2" l="1"/>
  <c r="Q22" i="2"/>
  <c r="Q33" i="2"/>
  <c r="Q29" i="2"/>
  <c r="Q27" i="2"/>
  <c r="B83" i="2"/>
  <c r="Q82" i="2"/>
  <c r="C27" i="2"/>
  <c r="G26" i="2"/>
  <c r="Q31" i="2"/>
  <c r="Q30" i="2"/>
  <c r="O41" i="2"/>
  <c r="Q32" i="2"/>
  <c r="Q28" i="2"/>
  <c r="C83" i="2"/>
  <c r="F25" i="2"/>
  <c r="H25" i="2" s="1"/>
  <c r="E26" i="2" s="1"/>
  <c r="P82" i="2"/>
  <c r="Q34" i="2" l="1"/>
  <c r="L13" i="2"/>
  <c r="F26" i="2"/>
  <c r="H26" i="2" s="1"/>
  <c r="E27" i="2" s="1"/>
  <c r="C28" i="2"/>
  <c r="G27" i="2"/>
  <c r="R82" i="2"/>
  <c r="L14" i="2"/>
  <c r="U83" i="2"/>
  <c r="P83" i="2"/>
  <c r="G83" i="2"/>
  <c r="C84" i="2"/>
  <c r="Q83" i="2"/>
  <c r="B84" i="2"/>
  <c r="L12" i="2" l="1"/>
  <c r="L9" i="2"/>
  <c r="D4" i="2" s="1"/>
  <c r="F27" i="2"/>
  <c r="H27" i="2" s="1"/>
  <c r="E28" i="2" s="1"/>
  <c r="F28" i="2" s="1"/>
  <c r="U84" i="2"/>
  <c r="P84" i="2"/>
  <c r="G84" i="2"/>
  <c r="C85" i="2"/>
  <c r="B85" i="2"/>
  <c r="C29" i="2"/>
  <c r="G28" i="2"/>
  <c r="R83" i="2"/>
  <c r="V82" i="2"/>
  <c r="Q84" i="2"/>
  <c r="S82" i="2" l="1"/>
  <c r="T82" i="2" s="1"/>
  <c r="W82" i="2" s="1"/>
  <c r="H82" i="2" s="1"/>
  <c r="E8" i="2"/>
  <c r="L19" i="2" s="1"/>
  <c r="S83" i="2"/>
  <c r="T83" i="2" s="1"/>
  <c r="W83" i="2" s="1"/>
  <c r="H83" i="2" s="1"/>
  <c r="C86" i="2"/>
  <c r="G85" i="2"/>
  <c r="U85" i="2"/>
  <c r="P85" i="2"/>
  <c r="C30" i="2"/>
  <c r="G29" i="2"/>
  <c r="B86" i="2"/>
  <c r="S84" i="2"/>
  <c r="R84" i="2"/>
  <c r="V83" i="2"/>
  <c r="H28" i="2"/>
  <c r="E29" i="2" s="1"/>
  <c r="F29" i="2" s="1"/>
  <c r="Q85" i="2"/>
  <c r="F8" i="2" l="1"/>
  <c r="H29" i="2"/>
  <c r="E30" i="2" s="1"/>
  <c r="F30" i="2" s="1"/>
  <c r="Q86" i="2"/>
  <c r="S85" i="2"/>
  <c r="R85" i="2"/>
  <c r="B87" i="2"/>
  <c r="C31" i="2"/>
  <c r="G30" i="2"/>
  <c r="T84" i="2"/>
  <c r="W84" i="2" s="1"/>
  <c r="H84" i="2" s="1"/>
  <c r="V84" i="2"/>
  <c r="Q19" i="2"/>
  <c r="L21" i="2"/>
  <c r="U86" i="2"/>
  <c r="G86" i="2"/>
  <c r="C87" i="2"/>
  <c r="P86" i="2"/>
  <c r="H30" i="2" l="1"/>
  <c r="E31" i="2" s="1"/>
  <c r="F31" i="2" s="1"/>
  <c r="S86" i="2"/>
  <c r="R86" i="2"/>
  <c r="Q21" i="2"/>
  <c r="L23" i="2"/>
  <c r="Q23" i="2" s="1"/>
  <c r="G31" i="2"/>
  <c r="C32" i="2"/>
  <c r="B88" i="2"/>
  <c r="T85" i="2"/>
  <c r="W85" i="2" s="1"/>
  <c r="H85" i="2" s="1"/>
  <c r="V85" i="2"/>
  <c r="P87" i="2"/>
  <c r="G87" i="2"/>
  <c r="U87" i="2"/>
  <c r="C88" i="2"/>
  <c r="Q87" i="2"/>
  <c r="H31" i="2" l="1"/>
  <c r="E32" i="2" s="1"/>
  <c r="Q88" i="2"/>
  <c r="C33" i="2"/>
  <c r="G32" i="2"/>
  <c r="S87" i="2"/>
  <c r="R87" i="2"/>
  <c r="B89" i="2"/>
  <c r="U88" i="2"/>
  <c r="P88" i="2"/>
  <c r="G88" i="2"/>
  <c r="C89" i="2"/>
  <c r="V86" i="2"/>
  <c r="T86" i="2"/>
  <c r="W86" i="2" s="1"/>
  <c r="H86" i="2" s="1"/>
  <c r="C34" i="2" l="1"/>
  <c r="G33" i="2"/>
  <c r="R88" i="2"/>
  <c r="S88" i="2"/>
  <c r="B90" i="2"/>
  <c r="C90" i="2"/>
  <c r="U89" i="2"/>
  <c r="P89" i="2"/>
  <c r="G89" i="2"/>
  <c r="V87" i="2"/>
  <c r="T87" i="2"/>
  <c r="W87" i="2" s="1"/>
  <c r="H87" i="2" s="1"/>
  <c r="F32" i="2"/>
  <c r="H32" i="2" s="1"/>
  <c r="E33" i="2" s="1"/>
  <c r="Q89" i="2"/>
  <c r="F33" i="2" l="1"/>
  <c r="H33" i="2" s="1"/>
  <c r="E34" i="2" s="1"/>
  <c r="S89" i="2"/>
  <c r="R89" i="2"/>
  <c r="G90" i="2"/>
  <c r="C91" i="2"/>
  <c r="U90" i="2"/>
  <c r="P90" i="2"/>
  <c r="B91" i="2"/>
  <c r="V88" i="2"/>
  <c r="T88" i="2"/>
  <c r="W88" i="2" s="1"/>
  <c r="H88" i="2" s="1"/>
  <c r="G34" i="2"/>
  <c r="C35" i="2"/>
  <c r="Q90" i="2"/>
  <c r="F34" i="2" l="1"/>
  <c r="H34" i="2" s="1"/>
  <c r="E35" i="2" s="1"/>
  <c r="B92" i="2"/>
  <c r="R90" i="2"/>
  <c r="S90" i="2"/>
  <c r="P91" i="2"/>
  <c r="U91" i="2"/>
  <c r="C92" i="2"/>
  <c r="G91" i="2"/>
  <c r="Q91" i="2"/>
  <c r="C36" i="2"/>
  <c r="G35" i="2"/>
  <c r="V89" i="2"/>
  <c r="T89" i="2"/>
  <c r="W89" i="2" s="1"/>
  <c r="H89" i="2" s="1"/>
  <c r="F35" i="2" l="1"/>
  <c r="H35" i="2" s="1"/>
  <c r="E36" i="2" s="1"/>
  <c r="C37" i="2"/>
  <c r="G36" i="2"/>
  <c r="V90" i="2"/>
  <c r="T90" i="2"/>
  <c r="W90" i="2" s="1"/>
  <c r="H90" i="2" s="1"/>
  <c r="G92" i="2"/>
  <c r="P92" i="2"/>
  <c r="U92" i="2"/>
  <c r="C93" i="2"/>
  <c r="Q92" i="2"/>
  <c r="S91" i="2"/>
  <c r="R91" i="2"/>
  <c r="B93" i="2"/>
  <c r="F36" i="2" l="1"/>
  <c r="H36" i="2" s="1"/>
  <c r="E37" i="2" s="1"/>
  <c r="S92" i="2"/>
  <c r="R92" i="2"/>
  <c r="B94" i="2"/>
  <c r="V91" i="2"/>
  <c r="T91" i="2"/>
  <c r="W91" i="2" s="1"/>
  <c r="H91" i="2" s="1"/>
  <c r="Q93" i="2"/>
  <c r="U93" i="2"/>
  <c r="C94" i="2"/>
  <c r="P93" i="2"/>
  <c r="G93" i="2"/>
  <c r="C38" i="2"/>
  <c r="G37" i="2"/>
  <c r="F37" i="2" l="1"/>
  <c r="H37" i="2" s="1"/>
  <c r="E38" i="2" s="1"/>
  <c r="Q94" i="2"/>
  <c r="B95" i="2"/>
  <c r="V92" i="2"/>
  <c r="T92" i="2"/>
  <c r="W92" i="2" s="1"/>
  <c r="H92" i="2" s="1"/>
  <c r="C39" i="2"/>
  <c r="G38" i="2"/>
  <c r="S93" i="2"/>
  <c r="R93" i="2"/>
  <c r="P94" i="2"/>
  <c r="C95" i="2"/>
  <c r="U94" i="2"/>
  <c r="G94" i="2"/>
  <c r="F38" i="2" l="1"/>
  <c r="H38" i="2" s="1"/>
  <c r="E39" i="2" s="1"/>
  <c r="F39" i="2" s="1"/>
  <c r="R94" i="2"/>
  <c r="S94" i="2"/>
  <c r="T93" i="2"/>
  <c r="W93" i="2" s="1"/>
  <c r="H93" i="2" s="1"/>
  <c r="V93" i="2"/>
  <c r="Q95" i="2"/>
  <c r="G95" i="2"/>
  <c r="U95" i="2"/>
  <c r="P95" i="2"/>
  <c r="C96" i="2"/>
  <c r="G39" i="2"/>
  <c r="C40" i="2"/>
  <c r="B96" i="2"/>
  <c r="H39" i="2" l="1"/>
  <c r="E40" i="2" s="1"/>
  <c r="S95" i="2"/>
  <c r="R95" i="2"/>
  <c r="G40" i="2"/>
  <c r="C41" i="2"/>
  <c r="C97" i="2"/>
  <c r="G96" i="2"/>
  <c r="P96" i="2"/>
  <c r="U96" i="2"/>
  <c r="Q96" i="2"/>
  <c r="B97" i="2"/>
  <c r="V94" i="2"/>
  <c r="T94" i="2"/>
  <c r="W94" i="2" s="1"/>
  <c r="H94" i="2" s="1"/>
  <c r="F40" i="2" l="1"/>
  <c r="H40" i="2" s="1"/>
  <c r="E41" i="2" s="1"/>
  <c r="U97" i="2"/>
  <c r="C98" i="2"/>
  <c r="P97" i="2"/>
  <c r="G97" i="2"/>
  <c r="B98" i="2"/>
  <c r="S96" i="2"/>
  <c r="R96" i="2"/>
  <c r="V95" i="2"/>
  <c r="T95" i="2"/>
  <c r="W95" i="2" s="1"/>
  <c r="H95" i="2" s="1"/>
  <c r="Q97" i="2"/>
  <c r="G41" i="2"/>
  <c r="C42" i="2"/>
  <c r="F41" i="2" l="1"/>
  <c r="H41" i="2"/>
  <c r="E42" i="2" s="1"/>
  <c r="F42" i="2" s="1"/>
  <c r="Q98" i="2"/>
  <c r="B99" i="2"/>
  <c r="T96" i="2"/>
  <c r="W96" i="2" s="1"/>
  <c r="H96" i="2" s="1"/>
  <c r="V96" i="2"/>
  <c r="S97" i="2"/>
  <c r="R97" i="2"/>
  <c r="P98" i="2"/>
  <c r="C99" i="2"/>
  <c r="U98" i="2"/>
  <c r="G98" i="2"/>
  <c r="C43" i="2"/>
  <c r="G42" i="2"/>
  <c r="H42" i="2" l="1"/>
  <c r="E43" i="2" s="1"/>
  <c r="G99" i="2"/>
  <c r="U99" i="2"/>
  <c r="P99" i="2"/>
  <c r="C100" i="2"/>
  <c r="V97" i="2"/>
  <c r="T97" i="2"/>
  <c r="W97" i="2" s="1"/>
  <c r="H97" i="2" s="1"/>
  <c r="S98" i="2"/>
  <c r="R98" i="2"/>
  <c r="Q99" i="2"/>
  <c r="B100" i="2"/>
  <c r="C44" i="2"/>
  <c r="G43" i="2"/>
  <c r="F43" i="2" l="1"/>
  <c r="H43" i="2" s="1"/>
  <c r="E44" i="2" s="1"/>
  <c r="C45" i="2"/>
  <c r="G44" i="2"/>
  <c r="Q100" i="2"/>
  <c r="P100" i="2"/>
  <c r="U100" i="2"/>
  <c r="C101" i="2"/>
  <c r="G100" i="2"/>
  <c r="B101" i="2"/>
  <c r="V98" i="2"/>
  <c r="T98" i="2"/>
  <c r="W98" i="2" s="1"/>
  <c r="H98" i="2" s="1"/>
  <c r="S99" i="2"/>
  <c r="R99" i="2"/>
  <c r="F44" i="2" l="1"/>
  <c r="H44" i="2" s="1"/>
  <c r="E45" i="2" s="1"/>
  <c r="S100" i="2"/>
  <c r="R100" i="2"/>
  <c r="B102" i="2"/>
  <c r="Q101" i="2"/>
  <c r="T99" i="2"/>
  <c r="W99" i="2" s="1"/>
  <c r="H99" i="2" s="1"/>
  <c r="V99" i="2"/>
  <c r="P101" i="2"/>
  <c r="G101" i="2"/>
  <c r="C102" i="2"/>
  <c r="U101" i="2"/>
  <c r="C46" i="2"/>
  <c r="G45" i="2"/>
  <c r="F45" i="2" l="1"/>
  <c r="H45" i="2" s="1"/>
  <c r="E46" i="2" s="1"/>
  <c r="C47" i="2"/>
  <c r="G46" i="2"/>
  <c r="S101" i="2"/>
  <c r="R101" i="2"/>
  <c r="G102" i="2"/>
  <c r="U102" i="2"/>
  <c r="C103" i="2"/>
  <c r="P102" i="2"/>
  <c r="Q102" i="2"/>
  <c r="T100" i="2"/>
  <c r="W100" i="2" s="1"/>
  <c r="H100" i="2" s="1"/>
  <c r="V100" i="2"/>
  <c r="B103" i="2"/>
  <c r="F46" i="2" l="1"/>
  <c r="H46" i="2" s="1"/>
  <c r="E47" i="2" s="1"/>
  <c r="B104" i="2"/>
  <c r="Q103" i="2"/>
  <c r="S102" i="2"/>
  <c r="R102" i="2"/>
  <c r="C104" i="2"/>
  <c r="U103" i="2"/>
  <c r="G103" i="2"/>
  <c r="P103" i="2"/>
  <c r="V101" i="2"/>
  <c r="T101" i="2"/>
  <c r="W101" i="2" s="1"/>
  <c r="H101" i="2" s="1"/>
  <c r="G47" i="2"/>
  <c r="C48" i="2"/>
  <c r="F47" i="2" l="1"/>
  <c r="H47" i="2" s="1"/>
  <c r="E48" i="2" s="1"/>
  <c r="S103" i="2"/>
  <c r="R103" i="2"/>
  <c r="V102" i="2"/>
  <c r="T102" i="2"/>
  <c r="W102" i="2" s="1"/>
  <c r="H102" i="2" s="1"/>
  <c r="B105" i="2"/>
  <c r="C105" i="2"/>
  <c r="U104" i="2"/>
  <c r="P104" i="2"/>
  <c r="G104" i="2"/>
  <c r="Q104" i="2"/>
  <c r="C49" i="2"/>
  <c r="G48" i="2"/>
  <c r="F48" i="2" l="1"/>
  <c r="H48" i="2" s="1"/>
  <c r="E49" i="2" s="1"/>
  <c r="Q105" i="2"/>
  <c r="B106" i="2"/>
  <c r="S104" i="2"/>
  <c r="R104" i="2"/>
  <c r="U105" i="2"/>
  <c r="P105" i="2"/>
  <c r="G105" i="2"/>
  <c r="C106" i="2"/>
  <c r="C50" i="2"/>
  <c r="G49" i="2"/>
  <c r="T103" i="2"/>
  <c r="W103" i="2" s="1"/>
  <c r="H103" i="2" s="1"/>
  <c r="V103" i="2"/>
  <c r="F49" i="2" l="1"/>
  <c r="H49" i="2"/>
  <c r="G50" i="2"/>
  <c r="E50" i="2"/>
  <c r="C51" i="2"/>
  <c r="C107" i="2"/>
  <c r="G106" i="2"/>
  <c r="U106" i="2"/>
  <c r="P106" i="2"/>
  <c r="V104" i="2"/>
  <c r="T104" i="2"/>
  <c r="W104" i="2" s="1"/>
  <c r="H104" i="2" s="1"/>
  <c r="S105" i="2"/>
  <c r="R105" i="2"/>
  <c r="Q106" i="2"/>
  <c r="B107" i="2"/>
  <c r="F50" i="2" l="1"/>
  <c r="H50" i="2" s="1"/>
  <c r="Q107" i="2"/>
  <c r="T105" i="2"/>
  <c r="W105" i="2" s="1"/>
  <c r="H105" i="2" s="1"/>
  <c r="V105" i="2"/>
  <c r="R106" i="2"/>
  <c r="S106" i="2"/>
  <c r="U107" i="2"/>
  <c r="P107" i="2"/>
  <c r="G107" i="2"/>
  <c r="C108" i="2"/>
  <c r="C52" i="2"/>
  <c r="F51" i="2"/>
  <c r="E51" i="2"/>
  <c r="H51" i="2"/>
  <c r="G51" i="2"/>
  <c r="B108" i="2"/>
  <c r="C109" i="2" l="1"/>
  <c r="G108" i="2"/>
  <c r="U108" i="2"/>
  <c r="P108" i="2"/>
  <c r="E52" i="2"/>
  <c r="H52" i="2"/>
  <c r="F52" i="2"/>
  <c r="G52" i="2"/>
  <c r="C53" i="2"/>
  <c r="B109" i="2"/>
  <c r="S107" i="2"/>
  <c r="R107" i="2"/>
  <c r="V106" i="2"/>
  <c r="T106" i="2"/>
  <c r="W106" i="2" s="1"/>
  <c r="H106" i="2" s="1"/>
  <c r="Q108" i="2"/>
  <c r="B110" i="2" l="1"/>
  <c r="R108" i="2"/>
  <c r="S108" i="2"/>
  <c r="Q109" i="2"/>
  <c r="G53" i="2"/>
  <c r="F53" i="2"/>
  <c r="C54" i="2"/>
  <c r="E53" i="2"/>
  <c r="H53" i="2"/>
  <c r="P109" i="2"/>
  <c r="G109" i="2"/>
  <c r="U109" i="2"/>
  <c r="C110" i="2"/>
  <c r="T107" i="2"/>
  <c r="W107" i="2" s="1"/>
  <c r="H107" i="2" s="1"/>
  <c r="V107" i="2"/>
  <c r="G54" i="2" l="1"/>
  <c r="F54" i="2"/>
  <c r="H54" i="2"/>
  <c r="C55" i="2"/>
  <c r="E54" i="2"/>
  <c r="Q110" i="2"/>
  <c r="B111" i="2"/>
  <c r="S109" i="2"/>
  <c r="R109" i="2"/>
  <c r="V108" i="2"/>
  <c r="T108" i="2"/>
  <c r="W108" i="2" s="1"/>
  <c r="H108" i="2" s="1"/>
  <c r="U110" i="2"/>
  <c r="C111" i="2"/>
  <c r="P110" i="2"/>
  <c r="G110" i="2"/>
  <c r="V109" i="2" l="1"/>
  <c r="T109" i="2"/>
  <c r="W109" i="2" s="1"/>
  <c r="H109" i="2" s="1"/>
  <c r="F55" i="2"/>
  <c r="H55" i="2"/>
  <c r="C56" i="2"/>
  <c r="E55" i="2"/>
  <c r="G55" i="2"/>
  <c r="B112" i="2"/>
  <c r="R110" i="2"/>
  <c r="S110" i="2"/>
  <c r="C112" i="2"/>
  <c r="P111" i="2"/>
  <c r="G111" i="2"/>
  <c r="U111" i="2"/>
  <c r="Q111" i="2"/>
  <c r="B113" i="2" l="1"/>
  <c r="S111" i="2"/>
  <c r="R111" i="2"/>
  <c r="U112" i="2"/>
  <c r="G112" i="2"/>
  <c r="P112" i="2"/>
  <c r="C113" i="2"/>
  <c r="Q112" i="2"/>
  <c r="T110" i="2"/>
  <c r="W110" i="2" s="1"/>
  <c r="H110" i="2" s="1"/>
  <c r="V110" i="2"/>
  <c r="F56" i="2"/>
  <c r="E56" i="2"/>
  <c r="H56" i="2"/>
  <c r="C57" i="2"/>
  <c r="G56" i="2"/>
  <c r="R112" i="2" l="1"/>
  <c r="S112" i="2"/>
  <c r="B114" i="2"/>
  <c r="H57" i="2"/>
  <c r="G57" i="2"/>
  <c r="F57" i="2"/>
  <c r="E57" i="2"/>
  <c r="C58" i="2"/>
  <c r="Q113" i="2"/>
  <c r="C114" i="2"/>
  <c r="P113" i="2"/>
  <c r="G113" i="2"/>
  <c r="U113" i="2"/>
  <c r="V111" i="2"/>
  <c r="T111" i="2"/>
  <c r="W111" i="2" s="1"/>
  <c r="H111" i="2" s="1"/>
  <c r="S113" i="2" l="1"/>
  <c r="R113" i="2"/>
  <c r="U114" i="2"/>
  <c r="P114" i="2"/>
  <c r="C115" i="2"/>
  <c r="G114" i="2"/>
  <c r="G58" i="2"/>
  <c r="E58" i="2"/>
  <c r="C59" i="2"/>
  <c r="H58" i="2"/>
  <c r="F58" i="2"/>
  <c r="Q114" i="2"/>
  <c r="B115" i="2"/>
  <c r="T112" i="2"/>
  <c r="W112" i="2" s="1"/>
  <c r="H112" i="2" s="1"/>
  <c r="V112" i="2"/>
  <c r="B116" i="2" l="1"/>
  <c r="Q115" i="2"/>
  <c r="E59" i="2"/>
  <c r="H59" i="2"/>
  <c r="C60" i="2"/>
  <c r="G59" i="2"/>
  <c r="F59" i="2"/>
  <c r="C116" i="2"/>
  <c r="G115" i="2"/>
  <c r="P115" i="2"/>
  <c r="U115" i="2"/>
  <c r="S114" i="2"/>
  <c r="R114" i="2"/>
  <c r="V113" i="2"/>
  <c r="T113" i="2"/>
  <c r="W113" i="2" s="1"/>
  <c r="H113" i="2" s="1"/>
  <c r="G116" i="2" l="1"/>
  <c r="C117" i="2"/>
  <c r="U116" i="2"/>
  <c r="P116" i="2"/>
  <c r="H60" i="2"/>
  <c r="F60" i="2"/>
  <c r="C61" i="2"/>
  <c r="E60" i="2"/>
  <c r="G60" i="2"/>
  <c r="Q116" i="2"/>
  <c r="S115" i="2"/>
  <c r="R115" i="2"/>
  <c r="B117" i="2"/>
  <c r="T114" i="2"/>
  <c r="W114" i="2" s="1"/>
  <c r="H114" i="2" s="1"/>
  <c r="V114" i="2"/>
  <c r="C62" i="2" l="1"/>
  <c r="H61" i="2"/>
  <c r="F61" i="2"/>
  <c r="G61" i="2"/>
  <c r="E61" i="2"/>
  <c r="B118" i="2"/>
  <c r="V115" i="2"/>
  <c r="T115" i="2"/>
  <c r="W115" i="2" s="1"/>
  <c r="H115" i="2" s="1"/>
  <c r="Q117" i="2"/>
  <c r="R116" i="2"/>
  <c r="S116" i="2"/>
  <c r="U117" i="2"/>
  <c r="C118" i="2"/>
  <c r="P117" i="2"/>
  <c r="G117" i="2"/>
  <c r="V116" i="2" l="1"/>
  <c r="T116" i="2"/>
  <c r="W116" i="2" s="1"/>
  <c r="H116" i="2" s="1"/>
  <c r="Q118" i="2"/>
  <c r="S117" i="2"/>
  <c r="R117" i="2"/>
  <c r="G118" i="2"/>
  <c r="C119" i="2"/>
  <c r="P118" i="2"/>
  <c r="U118" i="2"/>
  <c r="B119" i="2"/>
  <c r="C63" i="2"/>
  <c r="G62" i="2"/>
  <c r="F62" i="2"/>
  <c r="H62" i="2"/>
  <c r="E62" i="2"/>
  <c r="S118" i="2" l="1"/>
  <c r="R118" i="2"/>
  <c r="B120" i="2"/>
  <c r="J6" i="2" s="1"/>
  <c r="V117" i="2"/>
  <c r="T117" i="2"/>
  <c r="W117" i="2" s="1"/>
  <c r="H117" i="2" s="1"/>
  <c r="C64" i="2"/>
  <c r="F63" i="2"/>
  <c r="H63" i="2"/>
  <c r="G63" i="2"/>
  <c r="E63" i="2"/>
  <c r="U119" i="2"/>
  <c r="C120" i="2"/>
  <c r="P119" i="2"/>
  <c r="G119" i="2"/>
  <c r="Q119" i="2"/>
  <c r="C65" i="2" l="1"/>
  <c r="G64" i="2"/>
  <c r="F64" i="2"/>
  <c r="H64" i="2"/>
  <c r="E64" i="2"/>
  <c r="S119" i="2"/>
  <c r="R119" i="2"/>
  <c r="Q120" i="2"/>
  <c r="V118" i="2"/>
  <c r="T118" i="2"/>
  <c r="W118" i="2" s="1"/>
  <c r="H118" i="2" s="1"/>
  <c r="G120" i="2"/>
  <c r="C121" i="2"/>
  <c r="U120" i="2"/>
  <c r="P120" i="2"/>
  <c r="B121" i="2"/>
  <c r="R120" i="2" l="1"/>
  <c r="S120" i="2"/>
  <c r="G121" i="2"/>
  <c r="C122" i="2"/>
  <c r="P121" i="2"/>
  <c r="U121" i="2"/>
  <c r="Q121" i="2"/>
  <c r="B122" i="2"/>
  <c r="V119" i="2"/>
  <c r="T119" i="2"/>
  <c r="W119" i="2" s="1"/>
  <c r="H119" i="2" s="1"/>
  <c r="E65" i="2"/>
  <c r="C66" i="2"/>
  <c r="F65" i="2"/>
  <c r="H65" i="2"/>
  <c r="G65" i="2"/>
  <c r="E66" i="2" l="1"/>
  <c r="C67" i="2"/>
  <c r="H66" i="2"/>
  <c r="F66" i="2"/>
  <c r="G66" i="2"/>
  <c r="B123" i="2"/>
  <c r="Q122" i="2"/>
  <c r="S121" i="2"/>
  <c r="R121" i="2"/>
  <c r="U122" i="2"/>
  <c r="C123" i="2"/>
  <c r="P122" i="2"/>
  <c r="G122" i="2"/>
  <c r="T120" i="2"/>
  <c r="W120" i="2" s="1"/>
  <c r="H120" i="2" s="1"/>
  <c r="V120" i="2"/>
  <c r="R122" i="2" l="1"/>
  <c r="S122" i="2"/>
  <c r="V121" i="2"/>
  <c r="T121" i="2"/>
  <c r="W121" i="2" s="1"/>
  <c r="H121" i="2" s="1"/>
  <c r="Q123" i="2"/>
  <c r="B124" i="2"/>
  <c r="C68" i="2"/>
  <c r="E67" i="2"/>
  <c r="G67" i="2"/>
  <c r="H67" i="2"/>
  <c r="F67" i="2"/>
  <c r="P123" i="2"/>
  <c r="G123" i="2"/>
  <c r="U123" i="2"/>
  <c r="C124" i="2"/>
  <c r="C125" i="2" l="1"/>
  <c r="U124" i="2"/>
  <c r="G124" i="2"/>
  <c r="P124" i="2"/>
  <c r="S123" i="2"/>
  <c r="R123" i="2"/>
  <c r="G68" i="2"/>
  <c r="E68" i="2"/>
  <c r="C69" i="2"/>
  <c r="H68" i="2"/>
  <c r="F68" i="2"/>
  <c r="B125" i="2"/>
  <c r="Q124" i="2"/>
  <c r="T122" i="2"/>
  <c r="W122" i="2" s="1"/>
  <c r="H122" i="2" s="1"/>
  <c r="V122" i="2"/>
  <c r="S124" i="2" l="1"/>
  <c r="R124" i="2"/>
  <c r="Q125" i="2"/>
  <c r="H69" i="2"/>
  <c r="F69" i="2"/>
  <c r="E69" i="2"/>
  <c r="G69" i="2"/>
  <c r="C70" i="2"/>
  <c r="V123" i="2"/>
  <c r="T123" i="2"/>
  <c r="W123" i="2" s="1"/>
  <c r="H123" i="2" s="1"/>
  <c r="U125" i="2"/>
  <c r="P125" i="2"/>
  <c r="C126" i="2"/>
  <c r="G125" i="2"/>
  <c r="B126" i="2"/>
  <c r="P126" i="2" l="1"/>
  <c r="G126" i="2"/>
  <c r="C127" i="2"/>
  <c r="U126" i="2"/>
  <c r="C71" i="2"/>
  <c r="G70" i="2"/>
  <c r="F70" i="2"/>
  <c r="H70" i="2"/>
  <c r="E70" i="2"/>
  <c r="V124" i="2"/>
  <c r="T124" i="2"/>
  <c r="W124" i="2" s="1"/>
  <c r="H124" i="2" s="1"/>
  <c r="S125" i="2"/>
  <c r="R125" i="2"/>
  <c r="B127" i="2"/>
  <c r="Q126" i="2"/>
  <c r="B128" i="2" l="1"/>
  <c r="U127" i="2"/>
  <c r="P127" i="2"/>
  <c r="G127" i="2"/>
  <c r="C128" i="2"/>
  <c r="S126" i="2"/>
  <c r="R126" i="2"/>
  <c r="V125" i="2"/>
  <c r="T125" i="2"/>
  <c r="W125" i="2" s="1"/>
  <c r="H125" i="2" s="1"/>
  <c r="G71" i="2"/>
  <c r="E71" i="2"/>
  <c r="C72" i="2"/>
  <c r="F71" i="2"/>
  <c r="H71" i="2"/>
  <c r="Q127" i="2"/>
  <c r="G72" i="2" l="1"/>
  <c r="C73" i="2"/>
  <c r="F72" i="2"/>
  <c r="H72" i="2"/>
  <c r="E72" i="2"/>
  <c r="P128" i="2"/>
  <c r="C129" i="2"/>
  <c r="U128" i="2"/>
  <c r="G128" i="2"/>
  <c r="Q128" i="2"/>
  <c r="T126" i="2"/>
  <c r="W126" i="2" s="1"/>
  <c r="H126" i="2" s="1"/>
  <c r="V126" i="2"/>
  <c r="S127" i="2"/>
  <c r="R127" i="2"/>
  <c r="B129" i="2"/>
  <c r="V127" i="2" l="1"/>
  <c r="T127" i="2"/>
  <c r="W127" i="2" s="1"/>
  <c r="H127" i="2" s="1"/>
  <c r="U129" i="2"/>
  <c r="P129" i="2"/>
  <c r="G129" i="2"/>
  <c r="C130" i="2"/>
  <c r="Q129" i="2"/>
  <c r="R128" i="2"/>
  <c r="S128" i="2"/>
  <c r="C74" i="2"/>
  <c r="H73" i="2"/>
  <c r="F73" i="2"/>
  <c r="G73" i="2"/>
  <c r="E73" i="2"/>
  <c r="B130" i="2"/>
  <c r="T128" i="2" l="1"/>
  <c r="W128" i="2" s="1"/>
  <c r="H128" i="2" s="1"/>
  <c r="V128" i="2"/>
  <c r="Q130" i="2"/>
  <c r="S129" i="2"/>
  <c r="R129" i="2"/>
  <c r="E74" i="2"/>
  <c r="H74" i="2"/>
  <c r="G74" i="2"/>
  <c r="F74" i="2"/>
  <c r="C75" i="2"/>
  <c r="U130" i="2"/>
  <c r="C131" i="2"/>
  <c r="P130" i="2"/>
  <c r="G130" i="2"/>
  <c r="B131" i="2"/>
  <c r="U131" i="2" l="1"/>
  <c r="P131" i="2"/>
  <c r="C132" i="2"/>
  <c r="G131" i="2"/>
  <c r="B132" i="2"/>
  <c r="C76" i="2"/>
  <c r="H75" i="2"/>
  <c r="F75" i="2"/>
  <c r="G75" i="2"/>
  <c r="E75" i="2"/>
  <c r="V129" i="2"/>
  <c r="T129" i="2"/>
  <c r="W129" i="2" s="1"/>
  <c r="H129" i="2" s="1"/>
  <c r="S130" i="2"/>
  <c r="R130" i="2"/>
  <c r="Q131" i="2"/>
  <c r="H76" i="2" l="1"/>
  <c r="C77" i="2"/>
  <c r="G9" i="2" s="1"/>
  <c r="E82" i="2" s="1"/>
  <c r="F76" i="2"/>
  <c r="G76" i="2"/>
  <c r="E76" i="2"/>
  <c r="B133" i="2"/>
  <c r="Q132" i="2"/>
  <c r="S131" i="2"/>
  <c r="R131" i="2"/>
  <c r="C133" i="2"/>
  <c r="P132" i="2"/>
  <c r="U132" i="2"/>
  <c r="G132" i="2"/>
  <c r="V130" i="2"/>
  <c r="T130" i="2"/>
  <c r="W130" i="2" s="1"/>
  <c r="H130" i="2" s="1"/>
  <c r="U133" i="2" l="1"/>
  <c r="P133" i="2"/>
  <c r="C134" i="2"/>
  <c r="G133" i="2"/>
  <c r="S132" i="2"/>
  <c r="R132" i="2"/>
  <c r="V131" i="2"/>
  <c r="T131" i="2"/>
  <c r="W131" i="2" s="1"/>
  <c r="H131" i="2" s="1"/>
  <c r="G77" i="2"/>
  <c r="F77" i="2"/>
  <c r="H77" i="2"/>
  <c r="E77" i="2"/>
  <c r="Q133" i="2"/>
  <c r="B134" i="2"/>
  <c r="Q134" i="2" l="1"/>
  <c r="V132" i="2"/>
  <c r="T132" i="2"/>
  <c r="W132" i="2" s="1"/>
  <c r="H132" i="2" s="1"/>
  <c r="S133" i="2"/>
  <c r="R133" i="2"/>
  <c r="P134" i="2"/>
  <c r="G134" i="2"/>
  <c r="U134" i="2"/>
  <c r="S134" i="2" l="1"/>
  <c r="R134" i="2"/>
  <c r="V133" i="2"/>
  <c r="T133" i="2"/>
  <c r="W133" i="2" s="1"/>
  <c r="H133" i="2" s="1"/>
  <c r="L82" i="2"/>
  <c r="F82" i="2" s="1"/>
  <c r="I82" i="2" s="1"/>
  <c r="J82" i="2"/>
  <c r="I14" i="2" l="1"/>
  <c r="L83" i="2"/>
  <c r="F83" i="2" s="1"/>
  <c r="I83" i="2" s="1"/>
  <c r="K82" i="2"/>
  <c r="E83" i="2" s="1"/>
  <c r="T134" i="2"/>
  <c r="W134" i="2" s="1"/>
  <c r="H134" i="2" s="1"/>
  <c r="V134" i="2"/>
  <c r="X82" i="2"/>
  <c r="L84" i="2" l="1"/>
  <c r="F84" i="2" s="1"/>
  <c r="I84" i="2" s="1"/>
  <c r="X83" i="2"/>
  <c r="AC83" i="2" s="1"/>
  <c r="X84" i="2"/>
  <c r="Z82" i="2"/>
  <c r="AC82" i="2"/>
  <c r="Y82" i="2"/>
  <c r="Y83" i="2"/>
  <c r="Z83" i="2"/>
  <c r="AC84" i="2"/>
  <c r="Y84" i="2"/>
  <c r="Z84" i="2"/>
  <c r="J83" i="2"/>
  <c r="K83" i="2" s="1"/>
  <c r="L85" i="2" l="1"/>
  <c r="X85" i="2" s="1"/>
  <c r="F85" i="2"/>
  <c r="I85" i="2" s="1"/>
  <c r="L86" i="2"/>
  <c r="X86" i="2" s="1"/>
  <c r="E84" i="2"/>
  <c r="AB82" i="2"/>
  <c r="AA82" i="2"/>
  <c r="Y85" i="2"/>
  <c r="AC85" i="2"/>
  <c r="Z85" i="2"/>
  <c r="AB84" i="2"/>
  <c r="AA84" i="2"/>
  <c r="AB83" i="2"/>
  <c r="AA83" i="2"/>
  <c r="AD82" i="2"/>
  <c r="AD84" i="2"/>
  <c r="AD83" i="2"/>
  <c r="AE83" i="2" s="1"/>
  <c r="L87" i="2" l="1"/>
  <c r="F86" i="2"/>
  <c r="I86" i="2" s="1"/>
  <c r="M83" i="2"/>
  <c r="N83" i="2" s="1"/>
  <c r="O83" i="2" s="1"/>
  <c r="M84" i="2"/>
  <c r="N84" i="2" s="1"/>
  <c r="O84" i="2" s="1"/>
  <c r="AB85" i="2"/>
  <c r="AA85" i="2"/>
  <c r="AE84" i="2"/>
  <c r="AC86" i="2"/>
  <c r="Z86" i="2"/>
  <c r="Y86" i="2"/>
  <c r="M82" i="2"/>
  <c r="N82" i="2" s="1"/>
  <c r="O82" i="2" s="1"/>
  <c r="X87" i="2"/>
  <c r="L88" i="2"/>
  <c r="F87" i="2"/>
  <c r="I87" i="2" s="1"/>
  <c r="AD85" i="2"/>
  <c r="AE82" i="2"/>
  <c r="J84" i="2"/>
  <c r="I15" i="2" s="1"/>
  <c r="M85" i="2" l="1"/>
  <c r="N85" i="2" s="1"/>
  <c r="O85" i="2" s="1"/>
  <c r="AE85" i="2"/>
  <c r="X88" i="2"/>
  <c r="F88" i="2"/>
  <c r="I88" i="2" s="1"/>
  <c r="L89" i="2"/>
  <c r="AC87" i="2"/>
  <c r="Z87" i="2"/>
  <c r="Y87" i="2"/>
  <c r="AA86" i="2"/>
  <c r="AB86" i="2"/>
  <c r="K84" i="2"/>
  <c r="AD86" i="2"/>
  <c r="M86" i="2" l="1"/>
  <c r="N86" i="2" s="1"/>
  <c r="O86" i="2" s="1"/>
  <c r="AE86" i="2"/>
  <c r="E85" i="2"/>
  <c r="X89" i="2"/>
  <c r="F89" i="2"/>
  <c r="I89" i="2" s="1"/>
  <c r="L90" i="2"/>
  <c r="AB87" i="2"/>
  <c r="AA87" i="2"/>
  <c r="AD87" i="2"/>
  <c r="Y88" i="2"/>
  <c r="Z88" i="2"/>
  <c r="AC88" i="2"/>
  <c r="M87" i="2" l="1"/>
  <c r="N87" i="2" s="1"/>
  <c r="O87" i="2" s="1"/>
  <c r="AD88" i="2"/>
  <c r="AE88" i="2" s="1"/>
  <c r="X90" i="2"/>
  <c r="F90" i="2"/>
  <c r="I90" i="2" s="1"/>
  <c r="L91" i="2"/>
  <c r="AA88" i="2"/>
  <c r="AB88" i="2"/>
  <c r="AE87" i="2"/>
  <c r="Y89" i="2"/>
  <c r="AC89" i="2"/>
  <c r="Z89" i="2"/>
  <c r="J85" i="2"/>
  <c r="K85" i="2" s="1"/>
  <c r="E86" i="2" l="1"/>
  <c r="AD89" i="2"/>
  <c r="X91" i="2"/>
  <c r="F91" i="2"/>
  <c r="I91" i="2" s="1"/>
  <c r="L92" i="2"/>
  <c r="AB89" i="2"/>
  <c r="AA89" i="2"/>
  <c r="AC90" i="2"/>
  <c r="Z90" i="2"/>
  <c r="Y90" i="2"/>
  <c r="M88" i="2"/>
  <c r="N88" i="2" s="1"/>
  <c r="O88" i="2" s="1"/>
  <c r="AB90" i="2" l="1"/>
  <c r="AA90" i="2"/>
  <c r="M89" i="2"/>
  <c r="N89" i="2" s="1"/>
  <c r="O89" i="2" s="1"/>
  <c r="AD90" i="2"/>
  <c r="X92" i="2"/>
  <c r="F92" i="2"/>
  <c r="I92" i="2" s="1"/>
  <c r="L93" i="2"/>
  <c r="AC91" i="2"/>
  <c r="Z91" i="2"/>
  <c r="Y91" i="2"/>
  <c r="AE89" i="2"/>
  <c r="J86" i="2"/>
  <c r="I16" i="2" s="1"/>
  <c r="M90" i="2" l="1"/>
  <c r="N90" i="2" s="1"/>
  <c r="O90" i="2" s="1"/>
  <c r="K86" i="2"/>
  <c r="X93" i="2"/>
  <c r="F93" i="2"/>
  <c r="I93" i="2" s="1"/>
  <c r="L94" i="2"/>
  <c r="AB91" i="2"/>
  <c r="AA91" i="2"/>
  <c r="AD91" i="2"/>
  <c r="AE90" i="2"/>
  <c r="AC92" i="2"/>
  <c r="Z92" i="2"/>
  <c r="Y92" i="2"/>
  <c r="M91" i="2" l="1"/>
  <c r="N91" i="2" s="1"/>
  <c r="O91" i="2" s="1"/>
  <c r="AB92" i="2"/>
  <c r="AA92" i="2"/>
  <c r="AD92" i="2"/>
  <c r="AE91" i="2"/>
  <c r="X94" i="2"/>
  <c r="F94" i="2"/>
  <c r="I94" i="2" s="1"/>
  <c r="L95" i="2"/>
  <c r="Y93" i="2"/>
  <c r="AC93" i="2"/>
  <c r="Z93" i="2"/>
  <c r="E87" i="2"/>
  <c r="M92" i="2" l="1"/>
  <c r="N92" i="2" s="1"/>
  <c r="O92" i="2" s="1"/>
  <c r="AA93" i="2"/>
  <c r="AB93" i="2"/>
  <c r="J87" i="2"/>
  <c r="K87" i="2" s="1"/>
  <c r="E88" i="2" s="1"/>
  <c r="AD93" i="2"/>
  <c r="AE93" i="2" s="1"/>
  <c r="X95" i="2"/>
  <c r="F95" i="2"/>
  <c r="I95" i="2" s="1"/>
  <c r="L96" i="2"/>
  <c r="Z94" i="2"/>
  <c r="Y94" i="2"/>
  <c r="AC94" i="2"/>
  <c r="AE92" i="2"/>
  <c r="M93" i="2" l="1"/>
  <c r="N93" i="2" s="1"/>
  <c r="O93" i="2" s="1"/>
  <c r="J88" i="2"/>
  <c r="K88" i="2" s="1"/>
  <c r="E89" i="2" s="1"/>
  <c r="AB94" i="2"/>
  <c r="AA94" i="2"/>
  <c r="AD94" i="2"/>
  <c r="X96" i="2"/>
  <c r="F96" i="2"/>
  <c r="I96" i="2" s="1"/>
  <c r="L97" i="2"/>
  <c r="AC95" i="2"/>
  <c r="Z95" i="2"/>
  <c r="Y95" i="2"/>
  <c r="M94" i="2" l="1"/>
  <c r="N94" i="2" s="1"/>
  <c r="O94" i="2" s="1"/>
  <c r="J89" i="2"/>
  <c r="K89" i="2" s="1"/>
  <c r="E90" i="2" s="1"/>
  <c r="AD95" i="2"/>
  <c r="AB95" i="2"/>
  <c r="AA95" i="2"/>
  <c r="X97" i="2"/>
  <c r="F97" i="2"/>
  <c r="I97" i="2" s="1"/>
  <c r="L98" i="2"/>
  <c r="AC96" i="2"/>
  <c r="Z96" i="2"/>
  <c r="Y96" i="2"/>
  <c r="AE94" i="2"/>
  <c r="J90" i="2" l="1"/>
  <c r="K90" i="2" s="1"/>
  <c r="E91" i="2" s="1"/>
  <c r="AB96" i="2"/>
  <c r="AA96" i="2"/>
  <c r="AD96" i="2"/>
  <c r="AC97" i="2"/>
  <c r="Z97" i="2"/>
  <c r="Y97" i="2"/>
  <c r="X98" i="2"/>
  <c r="F98" i="2"/>
  <c r="I98" i="2" s="1"/>
  <c r="L99" i="2"/>
  <c r="M95" i="2"/>
  <c r="N95" i="2" s="1"/>
  <c r="O95" i="2" s="1"/>
  <c r="AE95" i="2"/>
  <c r="M96" i="2" l="1"/>
  <c r="N96" i="2" s="1"/>
  <c r="O96" i="2" s="1"/>
  <c r="J91" i="2"/>
  <c r="I17" i="2" s="1"/>
  <c r="X99" i="2"/>
  <c r="L100" i="2"/>
  <c r="F99" i="2"/>
  <c r="I99" i="2" s="1"/>
  <c r="AC98" i="2"/>
  <c r="Y98" i="2"/>
  <c r="Z98" i="2"/>
  <c r="AB97" i="2"/>
  <c r="AA97" i="2"/>
  <c r="AD97" i="2"/>
  <c r="AE96" i="2"/>
  <c r="M97" i="2" l="1"/>
  <c r="N97" i="2" s="1"/>
  <c r="O97" i="2" s="1"/>
  <c r="AE97" i="2"/>
  <c r="AD98" i="2"/>
  <c r="AE98" i="2" s="1"/>
  <c r="AA98" i="2"/>
  <c r="AB98" i="2"/>
  <c r="X100" i="2"/>
  <c r="F100" i="2"/>
  <c r="I100" i="2" s="1"/>
  <c r="L101" i="2"/>
  <c r="AC99" i="2"/>
  <c r="Z99" i="2"/>
  <c r="Y99" i="2"/>
  <c r="K91" i="2"/>
  <c r="E92" i="2" s="1"/>
  <c r="AD99" i="2" l="1"/>
  <c r="AE99" i="2" s="1"/>
  <c r="J92" i="2"/>
  <c r="K92" i="2" s="1"/>
  <c r="E93" i="2" s="1"/>
  <c r="AB99" i="2"/>
  <c r="AA99" i="2"/>
  <c r="X101" i="2"/>
  <c r="F101" i="2"/>
  <c r="I101" i="2" s="1"/>
  <c r="L102" i="2"/>
  <c r="Y100" i="2"/>
  <c r="AC100" i="2"/>
  <c r="Z100" i="2"/>
  <c r="M98" i="2"/>
  <c r="N98" i="2" s="1"/>
  <c r="O98" i="2" s="1"/>
  <c r="J93" i="2" l="1"/>
  <c r="K93" i="2" s="1"/>
  <c r="E94" i="2" s="1"/>
  <c r="AB100" i="2"/>
  <c r="AA100" i="2"/>
  <c r="X102" i="2"/>
  <c r="F102" i="2"/>
  <c r="I102" i="2" s="1"/>
  <c r="L103" i="2"/>
  <c r="AD100" i="2"/>
  <c r="Y101" i="2"/>
  <c r="Z101" i="2"/>
  <c r="AC101" i="2"/>
  <c r="M99" i="2"/>
  <c r="N99" i="2" s="1"/>
  <c r="O99" i="2" s="1"/>
  <c r="M100" i="2" l="1"/>
  <c r="N100" i="2" s="1"/>
  <c r="O100" i="2" s="1"/>
  <c r="J94" i="2"/>
  <c r="K94" i="2" s="1"/>
  <c r="E95" i="2" s="1"/>
  <c r="AA101" i="2"/>
  <c r="AB101" i="2"/>
  <c r="AE100" i="2"/>
  <c r="X103" i="2"/>
  <c r="L104" i="2"/>
  <c r="F103" i="2"/>
  <c r="I103" i="2" s="1"/>
  <c r="AD101" i="2"/>
  <c r="AC102" i="2"/>
  <c r="Z102" i="2"/>
  <c r="Y102" i="2"/>
  <c r="M101" i="2" l="1"/>
  <c r="N101" i="2" s="1"/>
  <c r="O101" i="2" s="1"/>
  <c r="J95" i="2"/>
  <c r="K95" i="2" s="1"/>
  <c r="E96" i="2" s="1"/>
  <c r="AB102" i="2"/>
  <c r="AA102" i="2"/>
  <c r="AD102" i="2"/>
  <c r="AE101" i="2"/>
  <c r="X104" i="2"/>
  <c r="F104" i="2"/>
  <c r="I104" i="2" s="1"/>
  <c r="L105" i="2"/>
  <c r="Y103" i="2"/>
  <c r="AC103" i="2"/>
  <c r="Z103" i="2"/>
  <c r="M102" i="2" l="1"/>
  <c r="N102" i="2" s="1"/>
  <c r="O102" i="2" s="1"/>
  <c r="J96" i="2"/>
  <c r="J14" i="2" s="1"/>
  <c r="AA103" i="2"/>
  <c r="AB103" i="2"/>
  <c r="Y104" i="2"/>
  <c r="AC104" i="2"/>
  <c r="Z104" i="2"/>
  <c r="AD103" i="2"/>
  <c r="X105" i="2"/>
  <c r="L106" i="2"/>
  <c r="F105" i="2"/>
  <c r="I105" i="2" s="1"/>
  <c r="AE102" i="2"/>
  <c r="M103" i="2" l="1"/>
  <c r="N103" i="2" s="1"/>
  <c r="O103" i="2" s="1"/>
  <c r="X106" i="2"/>
  <c r="F106" i="2"/>
  <c r="I106" i="2" s="1"/>
  <c r="L107" i="2"/>
  <c r="Z105" i="2"/>
  <c r="Y105" i="2"/>
  <c r="AC105" i="2"/>
  <c r="AE103" i="2"/>
  <c r="AB104" i="2"/>
  <c r="AA104" i="2"/>
  <c r="AD104" i="2"/>
  <c r="AE104" i="2" s="1"/>
  <c r="K96" i="2"/>
  <c r="E97" i="2" s="1"/>
  <c r="M104" i="2" l="1"/>
  <c r="N104" i="2" s="1"/>
  <c r="O104" i="2" s="1"/>
  <c r="X107" i="2"/>
  <c r="F107" i="2"/>
  <c r="I107" i="2" s="1"/>
  <c r="L108" i="2"/>
  <c r="Y106" i="2"/>
  <c r="AC106" i="2"/>
  <c r="Z106" i="2"/>
  <c r="J97" i="2"/>
  <c r="K97" i="2" s="1"/>
  <c r="E98" i="2" s="1"/>
  <c r="AD105" i="2"/>
  <c r="AE105" i="2" s="1"/>
  <c r="AB105" i="2"/>
  <c r="AA105" i="2"/>
  <c r="J98" i="2" l="1"/>
  <c r="K98" i="2" s="1"/>
  <c r="E99" i="2" s="1"/>
  <c r="M105" i="2"/>
  <c r="N105" i="2" s="1"/>
  <c r="O105" i="2" s="1"/>
  <c r="X108" i="2"/>
  <c r="F108" i="2"/>
  <c r="I108" i="2" s="1"/>
  <c r="L109" i="2"/>
  <c r="Z107" i="2"/>
  <c r="AC107" i="2"/>
  <c r="Y107" i="2"/>
  <c r="AB106" i="2"/>
  <c r="AA106" i="2"/>
  <c r="AD106" i="2"/>
  <c r="M106" i="2" l="1"/>
  <c r="N106" i="2" s="1"/>
  <c r="O106" i="2" s="1"/>
  <c r="J99" i="2"/>
  <c r="K99" i="2" s="1"/>
  <c r="E100" i="2" s="1"/>
  <c r="AD107" i="2"/>
  <c r="AB107" i="2"/>
  <c r="AA107" i="2"/>
  <c r="X109" i="2"/>
  <c r="L110" i="2"/>
  <c r="F109" i="2"/>
  <c r="I109" i="2" s="1"/>
  <c r="AE106" i="2"/>
  <c r="AC108" i="2"/>
  <c r="Z108" i="2"/>
  <c r="Y108" i="2"/>
  <c r="J100" i="2" l="1"/>
  <c r="K100" i="2" s="1"/>
  <c r="E101" i="2" s="1"/>
  <c r="AB108" i="2"/>
  <c r="AA108" i="2"/>
  <c r="AD108" i="2"/>
  <c r="M108" i="2" s="1"/>
  <c r="N108" i="2" s="1"/>
  <c r="O108" i="2" s="1"/>
  <c r="X110" i="2"/>
  <c r="L111" i="2"/>
  <c r="F110" i="2"/>
  <c r="I110" i="2" s="1"/>
  <c r="Y109" i="2"/>
  <c r="AC109" i="2"/>
  <c r="Z109" i="2"/>
  <c r="M107" i="2"/>
  <c r="N107" i="2" s="1"/>
  <c r="O107" i="2" s="1"/>
  <c r="AE107" i="2"/>
  <c r="AD109" i="2" l="1"/>
  <c r="Y110" i="2"/>
  <c r="AC110" i="2"/>
  <c r="Z110" i="2"/>
  <c r="AA109" i="2"/>
  <c r="AB109" i="2"/>
  <c r="X111" i="2"/>
  <c r="F111" i="2"/>
  <c r="I111" i="2" s="1"/>
  <c r="L112" i="2"/>
  <c r="AE108" i="2"/>
  <c r="J101" i="2"/>
  <c r="J15" i="2" s="1"/>
  <c r="K101" i="2" l="1"/>
  <c r="E102" i="2" s="1"/>
  <c r="X112" i="2"/>
  <c r="L113" i="2"/>
  <c r="F112" i="2"/>
  <c r="I112" i="2" s="1"/>
  <c r="M109" i="2"/>
  <c r="N109" i="2" s="1"/>
  <c r="O109" i="2" s="1"/>
  <c r="Z111" i="2"/>
  <c r="AC111" i="2"/>
  <c r="Y111" i="2"/>
  <c r="AA110" i="2"/>
  <c r="AB110" i="2"/>
  <c r="AD110" i="2"/>
  <c r="M110" i="2" s="1"/>
  <c r="N110" i="2" s="1"/>
  <c r="O110" i="2" s="1"/>
  <c r="AE109" i="2"/>
  <c r="AE110" i="2" l="1"/>
  <c r="X113" i="2"/>
  <c r="F113" i="2"/>
  <c r="I113" i="2" s="1"/>
  <c r="L114" i="2"/>
  <c r="Z112" i="2"/>
  <c r="Y112" i="2"/>
  <c r="AC112" i="2"/>
  <c r="AD111" i="2"/>
  <c r="AE111" i="2" s="1"/>
  <c r="AA111" i="2"/>
  <c r="AB111" i="2"/>
  <c r="J102" i="2"/>
  <c r="K102" i="2" s="1"/>
  <c r="E103" i="2" s="1"/>
  <c r="J103" i="2" l="1"/>
  <c r="K103" i="2" s="1"/>
  <c r="E104" i="2" s="1"/>
  <c r="X114" i="2"/>
  <c r="F114" i="2"/>
  <c r="I114" i="2" s="1"/>
  <c r="L115" i="2"/>
  <c r="M111" i="2"/>
  <c r="N111" i="2" s="1"/>
  <c r="O111" i="2" s="1"/>
  <c r="AD112" i="2"/>
  <c r="AE112" i="2" s="1"/>
  <c r="AB112" i="2"/>
  <c r="AA112" i="2"/>
  <c r="AC113" i="2"/>
  <c r="Z113" i="2"/>
  <c r="Y113" i="2"/>
  <c r="J104" i="2" l="1"/>
  <c r="K104" i="2" s="1"/>
  <c r="E105" i="2" s="1"/>
  <c r="AB113" i="2"/>
  <c r="AA113" i="2"/>
  <c r="M112" i="2"/>
  <c r="N112" i="2" s="1"/>
  <c r="O112" i="2" s="1"/>
  <c r="AD113" i="2"/>
  <c r="M113" i="2" s="1"/>
  <c r="N113" i="2" s="1"/>
  <c r="O113" i="2" s="1"/>
  <c r="X115" i="2"/>
  <c r="F115" i="2"/>
  <c r="I115" i="2" s="1"/>
  <c r="L116" i="2"/>
  <c r="AC114" i="2"/>
  <c r="Y114" i="2"/>
  <c r="Z114" i="2"/>
  <c r="AE113" i="2" l="1"/>
  <c r="J105" i="2"/>
  <c r="K105" i="2" s="1"/>
  <c r="E106" i="2" s="1"/>
  <c r="AD114" i="2"/>
  <c r="AB114" i="2"/>
  <c r="AA114" i="2"/>
  <c r="X116" i="2"/>
  <c r="F116" i="2"/>
  <c r="I116" i="2" s="1"/>
  <c r="L117" i="2"/>
  <c r="Y115" i="2"/>
  <c r="Z115" i="2"/>
  <c r="AC115" i="2"/>
  <c r="J106" i="2" l="1"/>
  <c r="J16" i="2" s="1"/>
  <c r="AA115" i="2"/>
  <c r="AB115" i="2"/>
  <c r="X117" i="2"/>
  <c r="F117" i="2"/>
  <c r="I117" i="2" s="1"/>
  <c r="L118" i="2"/>
  <c r="AC116" i="2"/>
  <c r="Z116" i="2"/>
  <c r="Y116" i="2"/>
  <c r="AD115" i="2"/>
  <c r="M114" i="2"/>
  <c r="N114" i="2" s="1"/>
  <c r="O114" i="2" s="1"/>
  <c r="AE114" i="2"/>
  <c r="M115" i="2" l="1"/>
  <c r="N115" i="2" s="1"/>
  <c r="O115" i="2" s="1"/>
  <c r="AE115" i="2"/>
  <c r="AA116" i="2"/>
  <c r="AB116" i="2"/>
  <c r="AD116" i="2"/>
  <c r="X118" i="2"/>
  <c r="L119" i="2"/>
  <c r="F118" i="2"/>
  <c r="I118" i="2" s="1"/>
  <c r="Y117" i="2"/>
  <c r="Z117" i="2"/>
  <c r="AC117" i="2"/>
  <c r="K106" i="2"/>
  <c r="E107" i="2" s="1"/>
  <c r="M116" i="2" l="1"/>
  <c r="N116" i="2" s="1"/>
  <c r="O116" i="2" s="1"/>
  <c r="AE116" i="2"/>
  <c r="Y118" i="2"/>
  <c r="AC118" i="2"/>
  <c r="Z118" i="2"/>
  <c r="J107" i="2"/>
  <c r="K107" i="2" s="1"/>
  <c r="E108" i="2" s="1"/>
  <c r="AD117" i="2"/>
  <c r="AE117" i="2" s="1"/>
  <c r="AB117" i="2"/>
  <c r="AA117" i="2"/>
  <c r="X119" i="2"/>
  <c r="L120" i="2"/>
  <c r="F119" i="2"/>
  <c r="I119" i="2" s="1"/>
  <c r="J108" i="2" l="1"/>
  <c r="K108" i="2" s="1"/>
  <c r="E109" i="2" s="1"/>
  <c r="X120" i="2"/>
  <c r="F120" i="2"/>
  <c r="I120" i="2" s="1"/>
  <c r="L121" i="2"/>
  <c r="AB118" i="2"/>
  <c r="AA118" i="2"/>
  <c r="AC119" i="2"/>
  <c r="Y119" i="2"/>
  <c r="Z119" i="2"/>
  <c r="M117" i="2"/>
  <c r="N117" i="2" s="1"/>
  <c r="O117" i="2" s="1"/>
  <c r="AD118" i="2"/>
  <c r="M118" i="2" l="1"/>
  <c r="N118" i="2" s="1"/>
  <c r="O118" i="2" s="1"/>
  <c r="AE118" i="2"/>
  <c r="J109" i="2"/>
  <c r="K109" i="2" s="1"/>
  <c r="E110" i="2" s="1"/>
  <c r="AB119" i="2"/>
  <c r="AA119" i="2"/>
  <c r="AD119" i="2"/>
  <c r="X121" i="2"/>
  <c r="L122" i="2"/>
  <c r="F121" i="2"/>
  <c r="I121" i="2" s="1"/>
  <c r="Z120" i="2"/>
  <c r="Y120" i="2"/>
  <c r="AC120" i="2"/>
  <c r="M119" i="2" l="1"/>
  <c r="N119" i="2" s="1"/>
  <c r="O119" i="2" s="1"/>
  <c r="J110" i="2"/>
  <c r="K110" i="2" s="1"/>
  <c r="E111" i="2" s="1"/>
  <c r="AB120" i="2"/>
  <c r="AA120" i="2"/>
  <c r="AD120" i="2"/>
  <c r="X122" i="2"/>
  <c r="L123" i="2"/>
  <c r="L124" i="2" s="1"/>
  <c r="F122" i="2"/>
  <c r="I122" i="2" s="1"/>
  <c r="AC121" i="2"/>
  <c r="Z121" i="2"/>
  <c r="Y121" i="2"/>
  <c r="AE119" i="2"/>
  <c r="M120" i="2" l="1"/>
  <c r="N120" i="2" s="1"/>
  <c r="O120" i="2" s="1"/>
  <c r="F124" i="2"/>
  <c r="I124" i="2" s="1"/>
  <c r="L125" i="2"/>
  <c r="X124" i="2"/>
  <c r="AE120" i="2"/>
  <c r="J111" i="2"/>
  <c r="J17" i="2" s="1"/>
  <c r="AB121" i="2"/>
  <c r="AA121" i="2"/>
  <c r="AD121" i="2"/>
  <c r="M121" i="2" s="1"/>
  <c r="N121" i="2" s="1"/>
  <c r="O121" i="2" s="1"/>
  <c r="X123" i="2"/>
  <c r="F123" i="2"/>
  <c r="I123" i="2" s="1"/>
  <c r="Y122" i="2"/>
  <c r="Z122" i="2"/>
  <c r="AC122" i="2"/>
  <c r="AC124" i="2" l="1"/>
  <c r="Y124" i="2"/>
  <c r="Z124" i="2"/>
  <c r="L126" i="2"/>
  <c r="F125" i="2"/>
  <c r="I125" i="2" s="1"/>
  <c r="X125" i="2"/>
  <c r="AD122" i="2"/>
  <c r="AB122" i="2"/>
  <c r="AA122" i="2"/>
  <c r="Y123" i="2"/>
  <c r="AC123" i="2"/>
  <c r="Z123" i="2"/>
  <c r="AE121" i="2"/>
  <c r="K111" i="2"/>
  <c r="E112" i="2" s="1"/>
  <c r="I9" i="2" s="1"/>
  <c r="Y125" i="2" l="1"/>
  <c r="Z125" i="2"/>
  <c r="AC125" i="2"/>
  <c r="AD125" i="2" s="1"/>
  <c r="L127" i="2"/>
  <c r="F126" i="2"/>
  <c r="I126" i="2" s="1"/>
  <c r="X126" i="2"/>
  <c r="AA124" i="2"/>
  <c r="AB124" i="2"/>
  <c r="AD124" i="2"/>
  <c r="M124" i="2" s="1"/>
  <c r="N124" i="2" s="1"/>
  <c r="O124" i="2" s="1"/>
  <c r="AB123" i="2"/>
  <c r="AA123" i="2"/>
  <c r="M122" i="2"/>
  <c r="N122" i="2" s="1"/>
  <c r="O122" i="2" s="1"/>
  <c r="J112" i="2"/>
  <c r="K112" i="2" s="1"/>
  <c r="E113" i="2" s="1"/>
  <c r="AD123" i="2"/>
  <c r="M123" i="2" s="1"/>
  <c r="N123" i="2" s="1"/>
  <c r="O123" i="2" s="1"/>
  <c r="AE122" i="2"/>
  <c r="Y126" i="2" l="1"/>
  <c r="AC126" i="2"/>
  <c r="Z126" i="2"/>
  <c r="AE124" i="2"/>
  <c r="F127" i="2"/>
  <c r="I127" i="2" s="1"/>
  <c r="L128" i="2"/>
  <c r="X127" i="2"/>
  <c r="AE125" i="2"/>
  <c r="AB125" i="2"/>
  <c r="AA125" i="2"/>
  <c r="M125" i="2" s="1"/>
  <c r="N125" i="2" s="1"/>
  <c r="O125" i="2" s="1"/>
  <c r="J113" i="2"/>
  <c r="K113" i="2" s="1"/>
  <c r="E114" i="2" s="1"/>
  <c r="AE123" i="2"/>
  <c r="F128" i="2" l="1"/>
  <c r="I128" i="2" s="1"/>
  <c r="L129" i="2"/>
  <c r="X128" i="2"/>
  <c r="Y127" i="2"/>
  <c r="AC127" i="2"/>
  <c r="Z127" i="2"/>
  <c r="AB126" i="2"/>
  <c r="AA126" i="2"/>
  <c r="AD126" i="2"/>
  <c r="M126" i="2" s="1"/>
  <c r="N126" i="2" s="1"/>
  <c r="O126" i="2" s="1"/>
  <c r="J114" i="2"/>
  <c r="K114" i="2" s="1"/>
  <c r="E115" i="2" s="1"/>
  <c r="AD127" i="2" l="1"/>
  <c r="AE127" i="2" s="1"/>
  <c r="AE126" i="2"/>
  <c r="AB127" i="2"/>
  <c r="AA127" i="2"/>
  <c r="Z128" i="2"/>
  <c r="Y128" i="2"/>
  <c r="AC128" i="2"/>
  <c r="F129" i="2"/>
  <c r="I129" i="2" s="1"/>
  <c r="L130" i="2"/>
  <c r="X129" i="2"/>
  <c r="J115" i="2"/>
  <c r="K115" i="2" s="1"/>
  <c r="E116" i="2" s="1"/>
  <c r="L131" i="2" l="1"/>
  <c r="F130" i="2"/>
  <c r="I130" i="2" s="1"/>
  <c r="X130" i="2"/>
  <c r="Y129" i="2"/>
  <c r="AC129" i="2"/>
  <c r="Z129" i="2"/>
  <c r="AD128" i="2"/>
  <c r="AE128" i="2" s="1"/>
  <c r="AB128" i="2"/>
  <c r="AA128" i="2"/>
  <c r="M127" i="2"/>
  <c r="N127" i="2" s="1"/>
  <c r="O127" i="2" s="1"/>
  <c r="J116" i="2"/>
  <c r="K116" i="2" s="1"/>
  <c r="E117" i="2" s="1"/>
  <c r="M128" i="2" l="1"/>
  <c r="N128" i="2" s="1"/>
  <c r="O128" i="2" s="1"/>
  <c r="AB129" i="2"/>
  <c r="AA129" i="2"/>
  <c r="AD129" i="2"/>
  <c r="AE129" i="2" s="1"/>
  <c r="AC130" i="2"/>
  <c r="Y130" i="2"/>
  <c r="Z130" i="2"/>
  <c r="F131" i="2"/>
  <c r="I131" i="2" s="1"/>
  <c r="L132" i="2"/>
  <c r="X131" i="2"/>
  <c r="J117" i="2"/>
  <c r="K117" i="2" s="1"/>
  <c r="E118" i="2" s="1"/>
  <c r="M129" i="2" l="1"/>
  <c r="N129" i="2" s="1"/>
  <c r="O129" i="2" s="1"/>
  <c r="L133" i="2"/>
  <c r="F132" i="2"/>
  <c r="I132" i="2" s="1"/>
  <c r="X132" i="2"/>
  <c r="AD130" i="2"/>
  <c r="AE130" i="2" s="1"/>
  <c r="AC131" i="2"/>
  <c r="AD131" i="2" s="1"/>
  <c r="Z131" i="2"/>
  <c r="Y131" i="2"/>
  <c r="AA130" i="2"/>
  <c r="AB130" i="2"/>
  <c r="J118" i="2"/>
  <c r="K118" i="2" s="1"/>
  <c r="E119" i="2" s="1"/>
  <c r="AA131" i="2" l="1"/>
  <c r="AB131" i="2"/>
  <c r="AC132" i="2"/>
  <c r="Y132" i="2"/>
  <c r="Z132" i="2"/>
  <c r="AE131" i="2"/>
  <c r="M131" i="2"/>
  <c r="N131" i="2" s="1"/>
  <c r="O131" i="2" s="1"/>
  <c r="M130" i="2"/>
  <c r="N130" i="2" s="1"/>
  <c r="O130" i="2" s="1"/>
  <c r="L134" i="2"/>
  <c r="F133" i="2"/>
  <c r="I133" i="2" s="1"/>
  <c r="X133" i="2"/>
  <c r="J119" i="2"/>
  <c r="K119" i="2" s="1"/>
  <c r="E120" i="2" s="1"/>
  <c r="AC133" i="2" l="1"/>
  <c r="AD133" i="2" s="1"/>
  <c r="Z133" i="2"/>
  <c r="Y133" i="2"/>
  <c r="F134" i="2"/>
  <c r="I134" i="2" s="1"/>
  <c r="X134" i="2"/>
  <c r="AA132" i="2"/>
  <c r="AB132" i="2"/>
  <c r="AD132" i="2"/>
  <c r="M132" i="2" s="1"/>
  <c r="N132" i="2" s="1"/>
  <c r="O132" i="2" s="1"/>
  <c r="J120" i="2"/>
  <c r="K120" i="2" s="1"/>
  <c r="E121" i="2" s="1"/>
  <c r="AE132" i="2" l="1"/>
  <c r="Z134" i="2"/>
  <c r="AC134" i="2"/>
  <c r="Y134" i="2"/>
  <c r="AA133" i="2"/>
  <c r="AB133" i="2"/>
  <c r="AE133" i="2"/>
  <c r="M133" i="2"/>
  <c r="N133" i="2" s="1"/>
  <c r="O133" i="2" s="1"/>
  <c r="J121" i="2"/>
  <c r="K121" i="2" s="1"/>
  <c r="E122" i="2" s="1"/>
  <c r="AD134" i="2" l="1"/>
  <c r="AE134" i="2" s="1"/>
  <c r="AB134" i="2"/>
  <c r="AA134" i="2"/>
  <c r="J122" i="2"/>
  <c r="K122" i="2" s="1"/>
  <c r="E123" i="2" s="1"/>
  <c r="M134" i="2" l="1"/>
  <c r="N134" i="2" s="1"/>
  <c r="O134" i="2" s="1"/>
  <c r="O135" i="2" s="1"/>
  <c r="J123" i="2"/>
  <c r="K123" i="2" s="1"/>
  <c r="E124" i="2" s="1"/>
  <c r="J9" i="2" s="1"/>
  <c r="J124" i="2" l="1"/>
  <c r="K124" i="2" s="1"/>
  <c r="E125" i="2" s="1"/>
  <c r="J125" i="2" l="1"/>
  <c r="K125" i="2" s="1"/>
  <c r="E126" i="2" s="1"/>
  <c r="J126" i="2" l="1"/>
  <c r="K126" i="2" s="1"/>
  <c r="E127" i="2" s="1"/>
  <c r="J127" i="2" l="1"/>
  <c r="K127" i="2" s="1"/>
  <c r="E128" i="2" s="1"/>
  <c r="J128" i="2" l="1"/>
  <c r="K128" i="2" s="1"/>
  <c r="E129" i="2" s="1"/>
  <c r="J129" i="2" l="1"/>
  <c r="K129" i="2" s="1"/>
  <c r="E130" i="2" s="1"/>
  <c r="J130" i="2" l="1"/>
  <c r="K130" i="2" s="1"/>
  <c r="E131" i="2" s="1"/>
  <c r="J131" i="2" l="1"/>
  <c r="K131" i="2" s="1"/>
  <c r="E132" i="2" s="1"/>
  <c r="J132" i="2" l="1"/>
  <c r="K132" i="2" s="1"/>
  <c r="E133" i="2" s="1"/>
  <c r="J133" i="2" l="1"/>
  <c r="K133" i="2" s="1"/>
  <c r="E134" i="2" s="1"/>
  <c r="J134" i="2" l="1"/>
  <c r="K134" i="2" s="1"/>
  <c r="J10" i="2" l="1"/>
  <c r="I10" i="2"/>
</calcChain>
</file>

<file path=xl/sharedStrings.xml><?xml version="1.0" encoding="utf-8"?>
<sst xmlns="http://schemas.openxmlformats.org/spreadsheetml/2006/main" count="189" uniqueCount="154">
  <si>
    <t>Now</t>
  </si>
  <si>
    <t>Retirement</t>
  </si>
  <si>
    <t>Death</t>
  </si>
  <si>
    <t>Additional Setup</t>
  </si>
  <si>
    <t xml:space="preserve"> Target Additional Costs (Annual)</t>
  </si>
  <si>
    <t>Monthly Target Gross Dropdown Box</t>
  </si>
  <si>
    <t>Age</t>
  </si>
  <si>
    <t>◄ 100% 
◄ Combined.</t>
  </si>
  <si>
    <t>Gifts</t>
  </si>
  <si>
    <t>Vacation</t>
  </si>
  <si>
    <t>Home</t>
  </si>
  <si>
    <t>Year</t>
  </si>
  <si>
    <t>One spouse:</t>
  </si>
  <si>
    <t>(%) Balanced Rate from ROTH/401k/Brokerage</t>
  </si>
  <si>
    <r>
      <rPr>
        <sz val="11"/>
        <color theme="1"/>
        <rFont val="Arial"/>
        <family val="2"/>
      </rPr>
      <t>◄</t>
    </r>
    <r>
      <rPr>
        <sz val="8.8000000000000007"/>
        <color theme="1"/>
        <rFont val="Calibri"/>
        <family val="2"/>
      </rPr>
      <t xml:space="preserve"> </t>
    </r>
    <r>
      <rPr>
        <sz val="11"/>
        <color theme="1"/>
        <rFont val="Calibri"/>
        <family val="2"/>
      </rPr>
      <t>SELECT RATE</t>
    </r>
  </si>
  <si>
    <t>Misc</t>
  </si>
  <si>
    <t>This is used to determine taxes on Monthly Rough Net ▲▲</t>
  </si>
  <si>
    <t>($) Starting with</t>
  </si>
  <si>
    <t>(Ave Start,End)</t>
  </si>
  <si>
    <t>($) Approximate Shortfall</t>
  </si>
  <si>
    <r>
      <t xml:space="preserve">Rate Comparisons - Click and Select Above </t>
    </r>
    <r>
      <rPr>
        <b/>
        <sz val="11"/>
        <color theme="0"/>
        <rFont val="Arial"/>
        <family val="2"/>
      </rPr>
      <t>▲</t>
    </r>
  </si>
  <si>
    <t>Sum of the above</t>
  </si>
  <si>
    <t>(%) Investment Returns CAGR</t>
  </si>
  <si>
    <t>(current)</t>
  </si>
  <si>
    <t>(projected)</t>
  </si>
  <si>
    <t>(%) Inflation CAGR</t>
  </si>
  <si>
    <t>(%) AGI Combined Effective Rate</t>
  </si>
  <si>
    <t>($) Annual Contribution</t>
  </si>
  <si>
    <t>(401K; ROTH; Backdoor ROTH; eTrade; Brokerage)</t>
  </si>
  <si>
    <t>(%) Capital Gains Rate</t>
  </si>
  <si>
    <t>SS Age Start</t>
  </si>
  <si>
    <t>(%) Custom Rate (if preferred)</t>
  </si>
  <si>
    <t>($) Social Security @ 62</t>
  </si>
  <si>
    <t xml:space="preserve">(%) Delay SS Withdrawal CAGR </t>
  </si>
  <si>
    <t>(62-68 yrs)</t>
  </si>
  <si>
    <t>(based on now)</t>
  </si>
  <si>
    <t>(%) Social Security growth CAGR</t>
  </si>
  <si>
    <t>(25 year ave)</t>
  </si>
  <si>
    <t>(based on average)</t>
  </si>
  <si>
    <t>($) Other Source (Net)</t>
  </si>
  <si>
    <t>(%) Other Source Growth CAGR</t>
  </si>
  <si>
    <t xml:space="preserve">($) Taxable AGI (Gross-Other Source) </t>
  </si>
  <si>
    <r>
      <t xml:space="preserve">Multiple assumptions to be hyper conservative. </t>
    </r>
    <r>
      <rPr>
        <vertAlign val="superscript"/>
        <sz val="11"/>
        <color theme="1"/>
        <rFont val="Aptos Narrow"/>
        <family val="2"/>
        <scheme val="minor"/>
      </rPr>
      <t>8</t>
    </r>
  </si>
  <si>
    <t>Optional Fine Tuning</t>
  </si>
  <si>
    <t>Freeze Annual Contribution</t>
  </si>
  <si>
    <t>Fractional Work</t>
  </si>
  <si>
    <t>($) Variable Income Net</t>
  </si>
  <si>
    <t>($) Target Additional Expenses</t>
  </si>
  <si>
    <t>(Yes/No)</t>
  </si>
  <si>
    <t>No</t>
  </si>
  <si>
    <t>Years</t>
  </si>
  <si>
    <t>($) Annual Surplus or Shortfall</t>
  </si>
  <si>
    <t>(ie. don't grow with inflation)</t>
  </si>
  <si>
    <t>($) Amount Gross</t>
  </si>
  <si>
    <t>($) Monthly Surplus or Shortfall</t>
  </si>
  <si>
    <t>Starting Balance</t>
  </si>
  <si>
    <t>Investment Growth</t>
  </si>
  <si>
    <t>Annual Contribution</t>
  </si>
  <si>
    <t>Ending Balance</t>
  </si>
  <si>
    <t>Federal Income Tax Brackets and Effective Tax Rates</t>
  </si>
  <si>
    <t>2025 IRS Rates</t>
  </si>
  <si>
    <t>Method</t>
  </si>
  <si>
    <t>Bottom of Bracket</t>
  </si>
  <si>
    <t>Top of Bracket</t>
  </si>
  <si>
    <t>Taxes Based on AGI above</t>
  </si>
  <si>
    <t>Tax Rate</t>
  </si>
  <si>
    <t xml:space="preserve">Married Filing Jointly </t>
  </si>
  <si>
    <t>Tax Amount</t>
  </si>
  <si>
    <t>Effective Rate</t>
  </si>
  <si>
    <r>
      <t xml:space="preserve">Total and Effective Rate </t>
    </r>
    <r>
      <rPr>
        <b/>
        <vertAlign val="superscript"/>
        <sz val="11"/>
        <color theme="0"/>
        <rFont val="Aptos Narrow"/>
        <family val="2"/>
        <scheme val="minor"/>
      </rPr>
      <t>1</t>
    </r>
  </si>
  <si>
    <t>Your Taxes</t>
  </si>
  <si>
    <r>
      <t xml:space="preserve">(Tax Amount from next level down </t>
    </r>
    <r>
      <rPr>
        <i/>
        <sz val="11"/>
        <color theme="1"/>
        <rFont val="Aptos Narrow"/>
        <family val="2"/>
        <scheme val="minor"/>
      </rPr>
      <t>Top of Bracket</t>
    </r>
    <r>
      <rPr>
        <sz val="11"/>
        <color theme="1"/>
        <rFont val="Aptos Narrow"/>
        <family val="2"/>
        <scheme val="minor"/>
      </rPr>
      <t>) + (Additional tax from your AGI Tax Bracket)</t>
    </r>
  </si>
  <si>
    <t>$751,601 and above</t>
  </si>
  <si>
    <t>N/A</t>
  </si>
  <si>
    <t>AGI Combined Effective Rate</t>
  </si>
  <si>
    <t>(Total Taxes on AGI)/(Annual Target Gross)</t>
  </si>
  <si>
    <t>Historical Investement Returns</t>
  </si>
  <si>
    <t>Period</t>
  </si>
  <si>
    <t>NASDAQ</t>
  </si>
  <si>
    <t>S&amp;P 500</t>
  </si>
  <si>
    <t>Dow</t>
  </si>
  <si>
    <t>Capital Gains Rates</t>
  </si>
  <si>
    <t>3‑Year</t>
  </si>
  <si>
    <t>AGI Bottom</t>
  </si>
  <si>
    <t>AGI Top</t>
  </si>
  <si>
    <t>5‑Year</t>
  </si>
  <si>
    <t>10‑Year</t>
  </si>
  <si>
    <t>15‑Year</t>
  </si>
  <si>
    <t>20‑Year</t>
  </si>
  <si>
    <t>Capital Gains Rate</t>
  </si>
  <si>
    <t>25‑Year</t>
  </si>
  <si>
    <t>NIIT Rate</t>
  </si>
  <si>
    <t>30‑Year</t>
  </si>
  <si>
    <t>NIIT AGI Cap</t>
  </si>
  <si>
    <r>
      <t>Note:</t>
    </r>
    <r>
      <rPr>
        <sz val="11"/>
        <color theme="1"/>
        <rFont val="Aptos Narrow"/>
        <family val="2"/>
        <scheme val="minor"/>
      </rPr>
      <t xml:space="preserve"> These approximate annualized returns can vary depending on the exact dates and data sources.</t>
    </r>
  </si>
  <si>
    <t>ANNUAL SUMMARY</t>
  </si>
  <si>
    <t>MONTHLY SUMMARY</t>
  </si>
  <si>
    <t xml:space="preserve">DETAILED MONTHLY BREAKDOWN -- These numbers are more accurate reflections of year to year cash flows. </t>
  </si>
  <si>
    <t>ANNUAL BREAKDOWN OF GROWTH AND WITHDRAWAL</t>
  </si>
  <si>
    <t>TAXES</t>
  </si>
  <si>
    <t>TAX RATE</t>
  </si>
  <si>
    <t>SOCIAL SECURITY (SS)</t>
  </si>
  <si>
    <t>OTHER</t>
  </si>
  <si>
    <t>WITHDRAWAL</t>
  </si>
  <si>
    <t>ROTH</t>
  </si>
  <si>
    <t>PRETAX 401K</t>
  </si>
  <si>
    <t>BROKERAGE</t>
  </si>
  <si>
    <t>Annual Target Gross</t>
  </si>
  <si>
    <t>Annual Withdrawal</t>
  </si>
  <si>
    <t>Target Gross</t>
  </si>
  <si>
    <t>Combined Taxes</t>
  </si>
  <si>
    <t>Combined Monthly
Net</t>
  </si>
  <si>
    <r>
      <t xml:space="preserve">Effective 
Tax Rate </t>
    </r>
    <r>
      <rPr>
        <b/>
        <vertAlign val="superscript"/>
        <sz val="11"/>
        <color theme="0"/>
        <rFont val="Aptos Narrow"/>
        <family val="2"/>
        <scheme val="minor"/>
      </rPr>
      <t>1</t>
    </r>
  </si>
  <si>
    <t>SS Total Gross</t>
  </si>
  <si>
    <t>SS Total Tax</t>
  </si>
  <si>
    <t>SS Total Net</t>
  </si>
  <si>
    <t>Other Source Net</t>
  </si>
  <si>
    <t>SS + Other Source Gross</t>
  </si>
  <si>
    <t>SS + Other Source Net</t>
  </si>
  <si>
    <t>Withdrawal</t>
  </si>
  <si>
    <t>PreTax 401K Gross</t>
  </si>
  <si>
    <t>PreTax 401K Tax</t>
  </si>
  <si>
    <t>PreTax
Net</t>
  </si>
  <si>
    <t>AfterTax Brokerage Gross</t>
  </si>
  <si>
    <t>AfterTax Brokerage Tax</t>
  </si>
  <si>
    <t>AfterTax Brokerage Net</t>
  </si>
  <si>
    <t>Average Tax Rate Across All Years</t>
  </si>
  <si>
    <t>Notes and Assumptions:</t>
  </si>
  <si>
    <t>SS + OTHER SOURCE</t>
  </si>
  <si>
    <t xml:space="preserve">Selected Tax Rate: </t>
  </si>
  <si>
    <t xml:space="preserve">($) Monthly Budget Requirements Net </t>
  </si>
  <si>
    <t>Healthcare Insurance</t>
  </si>
  <si>
    <t>($) Monthly Target Gross Income</t>
  </si>
  <si>
    <t>($) Monthly Rough Net Income</t>
  </si>
  <si>
    <t>Annual Hypothetical Numbers [Today's Dollars]</t>
  </si>
  <si>
    <t>Monthly Hypothetical Numbers [Today's Dollars]</t>
  </si>
  <si>
    <t>($) Target Gross Income</t>
  </si>
  <si>
    <t>ꟷꟷꟷꟷ►</t>
  </si>
  <si>
    <t>($) Target Net Income</t>
  </si>
  <si>
    <t>($) Monthly Budget Requirements (From Above)</t>
  </si>
  <si>
    <t xml:space="preserve">($) Annual Budget Requirements </t>
  </si>
  <si>
    <t>($) Target Additional Expenses (Annual/12)</t>
  </si>
  <si>
    <t>(average)</t>
  </si>
  <si>
    <r>
      <t>(%) SS Subject to Tax (</t>
    </r>
    <r>
      <rPr>
        <b/>
        <sz val="11"/>
        <color rgb="FFFFFF00"/>
        <rFont val="Aptos Narrow"/>
        <family val="2"/>
        <scheme val="minor"/>
      </rPr>
      <t>85% is max</t>
    </r>
    <r>
      <rPr>
        <sz val="11"/>
        <color theme="0"/>
        <rFont val="Aptos Narrow"/>
        <family val="2"/>
        <scheme val="minor"/>
      </rPr>
      <t>)</t>
    </r>
  </si>
  <si>
    <t>GROSS</t>
  </si>
  <si>
    <t>NET</t>
  </si>
  <si>
    <t>Name</t>
  </si>
  <si>
    <t>▼▼ (%) Growth vs Withdrawal</t>
  </si>
  <si>
    <t>(%) Cash or other liquid</t>
  </si>
  <si>
    <t>Retirement Calculator (v.05b)</t>
  </si>
  <si>
    <t>(%) ROTH Savings (Tax exempt)</t>
  </si>
  <si>
    <t>(%) Pretax 401K Savings (Tax deferred)</t>
  </si>
  <si>
    <t>(%) After-tax Brokerage (eTrade/etc.) (Taxable)</t>
  </si>
  <si>
    <r>
      <rPr>
        <b/>
        <u/>
        <sz val="11"/>
        <color rgb="FFC00000"/>
        <rFont val="Aptos Narrow"/>
        <family val="2"/>
        <scheme val="minor"/>
      </rPr>
      <t xml:space="preserve">The general convention is that cells with no color are for data entry; cells with background color are automatically calculated. </t>
    </r>
    <r>
      <rPr>
        <sz val="11"/>
        <color theme="1"/>
        <rFont val="Aptos Narrow"/>
        <family val="2"/>
        <scheme val="minor"/>
      </rPr>
      <t xml:space="preserve">
1. Effective tax rate applies in two use cases for our purposes. Simultaneously, there is the effective tax rate that must be calculated and used and applied to your adjusted Gross income, and there is also the effective tax rate overall for the entire year across all sources. This one will be different, likely lower, because some sources have no tax. Additionally, remember the tax bracket is graduated. I'm conservative here, and allow you to choose your own rate. 
2. Assuming SS will be there. I kept inflation higher than Social Security growth CAGR to be conservative. 
3. Given two extremes, the conservative, risk adverse, approach is used.
4. In most cases, take SS at age 62 unless your maket returns will be less than 7.77%.
5. Be careful. Don't underestimate the power of compounding for not only growth, but for inflation. This affects purchasing power and is reflected in the numbers.
6. Additional 3.8% NIIT: If your modified adjusted Gross income (MAGI) exceeds $250,000 (married filing jointly), you may owe an extra 3.8% Net Investment Income Tax on your capital gains (and other investment income).
7. No, you cannot withdraw penalty-free from your wife's 401(k) simply because you are over the age of 59½.
8. Multiple assumptions to be hyper conservative </t>
    </r>
    <r>
      <rPr>
        <u/>
        <sz val="11"/>
        <color theme="1"/>
        <rFont val="Aptos Narrow"/>
        <family val="2"/>
        <scheme val="minor"/>
      </rPr>
      <t>for reviewing hypothetical monthly budget</t>
    </r>
    <r>
      <rPr>
        <sz val="11"/>
        <color theme="1"/>
        <rFont val="Aptos Narrow"/>
        <family val="2"/>
        <scheme val="minor"/>
      </rPr>
      <t xml:space="preserve">: Recommend using "Balanced rate from % ROTH/401k/Brokerage". The year by year numbers are much more accurate for reviewing cash flows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</si>
</sst>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0_);_(* \(#,##0.0\);_(* &quot;-&quot;??_);_(@_)"/>
  </numFmts>
  <fonts count="27" x14ac:knownFonts="1">
    <font>
      <sz val="11"/>
      <color theme="1"/>
      <name val="Aptos Narrow"/>
      <family val="2"/>
      <scheme val="minor"/>
    </font>
    <font>
      <sz val="11"/>
      <color theme="1"/>
      <name val="Aptos Narrow"/>
      <family val="2"/>
      <scheme val="minor"/>
    </font>
    <font>
      <sz val="11"/>
      <color rgb="FF006100"/>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
      <sz val="10"/>
      <color theme="1"/>
      <name val="Aptos Narrow"/>
      <family val="2"/>
      <scheme val="minor"/>
    </font>
    <font>
      <sz val="11"/>
      <color theme="1"/>
      <name val="Calibri"/>
      <family val="2"/>
    </font>
    <font>
      <sz val="11"/>
      <color theme="1"/>
      <name val="Arial"/>
      <family val="2"/>
    </font>
    <font>
      <sz val="8.8000000000000007"/>
      <color theme="1"/>
      <name val="Calibri"/>
      <family val="2"/>
    </font>
    <font>
      <b/>
      <sz val="11"/>
      <color theme="0"/>
      <name val="Arial"/>
      <family val="2"/>
    </font>
    <font>
      <vertAlign val="superscript"/>
      <sz val="11"/>
      <color theme="1"/>
      <name val="Aptos Narrow"/>
      <family val="2"/>
      <scheme val="minor"/>
    </font>
    <font>
      <b/>
      <sz val="13.5"/>
      <color theme="1"/>
      <name val="Aptos Narrow"/>
      <family val="2"/>
      <scheme val="minor"/>
    </font>
    <font>
      <sz val="11"/>
      <color rgb="FF29261B"/>
      <name val="Aptos Narrow"/>
      <family val="2"/>
      <scheme val="minor"/>
    </font>
    <font>
      <b/>
      <sz val="12"/>
      <color theme="1"/>
      <name val="Aptos Narrow"/>
      <family val="2"/>
      <scheme val="minor"/>
    </font>
    <font>
      <b/>
      <vertAlign val="superscript"/>
      <sz val="11"/>
      <color theme="0"/>
      <name val="Aptos Narrow"/>
      <family val="2"/>
      <scheme val="minor"/>
    </font>
    <font>
      <b/>
      <sz val="11"/>
      <color theme="9" tint="0.79998168889431442"/>
      <name val="Aptos Narrow"/>
      <family val="2"/>
      <scheme val="minor"/>
    </font>
    <font>
      <i/>
      <sz val="11"/>
      <color theme="1"/>
      <name val="Aptos Narrow"/>
      <family val="2"/>
      <scheme val="minor"/>
    </font>
    <font>
      <b/>
      <sz val="12"/>
      <name val="Aptos Narrow"/>
      <family val="2"/>
      <scheme val="minor"/>
    </font>
    <font>
      <b/>
      <u/>
      <sz val="11"/>
      <color rgb="FFC00000"/>
      <name val="Aptos Narrow"/>
      <family val="2"/>
      <scheme val="minor"/>
    </font>
    <font>
      <u/>
      <sz val="11"/>
      <color theme="1"/>
      <name val="Aptos Narrow"/>
      <family val="2"/>
      <scheme val="minor"/>
    </font>
    <font>
      <b/>
      <sz val="14"/>
      <color theme="1"/>
      <name val="Aptos Narrow"/>
      <family val="2"/>
      <scheme val="minor"/>
    </font>
    <font>
      <b/>
      <sz val="11"/>
      <color rgb="FFFFFF00"/>
      <name val="Aptos Narrow"/>
      <family val="2"/>
      <scheme val="minor"/>
    </font>
    <font>
      <sz val="11"/>
      <color rgb="FFC00000"/>
      <name val="Aptos Narrow"/>
      <family val="2"/>
      <scheme val="minor"/>
    </font>
    <font>
      <sz val="10.5"/>
      <color theme="1"/>
      <name val="Aptos Narrow"/>
      <family val="2"/>
      <scheme val="minor"/>
    </font>
  </fonts>
  <fills count="25">
    <fill>
      <patternFill patternType="none"/>
    </fill>
    <fill>
      <patternFill patternType="gray125"/>
    </fill>
    <fill>
      <patternFill patternType="solid">
        <fgColor rgb="FFC6EFCE"/>
      </patternFill>
    </fill>
    <fill>
      <patternFill patternType="solid">
        <fgColor theme="6" tint="-0.249977111117893"/>
        <bgColor indexed="64"/>
      </patternFill>
    </fill>
    <fill>
      <patternFill patternType="solid">
        <fgColor theme="4"/>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0" tint="-0.49998474074526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gray0625">
        <fgColor theme="0"/>
        <bgColor theme="6" tint="0.79992065187536243"/>
      </patternFill>
    </fill>
    <fill>
      <patternFill patternType="gray0625">
        <fgColor theme="0"/>
        <bgColor theme="4" tint="0.79998168889431442"/>
      </patternFill>
    </fill>
    <fill>
      <patternFill patternType="solid">
        <fgColor theme="6" tint="0.79989013336588644"/>
        <bgColor theme="0"/>
      </patternFill>
    </fill>
    <fill>
      <patternFill patternType="solid">
        <fgColor theme="0"/>
        <bgColor indexed="64"/>
      </patternFill>
    </fill>
    <fill>
      <patternFill patternType="solid">
        <fgColor theme="6" tint="0.79998168889431442"/>
        <bgColor indexed="64"/>
      </patternFill>
    </fill>
    <fill>
      <patternFill patternType="gray0625">
        <fgColor theme="0"/>
        <bgColor theme="9" tint="0.79995117038483843"/>
      </patternFill>
    </fill>
    <fill>
      <patternFill patternType="gray0625">
        <fgColor theme="0"/>
        <bgColor theme="6" tint="0.79998168889431442"/>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99CC"/>
        <bgColor indexed="64"/>
      </patternFill>
    </fill>
  </fills>
  <borders count="52">
    <border>
      <left/>
      <right/>
      <top/>
      <bottom/>
      <diagonal/>
    </border>
    <border>
      <left style="thin">
        <color indexed="64"/>
      </left>
      <right/>
      <top/>
      <bottom/>
      <diagonal/>
    </border>
    <border>
      <left/>
      <right style="thin">
        <color indexed="64"/>
      </right>
      <top/>
      <bottom/>
      <diagonal/>
    </border>
    <border>
      <left style="thin">
        <color auto="1"/>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indexed="64"/>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auto="1"/>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double">
        <color indexed="64"/>
      </bottom>
      <diagonal/>
    </border>
    <border>
      <left/>
      <right/>
      <top style="thin">
        <color indexed="64"/>
      </top>
      <bottom style="double">
        <color indexed="64"/>
      </bottom>
      <diagonal/>
    </border>
    <border>
      <left/>
      <right style="thin">
        <color auto="1"/>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thin">
        <color indexed="64"/>
      </left>
      <right style="thin">
        <color indexed="64"/>
      </right>
      <top/>
      <bottom style="thin">
        <color indexed="64"/>
      </bottom>
      <diagonal/>
    </border>
    <border>
      <left style="thin">
        <color indexed="64"/>
      </left>
      <right/>
      <top style="thin">
        <color theme="0" tint="-0.34998626667073579"/>
      </top>
      <bottom/>
      <diagonal/>
    </border>
    <border>
      <left/>
      <right style="thin">
        <color indexed="64"/>
      </right>
      <top style="thin">
        <color theme="0" tint="-0.34998626667073579"/>
      </top>
      <bottom/>
      <diagonal/>
    </border>
    <border>
      <left style="thin">
        <color indexed="64"/>
      </left>
      <right/>
      <top/>
      <bottom style="thin">
        <color theme="0" tint="-0.24994659260841701"/>
      </bottom>
      <diagonal/>
    </border>
    <border>
      <left style="thin">
        <color rgb="FF505050"/>
      </left>
      <right/>
      <top style="thin">
        <color rgb="FF505050"/>
      </top>
      <bottom/>
      <diagonal/>
    </border>
    <border>
      <left/>
      <right style="thin">
        <color rgb="FF505050"/>
      </right>
      <top style="thin">
        <color rgb="FF505050"/>
      </top>
      <bottom/>
      <diagonal/>
    </border>
    <border>
      <left style="thin">
        <color rgb="FF505050"/>
      </left>
      <right/>
      <top/>
      <bottom/>
      <diagonal/>
    </border>
    <border>
      <left/>
      <right style="thin">
        <color rgb="FF505050"/>
      </right>
      <top/>
      <bottom/>
      <diagonal/>
    </border>
    <border>
      <left style="thin">
        <color rgb="FF505050"/>
      </left>
      <right/>
      <top/>
      <bottom style="thin">
        <color rgb="FF505050"/>
      </bottom>
      <diagonal/>
    </border>
    <border>
      <left/>
      <right style="thin">
        <color rgb="FF505050"/>
      </right>
      <top/>
      <bottom style="thin">
        <color rgb="FF505050"/>
      </bottom>
      <diagonal/>
    </border>
    <border>
      <left style="thin">
        <color indexed="64"/>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
      <left style="thin">
        <color indexed="64"/>
      </left>
      <right/>
      <top style="thin">
        <color indexed="64"/>
      </top>
      <bottom style="thick">
        <color indexed="64"/>
      </bottom>
      <diagonal/>
    </border>
    <border>
      <left style="medium">
        <color indexed="64"/>
      </left>
      <right style="thin">
        <color auto="1"/>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cellStyleXfs>
  <cellXfs count="320">
    <xf numFmtId="0" fontId="0" fillId="0" borderId="0" xfId="0"/>
    <xf numFmtId="0" fontId="6" fillId="0" borderId="1" xfId="0" applyFont="1" applyBorder="1" applyAlignment="1">
      <alignment horizontal="center"/>
    </xf>
    <xf numFmtId="0" fontId="6" fillId="0" borderId="0" xfId="0" applyFont="1" applyAlignment="1">
      <alignment horizontal="center"/>
    </xf>
    <xf numFmtId="0" fontId="6" fillId="0" borderId="2" xfId="0" applyFont="1" applyBorder="1" applyAlignment="1">
      <alignment horizontal="center"/>
    </xf>
    <xf numFmtId="0" fontId="3" fillId="7" borderId="3" xfId="0" applyFont="1" applyFill="1" applyBorder="1" applyAlignment="1">
      <alignment horizontal="left"/>
    </xf>
    <xf numFmtId="0" fontId="7" fillId="0" borderId="0" xfId="0" applyFont="1"/>
    <xf numFmtId="0" fontId="7" fillId="0" borderId="7" xfId="0" applyFont="1" applyBorder="1" applyAlignment="1">
      <alignment horizontal="left"/>
    </xf>
    <xf numFmtId="0" fontId="6" fillId="0" borderId="7" xfId="0" applyFont="1" applyBorder="1" applyAlignment="1">
      <alignment horizontal="right"/>
    </xf>
    <xf numFmtId="10" fontId="6" fillId="8" borderId="3" xfId="0" applyNumberFormat="1" applyFont="1" applyFill="1" applyBorder="1" applyAlignment="1">
      <alignment horizontal="center"/>
    </xf>
    <xf numFmtId="0" fontId="4" fillId="0" borderId="8" xfId="0" applyFont="1" applyBorder="1" applyAlignment="1">
      <alignment horizontal="center"/>
    </xf>
    <xf numFmtId="0" fontId="4" fillId="9" borderId="8" xfId="0" applyFont="1" applyFill="1" applyBorder="1" applyAlignment="1">
      <alignment horizontal="center"/>
    </xf>
    <xf numFmtId="0" fontId="4" fillId="10" borderId="8" xfId="0" applyFont="1" applyFill="1" applyBorder="1" applyAlignment="1">
      <alignment horizontal="center"/>
    </xf>
    <xf numFmtId="164" fontId="0" fillId="0" borderId="8" xfId="2" applyNumberFormat="1" applyFont="1" applyFill="1" applyBorder="1" applyAlignment="1">
      <alignment horizontal="left"/>
    </xf>
    <xf numFmtId="0" fontId="5" fillId="5" borderId="9" xfId="0" applyFont="1" applyFill="1" applyBorder="1" applyAlignment="1">
      <alignment horizontal="left"/>
    </xf>
    <xf numFmtId="0" fontId="5" fillId="5" borderId="10" xfId="0" applyFont="1" applyFill="1" applyBorder="1"/>
    <xf numFmtId="0" fontId="5" fillId="5" borderId="11" xfId="0" applyFont="1" applyFill="1" applyBorder="1"/>
    <xf numFmtId="164" fontId="0" fillId="0" borderId="3" xfId="2" applyNumberFormat="1" applyFont="1" applyFill="1" applyBorder="1" applyAlignment="1">
      <alignment horizontal="left"/>
    </xf>
    <xf numFmtId="0" fontId="5" fillId="5" borderId="6" xfId="0" applyFont="1" applyFill="1" applyBorder="1" applyAlignment="1">
      <alignment horizontal="left"/>
    </xf>
    <xf numFmtId="0" fontId="5" fillId="5" borderId="6" xfId="0" applyFont="1" applyFill="1" applyBorder="1"/>
    <xf numFmtId="0" fontId="5" fillId="5" borderId="5" xfId="0" applyFont="1" applyFill="1" applyBorder="1"/>
    <xf numFmtId="0" fontId="0" fillId="11" borderId="8" xfId="0" applyFill="1" applyBorder="1" applyAlignment="1">
      <alignment horizontal="center"/>
    </xf>
    <xf numFmtId="0" fontId="4" fillId="12" borderId="9" xfId="0" applyFont="1" applyFill="1" applyBorder="1"/>
    <xf numFmtId="0" fontId="0" fillId="12" borderId="10" xfId="0" applyFill="1" applyBorder="1"/>
    <xf numFmtId="0" fontId="4" fillId="12" borderId="10" xfId="0" applyFont="1" applyFill="1" applyBorder="1"/>
    <xf numFmtId="0" fontId="4" fillId="12" borderId="11" xfId="0" applyFont="1" applyFill="1" applyBorder="1"/>
    <xf numFmtId="0" fontId="0" fillId="0" borderId="12" xfId="1" applyNumberFormat="1" applyFont="1" applyFill="1" applyBorder="1" applyAlignment="1">
      <alignment horizontal="center"/>
    </xf>
    <xf numFmtId="0" fontId="0" fillId="0" borderId="13" xfId="1" applyNumberFormat="1" applyFont="1" applyFill="1" applyBorder="1" applyAlignment="1">
      <alignment horizontal="center"/>
    </xf>
    <xf numFmtId="0" fontId="0" fillId="13" borderId="13" xfId="1" applyNumberFormat="1" applyFont="1" applyFill="1" applyBorder="1" applyAlignment="1">
      <alignment horizontal="center"/>
    </xf>
    <xf numFmtId="10" fontId="7" fillId="0" borderId="14" xfId="4" applyNumberFormat="1" applyFont="1" applyFill="1" applyBorder="1" applyAlignment="1">
      <alignment horizontal="center"/>
    </xf>
    <xf numFmtId="0" fontId="5" fillId="5" borderId="15" xfId="0" applyFont="1" applyFill="1" applyBorder="1" applyAlignment="1">
      <alignment horizontal="left"/>
    </xf>
    <xf numFmtId="0" fontId="5" fillId="5" borderId="16" xfId="0" applyFont="1" applyFill="1" applyBorder="1"/>
    <xf numFmtId="0" fontId="5" fillId="5" borderId="17" xfId="0" applyFont="1" applyFill="1" applyBorder="1"/>
    <xf numFmtId="0" fontId="0" fillId="11" borderId="18" xfId="0" applyFill="1" applyBorder="1" applyAlignment="1">
      <alignment horizontal="center"/>
    </xf>
    <xf numFmtId="0" fontId="4" fillId="12" borderId="1" xfId="0" applyFont="1" applyFill="1" applyBorder="1"/>
    <xf numFmtId="0" fontId="4" fillId="12" borderId="0" xfId="0" applyFont="1" applyFill="1"/>
    <xf numFmtId="0" fontId="4" fillId="12" borderId="2" xfId="0" applyFont="1" applyFill="1" applyBorder="1"/>
    <xf numFmtId="0" fontId="0" fillId="0" borderId="19" xfId="1" applyNumberFormat="1" applyFont="1" applyFill="1" applyBorder="1" applyAlignment="1">
      <alignment horizontal="center"/>
    </xf>
    <xf numFmtId="0" fontId="0" fillId="14" borderId="20" xfId="1" applyNumberFormat="1" applyFont="1" applyFill="1" applyBorder="1" applyAlignment="1">
      <alignment horizontal="center"/>
    </xf>
    <xf numFmtId="10" fontId="7" fillId="0" borderId="21" xfId="4" applyNumberFormat="1" applyFont="1" applyFill="1" applyBorder="1" applyAlignment="1">
      <alignment horizontal="center"/>
    </xf>
    <xf numFmtId="0" fontId="5" fillId="5" borderId="4" xfId="0" applyFont="1" applyFill="1" applyBorder="1" applyAlignment="1">
      <alignment horizontal="left"/>
    </xf>
    <xf numFmtId="0" fontId="5" fillId="5" borderId="22" xfId="0" applyFont="1" applyFill="1" applyBorder="1"/>
    <xf numFmtId="10" fontId="7" fillId="0" borderId="23" xfId="4" applyNumberFormat="1" applyFont="1" applyFill="1" applyBorder="1" applyAlignment="1">
      <alignment horizontal="center"/>
    </xf>
    <xf numFmtId="0" fontId="5" fillId="5" borderId="24" xfId="0" applyFont="1" applyFill="1" applyBorder="1" applyAlignment="1">
      <alignment horizontal="left"/>
    </xf>
    <xf numFmtId="0" fontId="5" fillId="5" borderId="25" xfId="0" applyFont="1" applyFill="1" applyBorder="1" applyAlignment="1">
      <alignment horizontal="left"/>
    </xf>
    <xf numFmtId="0" fontId="5" fillId="5" borderId="26" xfId="0" applyFont="1" applyFill="1" applyBorder="1" applyAlignment="1">
      <alignment horizontal="left"/>
    </xf>
    <xf numFmtId="0" fontId="0" fillId="15" borderId="20" xfId="0" applyFill="1" applyBorder="1" applyAlignment="1">
      <alignment horizontal="center"/>
    </xf>
    <xf numFmtId="0" fontId="0" fillId="13" borderId="19" xfId="0" applyFill="1" applyBorder="1" applyAlignment="1">
      <alignment horizontal="center"/>
    </xf>
    <xf numFmtId="0" fontId="0" fillId="16" borderId="20" xfId="0" applyFill="1" applyBorder="1" applyAlignment="1">
      <alignment horizontal="center"/>
    </xf>
    <xf numFmtId="0" fontId="0" fillId="14" borderId="19" xfId="0" applyFill="1" applyBorder="1" applyAlignment="1">
      <alignment horizontal="center"/>
    </xf>
    <xf numFmtId="164" fontId="8" fillId="0" borderId="0" xfId="2" applyNumberFormat="1" applyFont="1" applyFill="1" applyBorder="1"/>
    <xf numFmtId="10" fontId="0" fillId="0" borderId="18" xfId="0" applyNumberFormat="1" applyBorder="1" applyAlignment="1">
      <alignment horizontal="center"/>
    </xf>
    <xf numFmtId="0" fontId="5" fillId="5" borderId="1" xfId="0" applyFont="1" applyFill="1" applyBorder="1" applyAlignment="1">
      <alignment horizontal="left"/>
    </xf>
    <xf numFmtId="0" fontId="5" fillId="5" borderId="0" xfId="0" applyFont="1" applyFill="1"/>
    <xf numFmtId="0" fontId="5" fillId="5" borderId="2" xfId="0" applyFont="1" applyFill="1" applyBorder="1"/>
    <xf numFmtId="9" fontId="0" fillId="0" borderId="0" xfId="3" applyFont="1"/>
    <xf numFmtId="164" fontId="0" fillId="0" borderId="0" xfId="0" applyNumberFormat="1"/>
    <xf numFmtId="164" fontId="0" fillId="0" borderId="19" xfId="2" applyNumberFormat="1" applyFont="1" applyFill="1" applyBorder="1"/>
    <xf numFmtId="164" fontId="7" fillId="17" borderId="20" xfId="0" applyNumberFormat="1" applyFont="1" applyFill="1" applyBorder="1"/>
    <xf numFmtId="9" fontId="0" fillId="0" borderId="19" xfId="3" applyFont="1" applyBorder="1"/>
    <xf numFmtId="164" fontId="0" fillId="13" borderId="20" xfId="2" applyNumberFormat="1" applyFont="1" applyFill="1" applyBorder="1"/>
    <xf numFmtId="164" fontId="0" fillId="14" borderId="19" xfId="2" applyNumberFormat="1" applyFont="1" applyFill="1" applyBorder="1" applyAlignment="1">
      <alignment horizontal="center"/>
    </xf>
    <xf numFmtId="9" fontId="0" fillId="0" borderId="20" xfId="0" applyNumberFormat="1" applyBorder="1" applyAlignment="1">
      <alignment horizontal="center"/>
    </xf>
    <xf numFmtId="10" fontId="4" fillId="8" borderId="3" xfId="3" applyNumberFormat="1" applyFont="1" applyFill="1" applyBorder="1" applyAlignment="1">
      <alignment horizontal="center"/>
    </xf>
    <xf numFmtId="0" fontId="9" fillId="0" borderId="0" xfId="0" applyFont="1"/>
    <xf numFmtId="164" fontId="0" fillId="19" borderId="19" xfId="2" applyNumberFormat="1" applyFont="1" applyFill="1" applyBorder="1"/>
    <xf numFmtId="164" fontId="0" fillId="14" borderId="19" xfId="2" applyNumberFormat="1" applyFont="1" applyFill="1" applyBorder="1"/>
    <xf numFmtId="164" fontId="0" fillId="14" borderId="20" xfId="2" applyNumberFormat="1" applyFont="1" applyFill="1" applyBorder="1"/>
    <xf numFmtId="0" fontId="0" fillId="15" borderId="20" xfId="0" applyFill="1" applyBorder="1"/>
    <xf numFmtId="164" fontId="1" fillId="13" borderId="19" xfId="2" applyNumberFormat="1" applyFont="1" applyFill="1" applyBorder="1"/>
    <xf numFmtId="0" fontId="0" fillId="16" borderId="20" xfId="0" applyFill="1" applyBorder="1"/>
    <xf numFmtId="164" fontId="0" fillId="0" borderId="27" xfId="2" applyNumberFormat="1" applyFont="1" applyFill="1" applyBorder="1" applyAlignment="1">
      <alignment horizontal="left"/>
    </xf>
    <xf numFmtId="0" fontId="5" fillId="5" borderId="28" xfId="0" applyFont="1" applyFill="1" applyBorder="1" applyAlignment="1">
      <alignment horizontal="left"/>
    </xf>
    <xf numFmtId="0" fontId="5" fillId="5" borderId="28" xfId="0" applyFont="1" applyFill="1" applyBorder="1"/>
    <xf numFmtId="0" fontId="5" fillId="5" borderId="29" xfId="0" applyFont="1" applyFill="1" applyBorder="1"/>
    <xf numFmtId="0" fontId="4" fillId="12" borderId="30" xfId="0" applyFont="1" applyFill="1" applyBorder="1"/>
    <xf numFmtId="0" fontId="4" fillId="12" borderId="7" xfId="0" applyFont="1" applyFill="1" applyBorder="1"/>
    <xf numFmtId="0" fontId="4" fillId="12" borderId="31" xfId="0" applyFont="1" applyFill="1" applyBorder="1"/>
    <xf numFmtId="0" fontId="0" fillId="15" borderId="32" xfId="0" applyFill="1" applyBorder="1"/>
    <xf numFmtId="0" fontId="0" fillId="15" borderId="33" xfId="0" applyFill="1" applyBorder="1"/>
    <xf numFmtId="0" fontId="0" fillId="16" borderId="32" xfId="0" applyFill="1" applyBorder="1"/>
    <xf numFmtId="0" fontId="0" fillId="16" borderId="33" xfId="0" applyFill="1" applyBorder="1"/>
    <xf numFmtId="164" fontId="0" fillId="14" borderId="32" xfId="2" applyNumberFormat="1" applyFont="1" applyFill="1" applyBorder="1" applyAlignment="1">
      <alignment horizontal="center"/>
    </xf>
    <xf numFmtId="164" fontId="0" fillId="14" borderId="33" xfId="2" applyNumberFormat="1" applyFont="1" applyFill="1" applyBorder="1" applyAlignment="1">
      <alignment horizontal="center"/>
    </xf>
    <xf numFmtId="164" fontId="0" fillId="14" borderId="34" xfId="2" applyNumberFormat="1" applyFont="1" applyFill="1" applyBorder="1" applyAlignment="1">
      <alignment horizontal="left"/>
    </xf>
    <xf numFmtId="0" fontId="5" fillId="5" borderId="7" xfId="0" applyFont="1" applyFill="1" applyBorder="1" applyAlignment="1">
      <alignment horizontal="left"/>
    </xf>
    <xf numFmtId="0" fontId="5" fillId="5" borderId="7" xfId="0" applyFont="1" applyFill="1" applyBorder="1"/>
    <xf numFmtId="0" fontId="5" fillId="5" borderId="31" xfId="0" applyFont="1" applyFill="1" applyBorder="1"/>
    <xf numFmtId="10" fontId="0" fillId="0" borderId="12" xfId="3" applyNumberFormat="1" applyFont="1" applyFill="1" applyBorder="1"/>
    <xf numFmtId="0" fontId="0" fillId="15" borderId="13" xfId="0" applyFill="1" applyBorder="1"/>
    <xf numFmtId="0" fontId="0" fillId="16" borderId="13" xfId="0" applyFill="1" applyBorder="1"/>
    <xf numFmtId="0" fontId="0" fillId="20" borderId="13" xfId="0" applyFill="1" applyBorder="1"/>
    <xf numFmtId="10" fontId="0" fillId="14" borderId="3" xfId="0" applyNumberFormat="1" applyFill="1" applyBorder="1" applyAlignment="1">
      <alignment horizontal="center"/>
    </xf>
    <xf numFmtId="10" fontId="0" fillId="0" borderId="19" xfId="3" applyNumberFormat="1" applyFont="1" applyFill="1" applyBorder="1"/>
    <xf numFmtId="10" fontId="0" fillId="0" borderId="35" xfId="3" applyNumberFormat="1" applyFont="1" applyFill="1" applyBorder="1"/>
    <xf numFmtId="0" fontId="0" fillId="20" borderId="36" xfId="0" applyFill="1" applyBorder="1"/>
    <xf numFmtId="10" fontId="0" fillId="14" borderId="4" xfId="0" applyNumberFormat="1" applyFill="1" applyBorder="1" applyAlignment="1">
      <alignment horizontal="center"/>
    </xf>
    <xf numFmtId="164" fontId="0" fillId="0" borderId="32" xfId="2" applyNumberFormat="1" applyFont="1" applyFill="1" applyBorder="1"/>
    <xf numFmtId="0" fontId="0" fillId="15" borderId="12" xfId="0" applyFill="1" applyBorder="1"/>
    <xf numFmtId="165" fontId="0" fillId="0" borderId="12" xfId="1" applyNumberFormat="1" applyFont="1" applyFill="1" applyBorder="1"/>
    <xf numFmtId="165" fontId="0" fillId="0" borderId="13" xfId="1" applyNumberFormat="1" applyFont="1" applyFill="1" applyBorder="1"/>
    <xf numFmtId="10" fontId="0" fillId="18" borderId="3" xfId="0" applyNumberFormat="1" applyFill="1" applyBorder="1" applyAlignment="1">
      <alignment horizontal="center"/>
    </xf>
    <xf numFmtId="164" fontId="0" fillId="0" borderId="20" xfId="2" applyNumberFormat="1" applyFont="1" applyFill="1" applyBorder="1"/>
    <xf numFmtId="164" fontId="0" fillId="13" borderId="19" xfId="2" applyNumberFormat="1" applyFont="1" applyFill="1" applyBorder="1"/>
    <xf numFmtId="0" fontId="0" fillId="21" borderId="20" xfId="0" applyFill="1" applyBorder="1"/>
    <xf numFmtId="0" fontId="0" fillId="16" borderId="19" xfId="0" applyFill="1" applyBorder="1"/>
    <xf numFmtId="10" fontId="0" fillId="0" borderId="32" xfId="3" applyNumberFormat="1" applyFont="1" applyFill="1" applyBorder="1"/>
    <xf numFmtId="0" fontId="0" fillId="21" borderId="33" xfId="0" applyFill="1" applyBorder="1"/>
    <xf numFmtId="164" fontId="0" fillId="0" borderId="37" xfId="2" applyNumberFormat="1" applyFont="1" applyFill="1" applyBorder="1"/>
    <xf numFmtId="164" fontId="0" fillId="13" borderId="12" xfId="2" applyNumberFormat="1" applyFont="1" applyFill="1" applyBorder="1"/>
    <xf numFmtId="0" fontId="0" fillId="20" borderId="9" xfId="0" applyFill="1" applyBorder="1" applyAlignment="1">
      <alignment wrapText="1"/>
    </xf>
    <xf numFmtId="0" fontId="0" fillId="20" borderId="11" xfId="0" applyFill="1" applyBorder="1" applyAlignment="1">
      <alignment wrapText="1"/>
    </xf>
    <xf numFmtId="0" fontId="0" fillId="20" borderId="1" xfId="0" applyFill="1" applyBorder="1" applyAlignment="1">
      <alignment wrapText="1"/>
    </xf>
    <xf numFmtId="0" fontId="0" fillId="20" borderId="2" xfId="0" applyFill="1" applyBorder="1" applyAlignment="1">
      <alignment wrapText="1"/>
    </xf>
    <xf numFmtId="0" fontId="3" fillId="4" borderId="4" xfId="0" applyFont="1" applyFill="1" applyBorder="1"/>
    <xf numFmtId="0" fontId="0" fillId="0" borderId="13" xfId="0" applyBorder="1" applyAlignment="1">
      <alignment horizontal="center"/>
    </xf>
    <xf numFmtId="0" fontId="0" fillId="20" borderId="2" xfId="0" applyFill="1" applyBorder="1" applyAlignment="1">
      <alignment vertical="top" wrapText="1"/>
    </xf>
    <xf numFmtId="0" fontId="0" fillId="15" borderId="19" xfId="0" applyFill="1" applyBorder="1" applyAlignment="1">
      <alignment horizontal="center"/>
    </xf>
    <xf numFmtId="0" fontId="0" fillId="0" borderId="20" xfId="0" applyBorder="1" applyAlignment="1">
      <alignment horizontal="center"/>
    </xf>
    <xf numFmtId="164" fontId="0" fillId="0" borderId="33" xfId="2" applyNumberFormat="1" applyFont="1" applyFill="1" applyBorder="1"/>
    <xf numFmtId="0" fontId="0" fillId="20" borderId="30" xfId="0" applyFill="1" applyBorder="1" applyAlignment="1">
      <alignment horizontal="center"/>
    </xf>
    <xf numFmtId="0" fontId="0" fillId="20" borderId="31" xfId="0" applyFill="1" applyBorder="1" applyAlignment="1">
      <alignment vertical="top"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0" xfId="0" applyFont="1" applyFill="1" applyBorder="1" applyAlignment="1">
      <alignment horizontal="center" vertical="top" wrapText="1"/>
    </xf>
    <xf numFmtId="0" fontId="3" fillId="4" borderId="11" xfId="0" applyFont="1" applyFill="1" applyBorder="1" applyAlignment="1">
      <alignment horizontal="center" vertical="center" wrapText="1"/>
    </xf>
    <xf numFmtId="0" fontId="14" fillId="0" borderId="0" xfId="0" applyFont="1"/>
    <xf numFmtId="0" fontId="15" fillId="13" borderId="9" xfId="0" applyFont="1" applyFill="1" applyBorder="1" applyAlignment="1">
      <alignment vertical="center" wrapText="1"/>
    </xf>
    <xf numFmtId="0" fontId="15" fillId="13" borderId="10" xfId="0" applyFont="1" applyFill="1" applyBorder="1" applyAlignment="1">
      <alignment horizontal="center" vertical="center" wrapText="1"/>
    </xf>
    <xf numFmtId="0" fontId="0" fillId="13" borderId="10" xfId="0" applyFill="1" applyBorder="1" applyAlignment="1">
      <alignment horizontal="center"/>
    </xf>
    <xf numFmtId="164" fontId="15" fillId="13" borderId="10" xfId="2" applyNumberFormat="1" applyFont="1" applyFill="1" applyBorder="1" applyAlignment="1">
      <alignment vertical="center" wrapText="1"/>
    </xf>
    <xf numFmtId="164" fontId="0" fillId="13" borderId="10" xfId="2" applyNumberFormat="1" applyFont="1" applyFill="1" applyBorder="1" applyAlignment="1">
      <alignment horizontal="center"/>
    </xf>
    <xf numFmtId="164" fontId="15" fillId="13" borderId="11" xfId="2" applyNumberFormat="1" applyFont="1" applyFill="1" applyBorder="1" applyAlignment="1">
      <alignment vertical="center" wrapText="1"/>
    </xf>
    <xf numFmtId="0" fontId="16" fillId="0" borderId="0" xfId="0" applyFont="1"/>
    <xf numFmtId="0" fontId="15" fillId="13" borderId="1" xfId="0" applyFont="1" applyFill="1" applyBorder="1" applyAlignment="1">
      <alignment vertical="center" wrapText="1"/>
    </xf>
    <xf numFmtId="0" fontId="0" fillId="13" borderId="0" xfId="0" applyFill="1" applyAlignment="1">
      <alignment horizontal="center"/>
    </xf>
    <xf numFmtId="164" fontId="15" fillId="13" borderId="0" xfId="2" applyNumberFormat="1" applyFont="1" applyFill="1" applyBorder="1" applyAlignment="1">
      <alignment vertical="center" wrapText="1"/>
    </xf>
    <xf numFmtId="164" fontId="0" fillId="13" borderId="0" xfId="2" applyNumberFormat="1" applyFont="1" applyFill="1" applyBorder="1"/>
    <xf numFmtId="164" fontId="15" fillId="13" borderId="2" xfId="2" applyNumberFormat="1" applyFont="1" applyFill="1" applyBorder="1" applyAlignment="1">
      <alignment vertical="center" wrapText="1"/>
    </xf>
    <xf numFmtId="0" fontId="3" fillId="6" borderId="3" xfId="0" applyFont="1" applyFill="1" applyBorder="1"/>
    <xf numFmtId="0" fontId="3" fillId="6" borderId="4" xfId="0" applyFont="1" applyFill="1" applyBorder="1"/>
    <xf numFmtId="0" fontId="3" fillId="6" borderId="6" xfId="0" applyFont="1" applyFill="1" applyBorder="1"/>
    <xf numFmtId="0" fontId="3" fillId="6" borderId="5" xfId="0" applyFont="1" applyFill="1" applyBorder="1"/>
    <xf numFmtId="9" fontId="0" fillId="14" borderId="8" xfId="0" applyNumberFormat="1" applyFill="1" applyBorder="1" applyAlignment="1">
      <alignment horizontal="center" vertical="center" wrapText="1"/>
    </xf>
    <xf numFmtId="6" fontId="0" fillId="14" borderId="9" xfId="2" applyNumberFormat="1" applyFont="1" applyFill="1" applyBorder="1" applyAlignment="1">
      <alignment horizontal="left" vertical="center"/>
    </xf>
    <xf numFmtId="6" fontId="0" fillId="14" borderId="10" xfId="2" applyNumberFormat="1" applyFont="1" applyFill="1" applyBorder="1"/>
    <xf numFmtId="164" fontId="0" fillId="14" borderId="9" xfId="0" applyNumberFormat="1" applyFill="1" applyBorder="1" applyAlignment="1">
      <alignment vertical="center"/>
    </xf>
    <xf numFmtId="10" fontId="0" fillId="14" borderId="11" xfId="0" applyNumberFormat="1" applyFill="1" applyBorder="1" applyAlignment="1">
      <alignment vertical="center"/>
    </xf>
    <xf numFmtId="164" fontId="0" fillId="14" borderId="8" xfId="2" applyNumberFormat="1" applyFont="1" applyFill="1" applyBorder="1"/>
    <xf numFmtId="10" fontId="18" fillId="14" borderId="9" xfId="0" applyNumberFormat="1" applyFont="1" applyFill="1" applyBorder="1" applyAlignment="1">
      <alignment vertical="center"/>
    </xf>
    <xf numFmtId="9" fontId="0" fillId="14" borderId="18" xfId="0" applyNumberFormat="1" applyFill="1" applyBorder="1" applyAlignment="1">
      <alignment horizontal="center" vertical="center" wrapText="1"/>
    </xf>
    <xf numFmtId="6" fontId="0" fillId="14" borderId="1" xfId="2" applyNumberFormat="1" applyFont="1" applyFill="1" applyBorder="1" applyAlignment="1">
      <alignment horizontal="left" vertical="center"/>
    </xf>
    <xf numFmtId="6" fontId="0" fillId="14" borderId="0" xfId="2" applyNumberFormat="1" applyFont="1" applyFill="1" applyBorder="1"/>
    <xf numFmtId="164" fontId="0" fillId="14" borderId="1" xfId="0" applyNumberFormat="1" applyFill="1" applyBorder="1" applyAlignment="1">
      <alignment vertical="center"/>
    </xf>
    <xf numFmtId="10" fontId="0" fillId="14" borderId="2" xfId="0" applyNumberFormat="1" applyFill="1" applyBorder="1" applyAlignment="1">
      <alignment vertical="center"/>
    </xf>
    <xf numFmtId="164" fontId="0" fillId="14" borderId="18" xfId="2" applyNumberFormat="1" applyFont="1" applyFill="1" applyBorder="1"/>
    <xf numFmtId="10" fontId="18" fillId="14" borderId="1" xfId="0" applyNumberFormat="1" applyFont="1" applyFill="1" applyBorder="1" applyAlignment="1">
      <alignment vertical="center"/>
    </xf>
    <xf numFmtId="9" fontId="0" fillId="14" borderId="34" xfId="0" applyNumberFormat="1" applyFill="1" applyBorder="1" applyAlignment="1">
      <alignment horizontal="center" vertical="center" wrapText="1"/>
    </xf>
    <xf numFmtId="0" fontId="0" fillId="14" borderId="30" xfId="0" applyFill="1" applyBorder="1" applyAlignment="1">
      <alignment horizontal="left" vertical="center"/>
    </xf>
    <xf numFmtId="0" fontId="0" fillId="14" borderId="7" xfId="0" applyFill="1" applyBorder="1"/>
    <xf numFmtId="164" fontId="0" fillId="14" borderId="30" xfId="0" applyNumberFormat="1" applyFill="1" applyBorder="1" applyAlignment="1">
      <alignment vertical="center"/>
    </xf>
    <xf numFmtId="10" fontId="0" fillId="14" borderId="31" xfId="0" applyNumberFormat="1" applyFill="1" applyBorder="1" applyAlignment="1">
      <alignment vertical="center"/>
    </xf>
    <xf numFmtId="0" fontId="0" fillId="14" borderId="31" xfId="0" applyFill="1" applyBorder="1" applyAlignment="1">
      <alignment vertical="center"/>
    </xf>
    <xf numFmtId="10" fontId="18" fillId="14" borderId="30" xfId="0" applyNumberFormat="1" applyFont="1" applyFill="1" applyBorder="1" applyAlignment="1">
      <alignment vertical="center"/>
    </xf>
    <xf numFmtId="10" fontId="6" fillId="8" borderId="3" xfId="3" applyNumberFormat="1" applyFont="1" applyFill="1" applyBorder="1" applyAlignment="1">
      <alignment horizontal="center"/>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13" borderId="44" xfId="0" applyFill="1" applyBorder="1" applyAlignment="1">
      <alignment horizontal="center" vertical="center" wrapText="1"/>
    </xf>
    <xf numFmtId="9" fontId="0" fillId="0" borderId="44" xfId="0" applyNumberFormat="1" applyBorder="1" applyAlignment="1">
      <alignment horizontal="center" vertical="center" wrapText="1"/>
    </xf>
    <xf numFmtId="9" fontId="0" fillId="0" borderId="45" xfId="0" applyNumberFormat="1" applyBorder="1" applyAlignment="1">
      <alignment horizontal="center" vertical="center" wrapText="1"/>
    </xf>
    <xf numFmtId="0" fontId="3" fillId="6" borderId="4" xfId="0" applyFont="1" applyFill="1" applyBorder="1" applyAlignment="1">
      <alignment vertical="center" wrapText="1"/>
    </xf>
    <xf numFmtId="164" fontId="3" fillId="6" borderId="6" xfId="2" applyNumberFormat="1" applyFont="1" applyFill="1" applyBorder="1" applyAlignment="1">
      <alignment vertical="center" wrapText="1"/>
    </xf>
    <xf numFmtId="164" fontId="3" fillId="6" borderId="5" xfId="2" applyNumberFormat="1" applyFont="1" applyFill="1" applyBorder="1" applyAlignment="1">
      <alignment vertical="center" wrapText="1"/>
    </xf>
    <xf numFmtId="0" fontId="0" fillId="13" borderId="46" xfId="0" applyFill="1" applyBorder="1" applyAlignment="1">
      <alignment horizontal="center" vertical="center" wrapText="1"/>
    </xf>
    <xf numFmtId="9" fontId="0" fillId="0" borderId="46" xfId="0" applyNumberFormat="1" applyBorder="1" applyAlignment="1">
      <alignment horizontal="center" vertical="center" wrapText="1"/>
    </xf>
    <xf numFmtId="9" fontId="0" fillId="0" borderId="47" xfId="0" applyNumberFormat="1" applyBorder="1" applyAlignment="1">
      <alignment horizontal="center" vertical="center" wrapText="1"/>
    </xf>
    <xf numFmtId="9" fontId="0" fillId="14" borderId="9" xfId="0" applyNumberFormat="1" applyFill="1" applyBorder="1"/>
    <xf numFmtId="164" fontId="0" fillId="14" borderId="10" xfId="2" applyNumberFormat="1" applyFont="1" applyFill="1" applyBorder="1" applyAlignment="1">
      <alignment vertical="center" wrapText="1"/>
    </xf>
    <xf numFmtId="164" fontId="0" fillId="14" borderId="11" xfId="2" applyNumberFormat="1" applyFont="1" applyFill="1" applyBorder="1" applyAlignment="1">
      <alignment vertical="center" wrapText="1"/>
    </xf>
    <xf numFmtId="9" fontId="0" fillId="14" borderId="1" xfId="0" applyNumberFormat="1" applyFill="1" applyBorder="1"/>
    <xf numFmtId="164" fontId="0" fillId="14" borderId="0" xfId="2" applyNumberFormat="1" applyFont="1" applyFill="1" applyBorder="1" applyAlignment="1">
      <alignment vertical="center" wrapText="1"/>
    </xf>
    <xf numFmtId="164" fontId="0" fillId="14" borderId="2" xfId="2" applyNumberFormat="1" applyFont="1" applyFill="1" applyBorder="1" applyAlignment="1">
      <alignment vertical="center" wrapText="1"/>
    </xf>
    <xf numFmtId="9" fontId="0" fillId="14" borderId="30" xfId="0" applyNumberFormat="1" applyFill="1" applyBorder="1"/>
    <xf numFmtId="164" fontId="0" fillId="14" borderId="7" xfId="2" applyNumberFormat="1" applyFont="1" applyFill="1" applyBorder="1" applyAlignment="1">
      <alignment vertical="center" wrapText="1"/>
    </xf>
    <xf numFmtId="164" fontId="0" fillId="14" borderId="31" xfId="2" applyNumberFormat="1" applyFont="1" applyFill="1" applyBorder="1" applyAlignment="1">
      <alignment vertical="center" wrapText="1"/>
    </xf>
    <xf numFmtId="10" fontId="4" fillId="8" borderId="3" xfId="3" applyNumberFormat="1" applyFont="1" applyFill="1" applyBorder="1"/>
    <xf numFmtId="0" fontId="5" fillId="6" borderId="6" xfId="0" applyFont="1" applyFill="1" applyBorder="1"/>
    <xf numFmtId="10" fontId="0" fillId="14" borderId="3" xfId="0" applyNumberFormat="1" applyFill="1" applyBorder="1" applyAlignment="1">
      <alignment vertical="center" wrapText="1"/>
    </xf>
    <xf numFmtId="0" fontId="3" fillId="5" borderId="3" xfId="0" applyFont="1" applyFill="1" applyBorder="1"/>
    <xf numFmtId="0" fontId="0" fillId="13" borderId="48" xfId="0" applyFill="1" applyBorder="1" applyAlignment="1">
      <alignment horizontal="center" vertical="center" wrapText="1"/>
    </xf>
    <xf numFmtId="9" fontId="0" fillId="0" borderId="48" xfId="0" applyNumberFormat="1" applyBorder="1" applyAlignment="1">
      <alignment horizontal="center" vertical="center" wrapText="1"/>
    </xf>
    <xf numFmtId="9" fontId="0" fillId="0" borderId="49" xfId="0" applyNumberFormat="1" applyBorder="1" applyAlignment="1">
      <alignment horizontal="center" vertical="center" wrapText="1"/>
    </xf>
    <xf numFmtId="164" fontId="0" fillId="14" borderId="3" xfId="2" applyNumberFormat="1" applyFont="1" applyFill="1" applyBorder="1" applyAlignment="1">
      <alignment vertical="center" wrapText="1"/>
    </xf>
    <xf numFmtId="0" fontId="4" fillId="0" borderId="0" xfId="0" applyFont="1" applyAlignment="1">
      <alignment horizontal="left" vertical="center"/>
    </xf>
    <xf numFmtId="0" fontId="4" fillId="0" borderId="0" xfId="0" applyFont="1" applyAlignment="1">
      <alignment horizontal="center" vertical="center" wrapText="1"/>
    </xf>
    <xf numFmtId="164" fontId="0" fillId="0" borderId="0" xfId="2" applyNumberFormat="1" applyFont="1" applyAlignment="1">
      <alignment vertical="center" wrapText="1"/>
    </xf>
    <xf numFmtId="0" fontId="15" fillId="13" borderId="30" xfId="0" applyFont="1" applyFill="1" applyBorder="1" applyAlignment="1">
      <alignment vertical="center" wrapText="1"/>
    </xf>
    <xf numFmtId="0" fontId="0" fillId="13" borderId="7" xfId="0" applyFill="1" applyBorder="1" applyAlignment="1">
      <alignment horizontal="center"/>
    </xf>
    <xf numFmtId="164" fontId="15" fillId="13" borderId="7" xfId="2" applyNumberFormat="1" applyFont="1" applyFill="1" applyBorder="1" applyAlignment="1">
      <alignment vertical="center" wrapText="1"/>
    </xf>
    <xf numFmtId="164" fontId="0" fillId="13" borderId="7" xfId="2" applyNumberFormat="1" applyFont="1" applyFill="1" applyBorder="1"/>
    <xf numFmtId="164" fontId="15" fillId="13" borderId="31" xfId="2" applyNumberFormat="1" applyFont="1" applyFill="1" applyBorder="1" applyAlignment="1">
      <alignment vertical="center" wrapText="1"/>
    </xf>
    <xf numFmtId="0" fontId="20" fillId="0" borderId="0" xfId="0" applyFont="1" applyAlignment="1">
      <alignment horizontal="left" vertical="top"/>
    </xf>
    <xf numFmtId="0" fontId="0" fillId="0" borderId="7" xfId="0" applyBorder="1"/>
    <xf numFmtId="0" fontId="0" fillId="0" borderId="31" xfId="0" applyBorder="1"/>
    <xf numFmtId="0" fontId="7" fillId="23" borderId="30" xfId="0" applyFont="1" applyFill="1" applyBorder="1" applyAlignment="1">
      <alignment horizontal="center"/>
    </xf>
    <xf numFmtId="0" fontId="0" fillId="23" borderId="0" xfId="0" applyFill="1" applyAlignment="1">
      <alignment horizontal="center"/>
    </xf>
    <xf numFmtId="0" fontId="7" fillId="23" borderId="3" xfId="0" applyFont="1" applyFill="1" applyBorder="1" applyAlignment="1">
      <alignment horizontal="center"/>
    </xf>
    <xf numFmtId="0" fontId="7" fillId="23" borderId="3" xfId="0" applyFont="1" applyFill="1" applyBorder="1"/>
    <xf numFmtId="0" fontId="7" fillId="14" borderId="3" xfId="0" applyFont="1" applyFill="1" applyBorder="1" applyAlignment="1">
      <alignment horizontal="center"/>
    </xf>
    <xf numFmtId="0" fontId="3" fillId="5" borderId="9"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15" fillId="14" borderId="9" xfId="0" applyFont="1" applyFill="1" applyBorder="1" applyAlignment="1">
      <alignment vertical="center" wrapText="1"/>
    </xf>
    <xf numFmtId="0" fontId="15" fillId="14" borderId="10" xfId="0" applyFont="1" applyFill="1" applyBorder="1" applyAlignment="1">
      <alignment horizontal="center" vertical="center" wrapText="1"/>
    </xf>
    <xf numFmtId="0" fontId="0" fillId="14" borderId="10" xfId="0" applyFill="1" applyBorder="1" applyAlignment="1">
      <alignment horizontal="center"/>
    </xf>
    <xf numFmtId="164" fontId="15" fillId="14" borderId="9" xfId="2" applyNumberFormat="1" applyFont="1" applyFill="1" applyBorder="1" applyAlignment="1">
      <alignment vertical="center" wrapText="1"/>
    </xf>
    <xf numFmtId="164" fontId="15" fillId="14" borderId="10" xfId="2" applyNumberFormat="1" applyFont="1" applyFill="1" applyBorder="1" applyAlignment="1">
      <alignment vertical="center" wrapText="1"/>
    </xf>
    <xf numFmtId="164" fontId="15" fillId="14" borderId="11" xfId="2" applyNumberFormat="1" applyFont="1" applyFill="1" applyBorder="1" applyAlignment="1">
      <alignment vertical="center" wrapText="1"/>
    </xf>
    <xf numFmtId="164" fontId="0" fillId="10" borderId="9" xfId="2" applyNumberFormat="1" applyFont="1" applyFill="1" applyBorder="1"/>
    <xf numFmtId="164" fontId="15" fillId="10" borderId="10" xfId="2" applyNumberFormat="1" applyFont="1" applyFill="1" applyBorder="1" applyAlignment="1">
      <alignment vertical="center" wrapText="1"/>
    </xf>
    <xf numFmtId="10" fontId="15" fillId="10" borderId="10" xfId="3" applyNumberFormat="1" applyFont="1" applyFill="1" applyBorder="1" applyAlignment="1">
      <alignment vertical="center" wrapText="1"/>
    </xf>
    <xf numFmtId="164" fontId="0" fillId="10" borderId="1" xfId="2" applyNumberFormat="1" applyFont="1" applyFill="1" applyBorder="1"/>
    <xf numFmtId="164" fontId="0" fillId="10" borderId="0" xfId="2" applyNumberFormat="1" applyFont="1" applyFill="1" applyBorder="1"/>
    <xf numFmtId="164" fontId="15" fillId="10" borderId="11" xfId="2" applyNumberFormat="1" applyFont="1" applyFill="1" applyBorder="1" applyAlignment="1">
      <alignment vertical="center" wrapText="1"/>
    </xf>
    <xf numFmtId="164" fontId="15" fillId="10" borderId="8" xfId="2" applyNumberFormat="1" applyFont="1" applyFill="1" applyBorder="1" applyAlignment="1">
      <alignment vertical="center" wrapText="1"/>
    </xf>
    <xf numFmtId="164" fontId="15" fillId="10" borderId="1" xfId="2" applyNumberFormat="1" applyFont="1" applyFill="1" applyBorder="1" applyAlignment="1">
      <alignment vertical="center" wrapText="1"/>
    </xf>
    <xf numFmtId="164" fontId="15" fillId="10" borderId="0" xfId="2" applyNumberFormat="1" applyFont="1" applyFill="1" applyBorder="1" applyAlignment="1">
      <alignment vertical="center" wrapText="1"/>
    </xf>
    <xf numFmtId="164" fontId="15" fillId="10" borderId="2" xfId="2" applyNumberFormat="1" applyFont="1" applyFill="1" applyBorder="1" applyAlignment="1">
      <alignment vertical="center" wrapText="1"/>
    </xf>
    <xf numFmtId="164" fontId="15" fillId="10" borderId="9" xfId="2" applyNumberFormat="1" applyFont="1" applyFill="1" applyBorder="1" applyAlignment="1">
      <alignment vertical="center" wrapText="1"/>
    </xf>
    <xf numFmtId="0" fontId="15" fillId="14" borderId="1" xfId="0" applyFont="1" applyFill="1" applyBorder="1" applyAlignment="1">
      <alignment vertical="center" wrapText="1"/>
    </xf>
    <xf numFmtId="0" fontId="0" fillId="14" borderId="0" xfId="0" applyFill="1" applyAlignment="1">
      <alignment horizontal="center"/>
    </xf>
    <xf numFmtId="164" fontId="15" fillId="14" borderId="1" xfId="2" applyNumberFormat="1" applyFont="1" applyFill="1" applyBorder="1" applyAlignment="1">
      <alignment vertical="center" wrapText="1"/>
    </xf>
    <xf numFmtId="164" fontId="15" fillId="14" borderId="0" xfId="2" applyNumberFormat="1" applyFont="1" applyFill="1" applyBorder="1" applyAlignment="1">
      <alignment vertical="center" wrapText="1"/>
    </xf>
    <xf numFmtId="164" fontId="15" fillId="14" borderId="2" xfId="2" applyNumberFormat="1" applyFont="1" applyFill="1" applyBorder="1" applyAlignment="1">
      <alignment vertical="center" wrapText="1"/>
    </xf>
    <xf numFmtId="10" fontId="15" fillId="10" borderId="0" xfId="3" applyNumberFormat="1" applyFont="1" applyFill="1" applyBorder="1" applyAlignment="1">
      <alignment vertical="center" wrapText="1"/>
    </xf>
    <xf numFmtId="164" fontId="15" fillId="10" borderId="18" xfId="2" applyNumberFormat="1" applyFont="1" applyFill="1" applyBorder="1" applyAlignment="1">
      <alignment vertical="center" wrapText="1"/>
    </xf>
    <xf numFmtId="0" fontId="15" fillId="14" borderId="30" xfId="0" applyFont="1" applyFill="1" applyBorder="1" applyAlignment="1">
      <alignment vertical="center" wrapText="1"/>
    </xf>
    <xf numFmtId="0" fontId="0" fillId="14" borderId="7" xfId="0" applyFill="1" applyBorder="1" applyAlignment="1">
      <alignment horizontal="center"/>
    </xf>
    <xf numFmtId="164" fontId="15" fillId="14" borderId="30" xfId="2" applyNumberFormat="1" applyFont="1" applyFill="1" applyBorder="1" applyAlignment="1">
      <alignment vertical="center" wrapText="1"/>
    </xf>
    <xf numFmtId="164" fontId="15" fillId="14" borderId="7" xfId="2" applyNumberFormat="1" applyFont="1" applyFill="1" applyBorder="1" applyAlignment="1">
      <alignment vertical="center" wrapText="1"/>
    </xf>
    <xf numFmtId="164" fontId="15" fillId="14" borderId="31" xfId="2" applyNumberFormat="1" applyFont="1" applyFill="1" applyBorder="1" applyAlignment="1">
      <alignment vertical="center" wrapText="1"/>
    </xf>
    <xf numFmtId="164" fontId="0" fillId="10" borderId="30" xfId="2" applyNumberFormat="1" applyFont="1" applyFill="1" applyBorder="1"/>
    <xf numFmtId="164" fontId="15" fillId="10" borderId="7" xfId="2" applyNumberFormat="1" applyFont="1" applyFill="1" applyBorder="1" applyAlignment="1">
      <alignment vertical="center" wrapText="1"/>
    </xf>
    <xf numFmtId="10" fontId="15" fillId="10" borderId="7" xfId="3" applyNumberFormat="1" applyFont="1" applyFill="1" applyBorder="1" applyAlignment="1">
      <alignment vertical="center" wrapText="1"/>
    </xf>
    <xf numFmtId="164" fontId="0" fillId="10" borderId="7" xfId="2" applyNumberFormat="1" applyFont="1" applyFill="1" applyBorder="1"/>
    <xf numFmtId="164" fontId="15" fillId="10" borderId="31" xfId="2" applyNumberFormat="1" applyFont="1" applyFill="1" applyBorder="1" applyAlignment="1">
      <alignment vertical="center" wrapText="1"/>
    </xf>
    <xf numFmtId="164" fontId="15" fillId="10" borderId="34" xfId="2" applyNumberFormat="1" applyFont="1" applyFill="1" applyBorder="1" applyAlignment="1">
      <alignment vertical="center" wrapText="1"/>
    </xf>
    <xf numFmtId="164" fontId="15" fillId="10" borderId="30" xfId="2" applyNumberFormat="1" applyFont="1" applyFill="1" applyBorder="1" applyAlignment="1">
      <alignment vertical="center" wrapText="1"/>
    </xf>
    <xf numFmtId="0" fontId="4" fillId="0" borderId="0" xfId="0" applyFont="1" applyAlignment="1">
      <alignment horizontal="right"/>
    </xf>
    <xf numFmtId="10" fontId="15" fillId="8" borderId="3" xfId="3" applyNumberFormat="1" applyFont="1" applyFill="1" applyBorder="1" applyAlignment="1">
      <alignment vertical="center" wrapText="1"/>
    </xf>
    <xf numFmtId="10" fontId="0" fillId="0" borderId="0" xfId="3" applyNumberFormat="1" applyFont="1"/>
    <xf numFmtId="164" fontId="7" fillId="14" borderId="8" xfId="2" applyNumberFormat="1" applyFont="1" applyFill="1" applyBorder="1" applyAlignment="1">
      <alignment horizontal="left"/>
    </xf>
    <xf numFmtId="0" fontId="5" fillId="5" borderId="10" xfId="0" applyFont="1" applyFill="1" applyBorder="1" applyAlignment="1">
      <alignment horizontal="left"/>
    </xf>
    <xf numFmtId="164" fontId="0" fillId="14" borderId="14" xfId="2" applyNumberFormat="1" applyFont="1" applyFill="1" applyBorder="1" applyAlignment="1">
      <alignment horizontal="left"/>
    </xf>
    <xf numFmtId="0" fontId="10" fillId="0" borderId="0" xfId="0" quotePrefix="1" applyFont="1" applyAlignment="1">
      <alignment horizontal="center"/>
    </xf>
    <xf numFmtId="164" fontId="0" fillId="14" borderId="23" xfId="2" applyNumberFormat="1" applyFont="1" applyFill="1" applyBorder="1" applyAlignment="1">
      <alignment horizontal="left"/>
    </xf>
    <xf numFmtId="0" fontId="5" fillId="5" borderId="25" xfId="0" applyFont="1" applyFill="1" applyBorder="1"/>
    <xf numFmtId="0" fontId="5" fillId="5" borderId="26" xfId="0" applyFont="1" applyFill="1" applyBorder="1"/>
    <xf numFmtId="164" fontId="7" fillId="14" borderId="14" xfId="2" applyNumberFormat="1" applyFont="1" applyFill="1" applyBorder="1" applyAlignment="1">
      <alignment horizontal="left"/>
    </xf>
    <xf numFmtId="0" fontId="5" fillId="5" borderId="16" xfId="0" applyFont="1" applyFill="1" applyBorder="1" applyAlignment="1">
      <alignment horizontal="left"/>
    </xf>
    <xf numFmtId="164" fontId="0" fillId="14" borderId="23" xfId="2" applyNumberFormat="1" applyFont="1" applyFill="1" applyBorder="1" applyAlignment="1">
      <alignment horizontal="left" vertical="center"/>
    </xf>
    <xf numFmtId="0" fontId="23" fillId="0" borderId="0" xfId="0" applyFont="1"/>
    <xf numFmtId="0" fontId="5" fillId="5" borderId="50" xfId="0" applyFont="1" applyFill="1" applyBorder="1" applyAlignment="1">
      <alignment horizontal="left"/>
    </xf>
    <xf numFmtId="0" fontId="26" fillId="20" borderId="12" xfId="0" applyFont="1" applyFill="1" applyBorder="1"/>
    <xf numFmtId="0" fontId="26" fillId="20" borderId="13" xfId="0" applyFont="1" applyFill="1" applyBorder="1"/>
    <xf numFmtId="0" fontId="26" fillId="20" borderId="19" xfId="0" applyFont="1" applyFill="1" applyBorder="1"/>
    <xf numFmtId="0" fontId="26" fillId="20" borderId="20" xfId="0" applyFont="1" applyFill="1" applyBorder="1"/>
    <xf numFmtId="0" fontId="26" fillId="20" borderId="32" xfId="0" applyFont="1" applyFill="1" applyBorder="1"/>
    <xf numFmtId="0" fontId="26" fillId="20" borderId="33" xfId="0" applyFont="1" applyFill="1" applyBorder="1"/>
    <xf numFmtId="0" fontId="7" fillId="14" borderId="4" xfId="0" applyFont="1" applyFill="1" applyBorder="1" applyAlignment="1">
      <alignment horizontal="center"/>
    </xf>
    <xf numFmtId="0" fontId="7" fillId="14" borderId="5" xfId="0" applyFont="1" applyFill="1" applyBorder="1" applyAlignment="1">
      <alignment horizontal="center"/>
    </xf>
    <xf numFmtId="0" fontId="7" fillId="23" borderId="4" xfId="0" applyFont="1" applyFill="1" applyBorder="1" applyAlignment="1">
      <alignment horizontal="center"/>
    </xf>
    <xf numFmtId="0" fontId="7" fillId="23" borderId="6" xfId="0" applyFont="1" applyFill="1" applyBorder="1" applyAlignment="1">
      <alignment horizontal="center"/>
    </xf>
    <xf numFmtId="0" fontId="7" fillId="23" borderId="5" xfId="0" applyFont="1" applyFill="1" applyBorder="1" applyAlignment="1">
      <alignment horizontal="center"/>
    </xf>
    <xf numFmtId="0" fontId="0" fillId="14" borderId="4" xfId="0" applyFill="1" applyBorder="1" applyAlignment="1">
      <alignment horizontal="center"/>
    </xf>
    <xf numFmtId="0" fontId="0" fillId="14" borderId="6" xfId="0" applyFill="1" applyBorder="1" applyAlignment="1">
      <alignment horizontal="center"/>
    </xf>
    <xf numFmtId="0" fontId="0" fillId="14" borderId="5" xfId="0" applyFill="1" applyBorder="1" applyAlignment="1">
      <alignment horizontal="center"/>
    </xf>
    <xf numFmtId="0" fontId="0" fillId="0" borderId="0" xfId="0" applyAlignment="1">
      <alignment horizontal="left" vertical="top" wrapText="1"/>
    </xf>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3" fillId="6" borderId="1" xfId="0" applyFont="1" applyFill="1" applyBorder="1" applyAlignment="1">
      <alignment horizontal="left"/>
    </xf>
    <xf numFmtId="0" fontId="3" fillId="6" borderId="0" xfId="0" applyFont="1" applyFill="1" applyAlignment="1">
      <alignment horizontal="left"/>
    </xf>
    <xf numFmtId="0" fontId="3" fillId="6" borderId="6" xfId="0" applyFont="1" applyFill="1" applyBorder="1" applyAlignment="1">
      <alignment horizontal="center"/>
    </xf>
    <xf numFmtId="0" fontId="7" fillId="14" borderId="6" xfId="0" applyFont="1" applyFill="1" applyBorder="1" applyAlignment="1">
      <alignment horizontal="center"/>
    </xf>
    <xf numFmtId="0" fontId="4" fillId="22" borderId="9" xfId="0" applyFont="1" applyFill="1" applyBorder="1" applyAlignment="1">
      <alignment horizontal="left" vertical="center"/>
    </xf>
    <xf numFmtId="0" fontId="4" fillId="22" borderId="10" xfId="0" applyFont="1" applyFill="1" applyBorder="1" applyAlignment="1">
      <alignment horizontal="left" vertical="center"/>
    </xf>
    <xf numFmtId="0" fontId="4" fillId="22" borderId="11" xfId="0" applyFont="1" applyFill="1" applyBorder="1" applyAlignment="1">
      <alignment horizontal="left" vertical="center"/>
    </xf>
    <xf numFmtId="0" fontId="4" fillId="22" borderId="1" xfId="0" applyFont="1" applyFill="1" applyBorder="1" applyAlignment="1">
      <alignment horizontal="left" vertical="center"/>
    </xf>
    <xf numFmtId="0" fontId="4" fillId="22" borderId="0" xfId="0" applyFont="1" applyFill="1" applyAlignment="1">
      <alignment horizontal="left" vertical="center"/>
    </xf>
    <xf numFmtId="0" fontId="4" fillId="22" borderId="2" xfId="0" applyFont="1" applyFill="1" applyBorder="1" applyAlignment="1">
      <alignment horizontal="left" vertical="center"/>
    </xf>
    <xf numFmtId="0" fontId="4" fillId="22" borderId="30" xfId="0" applyFont="1" applyFill="1" applyBorder="1" applyAlignment="1">
      <alignment horizontal="left" vertical="center"/>
    </xf>
    <xf numFmtId="0" fontId="4" fillId="22" borderId="7" xfId="0" applyFont="1" applyFill="1" applyBorder="1" applyAlignment="1">
      <alignment horizontal="left" vertical="center"/>
    </xf>
    <xf numFmtId="0" fontId="4" fillId="22" borderId="31" xfId="0" applyFont="1" applyFill="1" applyBorder="1" applyAlignment="1">
      <alignment horizontal="left" vertical="center"/>
    </xf>
    <xf numFmtId="0" fontId="3" fillId="3" borderId="3" xfId="0" applyFont="1" applyFill="1" applyBorder="1" applyAlignment="1">
      <alignment horizontal="center"/>
    </xf>
    <xf numFmtId="0" fontId="0" fillId="20" borderId="1" xfId="0" applyFill="1" applyBorder="1" applyAlignment="1">
      <alignment horizontal="center" wrapText="1"/>
    </xf>
    <xf numFmtId="0" fontId="3" fillId="6" borderId="4" xfId="0" applyFont="1" applyFill="1" applyBorder="1" applyAlignment="1">
      <alignment horizontal="left"/>
    </xf>
    <xf numFmtId="0" fontId="3" fillId="6" borderId="6" xfId="0" applyFont="1" applyFill="1" applyBorder="1" applyAlignment="1">
      <alignment horizontal="left"/>
    </xf>
    <xf numFmtId="0" fontId="3" fillId="6" borderId="5" xfId="0" applyFont="1" applyFill="1" applyBorder="1" applyAlignment="1">
      <alignment horizontal="left"/>
    </xf>
    <xf numFmtId="0" fontId="3" fillId="6" borderId="9" xfId="0" applyFont="1" applyFill="1" applyBorder="1" applyAlignment="1">
      <alignment horizontal="left"/>
    </xf>
    <xf numFmtId="0" fontId="3" fillId="6" borderId="10" xfId="0" applyFont="1" applyFill="1" applyBorder="1" applyAlignment="1">
      <alignment horizontal="left"/>
    </xf>
    <xf numFmtId="0" fontId="3" fillId="6" borderId="11" xfId="0" applyFont="1" applyFill="1" applyBorder="1" applyAlignment="1">
      <alignment horizontal="left"/>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5" borderId="3" xfId="0" applyFont="1" applyFill="1" applyBorder="1" applyAlignment="1">
      <alignment horizontal="center"/>
    </xf>
    <xf numFmtId="0" fontId="7" fillId="18" borderId="4" xfId="0" applyFont="1" applyFill="1" applyBorder="1" applyAlignment="1">
      <alignment horizontal="left"/>
    </xf>
    <xf numFmtId="0" fontId="7" fillId="18" borderId="6" xfId="0" applyFont="1" applyFill="1" applyBorder="1" applyAlignment="1">
      <alignment horizontal="left"/>
    </xf>
    <xf numFmtId="0" fontId="7" fillId="18" borderId="5" xfId="0" applyFont="1" applyFill="1" applyBorder="1" applyAlignment="1">
      <alignment horizontal="left"/>
    </xf>
    <xf numFmtId="0" fontId="10" fillId="0" borderId="0" xfId="0" applyFont="1" applyAlignment="1">
      <alignment horizontal="center"/>
    </xf>
    <xf numFmtId="0" fontId="25" fillId="24" borderId="51" xfId="0" applyFont="1" applyFill="1" applyBorder="1" applyAlignment="1">
      <alignment horizontal="left" vertical="center" wrapText="1"/>
    </xf>
  </cellXfs>
  <cellStyles count="5">
    <cellStyle name="Comma" xfId="1" builtinId="3"/>
    <cellStyle name="Currency" xfId="2" builtinId="4"/>
    <cellStyle name="Good" xfId="4" builtinId="26"/>
    <cellStyle name="Normal" xfId="0" builtinId="0"/>
    <cellStyle name="Percent" xfId="3" builtinId="5"/>
  </cellStyles>
  <dxfs count="10">
    <dxf>
      <font>
        <color auto="1"/>
      </font>
      <fill>
        <patternFill>
          <bgColor rgb="FFFFFF00"/>
        </patternFill>
      </fill>
      <border>
        <top style="thin">
          <color theme="9" tint="-0.499984740745262"/>
        </top>
        <bottom style="thin">
          <color theme="9" tint="-0.499984740745262"/>
        </bottom>
      </border>
    </dxf>
    <dxf>
      <font>
        <color theme="1"/>
      </font>
      <fill>
        <patternFill>
          <bgColor theme="0"/>
        </patternFill>
      </fill>
    </dxf>
    <dxf>
      <font>
        <color theme="0"/>
      </font>
      <fill>
        <patternFill>
          <bgColor theme="9" tint="-0.499984740745262"/>
        </patternFill>
      </fill>
    </dxf>
    <dxf>
      <font>
        <color theme="0"/>
      </font>
      <fill>
        <patternFill>
          <bgColor theme="9" tint="-0.499984740745262"/>
        </patternFill>
      </fill>
    </dxf>
    <dxf>
      <font>
        <color rgb="FF9C0006"/>
      </font>
      <fill>
        <patternFill>
          <bgColor rgb="FFFFC7CE"/>
        </patternFill>
      </fill>
    </dxf>
    <dxf>
      <font>
        <color theme="0"/>
      </font>
      <fill>
        <patternFill>
          <bgColor theme="4"/>
        </patternFill>
      </fill>
      <border>
        <right style="thin">
          <color auto="1"/>
        </right>
        <top style="thin">
          <color auto="1"/>
        </top>
        <bottom style="thin">
          <color auto="1"/>
        </bottom>
      </border>
    </dxf>
    <dxf>
      <font>
        <color theme="0"/>
      </font>
      <fill>
        <patternFill>
          <bgColor theme="4"/>
        </patternFill>
      </fill>
      <border>
        <left style="thin">
          <color auto="1"/>
        </left>
        <top style="thin">
          <color auto="1"/>
        </top>
        <bottom style="thin">
          <color auto="1"/>
        </bottom>
      </border>
    </dxf>
    <dxf>
      <font>
        <color theme="0"/>
      </font>
      <fill>
        <patternFill>
          <bgColor theme="9"/>
        </patternFill>
      </fill>
    </dxf>
    <dxf>
      <font>
        <color theme="0"/>
      </font>
      <fill>
        <patternFill>
          <bgColor theme="9" tint="-0.24994659260841701"/>
        </patternFill>
      </fill>
    </dxf>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9DC1C-9B75-44C3-AEEC-16D3B8005BB6}">
  <sheetPr>
    <tabColor theme="4"/>
  </sheetPr>
  <dimension ref="A1:AL152"/>
  <sheetViews>
    <sheetView tabSelected="1" zoomScale="90" zoomScaleNormal="90" workbookViewId="0">
      <selection activeCell="A2" sqref="A2"/>
    </sheetView>
  </sheetViews>
  <sheetFormatPr defaultRowHeight="14.4" x14ac:dyDescent="0.55000000000000004"/>
  <cols>
    <col min="1" max="1" width="5.3125" customWidth="1"/>
    <col min="2" max="2" width="6.20703125" customWidth="1"/>
    <col min="3" max="4" width="9.1015625" customWidth="1"/>
    <col min="5" max="6" width="13.3125" customWidth="1"/>
    <col min="7" max="8" width="14.41796875" customWidth="1"/>
    <col min="9" max="10" width="14.68359375" customWidth="1"/>
    <col min="11" max="11" width="12.68359375" customWidth="1"/>
    <col min="12" max="13" width="13.89453125" customWidth="1"/>
    <col min="14" max="15" width="14" customWidth="1"/>
    <col min="16" max="16" width="14.20703125" customWidth="1"/>
    <col min="17" max="18" width="12.3125" customWidth="1"/>
    <col min="19" max="20" width="12.68359375" customWidth="1"/>
    <col min="21" max="22" width="11.5234375" customWidth="1"/>
    <col min="23" max="25" width="12.7890625" customWidth="1"/>
    <col min="26" max="26" width="14" customWidth="1"/>
    <col min="27" max="27" width="12" bestFit="1" customWidth="1"/>
    <col min="28" max="30" width="12.1015625" customWidth="1"/>
    <col min="31" max="35" width="12.3125" customWidth="1"/>
    <col min="36" max="36" width="11.89453125" bestFit="1" customWidth="1"/>
  </cols>
  <sheetData>
    <row r="1" spans="1:38" ht="18.3" x14ac:dyDescent="0.7">
      <c r="A1" s="264" t="s">
        <v>149</v>
      </c>
      <c r="AL1" s="4" t="s">
        <v>5</v>
      </c>
    </row>
    <row r="2" spans="1:38" x14ac:dyDescent="0.55000000000000004">
      <c r="L2" s="306" t="s">
        <v>3</v>
      </c>
      <c r="M2" s="307"/>
      <c r="N2" s="307"/>
      <c r="O2" s="308"/>
      <c r="Q2" s="306" t="s">
        <v>4</v>
      </c>
      <c r="R2" s="307"/>
      <c r="S2" s="307"/>
      <c r="T2" s="308"/>
      <c r="AL2" s="20">
        <v>5000</v>
      </c>
    </row>
    <row r="3" spans="1:38" ht="14.4" customHeight="1" thickBot="1" x14ac:dyDescent="0.6">
      <c r="A3" s="1"/>
      <c r="B3" s="2"/>
      <c r="C3" s="2"/>
      <c r="D3" s="3"/>
      <c r="E3" s="304" t="s">
        <v>0</v>
      </c>
      <c r="F3" s="304"/>
      <c r="G3" s="312" t="s">
        <v>1</v>
      </c>
      <c r="H3" s="313"/>
      <c r="I3" s="314" t="s">
        <v>2</v>
      </c>
      <c r="J3" s="314"/>
      <c r="L3" s="12">
        <v>6000</v>
      </c>
      <c r="M3" s="13" t="s">
        <v>130</v>
      </c>
      <c r="N3" s="14"/>
      <c r="O3" s="15"/>
      <c r="Q3" s="16">
        <v>18000</v>
      </c>
      <c r="R3" s="17" t="s">
        <v>131</v>
      </c>
      <c r="S3" s="18"/>
      <c r="T3" s="19"/>
      <c r="AL3" s="32">
        <v>5500</v>
      </c>
    </row>
    <row r="4" spans="1:38" ht="14.4" customHeight="1" x14ac:dyDescent="0.55000000000000004">
      <c r="A4" s="5"/>
      <c r="B4" s="6"/>
      <c r="C4" s="7" t="s">
        <v>129</v>
      </c>
      <c r="D4" s="8">
        <f>L9</f>
        <v>9.9575757575757581E-2</v>
      </c>
      <c r="E4" s="9" t="s">
        <v>146</v>
      </c>
      <c r="F4" s="9" t="s">
        <v>73</v>
      </c>
      <c r="G4" s="10" t="str">
        <f>E4</f>
        <v>Name</v>
      </c>
      <c r="H4" s="10" t="str">
        <f>F4</f>
        <v>N/A</v>
      </c>
      <c r="I4" s="11" t="str">
        <f>G4</f>
        <v>Name</v>
      </c>
      <c r="J4" s="11" t="str">
        <f>H4</f>
        <v>N/A</v>
      </c>
      <c r="L4" s="28">
        <v>0.27</v>
      </c>
      <c r="M4" s="29" t="s">
        <v>150</v>
      </c>
      <c r="N4" s="30"/>
      <c r="O4" s="31"/>
      <c r="P4" s="319" t="s">
        <v>7</v>
      </c>
      <c r="Q4" s="16">
        <v>15000</v>
      </c>
      <c r="R4" s="17" t="s">
        <v>9</v>
      </c>
      <c r="S4" s="18"/>
      <c r="T4" s="19"/>
      <c r="AL4" s="32">
        <v>6000</v>
      </c>
    </row>
    <row r="5" spans="1:38" x14ac:dyDescent="0.55000000000000004">
      <c r="A5" s="21" t="s">
        <v>6</v>
      </c>
      <c r="B5" s="22"/>
      <c r="C5" s="23"/>
      <c r="D5" s="24"/>
      <c r="E5" s="25">
        <v>45</v>
      </c>
      <c r="F5" s="26">
        <v>40</v>
      </c>
      <c r="G5" s="25">
        <v>65</v>
      </c>
      <c r="H5" s="27">
        <f>IF($F$5=0,0,G5-E5+F5)</f>
        <v>60</v>
      </c>
      <c r="I5" s="25">
        <v>80</v>
      </c>
      <c r="J5" s="26">
        <v>95</v>
      </c>
      <c r="L5" s="38">
        <v>0.5</v>
      </c>
      <c r="M5" s="39" t="s">
        <v>151</v>
      </c>
      <c r="N5" s="18"/>
      <c r="O5" s="40"/>
      <c r="P5" s="319"/>
      <c r="Q5" s="16">
        <v>5000</v>
      </c>
      <c r="R5" s="17" t="s">
        <v>10</v>
      </c>
      <c r="S5" s="18"/>
      <c r="T5" s="19"/>
      <c r="AL5" s="32">
        <v>6500</v>
      </c>
    </row>
    <row r="6" spans="1:38" x14ac:dyDescent="0.55000000000000004">
      <c r="A6" s="33" t="s">
        <v>11</v>
      </c>
      <c r="B6" s="34"/>
      <c r="C6" s="34"/>
      <c r="D6" s="35"/>
      <c r="E6" s="36">
        <v>2025</v>
      </c>
      <c r="F6" s="45"/>
      <c r="G6" s="46">
        <f>G5-E5+E6</f>
        <v>2045</v>
      </c>
      <c r="H6" s="47"/>
      <c r="I6" s="48">
        <f>I5-E5+E6</f>
        <v>2060</v>
      </c>
      <c r="J6" s="37">
        <f>IF($F$5=0,0,_xlfn.XLOOKUP(J5,D82:D134,B82:B134,""))</f>
        <v>2080</v>
      </c>
      <c r="K6" s="49"/>
      <c r="L6" s="38">
        <v>0.2</v>
      </c>
      <c r="M6" s="39" t="s">
        <v>152</v>
      </c>
      <c r="N6" s="18"/>
      <c r="O6" s="40"/>
      <c r="P6" s="319"/>
      <c r="Q6" s="16">
        <v>3000</v>
      </c>
      <c r="R6" s="17" t="s">
        <v>15</v>
      </c>
      <c r="S6" s="18"/>
      <c r="T6" s="19"/>
      <c r="AL6" s="32">
        <v>7000</v>
      </c>
    </row>
    <row r="7" spans="1:38" ht="14.7" thickBot="1" x14ac:dyDescent="0.6">
      <c r="A7" s="33" t="s">
        <v>132</v>
      </c>
      <c r="B7" s="34"/>
      <c r="C7" s="34"/>
      <c r="D7" s="35"/>
      <c r="E7" s="56">
        <v>11000</v>
      </c>
      <c r="F7" s="57">
        <f>E7*12</f>
        <v>132000</v>
      </c>
      <c r="G7" s="58">
        <v>1</v>
      </c>
      <c r="H7" s="59">
        <f>(E7*(1+E12)^(G5-E5))*G7</f>
        <v>19867.223581363545</v>
      </c>
      <c r="I7" s="60" t="s">
        <v>12</v>
      </c>
      <c r="J7" s="61">
        <v>0.8</v>
      </c>
      <c r="L7" s="41">
        <v>0.03</v>
      </c>
      <c r="M7" s="265" t="s">
        <v>148</v>
      </c>
      <c r="N7" s="43"/>
      <c r="O7" s="44"/>
      <c r="P7" s="319"/>
      <c r="Q7" s="16">
        <v>2500</v>
      </c>
      <c r="R7" s="17" t="s">
        <v>8</v>
      </c>
      <c r="S7" s="18"/>
      <c r="T7" s="19"/>
      <c r="AL7" s="32">
        <v>7500</v>
      </c>
    </row>
    <row r="8" spans="1:38" x14ac:dyDescent="0.55000000000000004">
      <c r="A8" s="33" t="s">
        <v>133</v>
      </c>
      <c r="B8" s="34"/>
      <c r="C8" s="34"/>
      <c r="D8" s="35"/>
      <c r="E8" s="64">
        <f>(1-$L$9)*$E$7</f>
        <v>9904.6666666666679</v>
      </c>
      <c r="F8" s="57">
        <f>E8*12</f>
        <v>118856.00000000001</v>
      </c>
      <c r="G8" s="46"/>
      <c r="H8" s="59"/>
      <c r="I8" s="65"/>
      <c r="J8" s="66"/>
      <c r="L8" s="50">
        <v>0.85</v>
      </c>
      <c r="M8" s="51" t="s">
        <v>143</v>
      </c>
      <c r="N8" s="52"/>
      <c r="O8" s="53"/>
      <c r="Q8" s="16">
        <v>0</v>
      </c>
      <c r="R8" s="17"/>
      <c r="S8" s="18"/>
      <c r="T8" s="19"/>
      <c r="AL8" s="32">
        <v>8000</v>
      </c>
    </row>
    <row r="9" spans="1:38" x14ac:dyDescent="0.55000000000000004">
      <c r="A9" s="33" t="s">
        <v>17</v>
      </c>
      <c r="B9" s="34"/>
      <c r="C9" s="34"/>
      <c r="D9" s="35"/>
      <c r="E9" s="56">
        <v>350000</v>
      </c>
      <c r="F9" s="67"/>
      <c r="G9" s="68">
        <f>AVERAGE((_xlfn.XLOOKUP(G5,C25:C77,H25:H77,"")),_xlfn.XLOOKUP(G5,C25:C77,E25:E77,""))</f>
        <v>4396800.2753125792</v>
      </c>
      <c r="H9" s="69" t="s">
        <v>18</v>
      </c>
      <c r="I9" s="65">
        <f>_xlfn.XLOOKUP(I5,C82:C134,E82:E134,"")</f>
        <v>7296267.8150059581</v>
      </c>
      <c r="J9" s="66">
        <f>_xlfn.XLOOKUP(J5,D82:D134,E82:E134,"")</f>
        <v>15845435.881478161</v>
      </c>
      <c r="L9" s="62">
        <f>_xlfn.XLOOKUP(M9,M12:M15,L12:L15,"HELP!")</f>
        <v>9.9575757575757581E-2</v>
      </c>
      <c r="M9" s="315" t="s">
        <v>13</v>
      </c>
      <c r="N9" s="316"/>
      <c r="O9" s="317"/>
      <c r="P9" s="63" t="s">
        <v>14</v>
      </c>
      <c r="Q9" s="16">
        <v>0</v>
      </c>
      <c r="R9" s="17"/>
      <c r="S9" s="18"/>
      <c r="T9" s="19"/>
      <c r="AL9" s="32">
        <v>8500</v>
      </c>
    </row>
    <row r="10" spans="1:38" x14ac:dyDescent="0.55000000000000004">
      <c r="A10" s="74" t="s">
        <v>19</v>
      </c>
      <c r="B10" s="75"/>
      <c r="C10" s="75"/>
      <c r="D10" s="76"/>
      <c r="E10" s="77"/>
      <c r="F10" s="78"/>
      <c r="G10" s="79"/>
      <c r="H10" s="80"/>
      <c r="I10" s="81" t="str">
        <f>IF(SUMIFS($L$82:$L$134,$K$82:$K$134,"&lt;=0",$C$82:$C$134,"&lt;="&amp;$I$5)&gt;0,(-1)*SUMIFS($L$82:$L$134,$K$82:$K$134,"&lt;=0",$C$82:$C$134,"&lt;="&amp;$I$5),"N/A")</f>
        <v>N/A</v>
      </c>
      <c r="J10" s="82" t="str">
        <f>IF(SUMIFS($L$82:$L$134,$K$82:$K$134,"&lt;=0",$D$82:$D$134,"&lt;="&amp;$J$5)&gt;0,(-1)*SUMIFS($L$82:$L$134,$K$82:$K$134,"&lt;=0",$D$82:$D$134,"&lt;="&amp;$J$5),"N/A")</f>
        <v>N/A</v>
      </c>
      <c r="L10" s="318" t="s">
        <v>16</v>
      </c>
      <c r="M10" s="318"/>
      <c r="N10" s="318"/>
      <c r="O10" s="318"/>
      <c r="Q10" s="16">
        <v>0</v>
      </c>
      <c r="R10" s="17"/>
      <c r="S10" s="18"/>
      <c r="T10" s="19"/>
      <c r="AL10" s="32">
        <v>9000</v>
      </c>
    </row>
    <row r="11" spans="1:38" x14ac:dyDescent="0.55000000000000004">
      <c r="A11" s="33" t="s">
        <v>22</v>
      </c>
      <c r="B11" s="34"/>
      <c r="C11" s="34"/>
      <c r="D11" s="35"/>
      <c r="E11" s="87">
        <v>0.09</v>
      </c>
      <c r="F11" s="88" t="s">
        <v>23</v>
      </c>
      <c r="G11" s="87">
        <v>7.0000000000000007E-2</v>
      </c>
      <c r="H11" s="89" t="s">
        <v>24</v>
      </c>
      <c r="I11" s="87">
        <v>7.0000000000000007E-2</v>
      </c>
      <c r="J11" s="90" t="s">
        <v>24</v>
      </c>
      <c r="L11" s="306" t="s">
        <v>20</v>
      </c>
      <c r="M11" s="307"/>
      <c r="N11" s="307"/>
      <c r="O11" s="308"/>
      <c r="Q11" s="16">
        <v>0</v>
      </c>
      <c r="R11" s="17"/>
      <c r="S11" s="18"/>
      <c r="T11" s="19"/>
      <c r="AL11" s="32">
        <v>9500</v>
      </c>
    </row>
    <row r="12" spans="1:38" x14ac:dyDescent="0.55000000000000004">
      <c r="A12" s="33" t="s">
        <v>25</v>
      </c>
      <c r="B12" s="34"/>
      <c r="C12" s="34"/>
      <c r="D12" s="35"/>
      <c r="E12" s="92">
        <v>0.03</v>
      </c>
      <c r="F12" s="67" t="s">
        <v>23</v>
      </c>
      <c r="G12" s="92">
        <v>0.03</v>
      </c>
      <c r="H12" s="69" t="s">
        <v>24</v>
      </c>
      <c r="I12" s="93">
        <v>0.03</v>
      </c>
      <c r="J12" s="94" t="s">
        <v>24</v>
      </c>
      <c r="L12" s="91">
        <f>($L$6*$O$41)+($L$5*$Q$34)</f>
        <v>9.9575757575757581E-2</v>
      </c>
      <c r="M12" s="17" t="s">
        <v>13</v>
      </c>
      <c r="N12" s="18"/>
      <c r="O12" s="19"/>
      <c r="Q12" s="16">
        <v>0</v>
      </c>
      <c r="R12" s="17"/>
      <c r="S12" s="18"/>
      <c r="T12" s="19"/>
      <c r="AL12" s="32">
        <v>10000</v>
      </c>
    </row>
    <row r="13" spans="1:38" ht="14.7" thickBot="1" x14ac:dyDescent="0.6">
      <c r="A13" s="74" t="s">
        <v>27</v>
      </c>
      <c r="B13" s="75"/>
      <c r="C13" s="75"/>
      <c r="D13" s="76"/>
      <c r="E13" s="96">
        <v>35000</v>
      </c>
      <c r="F13" s="78" t="s">
        <v>28</v>
      </c>
      <c r="G13" s="79"/>
      <c r="H13" s="80"/>
      <c r="I13" s="314" t="s">
        <v>147</v>
      </c>
      <c r="J13" s="314"/>
      <c r="L13" s="95">
        <f>$Q$34</f>
        <v>0.13915151515151516</v>
      </c>
      <c r="M13" s="17" t="s">
        <v>26</v>
      </c>
      <c r="N13" s="18"/>
      <c r="O13" s="19"/>
      <c r="Q13" s="70">
        <v>0</v>
      </c>
      <c r="R13" s="71"/>
      <c r="S13" s="72"/>
      <c r="T13" s="73"/>
      <c r="AL13" s="32">
        <v>10500</v>
      </c>
    </row>
    <row r="14" spans="1:38" ht="14.4" customHeight="1" thickTop="1" x14ac:dyDescent="0.55000000000000004">
      <c r="A14" s="33" t="s">
        <v>30</v>
      </c>
      <c r="B14" s="34"/>
      <c r="C14" s="34"/>
      <c r="D14" s="35"/>
      <c r="E14" s="97"/>
      <c r="F14" s="88"/>
      <c r="G14" s="98">
        <v>62</v>
      </c>
      <c r="H14" s="99">
        <v>62</v>
      </c>
      <c r="I14" s="266" t="str">
        <f>"Year 1: " &amp; TEXT(IF(ISERR(J82/I82), "", J82/I82), "0.0%")</f>
        <v>Year 1: 159.9%</v>
      </c>
      <c r="J14" s="267" t="str">
        <f>"Year 15: " &amp; TEXT(IF(ISERR(J96/I96), "", J96/I96), "0.0%")</f>
        <v>Year 15: 207.9%</v>
      </c>
      <c r="L14" s="95">
        <f>$O$41</f>
        <v>0.15</v>
      </c>
      <c r="M14" s="17" t="s">
        <v>29</v>
      </c>
      <c r="N14" s="18"/>
      <c r="O14" s="19"/>
      <c r="Q14" s="83">
        <f>SUM(Q3:Q13)</f>
        <v>43500</v>
      </c>
      <c r="R14" s="84" t="s">
        <v>21</v>
      </c>
      <c r="S14" s="85"/>
      <c r="T14" s="86"/>
      <c r="AL14" s="32">
        <v>11000</v>
      </c>
    </row>
    <row r="15" spans="1:38" x14ac:dyDescent="0.55000000000000004">
      <c r="A15" s="33" t="s">
        <v>32</v>
      </c>
      <c r="B15" s="34"/>
      <c r="C15" s="34"/>
      <c r="D15" s="35"/>
      <c r="E15" s="56">
        <v>2500</v>
      </c>
      <c r="F15" s="101">
        <v>2200</v>
      </c>
      <c r="G15" s="102">
        <f>(E15*(1+E16)^(G14-62))*(1+E17)^(G14-E5)</f>
        <v>3867.6319734758608</v>
      </c>
      <c r="H15" s="59">
        <f>IF($F$5=0,0,(F15*(1+E16)^(H14-62))*(1+E17)^(H14-F5))</f>
        <v>3869.5870225687931</v>
      </c>
      <c r="I15" s="268" t="str">
        <f>"Year 3: " &amp; TEXT(IF(ISERR(J84/I84), "", J84/I84), "0.0%")</f>
        <v>Year 3: 199.9%</v>
      </c>
      <c r="J15" s="269" t="str">
        <f>"Year 20: " &amp; TEXT(IF(ISERR(J101/I101), "", J101/I101), "0.0%")</f>
        <v>Year 20: 220.2%</v>
      </c>
      <c r="L15" s="100">
        <v>0.18</v>
      </c>
      <c r="M15" s="17" t="s">
        <v>31</v>
      </c>
      <c r="N15" s="18"/>
      <c r="O15" s="19"/>
      <c r="AL15" s="32">
        <v>11500</v>
      </c>
    </row>
    <row r="16" spans="1:38" x14ac:dyDescent="0.55000000000000004">
      <c r="A16" s="33" t="s">
        <v>33</v>
      </c>
      <c r="B16" s="34"/>
      <c r="C16" s="34"/>
      <c r="D16" s="35"/>
      <c r="E16" s="92">
        <v>7.7700000000000005E-2</v>
      </c>
      <c r="F16" s="103" t="s">
        <v>34</v>
      </c>
      <c r="G16" s="104" t="s">
        <v>35</v>
      </c>
      <c r="H16" s="69"/>
      <c r="I16" s="268" t="str">
        <f>"Year 5: " &amp; TEXT(IF(ISERR(J86/I86), "", J86/I86), "0.0%")</f>
        <v>Year 5: 201.0%</v>
      </c>
      <c r="J16" s="269" t="str">
        <f>"Year 25: " &amp; TEXT(IF(ISERR(J106/I106), "", J106/I106), "0.0%")</f>
        <v>Year 25: 228.6%</v>
      </c>
      <c r="Q16" s="306" t="s">
        <v>134</v>
      </c>
      <c r="R16" s="307"/>
      <c r="S16" s="307"/>
      <c r="T16" s="308"/>
      <c r="AL16" s="32">
        <v>12000</v>
      </c>
    </row>
    <row r="17" spans="1:38" ht="16.5" thickBot="1" x14ac:dyDescent="0.6">
      <c r="A17" s="33" t="s">
        <v>36</v>
      </c>
      <c r="B17" s="34"/>
      <c r="C17" s="34"/>
      <c r="D17" s="35"/>
      <c r="E17" s="105">
        <v>2.5999999999999999E-2</v>
      </c>
      <c r="F17" s="106" t="s">
        <v>37</v>
      </c>
      <c r="G17" s="79" t="s">
        <v>38</v>
      </c>
      <c r="H17" s="80"/>
      <c r="I17" s="270" t="str">
        <f>"Year 10: " &amp; TEXT(IF(ISERR(J91/I91), "", J91/I91), "0.0%")</f>
        <v>Year 10: 204.1%</v>
      </c>
      <c r="J17" s="271" t="str">
        <f>"Year 30: " &amp; TEXT(IF(ISERR(J111/I111),"",J111/I111), "0.0%")</f>
        <v>Year 30: 238.6%</v>
      </c>
      <c r="L17" s="309" t="s">
        <v>135</v>
      </c>
      <c r="M17" s="310"/>
      <c r="N17" s="310"/>
      <c r="O17" s="311"/>
      <c r="Q17" s="254">
        <f>$Q$18-($E$18*12)</f>
        <v>132000</v>
      </c>
      <c r="R17" s="255" t="s">
        <v>41</v>
      </c>
      <c r="S17" s="14"/>
      <c r="T17" s="15"/>
      <c r="U17" s="54" t="s">
        <v>42</v>
      </c>
      <c r="AL17" s="32">
        <v>12500</v>
      </c>
    </row>
    <row r="18" spans="1:38" x14ac:dyDescent="0.55000000000000004">
      <c r="A18" s="21" t="s">
        <v>39</v>
      </c>
      <c r="B18" s="23"/>
      <c r="C18" s="23"/>
      <c r="D18" s="24"/>
      <c r="E18" s="107">
        <v>0</v>
      </c>
      <c r="F18" s="88"/>
      <c r="G18" s="108">
        <f>E18*(1+E12)^(G5-E5)</f>
        <v>0</v>
      </c>
      <c r="H18" s="89" t="str">
        <f>_xlfn.CONCAT("@ age ",G5)</f>
        <v>@ age 65</v>
      </c>
      <c r="I18" s="109"/>
      <c r="J18" s="110"/>
      <c r="L18" s="256">
        <f>$E$7</f>
        <v>11000</v>
      </c>
      <c r="M18" s="29" t="s">
        <v>136</v>
      </c>
      <c r="N18" s="30"/>
      <c r="O18" s="31"/>
      <c r="P18" s="257" t="s">
        <v>137</v>
      </c>
      <c r="Q18" s="256">
        <f>$L$18*12</f>
        <v>132000</v>
      </c>
      <c r="R18" s="29" t="s">
        <v>136</v>
      </c>
      <c r="S18" s="30"/>
      <c r="T18" s="31"/>
      <c r="AL18" s="32">
        <v>13000</v>
      </c>
    </row>
    <row r="19" spans="1:38" ht="14.7" thickBot="1" x14ac:dyDescent="0.6">
      <c r="A19" s="74" t="s">
        <v>40</v>
      </c>
      <c r="B19" s="75"/>
      <c r="C19" s="75"/>
      <c r="D19" s="76"/>
      <c r="E19" s="105">
        <v>0</v>
      </c>
      <c r="F19" s="78" t="s">
        <v>142</v>
      </c>
      <c r="G19" s="79" t="s">
        <v>38</v>
      </c>
      <c r="H19" s="80"/>
      <c r="I19" s="111"/>
      <c r="J19" s="112"/>
      <c r="L19" s="258">
        <f>$E$8</f>
        <v>9904.6666666666679</v>
      </c>
      <c r="M19" s="42" t="s">
        <v>138</v>
      </c>
      <c r="N19" s="259"/>
      <c r="O19" s="260"/>
      <c r="P19" s="257" t="s">
        <v>137</v>
      </c>
      <c r="Q19" s="258">
        <f>$L$19*12</f>
        <v>118856.00000000001</v>
      </c>
      <c r="R19" s="42" t="s">
        <v>138</v>
      </c>
      <c r="S19" s="259"/>
      <c r="T19" s="260"/>
      <c r="AL19" s="32">
        <v>13500</v>
      </c>
    </row>
    <row r="20" spans="1:38" x14ac:dyDescent="0.55000000000000004">
      <c r="A20" s="295" t="s">
        <v>43</v>
      </c>
      <c r="B20" s="296"/>
      <c r="C20" s="296"/>
      <c r="D20" s="297"/>
      <c r="E20" s="304" t="s">
        <v>44</v>
      </c>
      <c r="F20" s="304"/>
      <c r="G20" s="113" t="s">
        <v>45</v>
      </c>
      <c r="H20" s="114" t="s">
        <v>49</v>
      </c>
      <c r="I20" s="305"/>
      <c r="J20" s="115"/>
      <c r="L20" s="256">
        <f>$L$3</f>
        <v>6000</v>
      </c>
      <c r="M20" s="29" t="s">
        <v>139</v>
      </c>
      <c r="N20" s="30"/>
      <c r="O20" s="31"/>
      <c r="P20" s="257" t="s">
        <v>137</v>
      </c>
      <c r="Q20" s="261">
        <f>$L$20*12</f>
        <v>72000</v>
      </c>
      <c r="R20" s="262" t="s">
        <v>140</v>
      </c>
      <c r="S20" s="30"/>
      <c r="T20" s="31"/>
      <c r="AL20" s="32">
        <v>14000</v>
      </c>
    </row>
    <row r="21" spans="1:38" ht="14.7" thickBot="1" x14ac:dyDescent="0.6">
      <c r="A21" s="298"/>
      <c r="B21" s="299"/>
      <c r="C21" s="299"/>
      <c r="D21" s="300"/>
      <c r="E21" s="116" t="s">
        <v>48</v>
      </c>
      <c r="F21" s="117" t="s">
        <v>49</v>
      </c>
      <c r="G21" s="104" t="s">
        <v>50</v>
      </c>
      <c r="H21" s="117">
        <v>0</v>
      </c>
      <c r="I21" s="305"/>
      <c r="J21" s="115"/>
      <c r="L21" s="258">
        <f>L19-L20</f>
        <v>3904.6666666666679</v>
      </c>
      <c r="M21" s="42" t="s">
        <v>46</v>
      </c>
      <c r="N21" s="259"/>
      <c r="O21" s="260"/>
      <c r="P21" s="257" t="s">
        <v>137</v>
      </c>
      <c r="Q21" s="258">
        <f>$L$21*12</f>
        <v>46856.000000000015</v>
      </c>
      <c r="R21" s="42" t="s">
        <v>46</v>
      </c>
      <c r="S21" s="259"/>
      <c r="T21" s="260"/>
      <c r="AL21" s="32">
        <v>14500</v>
      </c>
    </row>
    <row r="22" spans="1:38" x14ac:dyDescent="0.55000000000000004">
      <c r="A22" s="301"/>
      <c r="B22" s="302"/>
      <c r="C22" s="302"/>
      <c r="D22" s="303"/>
      <c r="E22" s="77" t="s">
        <v>52</v>
      </c>
      <c r="F22" s="78"/>
      <c r="G22" s="79" t="s">
        <v>53</v>
      </c>
      <c r="H22" s="118">
        <v>0</v>
      </c>
      <c r="I22" s="119"/>
      <c r="J22" s="120"/>
      <c r="L22" s="256">
        <f>$Q$14/12</f>
        <v>3625</v>
      </c>
      <c r="M22" s="29" t="s">
        <v>141</v>
      </c>
      <c r="N22" s="30"/>
      <c r="O22" s="31"/>
      <c r="P22" s="257" t="s">
        <v>137</v>
      </c>
      <c r="Q22" s="256">
        <f>$Q$14</f>
        <v>43500</v>
      </c>
      <c r="R22" s="262" t="s">
        <v>47</v>
      </c>
      <c r="S22" s="30"/>
      <c r="T22" s="31"/>
      <c r="AL22" s="32">
        <v>15000</v>
      </c>
    </row>
    <row r="23" spans="1:38" ht="14.7" thickBot="1" x14ac:dyDescent="0.6">
      <c r="L23" s="263">
        <f>L21-L22</f>
        <v>279.66666666666788</v>
      </c>
      <c r="M23" s="42" t="s">
        <v>54</v>
      </c>
      <c r="N23" s="259"/>
      <c r="O23" s="260"/>
      <c r="P23" s="257" t="s">
        <v>137</v>
      </c>
      <c r="Q23" s="258">
        <f>L23*12</f>
        <v>3356.0000000000146</v>
      </c>
      <c r="R23" s="42" t="s">
        <v>51</v>
      </c>
      <c r="S23" s="259"/>
      <c r="T23" s="260"/>
      <c r="AL23" s="32">
        <v>15500</v>
      </c>
    </row>
    <row r="24" spans="1:38" ht="28.8" x14ac:dyDescent="0.65">
      <c r="A24" s="121" t="s">
        <v>11</v>
      </c>
      <c r="B24" s="122" t="s">
        <v>11</v>
      </c>
      <c r="C24" s="123" t="str">
        <f>_xlfn.CONCAT("Age ",CHAR(10),$E$4)</f>
        <v>Age 
Name</v>
      </c>
      <c r="D24" s="123" t="str">
        <f>_xlfn.CONCAT("Age ",CHAR(10),$F$4)</f>
        <v>Age 
N/A</v>
      </c>
      <c r="E24" s="121" t="s">
        <v>55</v>
      </c>
      <c r="F24" s="122" t="s">
        <v>56</v>
      </c>
      <c r="G24" s="122" t="s">
        <v>57</v>
      </c>
      <c r="H24" s="124" t="s">
        <v>58</v>
      </c>
      <c r="J24" s="125" t="s">
        <v>59</v>
      </c>
      <c r="AL24" s="32">
        <v>16000</v>
      </c>
    </row>
    <row r="25" spans="1:38" ht="15.6" x14ac:dyDescent="0.6">
      <c r="A25" s="126">
        <v>1</v>
      </c>
      <c r="B25" s="127">
        <f>E6</f>
        <v>2025</v>
      </c>
      <c r="C25" s="128">
        <f>$E$5</f>
        <v>45</v>
      </c>
      <c r="D25" s="128">
        <f>$F$5</f>
        <v>40</v>
      </c>
      <c r="E25" s="129">
        <f>E9</f>
        <v>350000</v>
      </c>
      <c r="F25" s="129">
        <f>E25*$E$11</f>
        <v>31500</v>
      </c>
      <c r="G25" s="130">
        <f>$E$13</f>
        <v>35000</v>
      </c>
      <c r="H25" s="131">
        <f>E25+G25+F25</f>
        <v>416500</v>
      </c>
      <c r="J25" s="132" t="s">
        <v>60</v>
      </c>
      <c r="K25" s="281" t="s">
        <v>61</v>
      </c>
      <c r="L25" s="282"/>
      <c r="M25" s="281" t="s">
        <v>62</v>
      </c>
      <c r="N25" s="282"/>
      <c r="O25" s="281" t="s">
        <v>63</v>
      </c>
      <c r="P25" s="282"/>
      <c r="Q25" s="281" t="s">
        <v>64</v>
      </c>
      <c r="R25" s="282"/>
      <c r="AL25" s="32">
        <v>16500</v>
      </c>
    </row>
    <row r="26" spans="1:38" ht="16.2" x14ac:dyDescent="0.55000000000000004">
      <c r="A26" s="133">
        <v>2</v>
      </c>
      <c r="B26" s="134">
        <f t="shared" ref="B26:C41" si="0">B25+1</f>
        <v>2026</v>
      </c>
      <c r="C26" s="134">
        <f t="shared" si="0"/>
        <v>46</v>
      </c>
      <c r="D26" s="134">
        <f>IF($F$5=0,0,D25+1)</f>
        <v>41</v>
      </c>
      <c r="E26" s="135">
        <f t="shared" ref="E26:E57" si="1">IF(C26&gt;$G$5,0,H25)</f>
        <v>416500</v>
      </c>
      <c r="F26" s="135">
        <f t="shared" ref="F26:F57" si="2">IF(C26&gt;$G$5,0,E26*$E$11)</f>
        <v>37485</v>
      </c>
      <c r="G26" s="136">
        <f t="shared" ref="G26:G57" si="3">IF(C26&gt;$G$5,0,IF($F$21="Yes",$G$25,G25*(1+$E$12)))</f>
        <v>36050</v>
      </c>
      <c r="H26" s="137">
        <f t="shared" ref="H26:H57" si="4">IF(C26&gt;$G$5,0,E26+G26+F26)</f>
        <v>490035</v>
      </c>
      <c r="J26" s="138" t="s">
        <v>65</v>
      </c>
      <c r="K26" s="139" t="s">
        <v>66</v>
      </c>
      <c r="L26" s="140"/>
      <c r="M26" s="139" t="s">
        <v>67</v>
      </c>
      <c r="N26" s="141" t="s">
        <v>68</v>
      </c>
      <c r="O26" s="139" t="s">
        <v>67</v>
      </c>
      <c r="P26" s="141" t="s">
        <v>68</v>
      </c>
      <c r="Q26" s="283" t="s">
        <v>69</v>
      </c>
      <c r="R26" s="284"/>
      <c r="AL26" s="32">
        <v>17000</v>
      </c>
    </row>
    <row r="27" spans="1:38" x14ac:dyDescent="0.55000000000000004">
      <c r="A27" s="133">
        <v>3</v>
      </c>
      <c r="B27" s="134">
        <f t="shared" si="0"/>
        <v>2027</v>
      </c>
      <c r="C27" s="134">
        <f t="shared" si="0"/>
        <v>47</v>
      </c>
      <c r="D27" s="134">
        <f t="shared" ref="D27:D77" si="5">IF($F$5=0,0,D26+1)</f>
        <v>42</v>
      </c>
      <c r="E27" s="135">
        <f t="shared" si="1"/>
        <v>490035</v>
      </c>
      <c r="F27" s="135">
        <f t="shared" si="2"/>
        <v>44103.15</v>
      </c>
      <c r="G27" s="136">
        <f t="shared" si="3"/>
        <v>37131.5</v>
      </c>
      <c r="H27" s="137">
        <f t="shared" si="4"/>
        <v>571269.65</v>
      </c>
      <c r="J27" s="142">
        <v>0.1</v>
      </c>
      <c r="K27" s="143">
        <v>0</v>
      </c>
      <c r="L27" s="144">
        <v>23850</v>
      </c>
      <c r="M27" s="145">
        <v>0</v>
      </c>
      <c r="N27" s="146">
        <v>0</v>
      </c>
      <c r="O27" s="145">
        <v>2385</v>
      </c>
      <c r="P27" s="146">
        <v>0.1</v>
      </c>
      <c r="Q27" s="147">
        <f>IF($Q$17&lt;L27,$Q$17*J27,0)</f>
        <v>0</v>
      </c>
      <c r="R27" s="148" t="s">
        <v>70</v>
      </c>
      <c r="S27" s="285" t="s">
        <v>71</v>
      </c>
      <c r="T27" s="286"/>
      <c r="AL27" s="32">
        <v>17500</v>
      </c>
    </row>
    <row r="28" spans="1:38" x14ac:dyDescent="0.55000000000000004">
      <c r="A28" s="133">
        <v>4</v>
      </c>
      <c r="B28" s="134">
        <f t="shared" si="0"/>
        <v>2028</v>
      </c>
      <c r="C28" s="134">
        <f t="shared" si="0"/>
        <v>48</v>
      </c>
      <c r="D28" s="134">
        <f t="shared" si="5"/>
        <v>43</v>
      </c>
      <c r="E28" s="135">
        <f t="shared" si="1"/>
        <v>571269.65</v>
      </c>
      <c r="F28" s="135">
        <f t="shared" si="2"/>
        <v>51414.268499999998</v>
      </c>
      <c r="G28" s="136">
        <f t="shared" si="3"/>
        <v>38245.445</v>
      </c>
      <c r="H28" s="137">
        <f t="shared" si="4"/>
        <v>660929.36349999998</v>
      </c>
      <c r="J28" s="149">
        <v>0.12</v>
      </c>
      <c r="K28" s="150">
        <v>23851</v>
      </c>
      <c r="L28" s="151">
        <v>96950</v>
      </c>
      <c r="M28" s="152">
        <v>2385</v>
      </c>
      <c r="N28" s="153">
        <v>0.1</v>
      </c>
      <c r="O28" s="152">
        <v>10657</v>
      </c>
      <c r="P28" s="153">
        <v>0.1099</v>
      </c>
      <c r="Q28" s="154">
        <f t="shared" ref="Q28:Q33" si="6">IF(K28&gt;$Q$17,0,IF($Q$17&lt;L28,($Q$17-L27)*J28+O27,0))</f>
        <v>0</v>
      </c>
      <c r="R28" s="155" t="s">
        <v>70</v>
      </c>
      <c r="S28" s="287"/>
      <c r="T28" s="288"/>
      <c r="AL28" s="32">
        <v>18000</v>
      </c>
    </row>
    <row r="29" spans="1:38" x14ac:dyDescent="0.55000000000000004">
      <c r="A29" s="133">
        <v>5</v>
      </c>
      <c r="B29" s="134">
        <f t="shared" si="0"/>
        <v>2029</v>
      </c>
      <c r="C29" s="134">
        <f t="shared" si="0"/>
        <v>49</v>
      </c>
      <c r="D29" s="134">
        <f t="shared" si="5"/>
        <v>44</v>
      </c>
      <c r="E29" s="135">
        <f t="shared" si="1"/>
        <v>660929.36349999998</v>
      </c>
      <c r="F29" s="135">
        <f t="shared" si="2"/>
        <v>59483.642714999994</v>
      </c>
      <c r="G29" s="136">
        <f t="shared" si="3"/>
        <v>39392.808349999999</v>
      </c>
      <c r="H29" s="137">
        <f t="shared" si="4"/>
        <v>759805.81456499989</v>
      </c>
      <c r="J29" s="149">
        <v>0.22</v>
      </c>
      <c r="K29" s="150">
        <v>96951</v>
      </c>
      <c r="L29" s="151">
        <v>206700</v>
      </c>
      <c r="M29" s="152">
        <v>10657</v>
      </c>
      <c r="N29" s="153">
        <v>0.11</v>
      </c>
      <c r="O29" s="152">
        <v>35802</v>
      </c>
      <c r="P29" s="153">
        <v>0.1731</v>
      </c>
      <c r="Q29" s="154">
        <f t="shared" si="6"/>
        <v>18368</v>
      </c>
      <c r="R29" s="155" t="s">
        <v>70</v>
      </c>
      <c r="S29" s="287"/>
      <c r="T29" s="288"/>
      <c r="AL29" s="32">
        <v>18500</v>
      </c>
    </row>
    <row r="30" spans="1:38" x14ac:dyDescent="0.55000000000000004">
      <c r="A30" s="133">
        <v>6</v>
      </c>
      <c r="B30" s="134">
        <f t="shared" si="0"/>
        <v>2030</v>
      </c>
      <c r="C30" s="134">
        <f t="shared" si="0"/>
        <v>50</v>
      </c>
      <c r="D30" s="134">
        <f t="shared" si="5"/>
        <v>45</v>
      </c>
      <c r="E30" s="135">
        <f t="shared" si="1"/>
        <v>759805.81456499989</v>
      </c>
      <c r="F30" s="135">
        <f t="shared" si="2"/>
        <v>68382.523310849981</v>
      </c>
      <c r="G30" s="136">
        <f t="shared" si="3"/>
        <v>40574.5926005</v>
      </c>
      <c r="H30" s="137">
        <f t="shared" si="4"/>
        <v>868762.93047634989</v>
      </c>
      <c r="J30" s="149">
        <v>0.24</v>
      </c>
      <c r="K30" s="150">
        <v>206701</v>
      </c>
      <c r="L30" s="151">
        <v>394600</v>
      </c>
      <c r="M30" s="152">
        <v>35802</v>
      </c>
      <c r="N30" s="153">
        <v>0.1731</v>
      </c>
      <c r="O30" s="152">
        <v>86043</v>
      </c>
      <c r="P30" s="153">
        <v>0.218</v>
      </c>
      <c r="Q30" s="154">
        <f t="shared" si="6"/>
        <v>0</v>
      </c>
      <c r="R30" s="155" t="s">
        <v>70</v>
      </c>
      <c r="S30" s="287"/>
      <c r="T30" s="288"/>
      <c r="AL30" s="32">
        <v>19000</v>
      </c>
    </row>
    <row r="31" spans="1:38" x14ac:dyDescent="0.55000000000000004">
      <c r="A31" s="133">
        <v>7</v>
      </c>
      <c r="B31" s="134">
        <f t="shared" si="0"/>
        <v>2031</v>
      </c>
      <c r="C31" s="134">
        <f t="shared" si="0"/>
        <v>51</v>
      </c>
      <c r="D31" s="134">
        <f t="shared" si="5"/>
        <v>46</v>
      </c>
      <c r="E31" s="135">
        <f t="shared" si="1"/>
        <v>868762.93047634989</v>
      </c>
      <c r="F31" s="135">
        <f t="shared" si="2"/>
        <v>78188.663742871489</v>
      </c>
      <c r="G31" s="136">
        <f t="shared" si="3"/>
        <v>41791.830378514998</v>
      </c>
      <c r="H31" s="137">
        <f t="shared" si="4"/>
        <v>988743.42459773633</v>
      </c>
      <c r="J31" s="149">
        <v>0.32</v>
      </c>
      <c r="K31" s="150">
        <v>394601</v>
      </c>
      <c r="L31" s="151">
        <v>501050</v>
      </c>
      <c r="M31" s="152">
        <v>86043</v>
      </c>
      <c r="N31" s="153">
        <v>0.218</v>
      </c>
      <c r="O31" s="152">
        <v>126972</v>
      </c>
      <c r="P31" s="153">
        <v>0.2535</v>
      </c>
      <c r="Q31" s="154">
        <f t="shared" si="6"/>
        <v>0</v>
      </c>
      <c r="R31" s="155" t="s">
        <v>70</v>
      </c>
      <c r="S31" s="287"/>
      <c r="T31" s="288"/>
      <c r="AL31" s="32">
        <v>19500</v>
      </c>
    </row>
    <row r="32" spans="1:38" x14ac:dyDescent="0.55000000000000004">
      <c r="A32" s="133">
        <v>8</v>
      </c>
      <c r="B32" s="134">
        <f t="shared" si="0"/>
        <v>2032</v>
      </c>
      <c r="C32" s="134">
        <f t="shared" si="0"/>
        <v>52</v>
      </c>
      <c r="D32" s="134">
        <f t="shared" si="5"/>
        <v>47</v>
      </c>
      <c r="E32" s="135">
        <f t="shared" si="1"/>
        <v>988743.42459773633</v>
      </c>
      <c r="F32" s="135">
        <f t="shared" si="2"/>
        <v>88986.908213796269</v>
      </c>
      <c r="G32" s="136">
        <f t="shared" si="3"/>
        <v>43045.585289870447</v>
      </c>
      <c r="H32" s="137">
        <f t="shared" si="4"/>
        <v>1120775.9181014032</v>
      </c>
      <c r="J32" s="149">
        <v>0.35</v>
      </c>
      <c r="K32" s="150">
        <v>501051</v>
      </c>
      <c r="L32" s="151">
        <v>751600</v>
      </c>
      <c r="M32" s="152">
        <v>126972</v>
      </c>
      <c r="N32" s="153">
        <v>0.2535</v>
      </c>
      <c r="O32" s="152">
        <v>213737.5</v>
      </c>
      <c r="P32" s="153">
        <v>0.28420000000000001</v>
      </c>
      <c r="Q32" s="154">
        <f t="shared" si="6"/>
        <v>0</v>
      </c>
      <c r="R32" s="155" t="s">
        <v>70</v>
      </c>
      <c r="S32" s="287"/>
      <c r="T32" s="288"/>
      <c r="AL32" s="32">
        <v>20000</v>
      </c>
    </row>
    <row r="33" spans="1:38" x14ac:dyDescent="0.55000000000000004">
      <c r="A33" s="133">
        <v>9</v>
      </c>
      <c r="B33" s="134">
        <f t="shared" si="0"/>
        <v>2033</v>
      </c>
      <c r="C33" s="134">
        <f t="shared" si="0"/>
        <v>53</v>
      </c>
      <c r="D33" s="134">
        <f t="shared" si="5"/>
        <v>48</v>
      </c>
      <c r="E33" s="135">
        <f t="shared" si="1"/>
        <v>1120775.9181014032</v>
      </c>
      <c r="F33" s="135">
        <f t="shared" si="2"/>
        <v>100869.83262912628</v>
      </c>
      <c r="G33" s="136">
        <f t="shared" si="3"/>
        <v>44336.952848566565</v>
      </c>
      <c r="H33" s="137">
        <f t="shared" si="4"/>
        <v>1265982.7035790959</v>
      </c>
      <c r="J33" s="156">
        <v>0.37</v>
      </c>
      <c r="K33" s="157" t="s">
        <v>72</v>
      </c>
      <c r="L33" s="158"/>
      <c r="M33" s="159">
        <v>213737.5</v>
      </c>
      <c r="N33" s="160">
        <v>0.28420000000000001</v>
      </c>
      <c r="O33" s="159" t="s">
        <v>73</v>
      </c>
      <c r="P33" s="161" t="s">
        <v>73</v>
      </c>
      <c r="Q33" s="154">
        <f t="shared" si="6"/>
        <v>0</v>
      </c>
      <c r="R33" s="162" t="s">
        <v>70</v>
      </c>
      <c r="S33" s="289"/>
      <c r="T33" s="290"/>
      <c r="AL33" s="32">
        <v>20500</v>
      </c>
    </row>
    <row r="34" spans="1:38" x14ac:dyDescent="0.55000000000000004">
      <c r="A34" s="133">
        <v>10</v>
      </c>
      <c r="B34" s="134">
        <f t="shared" si="0"/>
        <v>2034</v>
      </c>
      <c r="C34" s="134">
        <f t="shared" si="0"/>
        <v>54</v>
      </c>
      <c r="D34" s="134">
        <f t="shared" si="5"/>
        <v>49</v>
      </c>
      <c r="E34" s="135">
        <f t="shared" si="1"/>
        <v>1265982.7035790959</v>
      </c>
      <c r="F34" s="135">
        <f t="shared" si="2"/>
        <v>113938.44332211862</v>
      </c>
      <c r="G34" s="136">
        <f t="shared" si="3"/>
        <v>45667.061434023562</v>
      </c>
      <c r="H34" s="137">
        <f t="shared" si="4"/>
        <v>1425588.208335238</v>
      </c>
      <c r="Q34" s="163">
        <f>SUM($Q$27:$Q$33)/($E$7*12)</f>
        <v>0.13915151515151516</v>
      </c>
      <c r="R34" s="291" t="s">
        <v>74</v>
      </c>
      <c r="S34" s="292"/>
      <c r="T34" s="292"/>
      <c r="AL34" s="32">
        <v>21000</v>
      </c>
    </row>
    <row r="35" spans="1:38" x14ac:dyDescent="0.55000000000000004">
      <c r="A35" s="133">
        <v>11</v>
      </c>
      <c r="B35" s="134">
        <f t="shared" si="0"/>
        <v>2035</v>
      </c>
      <c r="C35" s="134">
        <f t="shared" si="0"/>
        <v>55</v>
      </c>
      <c r="D35" s="134">
        <f t="shared" si="5"/>
        <v>50</v>
      </c>
      <c r="E35" s="135">
        <f t="shared" si="1"/>
        <v>1425588.208335238</v>
      </c>
      <c r="F35" s="135">
        <f t="shared" si="2"/>
        <v>128302.93875017142</v>
      </c>
      <c r="G35" s="136">
        <f t="shared" si="3"/>
        <v>47037.07327704427</v>
      </c>
      <c r="H35" s="137">
        <f t="shared" si="4"/>
        <v>1600928.2203624537</v>
      </c>
      <c r="Q35" t="s">
        <v>75</v>
      </c>
      <c r="AL35" s="32">
        <v>21500</v>
      </c>
    </row>
    <row r="36" spans="1:38" ht="15.6" x14ac:dyDescent="0.6">
      <c r="A36" s="133">
        <v>12</v>
      </c>
      <c r="B36" s="134">
        <f t="shared" si="0"/>
        <v>2036</v>
      </c>
      <c r="C36" s="134">
        <f t="shared" si="0"/>
        <v>56</v>
      </c>
      <c r="D36" s="134">
        <f t="shared" si="5"/>
        <v>51</v>
      </c>
      <c r="E36" s="135">
        <f t="shared" si="1"/>
        <v>1600928.2203624537</v>
      </c>
      <c r="F36" s="135">
        <f t="shared" si="2"/>
        <v>144083.53983262082</v>
      </c>
      <c r="G36" s="136">
        <f t="shared" si="3"/>
        <v>48448.185475355596</v>
      </c>
      <c r="H36" s="137">
        <f t="shared" si="4"/>
        <v>1793459.9456704301</v>
      </c>
      <c r="J36" s="132" t="s">
        <v>76</v>
      </c>
      <c r="O36" s="132" t="s">
        <v>81</v>
      </c>
      <c r="AL36" s="32">
        <v>22000</v>
      </c>
    </row>
    <row r="37" spans="1:38" ht="14.4" customHeight="1" x14ac:dyDescent="0.55000000000000004">
      <c r="A37" s="133">
        <v>13</v>
      </c>
      <c r="B37" s="134">
        <f t="shared" si="0"/>
        <v>2037</v>
      </c>
      <c r="C37" s="134">
        <f t="shared" si="0"/>
        <v>57</v>
      </c>
      <c r="D37" s="134">
        <f t="shared" si="5"/>
        <v>52</v>
      </c>
      <c r="E37" s="135">
        <f t="shared" si="1"/>
        <v>1793459.9456704301</v>
      </c>
      <c r="F37" s="135">
        <f t="shared" si="2"/>
        <v>161411.39511033869</v>
      </c>
      <c r="G37" s="136">
        <f t="shared" si="3"/>
        <v>49901.631039616266</v>
      </c>
      <c r="H37" s="137">
        <f t="shared" si="4"/>
        <v>2004772.971820385</v>
      </c>
      <c r="J37" s="164" t="s">
        <v>77</v>
      </c>
      <c r="K37" s="164" t="s">
        <v>78</v>
      </c>
      <c r="L37" s="165" t="s">
        <v>79</v>
      </c>
      <c r="M37" s="165" t="s">
        <v>80</v>
      </c>
      <c r="O37" s="169" t="s">
        <v>65</v>
      </c>
      <c r="P37" s="170" t="s">
        <v>83</v>
      </c>
      <c r="Q37" s="171" t="s">
        <v>84</v>
      </c>
      <c r="AL37" s="32">
        <v>22500</v>
      </c>
    </row>
    <row r="38" spans="1:38" x14ac:dyDescent="0.55000000000000004">
      <c r="A38" s="133">
        <v>14</v>
      </c>
      <c r="B38" s="134">
        <f t="shared" si="0"/>
        <v>2038</v>
      </c>
      <c r="C38" s="134">
        <f t="shared" si="0"/>
        <v>58</v>
      </c>
      <c r="D38" s="134">
        <f t="shared" si="5"/>
        <v>53</v>
      </c>
      <c r="E38" s="135">
        <f t="shared" si="1"/>
        <v>2004772.971820385</v>
      </c>
      <c r="F38" s="135">
        <f t="shared" si="2"/>
        <v>180429.56746383465</v>
      </c>
      <c r="G38" s="136">
        <f t="shared" si="3"/>
        <v>51398.679970804755</v>
      </c>
      <c r="H38" s="137">
        <f t="shared" si="4"/>
        <v>2236601.2192550246</v>
      </c>
      <c r="J38" s="166" t="s">
        <v>82</v>
      </c>
      <c r="K38" s="167">
        <v>0.13</v>
      </c>
      <c r="L38" s="168">
        <v>0.08</v>
      </c>
      <c r="M38" s="168">
        <v>7.0000000000000007E-2</v>
      </c>
      <c r="O38" s="175">
        <v>0</v>
      </c>
      <c r="P38" s="176">
        <v>0</v>
      </c>
      <c r="Q38" s="177">
        <v>89250</v>
      </c>
      <c r="AL38" s="32">
        <v>23000</v>
      </c>
    </row>
    <row r="39" spans="1:38" x14ac:dyDescent="0.55000000000000004">
      <c r="A39" s="133">
        <v>15</v>
      </c>
      <c r="B39" s="134">
        <f t="shared" si="0"/>
        <v>2039</v>
      </c>
      <c r="C39" s="134">
        <f t="shared" si="0"/>
        <v>59</v>
      </c>
      <c r="D39" s="134">
        <f t="shared" si="5"/>
        <v>54</v>
      </c>
      <c r="E39" s="135">
        <f t="shared" si="1"/>
        <v>2236601.2192550246</v>
      </c>
      <c r="F39" s="135">
        <f t="shared" si="2"/>
        <v>201294.1097329522</v>
      </c>
      <c r="G39" s="136">
        <f t="shared" si="3"/>
        <v>52940.6403699289</v>
      </c>
      <c r="H39" s="137">
        <f t="shared" si="4"/>
        <v>2490835.9693579059</v>
      </c>
      <c r="J39" s="172" t="s">
        <v>85</v>
      </c>
      <c r="K39" s="173">
        <v>0.13</v>
      </c>
      <c r="L39" s="174">
        <v>0.1</v>
      </c>
      <c r="M39" s="174">
        <v>0.08</v>
      </c>
      <c r="O39" s="178">
        <v>0.15</v>
      </c>
      <c r="P39" s="179">
        <v>89251</v>
      </c>
      <c r="Q39" s="180">
        <v>553849</v>
      </c>
      <c r="AL39" s="32">
        <v>23500</v>
      </c>
    </row>
    <row r="40" spans="1:38" x14ac:dyDescent="0.55000000000000004">
      <c r="A40" s="133">
        <v>16</v>
      </c>
      <c r="B40" s="134">
        <f t="shared" si="0"/>
        <v>2040</v>
      </c>
      <c r="C40" s="134">
        <f t="shared" si="0"/>
        <v>60</v>
      </c>
      <c r="D40" s="134">
        <f t="shared" si="5"/>
        <v>55</v>
      </c>
      <c r="E40" s="135">
        <f t="shared" si="1"/>
        <v>2490835.9693579059</v>
      </c>
      <c r="F40" s="135">
        <f t="shared" si="2"/>
        <v>224175.23724221153</v>
      </c>
      <c r="G40" s="136">
        <f t="shared" si="3"/>
        <v>54528.859581026765</v>
      </c>
      <c r="H40" s="137">
        <f t="shared" si="4"/>
        <v>2769540.0661811442</v>
      </c>
      <c r="J40" s="172" t="s">
        <v>86</v>
      </c>
      <c r="K40" s="173">
        <v>0.15</v>
      </c>
      <c r="L40" s="174">
        <v>0.12</v>
      </c>
      <c r="M40" s="174">
        <v>0.11</v>
      </c>
      <c r="O40" s="181">
        <v>0.2</v>
      </c>
      <c r="P40" s="182">
        <v>553850</v>
      </c>
      <c r="Q40" s="183"/>
      <c r="AL40" s="32">
        <v>24000</v>
      </c>
    </row>
    <row r="41" spans="1:38" x14ac:dyDescent="0.55000000000000004">
      <c r="A41" s="133">
        <v>17</v>
      </c>
      <c r="B41" s="134">
        <f t="shared" si="0"/>
        <v>2041</v>
      </c>
      <c r="C41" s="134">
        <f t="shared" si="0"/>
        <v>61</v>
      </c>
      <c r="D41" s="134">
        <f t="shared" si="5"/>
        <v>56</v>
      </c>
      <c r="E41" s="135">
        <f t="shared" si="1"/>
        <v>2769540.0661811442</v>
      </c>
      <c r="F41" s="135">
        <f t="shared" si="2"/>
        <v>249258.60595630296</v>
      </c>
      <c r="G41" s="136">
        <f t="shared" si="3"/>
        <v>56164.72536845757</v>
      </c>
      <c r="H41" s="137">
        <f t="shared" si="4"/>
        <v>3074963.3975059045</v>
      </c>
      <c r="J41" s="172" t="s">
        <v>87</v>
      </c>
      <c r="K41" s="173">
        <v>0.13</v>
      </c>
      <c r="L41" s="174">
        <v>0.09</v>
      </c>
      <c r="M41" s="174">
        <v>0.09</v>
      </c>
      <c r="O41" s="184">
        <f>IF($Q$17&lt;$Q$38,$O$38,IF($Q$17&lt;=$O$43,$O$39,IF($Q$17&lt;$P$40,$O$39+$O$42,IF($Q$17&gt;=$P$40,$O$42+$O$40))))</f>
        <v>0.15</v>
      </c>
      <c r="P41" s="139" t="s">
        <v>89</v>
      </c>
      <c r="Q41" s="185"/>
      <c r="AL41" s="32">
        <v>24500</v>
      </c>
    </row>
    <row r="42" spans="1:38" x14ac:dyDescent="0.55000000000000004">
      <c r="A42" s="133">
        <v>18</v>
      </c>
      <c r="B42" s="134">
        <f t="shared" ref="B42:C57" si="7">B41+1</f>
        <v>2042</v>
      </c>
      <c r="C42" s="134">
        <f t="shared" si="7"/>
        <v>62</v>
      </c>
      <c r="D42" s="134">
        <f t="shared" si="5"/>
        <v>57</v>
      </c>
      <c r="E42" s="135">
        <f t="shared" si="1"/>
        <v>3074963.3975059045</v>
      </c>
      <c r="F42" s="135">
        <f t="shared" si="2"/>
        <v>276746.70577553142</v>
      </c>
      <c r="G42" s="136">
        <f t="shared" si="3"/>
        <v>57849.667129511297</v>
      </c>
      <c r="H42" s="137">
        <f t="shared" si="4"/>
        <v>3409559.7704109475</v>
      </c>
      <c r="J42" s="172" t="s">
        <v>88</v>
      </c>
      <c r="K42" s="173">
        <v>0.1</v>
      </c>
      <c r="L42" s="174">
        <v>0.08</v>
      </c>
      <c r="M42" s="174">
        <v>0.08</v>
      </c>
      <c r="O42" s="186">
        <v>3.7999999999999999E-2</v>
      </c>
      <c r="P42" s="187" t="s">
        <v>91</v>
      </c>
      <c r="AL42" s="32">
        <v>25000</v>
      </c>
    </row>
    <row r="43" spans="1:38" x14ac:dyDescent="0.55000000000000004">
      <c r="A43" s="133">
        <v>19</v>
      </c>
      <c r="B43" s="134">
        <f t="shared" si="7"/>
        <v>2043</v>
      </c>
      <c r="C43" s="134">
        <f t="shared" si="7"/>
        <v>63</v>
      </c>
      <c r="D43" s="134">
        <f t="shared" si="5"/>
        <v>58</v>
      </c>
      <c r="E43" s="135">
        <f t="shared" si="1"/>
        <v>3409559.7704109475</v>
      </c>
      <c r="F43" s="135">
        <f t="shared" si="2"/>
        <v>306860.37933698524</v>
      </c>
      <c r="G43" s="136">
        <f t="shared" si="3"/>
        <v>59585.157143396638</v>
      </c>
      <c r="H43" s="137">
        <f t="shared" si="4"/>
        <v>3776005.3068913296</v>
      </c>
      <c r="J43" s="172" t="s">
        <v>90</v>
      </c>
      <c r="K43" s="173">
        <v>0.09</v>
      </c>
      <c r="L43" s="174">
        <v>7.0000000000000007E-2</v>
      </c>
      <c r="M43" s="174">
        <v>7.0000000000000007E-2</v>
      </c>
      <c r="O43" s="191">
        <v>250000</v>
      </c>
      <c r="P43" s="187" t="s">
        <v>93</v>
      </c>
      <c r="AL43" s="32">
        <v>25500</v>
      </c>
    </row>
    <row r="44" spans="1:38" x14ac:dyDescent="0.55000000000000004">
      <c r="A44" s="133">
        <v>20</v>
      </c>
      <c r="B44" s="134">
        <f t="shared" si="7"/>
        <v>2044</v>
      </c>
      <c r="C44" s="134">
        <f t="shared" si="7"/>
        <v>64</v>
      </c>
      <c r="D44" s="134">
        <f t="shared" si="5"/>
        <v>59</v>
      </c>
      <c r="E44" s="135">
        <f t="shared" si="1"/>
        <v>3776005.3068913296</v>
      </c>
      <c r="F44" s="135">
        <f t="shared" si="2"/>
        <v>339840.47762021964</v>
      </c>
      <c r="G44" s="136">
        <f t="shared" si="3"/>
        <v>61372.711857698538</v>
      </c>
      <c r="H44" s="137">
        <f t="shared" si="4"/>
        <v>4177218.4963692478</v>
      </c>
      <c r="J44" s="188" t="s">
        <v>92</v>
      </c>
      <c r="K44" s="189">
        <v>0.11</v>
      </c>
      <c r="L44" s="190">
        <v>0.1</v>
      </c>
      <c r="M44" s="190">
        <v>0.09</v>
      </c>
      <c r="AL44" s="32">
        <v>26000</v>
      </c>
    </row>
    <row r="45" spans="1:38" x14ac:dyDescent="0.55000000000000004">
      <c r="A45" s="133">
        <v>21</v>
      </c>
      <c r="B45" s="134">
        <f t="shared" si="7"/>
        <v>2045</v>
      </c>
      <c r="C45" s="134">
        <f t="shared" si="7"/>
        <v>65</v>
      </c>
      <c r="D45" s="134">
        <f t="shared" si="5"/>
        <v>60</v>
      </c>
      <c r="E45" s="135">
        <f t="shared" si="1"/>
        <v>4177218.4963692478</v>
      </c>
      <c r="F45" s="135">
        <f t="shared" si="2"/>
        <v>375949.6646732323</v>
      </c>
      <c r="G45" s="136">
        <f t="shared" si="3"/>
        <v>63213.893213429496</v>
      </c>
      <c r="H45" s="137">
        <f t="shared" si="4"/>
        <v>4616382.0542559102</v>
      </c>
      <c r="I45" s="55"/>
      <c r="J45" s="192" t="s">
        <v>94</v>
      </c>
      <c r="AL45" s="32">
        <v>26500</v>
      </c>
    </row>
    <row r="46" spans="1:38" x14ac:dyDescent="0.55000000000000004">
      <c r="A46" s="133">
        <v>22</v>
      </c>
      <c r="B46" s="134">
        <f t="shared" si="7"/>
        <v>2046</v>
      </c>
      <c r="C46" s="134">
        <f t="shared" si="7"/>
        <v>66</v>
      </c>
      <c r="D46" s="134">
        <f t="shared" si="5"/>
        <v>61</v>
      </c>
      <c r="E46" s="135">
        <f t="shared" si="1"/>
        <v>0</v>
      </c>
      <c r="F46" s="135">
        <f t="shared" si="2"/>
        <v>0</v>
      </c>
      <c r="G46" s="136">
        <f t="shared" si="3"/>
        <v>0</v>
      </c>
      <c r="H46" s="137">
        <f t="shared" si="4"/>
        <v>0</v>
      </c>
      <c r="AL46" s="32">
        <v>27000</v>
      </c>
    </row>
    <row r="47" spans="1:38" x14ac:dyDescent="0.55000000000000004">
      <c r="A47" s="133">
        <v>23</v>
      </c>
      <c r="B47" s="134">
        <f t="shared" si="7"/>
        <v>2047</v>
      </c>
      <c r="C47" s="134">
        <f t="shared" si="7"/>
        <v>67</v>
      </c>
      <c r="D47" s="134">
        <f t="shared" si="5"/>
        <v>62</v>
      </c>
      <c r="E47" s="135">
        <f t="shared" si="1"/>
        <v>0</v>
      </c>
      <c r="F47" s="135">
        <f t="shared" si="2"/>
        <v>0</v>
      </c>
      <c r="G47" s="136">
        <f t="shared" si="3"/>
        <v>0</v>
      </c>
      <c r="H47" s="137">
        <f t="shared" si="4"/>
        <v>0</v>
      </c>
      <c r="AL47" s="32">
        <v>27500</v>
      </c>
    </row>
    <row r="48" spans="1:38" x14ac:dyDescent="0.55000000000000004">
      <c r="A48" s="133">
        <v>24</v>
      </c>
      <c r="B48" s="134">
        <f t="shared" si="7"/>
        <v>2048</v>
      </c>
      <c r="C48" s="134">
        <f t="shared" si="7"/>
        <v>68</v>
      </c>
      <c r="D48" s="134">
        <f t="shared" si="5"/>
        <v>63</v>
      </c>
      <c r="E48" s="135">
        <f t="shared" si="1"/>
        <v>0</v>
      </c>
      <c r="F48" s="135">
        <f t="shared" si="2"/>
        <v>0</v>
      </c>
      <c r="G48" s="136">
        <f t="shared" si="3"/>
        <v>0</v>
      </c>
      <c r="H48" s="137">
        <f t="shared" si="4"/>
        <v>0</v>
      </c>
      <c r="AL48" s="32">
        <v>28000</v>
      </c>
    </row>
    <row r="49" spans="1:38" x14ac:dyDescent="0.55000000000000004">
      <c r="A49" s="133">
        <v>25</v>
      </c>
      <c r="B49" s="134">
        <f t="shared" si="7"/>
        <v>2049</v>
      </c>
      <c r="C49" s="134">
        <f t="shared" si="7"/>
        <v>69</v>
      </c>
      <c r="D49" s="134">
        <f t="shared" si="5"/>
        <v>64</v>
      </c>
      <c r="E49" s="135">
        <f t="shared" si="1"/>
        <v>0</v>
      </c>
      <c r="F49" s="135">
        <f t="shared" si="2"/>
        <v>0</v>
      </c>
      <c r="G49" s="136">
        <f t="shared" si="3"/>
        <v>0</v>
      </c>
      <c r="H49" s="137">
        <f t="shared" si="4"/>
        <v>0</v>
      </c>
      <c r="AL49" s="32">
        <v>28500</v>
      </c>
    </row>
    <row r="50" spans="1:38" x14ac:dyDescent="0.55000000000000004">
      <c r="A50" s="133">
        <v>26</v>
      </c>
      <c r="B50" s="134">
        <f t="shared" si="7"/>
        <v>2050</v>
      </c>
      <c r="C50" s="134">
        <f t="shared" si="7"/>
        <v>70</v>
      </c>
      <c r="D50" s="134">
        <f t="shared" si="5"/>
        <v>65</v>
      </c>
      <c r="E50" s="135">
        <f t="shared" si="1"/>
        <v>0</v>
      </c>
      <c r="F50" s="135">
        <f t="shared" si="2"/>
        <v>0</v>
      </c>
      <c r="G50" s="136">
        <f t="shared" si="3"/>
        <v>0</v>
      </c>
      <c r="H50" s="137">
        <f t="shared" si="4"/>
        <v>0</v>
      </c>
      <c r="AL50" s="32">
        <v>29000</v>
      </c>
    </row>
    <row r="51" spans="1:38" x14ac:dyDescent="0.55000000000000004">
      <c r="A51" s="133">
        <v>27</v>
      </c>
      <c r="B51" s="134">
        <f t="shared" si="7"/>
        <v>2051</v>
      </c>
      <c r="C51" s="134">
        <f t="shared" si="7"/>
        <v>71</v>
      </c>
      <c r="D51" s="134">
        <f t="shared" si="5"/>
        <v>66</v>
      </c>
      <c r="E51" s="135">
        <f t="shared" si="1"/>
        <v>0</v>
      </c>
      <c r="F51" s="135">
        <f t="shared" si="2"/>
        <v>0</v>
      </c>
      <c r="G51" s="136">
        <f t="shared" si="3"/>
        <v>0</v>
      </c>
      <c r="H51" s="137">
        <f t="shared" si="4"/>
        <v>0</v>
      </c>
      <c r="AL51" s="32">
        <v>29500</v>
      </c>
    </row>
    <row r="52" spans="1:38" x14ac:dyDescent="0.55000000000000004">
      <c r="A52" s="133">
        <v>28</v>
      </c>
      <c r="B52" s="134">
        <f t="shared" si="7"/>
        <v>2052</v>
      </c>
      <c r="C52" s="134">
        <f t="shared" si="7"/>
        <v>72</v>
      </c>
      <c r="D52" s="134">
        <f t="shared" si="5"/>
        <v>67</v>
      </c>
      <c r="E52" s="135">
        <f t="shared" si="1"/>
        <v>0</v>
      </c>
      <c r="F52" s="135">
        <f t="shared" si="2"/>
        <v>0</v>
      </c>
      <c r="G52" s="136">
        <f t="shared" si="3"/>
        <v>0</v>
      </c>
      <c r="H52" s="137">
        <f t="shared" si="4"/>
        <v>0</v>
      </c>
      <c r="AL52" s="32">
        <v>30000</v>
      </c>
    </row>
    <row r="53" spans="1:38" x14ac:dyDescent="0.55000000000000004">
      <c r="A53" s="133">
        <v>29</v>
      </c>
      <c r="B53" s="134">
        <f t="shared" si="7"/>
        <v>2053</v>
      </c>
      <c r="C53" s="134">
        <f t="shared" si="7"/>
        <v>73</v>
      </c>
      <c r="D53" s="134">
        <f t="shared" si="5"/>
        <v>68</v>
      </c>
      <c r="E53" s="135">
        <f t="shared" si="1"/>
        <v>0</v>
      </c>
      <c r="F53" s="135">
        <f t="shared" si="2"/>
        <v>0</v>
      </c>
      <c r="G53" s="136">
        <f t="shared" si="3"/>
        <v>0</v>
      </c>
      <c r="H53" s="137">
        <f t="shared" si="4"/>
        <v>0</v>
      </c>
      <c r="AL53" s="32">
        <v>30500</v>
      </c>
    </row>
    <row r="54" spans="1:38" x14ac:dyDescent="0.55000000000000004">
      <c r="A54" s="133">
        <v>30</v>
      </c>
      <c r="B54" s="134">
        <f t="shared" si="7"/>
        <v>2054</v>
      </c>
      <c r="C54" s="134">
        <f t="shared" si="7"/>
        <v>74</v>
      </c>
      <c r="D54" s="134">
        <f t="shared" si="5"/>
        <v>69</v>
      </c>
      <c r="E54" s="135">
        <f t="shared" si="1"/>
        <v>0</v>
      </c>
      <c r="F54" s="135">
        <f t="shared" si="2"/>
        <v>0</v>
      </c>
      <c r="G54" s="136">
        <f t="shared" si="3"/>
        <v>0</v>
      </c>
      <c r="H54" s="137">
        <f t="shared" si="4"/>
        <v>0</v>
      </c>
      <c r="AL54" s="32">
        <v>31000</v>
      </c>
    </row>
    <row r="55" spans="1:38" x14ac:dyDescent="0.55000000000000004">
      <c r="A55" s="133">
        <v>31</v>
      </c>
      <c r="B55" s="134">
        <f t="shared" si="7"/>
        <v>2055</v>
      </c>
      <c r="C55" s="134">
        <f t="shared" si="7"/>
        <v>75</v>
      </c>
      <c r="D55" s="134">
        <f t="shared" si="5"/>
        <v>70</v>
      </c>
      <c r="E55" s="135">
        <f t="shared" si="1"/>
        <v>0</v>
      </c>
      <c r="F55" s="135">
        <f t="shared" si="2"/>
        <v>0</v>
      </c>
      <c r="G55" s="136">
        <f t="shared" si="3"/>
        <v>0</v>
      </c>
      <c r="H55" s="137">
        <f t="shared" si="4"/>
        <v>0</v>
      </c>
      <c r="AL55" s="32">
        <v>31500</v>
      </c>
    </row>
    <row r="56" spans="1:38" x14ac:dyDescent="0.55000000000000004">
      <c r="A56" s="133">
        <v>32</v>
      </c>
      <c r="B56" s="134">
        <f t="shared" si="7"/>
        <v>2056</v>
      </c>
      <c r="C56" s="134">
        <f t="shared" si="7"/>
        <v>76</v>
      </c>
      <c r="D56" s="134">
        <f t="shared" si="5"/>
        <v>71</v>
      </c>
      <c r="E56" s="135">
        <f t="shared" si="1"/>
        <v>0</v>
      </c>
      <c r="F56" s="135">
        <f t="shared" si="2"/>
        <v>0</v>
      </c>
      <c r="G56" s="136">
        <f t="shared" si="3"/>
        <v>0</v>
      </c>
      <c r="H56" s="137">
        <f t="shared" si="4"/>
        <v>0</v>
      </c>
      <c r="AL56" s="32">
        <v>32000</v>
      </c>
    </row>
    <row r="57" spans="1:38" x14ac:dyDescent="0.55000000000000004">
      <c r="A57" s="133">
        <v>33</v>
      </c>
      <c r="B57" s="134">
        <f t="shared" si="7"/>
        <v>2057</v>
      </c>
      <c r="C57" s="134">
        <f t="shared" si="7"/>
        <v>77</v>
      </c>
      <c r="D57" s="134">
        <f t="shared" si="5"/>
        <v>72</v>
      </c>
      <c r="E57" s="135">
        <f t="shared" si="1"/>
        <v>0</v>
      </c>
      <c r="F57" s="135">
        <f t="shared" si="2"/>
        <v>0</v>
      </c>
      <c r="G57" s="136">
        <f t="shared" si="3"/>
        <v>0</v>
      </c>
      <c r="H57" s="137">
        <f t="shared" si="4"/>
        <v>0</v>
      </c>
      <c r="AL57" s="32">
        <v>32500</v>
      </c>
    </row>
    <row r="58" spans="1:38" x14ac:dyDescent="0.55000000000000004">
      <c r="A58" s="133">
        <v>34</v>
      </c>
      <c r="B58" s="134">
        <f t="shared" ref="B58:C73" si="8">B57+1</f>
        <v>2058</v>
      </c>
      <c r="C58" s="134">
        <f t="shared" si="8"/>
        <v>78</v>
      </c>
      <c r="D58" s="134">
        <f t="shared" si="5"/>
        <v>73</v>
      </c>
      <c r="E58" s="135">
        <f t="shared" ref="E58:E77" si="9">IF(C58&gt;$G$5,0,H57)</f>
        <v>0</v>
      </c>
      <c r="F58" s="135">
        <f t="shared" ref="F58:F77" si="10">IF(C58&gt;$G$5,0,E58*$E$11)</f>
        <v>0</v>
      </c>
      <c r="G58" s="136">
        <f t="shared" ref="G58:G77" si="11">IF(C58&gt;$G$5,0,IF($F$21="Yes",$G$25,G57*(1+$E$12)))</f>
        <v>0</v>
      </c>
      <c r="H58" s="137">
        <f t="shared" ref="H58:H77" si="12">IF(C58&gt;$G$5,0,E58+G58+F58)</f>
        <v>0</v>
      </c>
      <c r="AL58" s="32">
        <v>33000</v>
      </c>
    </row>
    <row r="59" spans="1:38" x14ac:dyDescent="0.55000000000000004">
      <c r="A59" s="133">
        <v>35</v>
      </c>
      <c r="B59" s="134">
        <f t="shared" si="8"/>
        <v>2059</v>
      </c>
      <c r="C59" s="134">
        <f t="shared" si="8"/>
        <v>79</v>
      </c>
      <c r="D59" s="134">
        <f t="shared" si="5"/>
        <v>74</v>
      </c>
      <c r="E59" s="135">
        <f t="shared" si="9"/>
        <v>0</v>
      </c>
      <c r="F59" s="135">
        <f t="shared" si="10"/>
        <v>0</v>
      </c>
      <c r="G59" s="136">
        <f t="shared" si="11"/>
        <v>0</v>
      </c>
      <c r="H59" s="137">
        <f t="shared" si="12"/>
        <v>0</v>
      </c>
      <c r="AL59" s="32">
        <v>33500</v>
      </c>
    </row>
    <row r="60" spans="1:38" x14ac:dyDescent="0.55000000000000004">
      <c r="A60" s="133">
        <v>36</v>
      </c>
      <c r="B60" s="134">
        <f t="shared" si="8"/>
        <v>2060</v>
      </c>
      <c r="C60" s="134">
        <f t="shared" si="8"/>
        <v>80</v>
      </c>
      <c r="D60" s="134">
        <f t="shared" si="5"/>
        <v>75</v>
      </c>
      <c r="E60" s="135">
        <f t="shared" si="9"/>
        <v>0</v>
      </c>
      <c r="F60" s="135">
        <f t="shared" si="10"/>
        <v>0</v>
      </c>
      <c r="G60" s="136">
        <f t="shared" si="11"/>
        <v>0</v>
      </c>
      <c r="H60" s="137">
        <f t="shared" si="12"/>
        <v>0</v>
      </c>
      <c r="AL60" s="32">
        <v>34000</v>
      </c>
    </row>
    <row r="61" spans="1:38" x14ac:dyDescent="0.55000000000000004">
      <c r="A61" s="133">
        <v>37</v>
      </c>
      <c r="B61" s="134">
        <f t="shared" si="8"/>
        <v>2061</v>
      </c>
      <c r="C61" s="134">
        <f t="shared" si="8"/>
        <v>81</v>
      </c>
      <c r="D61" s="134">
        <f t="shared" si="5"/>
        <v>76</v>
      </c>
      <c r="E61" s="135">
        <f t="shared" si="9"/>
        <v>0</v>
      </c>
      <c r="F61" s="135">
        <f t="shared" si="10"/>
        <v>0</v>
      </c>
      <c r="G61" s="136">
        <f t="shared" si="11"/>
        <v>0</v>
      </c>
      <c r="H61" s="137">
        <f t="shared" si="12"/>
        <v>0</v>
      </c>
      <c r="AL61" s="32">
        <v>34500</v>
      </c>
    </row>
    <row r="62" spans="1:38" x14ac:dyDescent="0.55000000000000004">
      <c r="A62" s="133">
        <v>38</v>
      </c>
      <c r="B62" s="134">
        <f t="shared" si="8"/>
        <v>2062</v>
      </c>
      <c r="C62" s="134">
        <f t="shared" si="8"/>
        <v>82</v>
      </c>
      <c r="D62" s="134">
        <f t="shared" si="5"/>
        <v>77</v>
      </c>
      <c r="E62" s="135">
        <f t="shared" si="9"/>
        <v>0</v>
      </c>
      <c r="F62" s="135">
        <f t="shared" si="10"/>
        <v>0</v>
      </c>
      <c r="G62" s="136">
        <f t="shared" si="11"/>
        <v>0</v>
      </c>
      <c r="H62" s="137">
        <f t="shared" si="12"/>
        <v>0</v>
      </c>
      <c r="AL62" s="32">
        <v>35000</v>
      </c>
    </row>
    <row r="63" spans="1:38" x14ac:dyDescent="0.55000000000000004">
      <c r="A63" s="133">
        <v>39</v>
      </c>
      <c r="B63" s="134">
        <f t="shared" si="8"/>
        <v>2063</v>
      </c>
      <c r="C63" s="134">
        <f t="shared" si="8"/>
        <v>83</v>
      </c>
      <c r="D63" s="134">
        <f t="shared" si="5"/>
        <v>78</v>
      </c>
      <c r="E63" s="135">
        <f t="shared" si="9"/>
        <v>0</v>
      </c>
      <c r="F63" s="135">
        <f t="shared" si="10"/>
        <v>0</v>
      </c>
      <c r="G63" s="136">
        <f t="shared" si="11"/>
        <v>0</v>
      </c>
      <c r="H63" s="137">
        <f t="shared" si="12"/>
        <v>0</v>
      </c>
      <c r="AL63" s="32">
        <v>35500</v>
      </c>
    </row>
    <row r="64" spans="1:38" x14ac:dyDescent="0.55000000000000004">
      <c r="A64" s="133">
        <v>40</v>
      </c>
      <c r="B64" s="134">
        <f t="shared" si="8"/>
        <v>2064</v>
      </c>
      <c r="C64" s="134">
        <f t="shared" si="8"/>
        <v>84</v>
      </c>
      <c r="D64" s="134">
        <f t="shared" si="5"/>
        <v>79</v>
      </c>
      <c r="E64" s="135">
        <f t="shared" si="9"/>
        <v>0</v>
      </c>
      <c r="F64" s="135">
        <f t="shared" si="10"/>
        <v>0</v>
      </c>
      <c r="G64" s="136">
        <f t="shared" si="11"/>
        <v>0</v>
      </c>
      <c r="H64" s="137">
        <f t="shared" si="12"/>
        <v>0</v>
      </c>
      <c r="AL64" s="32">
        <v>36000</v>
      </c>
    </row>
    <row r="65" spans="1:38" x14ac:dyDescent="0.55000000000000004">
      <c r="A65" s="133">
        <v>41</v>
      </c>
      <c r="B65" s="134">
        <f t="shared" si="8"/>
        <v>2065</v>
      </c>
      <c r="C65" s="134">
        <f t="shared" si="8"/>
        <v>85</v>
      </c>
      <c r="D65" s="134">
        <f t="shared" si="5"/>
        <v>80</v>
      </c>
      <c r="E65" s="135">
        <f t="shared" si="9"/>
        <v>0</v>
      </c>
      <c r="F65" s="135">
        <f t="shared" si="10"/>
        <v>0</v>
      </c>
      <c r="G65" s="136">
        <f t="shared" si="11"/>
        <v>0</v>
      </c>
      <c r="H65" s="137">
        <f t="shared" si="12"/>
        <v>0</v>
      </c>
      <c r="AL65" s="32">
        <v>36500</v>
      </c>
    </row>
    <row r="66" spans="1:38" x14ac:dyDescent="0.55000000000000004">
      <c r="A66" s="133">
        <v>42</v>
      </c>
      <c r="B66" s="134">
        <f t="shared" si="8"/>
        <v>2066</v>
      </c>
      <c r="C66" s="134">
        <f t="shared" si="8"/>
        <v>86</v>
      </c>
      <c r="D66" s="134">
        <f t="shared" si="5"/>
        <v>81</v>
      </c>
      <c r="E66" s="135">
        <f t="shared" si="9"/>
        <v>0</v>
      </c>
      <c r="F66" s="135">
        <f t="shared" si="10"/>
        <v>0</v>
      </c>
      <c r="G66" s="136">
        <f t="shared" si="11"/>
        <v>0</v>
      </c>
      <c r="H66" s="137">
        <f t="shared" si="12"/>
        <v>0</v>
      </c>
      <c r="AI66" s="193"/>
      <c r="AL66" s="32">
        <v>37000</v>
      </c>
    </row>
    <row r="67" spans="1:38" x14ac:dyDescent="0.55000000000000004">
      <c r="A67" s="133">
        <v>43</v>
      </c>
      <c r="B67" s="134">
        <f t="shared" si="8"/>
        <v>2067</v>
      </c>
      <c r="C67" s="134">
        <f t="shared" si="8"/>
        <v>87</v>
      </c>
      <c r="D67" s="134">
        <f t="shared" si="5"/>
        <v>82</v>
      </c>
      <c r="E67" s="135">
        <f t="shared" si="9"/>
        <v>0</v>
      </c>
      <c r="F67" s="135">
        <f t="shared" si="10"/>
        <v>0</v>
      </c>
      <c r="G67" s="136">
        <f t="shared" si="11"/>
        <v>0</v>
      </c>
      <c r="H67" s="137">
        <f t="shared" si="12"/>
        <v>0</v>
      </c>
      <c r="AI67" s="194"/>
      <c r="AL67" s="32">
        <v>37500</v>
      </c>
    </row>
    <row r="68" spans="1:38" x14ac:dyDescent="0.55000000000000004">
      <c r="A68" s="133">
        <v>44</v>
      </c>
      <c r="B68" s="134">
        <f t="shared" si="8"/>
        <v>2068</v>
      </c>
      <c r="C68" s="134">
        <f t="shared" si="8"/>
        <v>88</v>
      </c>
      <c r="D68" s="134">
        <f t="shared" si="5"/>
        <v>83</v>
      </c>
      <c r="E68" s="135">
        <f t="shared" si="9"/>
        <v>0</v>
      </c>
      <c r="F68" s="135">
        <f t="shared" si="10"/>
        <v>0</v>
      </c>
      <c r="G68" s="136">
        <f t="shared" si="11"/>
        <v>0</v>
      </c>
      <c r="H68" s="137">
        <f t="shared" si="12"/>
        <v>0</v>
      </c>
      <c r="AL68" s="32">
        <v>38000</v>
      </c>
    </row>
    <row r="69" spans="1:38" x14ac:dyDescent="0.55000000000000004">
      <c r="A69" s="133">
        <v>45</v>
      </c>
      <c r="B69" s="134">
        <f t="shared" si="8"/>
        <v>2069</v>
      </c>
      <c r="C69" s="134">
        <f t="shared" si="8"/>
        <v>89</v>
      </c>
      <c r="D69" s="134">
        <f t="shared" si="5"/>
        <v>84</v>
      </c>
      <c r="E69" s="135">
        <f t="shared" si="9"/>
        <v>0</v>
      </c>
      <c r="F69" s="135">
        <f t="shared" si="10"/>
        <v>0</v>
      </c>
      <c r="G69" s="136">
        <f t="shared" si="11"/>
        <v>0</v>
      </c>
      <c r="H69" s="137">
        <f t="shared" si="12"/>
        <v>0</v>
      </c>
      <c r="AL69" s="32">
        <v>38500</v>
      </c>
    </row>
    <row r="70" spans="1:38" x14ac:dyDescent="0.55000000000000004">
      <c r="A70" s="133">
        <v>46</v>
      </c>
      <c r="B70" s="134">
        <f t="shared" si="8"/>
        <v>2070</v>
      </c>
      <c r="C70" s="134">
        <f t="shared" si="8"/>
        <v>90</v>
      </c>
      <c r="D70" s="134">
        <f t="shared" si="5"/>
        <v>85</v>
      </c>
      <c r="E70" s="135">
        <f t="shared" si="9"/>
        <v>0</v>
      </c>
      <c r="F70" s="135">
        <f t="shared" si="10"/>
        <v>0</v>
      </c>
      <c r="G70" s="136">
        <f t="shared" si="11"/>
        <v>0</v>
      </c>
      <c r="H70" s="137">
        <f t="shared" si="12"/>
        <v>0</v>
      </c>
      <c r="AL70" s="32">
        <v>39000</v>
      </c>
    </row>
    <row r="71" spans="1:38" x14ac:dyDescent="0.55000000000000004">
      <c r="A71" s="133">
        <v>47</v>
      </c>
      <c r="B71" s="134">
        <f t="shared" si="8"/>
        <v>2071</v>
      </c>
      <c r="C71" s="134">
        <f t="shared" si="8"/>
        <v>91</v>
      </c>
      <c r="D71" s="134">
        <f t="shared" si="5"/>
        <v>86</v>
      </c>
      <c r="E71" s="135">
        <f t="shared" si="9"/>
        <v>0</v>
      </c>
      <c r="F71" s="135">
        <f t="shared" si="10"/>
        <v>0</v>
      </c>
      <c r="G71" s="136">
        <f t="shared" si="11"/>
        <v>0</v>
      </c>
      <c r="H71" s="137">
        <f t="shared" si="12"/>
        <v>0</v>
      </c>
      <c r="AL71" s="32">
        <v>39500</v>
      </c>
    </row>
    <row r="72" spans="1:38" x14ac:dyDescent="0.55000000000000004">
      <c r="A72" s="133">
        <v>48</v>
      </c>
      <c r="B72" s="134">
        <f t="shared" si="8"/>
        <v>2072</v>
      </c>
      <c r="C72" s="134">
        <f t="shared" si="8"/>
        <v>92</v>
      </c>
      <c r="D72" s="134">
        <f t="shared" si="5"/>
        <v>87</v>
      </c>
      <c r="E72" s="135">
        <f t="shared" si="9"/>
        <v>0</v>
      </c>
      <c r="F72" s="135">
        <f t="shared" si="10"/>
        <v>0</v>
      </c>
      <c r="G72" s="136">
        <f t="shared" si="11"/>
        <v>0</v>
      </c>
      <c r="H72" s="137">
        <f t="shared" si="12"/>
        <v>0</v>
      </c>
      <c r="AL72" s="32">
        <v>40000</v>
      </c>
    </row>
    <row r="73" spans="1:38" x14ac:dyDescent="0.55000000000000004">
      <c r="A73" s="133">
        <v>49</v>
      </c>
      <c r="B73" s="134">
        <f t="shared" si="8"/>
        <v>2073</v>
      </c>
      <c r="C73" s="134">
        <f t="shared" si="8"/>
        <v>93</v>
      </c>
      <c r="D73" s="134">
        <f t="shared" si="5"/>
        <v>88</v>
      </c>
      <c r="E73" s="135">
        <f t="shared" si="9"/>
        <v>0</v>
      </c>
      <c r="F73" s="135">
        <f t="shared" si="10"/>
        <v>0</v>
      </c>
      <c r="G73" s="136">
        <f t="shared" si="11"/>
        <v>0</v>
      </c>
      <c r="H73" s="137">
        <f t="shared" si="12"/>
        <v>0</v>
      </c>
      <c r="AI73" s="194"/>
      <c r="AL73" s="32">
        <v>40500</v>
      </c>
    </row>
    <row r="74" spans="1:38" x14ac:dyDescent="0.55000000000000004">
      <c r="A74" s="133">
        <v>50</v>
      </c>
      <c r="B74" s="134">
        <f t="shared" ref="B74:C77" si="13">B73+1</f>
        <v>2074</v>
      </c>
      <c r="C74" s="134">
        <f t="shared" si="13"/>
        <v>94</v>
      </c>
      <c r="D74" s="134">
        <f t="shared" si="5"/>
        <v>89</v>
      </c>
      <c r="E74" s="135">
        <f t="shared" si="9"/>
        <v>0</v>
      </c>
      <c r="F74" s="135">
        <f t="shared" si="10"/>
        <v>0</v>
      </c>
      <c r="G74" s="136">
        <f t="shared" si="11"/>
        <v>0</v>
      </c>
      <c r="H74" s="137">
        <f t="shared" si="12"/>
        <v>0</v>
      </c>
      <c r="AL74" s="32">
        <v>41000</v>
      </c>
    </row>
    <row r="75" spans="1:38" x14ac:dyDescent="0.55000000000000004">
      <c r="A75" s="133">
        <v>51</v>
      </c>
      <c r="B75" s="134">
        <f t="shared" si="13"/>
        <v>2075</v>
      </c>
      <c r="C75" s="134">
        <f t="shared" si="13"/>
        <v>95</v>
      </c>
      <c r="D75" s="134">
        <f t="shared" si="5"/>
        <v>90</v>
      </c>
      <c r="E75" s="135">
        <f t="shared" si="9"/>
        <v>0</v>
      </c>
      <c r="F75" s="135">
        <f t="shared" si="10"/>
        <v>0</v>
      </c>
      <c r="G75" s="136">
        <f t="shared" si="11"/>
        <v>0</v>
      </c>
      <c r="H75" s="137">
        <f t="shared" si="12"/>
        <v>0</v>
      </c>
      <c r="AL75" s="32">
        <v>41500</v>
      </c>
    </row>
    <row r="76" spans="1:38" x14ac:dyDescent="0.55000000000000004">
      <c r="A76" s="133">
        <v>52</v>
      </c>
      <c r="B76" s="134">
        <f t="shared" si="13"/>
        <v>2076</v>
      </c>
      <c r="C76" s="134">
        <f t="shared" si="13"/>
        <v>96</v>
      </c>
      <c r="D76" s="134">
        <f t="shared" si="5"/>
        <v>91</v>
      </c>
      <c r="E76" s="135">
        <f t="shared" si="9"/>
        <v>0</v>
      </c>
      <c r="F76" s="135">
        <f t="shared" si="10"/>
        <v>0</v>
      </c>
      <c r="G76" s="136">
        <f t="shared" si="11"/>
        <v>0</v>
      </c>
      <c r="H76" s="137">
        <f t="shared" si="12"/>
        <v>0</v>
      </c>
      <c r="AL76" s="32">
        <v>42000</v>
      </c>
    </row>
    <row r="77" spans="1:38" x14ac:dyDescent="0.55000000000000004">
      <c r="A77" s="195">
        <v>53</v>
      </c>
      <c r="B77" s="196">
        <f t="shared" si="13"/>
        <v>2077</v>
      </c>
      <c r="C77" s="196">
        <f t="shared" si="13"/>
        <v>97</v>
      </c>
      <c r="D77" s="196">
        <f t="shared" si="5"/>
        <v>92</v>
      </c>
      <c r="E77" s="197">
        <f t="shared" si="9"/>
        <v>0</v>
      </c>
      <c r="F77" s="197">
        <f t="shared" si="10"/>
        <v>0</v>
      </c>
      <c r="G77" s="198">
        <f t="shared" si="11"/>
        <v>0</v>
      </c>
      <c r="H77" s="199">
        <f t="shared" si="12"/>
        <v>0</v>
      </c>
      <c r="AL77" s="32">
        <v>42500</v>
      </c>
    </row>
    <row r="78" spans="1:38" x14ac:dyDescent="0.55000000000000004">
      <c r="AL78" s="32">
        <v>43000</v>
      </c>
    </row>
    <row r="79" spans="1:38" ht="15.6" x14ac:dyDescent="0.55000000000000004">
      <c r="E79" s="283" t="s">
        <v>95</v>
      </c>
      <c r="F79" s="293"/>
      <c r="G79" s="293"/>
      <c r="H79" s="293"/>
      <c r="I79" s="293"/>
      <c r="J79" s="293"/>
      <c r="K79" s="284"/>
      <c r="L79" s="283" t="s">
        <v>96</v>
      </c>
      <c r="M79" s="293"/>
      <c r="N79" s="293"/>
      <c r="O79" s="293"/>
      <c r="P79" s="200" t="s">
        <v>97</v>
      </c>
      <c r="Q79" s="2"/>
      <c r="R79" s="2"/>
      <c r="S79" s="2"/>
      <c r="T79" s="2"/>
      <c r="U79" s="2"/>
      <c r="V79" s="2"/>
      <c r="W79" s="2"/>
      <c r="X79" s="2"/>
      <c r="Y79" s="2"/>
      <c r="AL79" s="32">
        <v>43500</v>
      </c>
    </row>
    <row r="80" spans="1:38" x14ac:dyDescent="0.55000000000000004">
      <c r="A80" s="201"/>
      <c r="B80" s="201"/>
      <c r="C80" s="201"/>
      <c r="D80" s="202"/>
      <c r="E80" s="277" t="s">
        <v>98</v>
      </c>
      <c r="F80" s="278"/>
      <c r="G80" s="278"/>
      <c r="H80" s="278"/>
      <c r="I80" s="278"/>
      <c r="J80" s="278"/>
      <c r="K80" s="279"/>
      <c r="L80" s="203" t="s">
        <v>144</v>
      </c>
      <c r="M80" s="204" t="s">
        <v>99</v>
      </c>
      <c r="N80" s="204" t="s">
        <v>145</v>
      </c>
      <c r="O80" s="204" t="s">
        <v>100</v>
      </c>
      <c r="P80" s="272" t="s">
        <v>101</v>
      </c>
      <c r="Q80" s="294"/>
      <c r="R80" s="294"/>
      <c r="S80" s="294"/>
      <c r="T80" s="273"/>
      <c r="U80" s="205" t="s">
        <v>102</v>
      </c>
      <c r="V80" s="272" t="s">
        <v>128</v>
      </c>
      <c r="W80" s="273"/>
      <c r="X80" s="206" t="s">
        <v>103</v>
      </c>
      <c r="Y80" s="207" t="s">
        <v>104</v>
      </c>
      <c r="Z80" s="274" t="s">
        <v>105</v>
      </c>
      <c r="AA80" s="275"/>
      <c r="AB80" s="276"/>
      <c r="AC80" s="277" t="s">
        <v>106</v>
      </c>
      <c r="AD80" s="278"/>
      <c r="AE80" s="279"/>
      <c r="AF80" s="5"/>
      <c r="AL80" s="32">
        <v>44000</v>
      </c>
    </row>
    <row r="81" spans="1:38" ht="43.2" x14ac:dyDescent="0.55000000000000004">
      <c r="A81" s="208" t="s">
        <v>11</v>
      </c>
      <c r="B81" s="209" t="s">
        <v>11</v>
      </c>
      <c r="C81" s="209" t="str">
        <f>_xlfn.CONCAT("Age ",$E$4)</f>
        <v>Age Name</v>
      </c>
      <c r="D81" s="209" t="str">
        <f>_xlfn.CONCAT("Age ",$F$4)</f>
        <v>Age N/A</v>
      </c>
      <c r="E81" s="208" t="s">
        <v>55</v>
      </c>
      <c r="F81" s="209" t="s">
        <v>107</v>
      </c>
      <c r="G81" s="209" t="str">
        <f>_xlfn.CONCAT("Fractional Work Selection = ",H20)</f>
        <v>Fractional Work Selection = No</v>
      </c>
      <c r="H81" s="209" t="s">
        <v>118</v>
      </c>
      <c r="I81" s="209" t="s">
        <v>108</v>
      </c>
      <c r="J81" s="209" t="s">
        <v>56</v>
      </c>
      <c r="K81" s="210" t="s">
        <v>58</v>
      </c>
      <c r="L81" s="211" t="s">
        <v>109</v>
      </c>
      <c r="M81" s="212" t="s">
        <v>110</v>
      </c>
      <c r="N81" s="212" t="s">
        <v>111</v>
      </c>
      <c r="O81" s="212" t="s">
        <v>112</v>
      </c>
      <c r="P81" s="211" t="str">
        <f>_xlfn.CONCAT("Monthly",CHAR(10),"SS ",E4)</f>
        <v>Monthly
SS Name</v>
      </c>
      <c r="Q81" s="212" t="str">
        <f>_xlfn.CONCAT("Monthly",CHAR(10),"SS ",F4)</f>
        <v>Monthly
SS N/A</v>
      </c>
      <c r="R81" s="212" t="s">
        <v>113</v>
      </c>
      <c r="S81" s="212" t="s">
        <v>114</v>
      </c>
      <c r="T81" s="210" t="s">
        <v>115</v>
      </c>
      <c r="U81" s="213" t="s">
        <v>116</v>
      </c>
      <c r="V81" s="212" t="s">
        <v>117</v>
      </c>
      <c r="W81" s="212" t="s">
        <v>118</v>
      </c>
      <c r="X81" s="213" t="s">
        <v>119</v>
      </c>
      <c r="Y81" s="211" t="s">
        <v>104</v>
      </c>
      <c r="Z81" s="211" t="s">
        <v>120</v>
      </c>
      <c r="AA81" s="212" t="s">
        <v>121</v>
      </c>
      <c r="AB81" s="214" t="s">
        <v>122</v>
      </c>
      <c r="AC81" s="212" t="s">
        <v>123</v>
      </c>
      <c r="AD81" s="212" t="s">
        <v>124</v>
      </c>
      <c r="AE81" s="214" t="s">
        <v>125</v>
      </c>
      <c r="AL81" s="32">
        <v>44500</v>
      </c>
    </row>
    <row r="82" spans="1:38" x14ac:dyDescent="0.55000000000000004">
      <c r="A82" s="215">
        <v>1</v>
      </c>
      <c r="B82" s="216">
        <f>G6</f>
        <v>2045</v>
      </c>
      <c r="C82" s="217">
        <f>G5</f>
        <v>65</v>
      </c>
      <c r="D82" s="217">
        <f>H5</f>
        <v>60</v>
      </c>
      <c r="E82" s="218">
        <f>G9</f>
        <v>4396800.2753125792</v>
      </c>
      <c r="F82" s="219">
        <f t="shared" ref="F82:F113" si="14">IF(AND(B82&gt;$I$6,B82&gt;$J$6),0,IF(AND(B82&gt;$I$6,B82&lt;$J$6),L82*12*$J$7,L82*12))</f>
        <v>238406.68297636253</v>
      </c>
      <c r="G82" s="219">
        <f t="shared" ref="G82:G113" si="15">IF(AND($H$21+$G$5 &gt; C82, $H$20 = "Yes"), $H$22, 0)</f>
        <v>0</v>
      </c>
      <c r="H82" s="219">
        <f t="shared" ref="H82:H134" si="16">W82*12</f>
        <v>45883.938416985431</v>
      </c>
      <c r="I82" s="219">
        <f>F82-H82-G82</f>
        <v>192522.74455937708</v>
      </c>
      <c r="J82" s="219">
        <f t="shared" ref="J82:J113" si="17">IF(AND(B82&gt;$I$6,B82&gt;$J$6),E82*$I$11,E82*$G$11)</f>
        <v>307776.01927188056</v>
      </c>
      <c r="K82" s="220">
        <f t="shared" ref="K82:K134" si="18">IF(OR(E82&lt;=0,E82-I82+J82&lt;=0),0,E82-I82+J82)</f>
        <v>4512053.5500250822</v>
      </c>
      <c r="L82" s="221">
        <f>IF(AND(B82&gt;$I$6,B82&gt;$J$6),0,$H$7)</f>
        <v>19867.223581363545</v>
      </c>
      <c r="M82" s="222">
        <f t="shared" ref="M82:M113" si="19">SUM(AD82,AA82,S82)</f>
        <v>1605.429467273281</v>
      </c>
      <c r="N82" s="222">
        <f t="shared" ref="N82:N134" si="20">L82-M82</f>
        <v>18261.794114090266</v>
      </c>
      <c r="O82" s="223">
        <f t="shared" ref="O82:O113" si="21">IF(AND(B82&gt;$I$6,B82&gt;$J$6),0,1-(N82/L82))</f>
        <v>8.0807942825954493E-2</v>
      </c>
      <c r="P82" s="224">
        <f t="shared" ref="P82:P113" si="22">IF(C82&gt;INT($I$5),0,IF(C82&lt;INT($G$14),0,IF(C82=INT($G$14),$G$15,IF(C82&gt;INT($G$14),$G$15*(1+$E$17)^(C82-INT($G$14))))))</f>
        <v>4177.218802548753</v>
      </c>
      <c r="Q82" s="225">
        <f t="shared" ref="Q82:Q113" si="23">IF(D82&gt;INT($J$5),0,IF(D82&lt;INT($H$14),0,IF(D82=INT($H$14),$H$15,IF(D82&gt;INT($H$14),$H$15*(1+$E$17)^(D82-INT($H$14))))))</f>
        <v>0</v>
      </c>
      <c r="R82" s="225">
        <f>SUM(P82:Q82)</f>
        <v>4177.218802548753</v>
      </c>
      <c r="S82" s="225">
        <f t="shared" ref="S82:S113" si="24">(P82+Q82)*$L$8*$L$9</f>
        <v>353.55726779996735</v>
      </c>
      <c r="T82" s="226">
        <f>R82-S82</f>
        <v>3823.6615347487859</v>
      </c>
      <c r="U82" s="227">
        <f>IF(C82&gt;INT($I$5),0,G18)</f>
        <v>0</v>
      </c>
      <c r="V82" s="222">
        <f>SUM(R82,U82)</f>
        <v>4177.218802548753</v>
      </c>
      <c r="W82" s="222">
        <f t="shared" ref="W82:W134" si="25">T82+U82</f>
        <v>3823.6615347487859</v>
      </c>
      <c r="X82" s="227">
        <f t="shared" ref="X82:X134" si="26">L82-V82</f>
        <v>15690.004778814793</v>
      </c>
      <c r="Y82" s="227">
        <f t="shared" ref="Y82:Y113" si="27">IF($C82&gt;59,X82*$L$4,0)</f>
        <v>4236.3012902799946</v>
      </c>
      <c r="Z82" s="228">
        <f t="shared" ref="Z82:Z113" si="28">IF($C82&gt;59,X82*$L$5,0)</f>
        <v>7845.0023894073965</v>
      </c>
      <c r="AA82" s="229">
        <f t="shared" ref="AA82:AA113" si="29">$Z82*($L$9)</f>
        <v>781.17205610886992</v>
      </c>
      <c r="AB82" s="230">
        <f t="shared" ref="AB82:AB113" si="30">$Z82*(1-$L$9)</f>
        <v>7063.830333298527</v>
      </c>
      <c r="AC82" s="231">
        <f t="shared" ref="AC82:AC113" si="31">IF($C82&gt;59,X82*$L$6,$X82)</f>
        <v>3138.0009557629587</v>
      </c>
      <c r="AD82" s="229">
        <f t="shared" ref="AD82:AD113" si="32">AC82*$O$41</f>
        <v>470.70014336444376</v>
      </c>
      <c r="AE82" s="226">
        <f>AC82-AD82</f>
        <v>2667.3008123985151</v>
      </c>
      <c r="AL82" s="32">
        <v>45000</v>
      </c>
    </row>
    <row r="83" spans="1:38" x14ac:dyDescent="0.55000000000000004">
      <c r="A83" s="232">
        <v>2</v>
      </c>
      <c r="B83" s="233">
        <f t="shared" ref="B83:C98" si="33">B82+1</f>
        <v>2046</v>
      </c>
      <c r="C83" s="233">
        <f t="shared" si="33"/>
        <v>66</v>
      </c>
      <c r="D83" s="233">
        <f>IF($F$5=0,0,D82+1)</f>
        <v>61</v>
      </c>
      <c r="E83" s="234">
        <f t="shared" ref="E83:E134" si="34">K82</f>
        <v>4512053.5500250822</v>
      </c>
      <c r="F83" s="235">
        <f t="shared" si="14"/>
        <v>245558.88346565343</v>
      </c>
      <c r="G83" s="235">
        <f t="shared" si="15"/>
        <v>0</v>
      </c>
      <c r="H83" s="235">
        <f t="shared" si="16"/>
        <v>47076.920815827049</v>
      </c>
      <c r="I83" s="235">
        <f t="shared" ref="I83:I134" si="35">F83-H83-G83</f>
        <v>198481.96264982637</v>
      </c>
      <c r="J83" s="235">
        <f t="shared" si="17"/>
        <v>315843.74850175576</v>
      </c>
      <c r="K83" s="236">
        <f t="shared" si="18"/>
        <v>4629415.3358770125</v>
      </c>
      <c r="L83" s="224">
        <f t="shared" ref="L83:L114" si="36">IF(AND(B83&gt;$I$6,B83&gt;$J$6),0,L82*(1+$G$12))</f>
        <v>20463.240288804453</v>
      </c>
      <c r="M83" s="229">
        <f t="shared" si="19"/>
        <v>1653.5112879302326</v>
      </c>
      <c r="N83" s="229">
        <f t="shared" si="20"/>
        <v>18809.72900087422</v>
      </c>
      <c r="O83" s="237">
        <f t="shared" si="21"/>
        <v>8.0803981412214454E-2</v>
      </c>
      <c r="P83" s="224">
        <f t="shared" si="22"/>
        <v>4285.8264914150204</v>
      </c>
      <c r="Q83" s="225">
        <f t="shared" si="23"/>
        <v>0</v>
      </c>
      <c r="R83" s="225">
        <f t="shared" ref="R83:R134" si="37">SUM(P83:Q83)</f>
        <v>4285.8264914150204</v>
      </c>
      <c r="S83" s="225">
        <f t="shared" si="24"/>
        <v>362.74975676276648</v>
      </c>
      <c r="T83" s="230">
        <f t="shared" ref="T83:T134" si="38">R83-S83</f>
        <v>3923.0767346522539</v>
      </c>
      <c r="U83" s="238">
        <f t="shared" ref="U83:U114" si="39">IF(C83&gt;INT($I$5),0,U82*(1+$E$19))</f>
        <v>0</v>
      </c>
      <c r="V83" s="229">
        <f t="shared" ref="V83:V134" si="40">SUM(R83,U83)</f>
        <v>4285.8264914150204</v>
      </c>
      <c r="W83" s="229">
        <f t="shared" si="25"/>
        <v>3923.0767346522539</v>
      </c>
      <c r="X83" s="238">
        <f t="shared" si="26"/>
        <v>16177.413797389432</v>
      </c>
      <c r="Y83" s="238">
        <f t="shared" si="27"/>
        <v>4367.9017252951471</v>
      </c>
      <c r="Z83" s="228">
        <f t="shared" si="28"/>
        <v>8088.7068986947161</v>
      </c>
      <c r="AA83" s="229">
        <f t="shared" si="29"/>
        <v>805.439117245783</v>
      </c>
      <c r="AB83" s="230">
        <f t="shared" si="30"/>
        <v>7283.2677814489334</v>
      </c>
      <c r="AC83" s="228">
        <f t="shared" si="31"/>
        <v>3235.4827594778867</v>
      </c>
      <c r="AD83" s="229">
        <f t="shared" si="32"/>
        <v>485.32241392168299</v>
      </c>
      <c r="AE83" s="230">
        <f t="shared" ref="AE83:AE134" si="41">AC83-AD83</f>
        <v>2750.1603455562035</v>
      </c>
      <c r="AL83" s="32">
        <v>45500</v>
      </c>
    </row>
    <row r="84" spans="1:38" x14ac:dyDescent="0.55000000000000004">
      <c r="A84" s="232">
        <v>3</v>
      </c>
      <c r="B84" s="233">
        <f t="shared" si="33"/>
        <v>2047</v>
      </c>
      <c r="C84" s="233">
        <f t="shared" si="33"/>
        <v>67</v>
      </c>
      <c r="D84" s="233">
        <f t="shared" ref="D84:D134" si="42">IF($F$5=0,0,D83+1)</f>
        <v>62</v>
      </c>
      <c r="E84" s="234">
        <f t="shared" si="34"/>
        <v>4629415.3358770125</v>
      </c>
      <c r="F84" s="235">
        <f t="shared" si="14"/>
        <v>252925.64996962302</v>
      </c>
      <c r="G84" s="235">
        <f t="shared" si="15"/>
        <v>0</v>
      </c>
      <c r="H84" s="235">
        <f t="shared" si="16"/>
        <v>90805.731023232482</v>
      </c>
      <c r="I84" s="235">
        <f t="shared" si="35"/>
        <v>162119.91894639053</v>
      </c>
      <c r="J84" s="235">
        <f t="shared" si="17"/>
        <v>324059.07351139089</v>
      </c>
      <c r="K84" s="236">
        <f t="shared" si="18"/>
        <v>4791354.4904420124</v>
      </c>
      <c r="L84" s="224">
        <f t="shared" si="36"/>
        <v>21077.137497468586</v>
      </c>
      <c r="M84" s="229">
        <f t="shared" si="19"/>
        <v>1721.806815629599</v>
      </c>
      <c r="N84" s="229">
        <f t="shared" si="20"/>
        <v>19355.330681838986</v>
      </c>
      <c r="O84" s="237">
        <f t="shared" si="21"/>
        <v>8.1690733185964759E-2</v>
      </c>
      <c r="P84" s="224">
        <f t="shared" si="22"/>
        <v>4397.2579801918109</v>
      </c>
      <c r="Q84" s="225">
        <f t="shared" si="23"/>
        <v>3869.5870225687931</v>
      </c>
      <c r="R84" s="225">
        <f t="shared" si="37"/>
        <v>8266.845002760605</v>
      </c>
      <c r="S84" s="225">
        <f t="shared" si="24"/>
        <v>699.70075082456503</v>
      </c>
      <c r="T84" s="230">
        <f t="shared" si="38"/>
        <v>7567.1442519360398</v>
      </c>
      <c r="U84" s="238">
        <f t="shared" si="39"/>
        <v>0</v>
      </c>
      <c r="V84" s="229">
        <f t="shared" si="40"/>
        <v>8266.845002760605</v>
      </c>
      <c r="W84" s="229">
        <f t="shared" si="25"/>
        <v>7567.1442519360398</v>
      </c>
      <c r="X84" s="238">
        <f t="shared" si="26"/>
        <v>12810.292494707981</v>
      </c>
      <c r="Y84" s="238">
        <f t="shared" si="27"/>
        <v>3458.7789735711549</v>
      </c>
      <c r="Z84" s="228">
        <f t="shared" si="28"/>
        <v>6405.1462473539905</v>
      </c>
      <c r="AA84" s="229">
        <f t="shared" si="29"/>
        <v>637.79728996379436</v>
      </c>
      <c r="AB84" s="230">
        <f t="shared" si="30"/>
        <v>5767.3489573901961</v>
      </c>
      <c r="AC84" s="228">
        <f t="shared" si="31"/>
        <v>2562.0584989415966</v>
      </c>
      <c r="AD84" s="229">
        <f t="shared" si="32"/>
        <v>384.30877484123948</v>
      </c>
      <c r="AE84" s="230">
        <f t="shared" si="41"/>
        <v>2177.7497241003571</v>
      </c>
      <c r="AL84" s="32">
        <v>46000</v>
      </c>
    </row>
    <row r="85" spans="1:38" x14ac:dyDescent="0.55000000000000004">
      <c r="A85" s="232">
        <v>4</v>
      </c>
      <c r="B85" s="233">
        <f t="shared" si="33"/>
        <v>2048</v>
      </c>
      <c r="C85" s="233">
        <f t="shared" si="33"/>
        <v>68</v>
      </c>
      <c r="D85" s="233">
        <f t="shared" si="42"/>
        <v>63</v>
      </c>
      <c r="E85" s="234">
        <f t="shared" si="34"/>
        <v>4791354.4904420124</v>
      </c>
      <c r="F85" s="235">
        <f t="shared" si="14"/>
        <v>260513.41946871171</v>
      </c>
      <c r="G85" s="235">
        <f t="shared" si="15"/>
        <v>0</v>
      </c>
      <c r="H85" s="235">
        <f t="shared" si="16"/>
        <v>93166.680029836512</v>
      </c>
      <c r="I85" s="235">
        <f t="shared" si="35"/>
        <v>167346.7394388752</v>
      </c>
      <c r="J85" s="235">
        <f t="shared" si="17"/>
        <v>335394.81433094089</v>
      </c>
      <c r="K85" s="236">
        <f t="shared" si="18"/>
        <v>4959402.5653340779</v>
      </c>
      <c r="L85" s="224">
        <f t="shared" si="36"/>
        <v>21709.451622392644</v>
      </c>
      <c r="M85" s="229">
        <f t="shared" si="19"/>
        <v>1773.3005932033425</v>
      </c>
      <c r="N85" s="229">
        <f t="shared" si="20"/>
        <v>19936.151029189303</v>
      </c>
      <c r="O85" s="237">
        <f t="shared" si="21"/>
        <v>8.1683343460146829E-2</v>
      </c>
      <c r="P85" s="224">
        <f t="shared" si="22"/>
        <v>4511.5866876767977</v>
      </c>
      <c r="Q85" s="225">
        <f t="shared" si="23"/>
        <v>3970.1962851555818</v>
      </c>
      <c r="R85" s="225">
        <f t="shared" si="37"/>
        <v>8481.7829728323795</v>
      </c>
      <c r="S85" s="225">
        <f t="shared" si="24"/>
        <v>717.89297034600361</v>
      </c>
      <c r="T85" s="230">
        <f t="shared" si="38"/>
        <v>7763.890002486376</v>
      </c>
      <c r="U85" s="238">
        <f t="shared" si="39"/>
        <v>0</v>
      </c>
      <c r="V85" s="229">
        <f t="shared" si="40"/>
        <v>8481.7829728323795</v>
      </c>
      <c r="W85" s="229">
        <f t="shared" si="25"/>
        <v>7763.890002486376</v>
      </c>
      <c r="X85" s="238">
        <f t="shared" si="26"/>
        <v>13227.668649560264</v>
      </c>
      <c r="Y85" s="238">
        <f t="shared" si="27"/>
        <v>3571.4705353812715</v>
      </c>
      <c r="Z85" s="228">
        <f t="shared" si="28"/>
        <v>6613.8343247801322</v>
      </c>
      <c r="AA85" s="229">
        <f t="shared" si="29"/>
        <v>658.57756337053081</v>
      </c>
      <c r="AB85" s="230">
        <f t="shared" si="30"/>
        <v>5955.2567614096015</v>
      </c>
      <c r="AC85" s="228">
        <f t="shared" si="31"/>
        <v>2645.5337299120529</v>
      </c>
      <c r="AD85" s="229">
        <f t="shared" si="32"/>
        <v>396.8300594868079</v>
      </c>
      <c r="AE85" s="230">
        <f t="shared" si="41"/>
        <v>2248.703670425245</v>
      </c>
      <c r="AL85" s="32">
        <v>46500</v>
      </c>
    </row>
    <row r="86" spans="1:38" x14ac:dyDescent="0.55000000000000004">
      <c r="A86" s="232">
        <v>5</v>
      </c>
      <c r="B86" s="233">
        <f t="shared" si="33"/>
        <v>2049</v>
      </c>
      <c r="C86" s="233">
        <f t="shared" si="33"/>
        <v>69</v>
      </c>
      <c r="D86" s="233">
        <f t="shared" si="42"/>
        <v>64</v>
      </c>
      <c r="E86" s="234">
        <f t="shared" si="34"/>
        <v>4959402.5653340779</v>
      </c>
      <c r="F86" s="235">
        <f t="shared" si="14"/>
        <v>268328.82205277309</v>
      </c>
      <c r="G86" s="235">
        <f t="shared" si="15"/>
        <v>0</v>
      </c>
      <c r="H86" s="235">
        <f t="shared" si="16"/>
        <v>95589.013710612257</v>
      </c>
      <c r="I86" s="235">
        <f t="shared" si="35"/>
        <v>172739.80834216083</v>
      </c>
      <c r="J86" s="235">
        <f t="shared" si="17"/>
        <v>347158.17957338551</v>
      </c>
      <c r="K86" s="236">
        <f t="shared" si="18"/>
        <v>5133820.9365653023</v>
      </c>
      <c r="L86" s="224">
        <f t="shared" si="36"/>
        <v>22360.735171064425</v>
      </c>
      <c r="M86" s="229">
        <f t="shared" si="19"/>
        <v>1826.3350130050248</v>
      </c>
      <c r="N86" s="229">
        <f t="shared" si="20"/>
        <v>20534.400158059401</v>
      </c>
      <c r="O86" s="237">
        <f t="shared" si="21"/>
        <v>8.1675982432293459E-2</v>
      </c>
      <c r="P86" s="224">
        <f t="shared" si="22"/>
        <v>4628.8879415563943</v>
      </c>
      <c r="Q86" s="225">
        <f t="shared" si="23"/>
        <v>4073.4213885696267</v>
      </c>
      <c r="R86" s="225">
        <f t="shared" si="37"/>
        <v>8702.3093301260215</v>
      </c>
      <c r="S86" s="225">
        <f t="shared" si="24"/>
        <v>736.55818757499981</v>
      </c>
      <c r="T86" s="230">
        <f t="shared" si="38"/>
        <v>7965.751142551022</v>
      </c>
      <c r="U86" s="238">
        <f t="shared" si="39"/>
        <v>0</v>
      </c>
      <c r="V86" s="229">
        <f t="shared" si="40"/>
        <v>8702.3093301260215</v>
      </c>
      <c r="W86" s="229">
        <f t="shared" si="25"/>
        <v>7965.751142551022</v>
      </c>
      <c r="X86" s="238">
        <f t="shared" si="26"/>
        <v>13658.425840938404</v>
      </c>
      <c r="Y86" s="238">
        <f t="shared" si="27"/>
        <v>3687.7749770533692</v>
      </c>
      <c r="Z86" s="228">
        <f t="shared" si="28"/>
        <v>6829.2129204692019</v>
      </c>
      <c r="AA86" s="229">
        <f t="shared" si="29"/>
        <v>680.02405020187268</v>
      </c>
      <c r="AB86" s="230">
        <f t="shared" si="30"/>
        <v>6149.1888702673295</v>
      </c>
      <c r="AC86" s="228">
        <f t="shared" si="31"/>
        <v>2731.685168187681</v>
      </c>
      <c r="AD86" s="229">
        <f t="shared" si="32"/>
        <v>409.75277522815213</v>
      </c>
      <c r="AE86" s="230">
        <f t="shared" si="41"/>
        <v>2321.9323929595289</v>
      </c>
      <c r="AL86" s="32">
        <v>47000</v>
      </c>
    </row>
    <row r="87" spans="1:38" x14ac:dyDescent="0.55000000000000004">
      <c r="A87" s="232">
        <v>6</v>
      </c>
      <c r="B87" s="233">
        <f t="shared" si="33"/>
        <v>2050</v>
      </c>
      <c r="C87" s="233">
        <f t="shared" si="33"/>
        <v>70</v>
      </c>
      <c r="D87" s="233">
        <f t="shared" si="42"/>
        <v>65</v>
      </c>
      <c r="E87" s="234">
        <f t="shared" si="34"/>
        <v>5133820.9365653023</v>
      </c>
      <c r="F87" s="235">
        <f t="shared" si="14"/>
        <v>276378.6867143563</v>
      </c>
      <c r="G87" s="235">
        <f t="shared" si="15"/>
        <v>0</v>
      </c>
      <c r="H87" s="235">
        <f t="shared" si="16"/>
        <v>98074.32806708818</v>
      </c>
      <c r="I87" s="235">
        <f t="shared" si="35"/>
        <v>178304.35864726812</v>
      </c>
      <c r="J87" s="235">
        <f t="shared" si="17"/>
        <v>359367.46555957122</v>
      </c>
      <c r="K87" s="236">
        <f t="shared" si="18"/>
        <v>5314884.0434776051</v>
      </c>
      <c r="L87" s="224">
        <f t="shared" si="36"/>
        <v>23031.557226196357</v>
      </c>
      <c r="M87" s="229">
        <f t="shared" si="19"/>
        <v>1880.9561858529023</v>
      </c>
      <c r="N87" s="229">
        <f t="shared" si="20"/>
        <v>21150.601040343456</v>
      </c>
      <c r="O87" s="237">
        <f t="shared" si="21"/>
        <v>8.166864999095591E-2</v>
      </c>
      <c r="P87" s="224">
        <f t="shared" si="22"/>
        <v>4749.23902803686</v>
      </c>
      <c r="Q87" s="225">
        <f t="shared" si="23"/>
        <v>4179.3303446724376</v>
      </c>
      <c r="R87" s="225">
        <f t="shared" si="37"/>
        <v>8928.5693727092985</v>
      </c>
      <c r="S87" s="225">
        <f t="shared" si="24"/>
        <v>755.70870045194977</v>
      </c>
      <c r="T87" s="230">
        <f t="shared" si="38"/>
        <v>8172.8606722573486</v>
      </c>
      <c r="U87" s="238">
        <f t="shared" si="39"/>
        <v>0</v>
      </c>
      <c r="V87" s="229">
        <f t="shared" si="40"/>
        <v>8928.5693727092985</v>
      </c>
      <c r="W87" s="229">
        <f t="shared" si="25"/>
        <v>8172.8606722573486</v>
      </c>
      <c r="X87" s="238">
        <f t="shared" si="26"/>
        <v>14102.987853487059</v>
      </c>
      <c r="Y87" s="238">
        <f t="shared" si="27"/>
        <v>3807.8067204415061</v>
      </c>
      <c r="Z87" s="228">
        <f t="shared" si="28"/>
        <v>7051.4939267435293</v>
      </c>
      <c r="AA87" s="229">
        <f t="shared" si="29"/>
        <v>702.15784979634054</v>
      </c>
      <c r="AB87" s="230">
        <f t="shared" si="30"/>
        <v>6349.3360769471892</v>
      </c>
      <c r="AC87" s="228">
        <f t="shared" si="31"/>
        <v>2820.5975706974118</v>
      </c>
      <c r="AD87" s="229">
        <f t="shared" si="32"/>
        <v>423.08963560461177</v>
      </c>
      <c r="AE87" s="230">
        <f t="shared" si="41"/>
        <v>2397.5079350927999</v>
      </c>
      <c r="AL87" s="32">
        <v>47500</v>
      </c>
    </row>
    <row r="88" spans="1:38" x14ac:dyDescent="0.55000000000000004">
      <c r="A88" s="232">
        <v>7</v>
      </c>
      <c r="B88" s="233">
        <f t="shared" si="33"/>
        <v>2051</v>
      </c>
      <c r="C88" s="233">
        <f t="shared" si="33"/>
        <v>71</v>
      </c>
      <c r="D88" s="233">
        <f t="shared" si="42"/>
        <v>66</v>
      </c>
      <c r="E88" s="234">
        <f t="shared" si="34"/>
        <v>5314884.0434776051</v>
      </c>
      <c r="F88" s="235">
        <f t="shared" si="14"/>
        <v>284670.047315787</v>
      </c>
      <c r="G88" s="235">
        <f t="shared" si="15"/>
        <v>0</v>
      </c>
      <c r="H88" s="235">
        <f t="shared" si="16"/>
        <v>100624.26059683245</v>
      </c>
      <c r="I88" s="235">
        <f t="shared" si="35"/>
        <v>184045.78671895457</v>
      </c>
      <c r="J88" s="235">
        <f t="shared" si="17"/>
        <v>372041.88304343238</v>
      </c>
      <c r="K88" s="236">
        <f t="shared" si="18"/>
        <v>5502880.1398020834</v>
      </c>
      <c r="L88" s="224">
        <f t="shared" si="36"/>
        <v>23722.50394298225</v>
      </c>
      <c r="M88" s="229">
        <f t="shared" si="19"/>
        <v>1937.2116030701172</v>
      </c>
      <c r="N88" s="229">
        <f t="shared" si="20"/>
        <v>21785.292339912132</v>
      </c>
      <c r="O88" s="237">
        <f t="shared" si="21"/>
        <v>8.1661346025118764E-2</v>
      </c>
      <c r="P88" s="224">
        <f t="shared" si="22"/>
        <v>4872.7192427658183</v>
      </c>
      <c r="Q88" s="225">
        <f t="shared" si="23"/>
        <v>4287.9929336339201</v>
      </c>
      <c r="R88" s="225">
        <f t="shared" si="37"/>
        <v>9160.7121763997384</v>
      </c>
      <c r="S88" s="225">
        <f t="shared" si="24"/>
        <v>775.35712666370034</v>
      </c>
      <c r="T88" s="230">
        <f t="shared" si="38"/>
        <v>8385.3550497360375</v>
      </c>
      <c r="U88" s="238">
        <f t="shared" si="39"/>
        <v>0</v>
      </c>
      <c r="V88" s="229">
        <f t="shared" si="40"/>
        <v>9160.7121763997384</v>
      </c>
      <c r="W88" s="229">
        <f t="shared" si="25"/>
        <v>8385.3550497360375</v>
      </c>
      <c r="X88" s="238">
        <f t="shared" si="26"/>
        <v>14561.791766582512</v>
      </c>
      <c r="Y88" s="238">
        <f t="shared" si="27"/>
        <v>3931.6837769772783</v>
      </c>
      <c r="Z88" s="228">
        <f t="shared" si="28"/>
        <v>7280.8958832912558</v>
      </c>
      <c r="AA88" s="229">
        <f t="shared" si="29"/>
        <v>725.00072340894144</v>
      </c>
      <c r="AB88" s="230">
        <f t="shared" si="30"/>
        <v>6555.8951598823151</v>
      </c>
      <c r="AC88" s="228">
        <f t="shared" si="31"/>
        <v>2912.3583533165024</v>
      </c>
      <c r="AD88" s="229">
        <f t="shared" si="32"/>
        <v>436.85375299747534</v>
      </c>
      <c r="AE88" s="230">
        <f t="shared" si="41"/>
        <v>2475.5046003190273</v>
      </c>
      <c r="AL88" s="32">
        <v>48000</v>
      </c>
    </row>
    <row r="89" spans="1:38" x14ac:dyDescent="0.55000000000000004">
      <c r="A89" s="232">
        <v>8</v>
      </c>
      <c r="B89" s="233">
        <f t="shared" si="33"/>
        <v>2052</v>
      </c>
      <c r="C89" s="233">
        <f t="shared" si="33"/>
        <v>72</v>
      </c>
      <c r="D89" s="233">
        <f t="shared" si="42"/>
        <v>67</v>
      </c>
      <c r="E89" s="234">
        <f t="shared" si="34"/>
        <v>5502880.1398020834</v>
      </c>
      <c r="F89" s="235">
        <f t="shared" si="14"/>
        <v>293210.14873526065</v>
      </c>
      <c r="G89" s="235">
        <f t="shared" si="15"/>
        <v>0</v>
      </c>
      <c r="H89" s="235">
        <f t="shared" si="16"/>
        <v>103240.49137235012</v>
      </c>
      <c r="I89" s="235">
        <f t="shared" si="35"/>
        <v>189969.65736291051</v>
      </c>
      <c r="J89" s="235">
        <f t="shared" si="17"/>
        <v>385201.60978614585</v>
      </c>
      <c r="K89" s="236">
        <f t="shared" si="18"/>
        <v>5698112.0922253188</v>
      </c>
      <c r="L89" s="224">
        <f t="shared" si="36"/>
        <v>24434.17906127172</v>
      </c>
      <c r="M89" s="229">
        <f t="shared" si="19"/>
        <v>1995.150177826531</v>
      </c>
      <c r="N89" s="229">
        <f t="shared" si="20"/>
        <v>22439.028883445189</v>
      </c>
      <c r="O89" s="237">
        <f t="shared" si="21"/>
        <v>8.1654070424197367E-2</v>
      </c>
      <c r="P89" s="224">
        <f t="shared" si="22"/>
        <v>4999.4099430777296</v>
      </c>
      <c r="Q89" s="225">
        <f t="shared" si="23"/>
        <v>4399.4807499084027</v>
      </c>
      <c r="R89" s="225">
        <f t="shared" si="37"/>
        <v>9398.8906929861332</v>
      </c>
      <c r="S89" s="225">
        <f t="shared" si="24"/>
        <v>795.51641195695663</v>
      </c>
      <c r="T89" s="230">
        <f t="shared" si="38"/>
        <v>8603.3742810291769</v>
      </c>
      <c r="U89" s="238">
        <f t="shared" si="39"/>
        <v>0</v>
      </c>
      <c r="V89" s="229">
        <f t="shared" si="40"/>
        <v>9398.8906929861332</v>
      </c>
      <c r="W89" s="229">
        <f t="shared" si="25"/>
        <v>8603.3742810291769</v>
      </c>
      <c r="X89" s="238">
        <f t="shared" si="26"/>
        <v>15035.288368285586</v>
      </c>
      <c r="Y89" s="238">
        <f t="shared" si="27"/>
        <v>4059.5278594371084</v>
      </c>
      <c r="Z89" s="228">
        <f t="shared" si="28"/>
        <v>7517.6441841427932</v>
      </c>
      <c r="AA89" s="229">
        <f t="shared" si="29"/>
        <v>748.57511482100665</v>
      </c>
      <c r="AB89" s="230">
        <f t="shared" si="30"/>
        <v>6769.0690693217866</v>
      </c>
      <c r="AC89" s="228">
        <f t="shared" si="31"/>
        <v>3007.0576736571174</v>
      </c>
      <c r="AD89" s="229">
        <f t="shared" si="32"/>
        <v>451.05865104856758</v>
      </c>
      <c r="AE89" s="230">
        <f t="shared" si="41"/>
        <v>2555.9990226085497</v>
      </c>
      <c r="AL89" s="32">
        <v>48500</v>
      </c>
    </row>
    <row r="90" spans="1:38" x14ac:dyDescent="0.55000000000000004">
      <c r="A90" s="232">
        <v>9</v>
      </c>
      <c r="B90" s="233">
        <f t="shared" si="33"/>
        <v>2053</v>
      </c>
      <c r="C90" s="233">
        <f t="shared" si="33"/>
        <v>73</v>
      </c>
      <c r="D90" s="233">
        <f t="shared" si="42"/>
        <v>68</v>
      </c>
      <c r="E90" s="234">
        <f t="shared" si="34"/>
        <v>5698112.0922253188</v>
      </c>
      <c r="F90" s="235">
        <f t="shared" si="14"/>
        <v>302006.45319731848</v>
      </c>
      <c r="G90" s="235">
        <f t="shared" si="15"/>
        <v>0</v>
      </c>
      <c r="H90" s="235">
        <f t="shared" si="16"/>
        <v>105924.74414803123</v>
      </c>
      <c r="I90" s="235">
        <f t="shared" si="35"/>
        <v>196081.70904928725</v>
      </c>
      <c r="J90" s="235">
        <f t="shared" si="17"/>
        <v>398867.84645577235</v>
      </c>
      <c r="K90" s="236">
        <f t="shared" si="18"/>
        <v>5900898.2296318039</v>
      </c>
      <c r="L90" s="224">
        <f t="shared" si="36"/>
        <v>25167.204433109873</v>
      </c>
      <c r="M90" s="229">
        <f t="shared" si="19"/>
        <v>2054.8222877189091</v>
      </c>
      <c r="N90" s="229">
        <f t="shared" si="20"/>
        <v>23112.382145390962</v>
      </c>
      <c r="O90" s="237">
        <f t="shared" si="21"/>
        <v>8.1646823078037056E-2</v>
      </c>
      <c r="P90" s="224">
        <f t="shared" si="22"/>
        <v>5129.3946015977508</v>
      </c>
      <c r="Q90" s="225">
        <f t="shared" si="23"/>
        <v>4513.8672494060211</v>
      </c>
      <c r="R90" s="225">
        <f t="shared" si="37"/>
        <v>9643.2618510037719</v>
      </c>
      <c r="S90" s="225">
        <f t="shared" si="24"/>
        <v>816.19983866783753</v>
      </c>
      <c r="T90" s="230">
        <f t="shared" si="38"/>
        <v>8827.0620123359349</v>
      </c>
      <c r="U90" s="238">
        <f t="shared" si="39"/>
        <v>0</v>
      </c>
      <c r="V90" s="229">
        <f t="shared" si="40"/>
        <v>9643.2618510037719</v>
      </c>
      <c r="W90" s="229">
        <f t="shared" si="25"/>
        <v>8827.0620123359349</v>
      </c>
      <c r="X90" s="238">
        <f t="shared" si="26"/>
        <v>15523.942582106101</v>
      </c>
      <c r="Y90" s="238">
        <f t="shared" si="27"/>
        <v>4191.4644971686475</v>
      </c>
      <c r="Z90" s="228">
        <f t="shared" si="28"/>
        <v>7761.9712910530507</v>
      </c>
      <c r="AA90" s="229">
        <f t="shared" si="29"/>
        <v>772.90417158788864</v>
      </c>
      <c r="AB90" s="230">
        <f t="shared" si="30"/>
        <v>6989.0671194651622</v>
      </c>
      <c r="AC90" s="228">
        <f t="shared" si="31"/>
        <v>3104.7885164212203</v>
      </c>
      <c r="AD90" s="229">
        <f t="shared" si="32"/>
        <v>465.71827746318303</v>
      </c>
      <c r="AE90" s="230">
        <f t="shared" si="41"/>
        <v>2639.0702389580374</v>
      </c>
      <c r="AL90" s="32">
        <v>49000</v>
      </c>
    </row>
    <row r="91" spans="1:38" x14ac:dyDescent="0.55000000000000004">
      <c r="A91" s="232">
        <v>10</v>
      </c>
      <c r="B91" s="233">
        <f t="shared" si="33"/>
        <v>2054</v>
      </c>
      <c r="C91" s="233">
        <f t="shared" si="33"/>
        <v>74</v>
      </c>
      <c r="D91" s="233">
        <f t="shared" si="42"/>
        <v>69</v>
      </c>
      <c r="E91" s="234">
        <f t="shared" si="34"/>
        <v>5900898.2296318039</v>
      </c>
      <c r="F91" s="235">
        <f t="shared" si="14"/>
        <v>311066.646793238</v>
      </c>
      <c r="G91" s="235">
        <f t="shared" si="15"/>
        <v>0</v>
      </c>
      <c r="H91" s="235">
        <f t="shared" si="16"/>
        <v>108678.78749588002</v>
      </c>
      <c r="I91" s="235">
        <f t="shared" si="35"/>
        <v>202387.85929735797</v>
      </c>
      <c r="J91" s="235">
        <f t="shared" si="17"/>
        <v>413062.87607422634</v>
      </c>
      <c r="K91" s="236">
        <f t="shared" si="18"/>
        <v>6111573.246408673</v>
      </c>
      <c r="L91" s="224">
        <f t="shared" si="36"/>
        <v>25922.220566103169</v>
      </c>
      <c r="M91" s="229">
        <f t="shared" si="19"/>
        <v>2116.2798186265554</v>
      </c>
      <c r="N91" s="229">
        <f t="shared" si="20"/>
        <v>23805.940747476612</v>
      </c>
      <c r="O91" s="237">
        <f t="shared" si="21"/>
        <v>8.1639603876910161E-2</v>
      </c>
      <c r="P91" s="224">
        <f t="shared" si="22"/>
        <v>5262.7588612392919</v>
      </c>
      <c r="Q91" s="225">
        <f t="shared" si="23"/>
        <v>4631.2277978905777</v>
      </c>
      <c r="R91" s="225">
        <f t="shared" si="37"/>
        <v>9893.9866591298705</v>
      </c>
      <c r="S91" s="225">
        <f t="shared" si="24"/>
        <v>837.42103447320119</v>
      </c>
      <c r="T91" s="230">
        <f t="shared" si="38"/>
        <v>9056.5656246566687</v>
      </c>
      <c r="U91" s="238">
        <f t="shared" si="39"/>
        <v>0</v>
      </c>
      <c r="V91" s="229">
        <f t="shared" si="40"/>
        <v>9893.9866591298705</v>
      </c>
      <c r="W91" s="229">
        <f t="shared" si="25"/>
        <v>9056.5656246566687</v>
      </c>
      <c r="X91" s="238">
        <f t="shared" si="26"/>
        <v>16028.233906973299</v>
      </c>
      <c r="Y91" s="238">
        <f t="shared" si="27"/>
        <v>4327.6231548827909</v>
      </c>
      <c r="Z91" s="228">
        <f t="shared" si="28"/>
        <v>8014.1169534866494</v>
      </c>
      <c r="AA91" s="229">
        <f t="shared" si="29"/>
        <v>798.01176694415551</v>
      </c>
      <c r="AB91" s="230">
        <f t="shared" si="30"/>
        <v>7216.1051865424943</v>
      </c>
      <c r="AC91" s="228">
        <f t="shared" si="31"/>
        <v>3205.6467813946601</v>
      </c>
      <c r="AD91" s="229">
        <f t="shared" si="32"/>
        <v>480.84701720919901</v>
      </c>
      <c r="AE91" s="230">
        <f t="shared" si="41"/>
        <v>2724.7997641854613</v>
      </c>
      <c r="AL91" s="32">
        <v>49500</v>
      </c>
    </row>
    <row r="92" spans="1:38" x14ac:dyDescent="0.55000000000000004">
      <c r="A92" s="232">
        <v>11</v>
      </c>
      <c r="B92" s="233">
        <f t="shared" si="33"/>
        <v>2055</v>
      </c>
      <c r="C92" s="233">
        <f t="shared" si="33"/>
        <v>75</v>
      </c>
      <c r="D92" s="233">
        <f t="shared" si="42"/>
        <v>70</v>
      </c>
      <c r="E92" s="234">
        <f t="shared" si="34"/>
        <v>6111573.246408673</v>
      </c>
      <c r="F92" s="235">
        <f t="shared" si="14"/>
        <v>320398.64619703521</v>
      </c>
      <c r="G92" s="235">
        <f t="shared" si="15"/>
        <v>0</v>
      </c>
      <c r="H92" s="235">
        <f t="shared" si="16"/>
        <v>111504.4359707729</v>
      </c>
      <c r="I92" s="235">
        <f t="shared" si="35"/>
        <v>208894.21022626231</v>
      </c>
      <c r="J92" s="235">
        <f t="shared" si="17"/>
        <v>427810.12724860717</v>
      </c>
      <c r="K92" s="236">
        <f t="shared" si="18"/>
        <v>6330489.1634310186</v>
      </c>
      <c r="L92" s="224">
        <f t="shared" si="36"/>
        <v>26699.887183086266</v>
      </c>
      <c r="M92" s="229">
        <f t="shared" si="19"/>
        <v>2179.5762098806099</v>
      </c>
      <c r="N92" s="229">
        <f t="shared" si="20"/>
        <v>24520.310973205655</v>
      </c>
      <c r="O92" s="237">
        <f t="shared" si="21"/>
        <v>8.1632412711515889E-2</v>
      </c>
      <c r="P92" s="224">
        <f t="shared" si="22"/>
        <v>5399.5905916315141</v>
      </c>
      <c r="Q92" s="225">
        <f t="shared" si="23"/>
        <v>4751.6397206357315</v>
      </c>
      <c r="R92" s="225">
        <f t="shared" si="37"/>
        <v>10151.230312267246</v>
      </c>
      <c r="S92" s="225">
        <f t="shared" si="24"/>
        <v>859.19398136950429</v>
      </c>
      <c r="T92" s="230">
        <f t="shared" si="38"/>
        <v>9292.0363308977412</v>
      </c>
      <c r="U92" s="238">
        <f t="shared" si="39"/>
        <v>0</v>
      </c>
      <c r="V92" s="229">
        <f t="shared" si="40"/>
        <v>10151.230312267246</v>
      </c>
      <c r="W92" s="229">
        <f t="shared" si="25"/>
        <v>9292.0363308977412</v>
      </c>
      <c r="X92" s="238">
        <f t="shared" si="26"/>
        <v>16548.656870819021</v>
      </c>
      <c r="Y92" s="238">
        <f t="shared" si="27"/>
        <v>4468.1373551211354</v>
      </c>
      <c r="Z92" s="228">
        <f t="shared" si="28"/>
        <v>8274.3284354095103</v>
      </c>
      <c r="AA92" s="229">
        <f t="shared" si="29"/>
        <v>823.92252238653498</v>
      </c>
      <c r="AB92" s="230">
        <f t="shared" si="30"/>
        <v>7450.4059130229762</v>
      </c>
      <c r="AC92" s="228">
        <f t="shared" si="31"/>
        <v>3309.7313741638045</v>
      </c>
      <c r="AD92" s="229">
        <f t="shared" si="32"/>
        <v>496.45970612457063</v>
      </c>
      <c r="AE92" s="230">
        <f t="shared" si="41"/>
        <v>2813.2716680392341</v>
      </c>
      <c r="AL92" s="32">
        <v>50000</v>
      </c>
    </row>
    <row r="93" spans="1:38" x14ac:dyDescent="0.55000000000000004">
      <c r="A93" s="232">
        <v>12</v>
      </c>
      <c r="B93" s="233">
        <f t="shared" si="33"/>
        <v>2056</v>
      </c>
      <c r="C93" s="233">
        <f t="shared" si="33"/>
        <v>76</v>
      </c>
      <c r="D93" s="233">
        <f t="shared" si="42"/>
        <v>71</v>
      </c>
      <c r="E93" s="234">
        <f t="shared" si="34"/>
        <v>6330489.1634310186</v>
      </c>
      <c r="F93" s="235">
        <f t="shared" si="14"/>
        <v>330010.60558294627</v>
      </c>
      <c r="G93" s="235">
        <f t="shared" si="15"/>
        <v>0</v>
      </c>
      <c r="H93" s="235">
        <f t="shared" si="16"/>
        <v>114403.55130601299</v>
      </c>
      <c r="I93" s="235">
        <f t="shared" si="35"/>
        <v>215607.05427693328</v>
      </c>
      <c r="J93" s="235">
        <f t="shared" si="17"/>
        <v>443134.24144017132</v>
      </c>
      <c r="K93" s="236">
        <f t="shared" si="18"/>
        <v>6558016.350594257</v>
      </c>
      <c r="L93" s="224">
        <f t="shared" si="36"/>
        <v>27500.883798578856</v>
      </c>
      <c r="M93" s="229">
        <f t="shared" si="19"/>
        <v>2244.7665007863625</v>
      </c>
      <c r="N93" s="229">
        <f t="shared" si="20"/>
        <v>25256.117297792494</v>
      </c>
      <c r="O93" s="237">
        <f t="shared" si="21"/>
        <v>8.1625249472977446E-2</v>
      </c>
      <c r="P93" s="224">
        <f t="shared" si="22"/>
        <v>5539.9799470139333</v>
      </c>
      <c r="Q93" s="225">
        <f t="shared" si="23"/>
        <v>4875.1823533722609</v>
      </c>
      <c r="R93" s="225">
        <f t="shared" si="37"/>
        <v>10415.162300386193</v>
      </c>
      <c r="S93" s="225">
        <f t="shared" si="24"/>
        <v>881.53302488511144</v>
      </c>
      <c r="T93" s="230">
        <f t="shared" si="38"/>
        <v>9533.6292755010818</v>
      </c>
      <c r="U93" s="238">
        <f t="shared" si="39"/>
        <v>0</v>
      </c>
      <c r="V93" s="229">
        <f t="shared" si="40"/>
        <v>10415.162300386193</v>
      </c>
      <c r="W93" s="229">
        <f t="shared" si="25"/>
        <v>9533.6292755010818</v>
      </c>
      <c r="X93" s="238">
        <f t="shared" si="26"/>
        <v>17085.721498192663</v>
      </c>
      <c r="Y93" s="238">
        <f t="shared" si="27"/>
        <v>4613.1448045120196</v>
      </c>
      <c r="Z93" s="228">
        <f t="shared" si="28"/>
        <v>8542.8607490963313</v>
      </c>
      <c r="AA93" s="229">
        <f t="shared" si="29"/>
        <v>850.66183095547115</v>
      </c>
      <c r="AB93" s="230">
        <f t="shared" si="30"/>
        <v>7692.1989181408608</v>
      </c>
      <c r="AC93" s="228">
        <f t="shared" si="31"/>
        <v>3417.1442996385326</v>
      </c>
      <c r="AD93" s="229">
        <f t="shared" si="32"/>
        <v>512.57164494577989</v>
      </c>
      <c r="AE93" s="230">
        <f t="shared" si="41"/>
        <v>2904.5726546927526</v>
      </c>
    </row>
    <row r="94" spans="1:38" x14ac:dyDescent="0.55000000000000004">
      <c r="A94" s="232">
        <v>13</v>
      </c>
      <c r="B94" s="233">
        <f t="shared" si="33"/>
        <v>2057</v>
      </c>
      <c r="C94" s="233">
        <f t="shared" si="33"/>
        <v>77</v>
      </c>
      <c r="D94" s="233">
        <f t="shared" si="42"/>
        <v>72</v>
      </c>
      <c r="E94" s="234">
        <f t="shared" si="34"/>
        <v>6558016.350594257</v>
      </c>
      <c r="F94" s="235">
        <f t="shared" si="14"/>
        <v>339910.92375043465</v>
      </c>
      <c r="G94" s="235">
        <f t="shared" si="15"/>
        <v>0</v>
      </c>
      <c r="H94" s="235">
        <f t="shared" si="16"/>
        <v>117378.04363996933</v>
      </c>
      <c r="I94" s="235">
        <f t="shared" si="35"/>
        <v>222532.88011046534</v>
      </c>
      <c r="J94" s="235">
        <f t="shared" si="17"/>
        <v>459061.14454159804</v>
      </c>
      <c r="K94" s="236">
        <f t="shared" si="18"/>
        <v>6794544.6150253899</v>
      </c>
      <c r="L94" s="224">
        <f t="shared" si="36"/>
        <v>28325.910312536224</v>
      </c>
      <c r="M94" s="229">
        <f t="shared" si="19"/>
        <v>2311.9073785391301</v>
      </c>
      <c r="N94" s="229">
        <f t="shared" si="20"/>
        <v>26014.002933997093</v>
      </c>
      <c r="O94" s="237">
        <f t="shared" si="21"/>
        <v>8.161811405284114E-2</v>
      </c>
      <c r="P94" s="224">
        <f t="shared" si="22"/>
        <v>5684.0194256362956</v>
      </c>
      <c r="Q94" s="225">
        <f t="shared" si="23"/>
        <v>5001.9370945599394</v>
      </c>
      <c r="R94" s="225">
        <f t="shared" si="37"/>
        <v>10685.956520196236</v>
      </c>
      <c r="S94" s="225">
        <f t="shared" si="24"/>
        <v>904.45288353212459</v>
      </c>
      <c r="T94" s="230">
        <f t="shared" si="38"/>
        <v>9781.5036366641107</v>
      </c>
      <c r="U94" s="238">
        <f t="shared" si="39"/>
        <v>0</v>
      </c>
      <c r="V94" s="229">
        <f t="shared" si="40"/>
        <v>10685.956520196236</v>
      </c>
      <c r="W94" s="229">
        <f t="shared" si="25"/>
        <v>9781.5036366641107</v>
      </c>
      <c r="X94" s="238">
        <f t="shared" si="26"/>
        <v>17639.953792339988</v>
      </c>
      <c r="Y94" s="238">
        <f t="shared" si="27"/>
        <v>4762.7875239317973</v>
      </c>
      <c r="Z94" s="228">
        <f t="shared" si="28"/>
        <v>8819.9768961699938</v>
      </c>
      <c r="AA94" s="229">
        <f t="shared" si="29"/>
        <v>878.25588123680609</v>
      </c>
      <c r="AB94" s="230">
        <f t="shared" si="30"/>
        <v>7941.7210149331877</v>
      </c>
      <c r="AC94" s="228">
        <f t="shared" si="31"/>
        <v>3527.9907584679977</v>
      </c>
      <c r="AD94" s="229">
        <f t="shared" si="32"/>
        <v>529.19861377019959</v>
      </c>
      <c r="AE94" s="230">
        <f t="shared" si="41"/>
        <v>2998.792144697798</v>
      </c>
    </row>
    <row r="95" spans="1:38" x14ac:dyDescent="0.55000000000000004">
      <c r="A95" s="232">
        <v>14</v>
      </c>
      <c r="B95" s="233">
        <f t="shared" si="33"/>
        <v>2058</v>
      </c>
      <c r="C95" s="233">
        <f t="shared" si="33"/>
        <v>78</v>
      </c>
      <c r="D95" s="233">
        <f t="shared" si="42"/>
        <v>73</v>
      </c>
      <c r="E95" s="234">
        <f t="shared" si="34"/>
        <v>6794544.6150253899</v>
      </c>
      <c r="F95" s="235">
        <f t="shared" si="14"/>
        <v>350108.25146294775</v>
      </c>
      <c r="G95" s="235">
        <f t="shared" si="15"/>
        <v>0</v>
      </c>
      <c r="H95" s="235">
        <f t="shared" si="16"/>
        <v>120429.87277460852</v>
      </c>
      <c r="I95" s="235">
        <f t="shared" si="35"/>
        <v>229678.37868833923</v>
      </c>
      <c r="J95" s="235">
        <f t="shared" si="17"/>
        <v>475618.12305177737</v>
      </c>
      <c r="K95" s="236">
        <f t="shared" si="18"/>
        <v>7040484.3593888283</v>
      </c>
      <c r="L95" s="224">
        <f t="shared" si="36"/>
        <v>29175.687621912311</v>
      </c>
      <c r="M95" s="229">
        <f t="shared" si="19"/>
        <v>2381.0572275754394</v>
      </c>
      <c r="N95" s="229">
        <f t="shared" si="20"/>
        <v>26794.630394336873</v>
      </c>
      <c r="O95" s="237">
        <f t="shared" si="21"/>
        <v>8.1611006343074277E-2</v>
      </c>
      <c r="P95" s="224">
        <f t="shared" si="22"/>
        <v>5831.8039307028384</v>
      </c>
      <c r="Q95" s="225">
        <f t="shared" si="23"/>
        <v>5131.9874590184982</v>
      </c>
      <c r="R95" s="225">
        <f t="shared" si="37"/>
        <v>10963.791389721337</v>
      </c>
      <c r="S95" s="225">
        <f t="shared" si="24"/>
        <v>927.96865850395966</v>
      </c>
      <c r="T95" s="230">
        <f t="shared" si="38"/>
        <v>10035.822731217377</v>
      </c>
      <c r="U95" s="238">
        <f t="shared" si="39"/>
        <v>0</v>
      </c>
      <c r="V95" s="229">
        <f t="shared" si="40"/>
        <v>10963.791389721337</v>
      </c>
      <c r="W95" s="229">
        <f t="shared" si="25"/>
        <v>10035.822731217377</v>
      </c>
      <c r="X95" s="238">
        <f t="shared" si="26"/>
        <v>18211.896232190975</v>
      </c>
      <c r="Y95" s="238">
        <f t="shared" si="27"/>
        <v>4917.2119826915632</v>
      </c>
      <c r="Z95" s="228">
        <f t="shared" si="28"/>
        <v>9105.9481160954874</v>
      </c>
      <c r="AA95" s="229">
        <f t="shared" si="29"/>
        <v>906.73168210575068</v>
      </c>
      <c r="AB95" s="230">
        <f t="shared" si="30"/>
        <v>8199.2164339897372</v>
      </c>
      <c r="AC95" s="228">
        <f t="shared" si="31"/>
        <v>3642.379246438195</v>
      </c>
      <c r="AD95" s="229">
        <f t="shared" si="32"/>
        <v>546.35688696572925</v>
      </c>
      <c r="AE95" s="230">
        <f t="shared" si="41"/>
        <v>3096.0223594724657</v>
      </c>
    </row>
    <row r="96" spans="1:38" x14ac:dyDescent="0.55000000000000004">
      <c r="A96" s="232">
        <v>15</v>
      </c>
      <c r="B96" s="233">
        <f t="shared" si="33"/>
        <v>2059</v>
      </c>
      <c r="C96" s="233">
        <f t="shared" si="33"/>
        <v>79</v>
      </c>
      <c r="D96" s="233">
        <f t="shared" si="42"/>
        <v>74</v>
      </c>
      <c r="E96" s="234">
        <f t="shared" si="34"/>
        <v>7040484.3593888283</v>
      </c>
      <c r="F96" s="235">
        <f t="shared" si="14"/>
        <v>360611.49900683621</v>
      </c>
      <c r="G96" s="235">
        <f t="shared" si="15"/>
        <v>0</v>
      </c>
      <c r="H96" s="235">
        <f t="shared" si="16"/>
        <v>123561.04946674834</v>
      </c>
      <c r="I96" s="235">
        <f t="shared" si="35"/>
        <v>237050.44954008787</v>
      </c>
      <c r="J96" s="235">
        <f t="shared" si="17"/>
        <v>492833.90515721805</v>
      </c>
      <c r="K96" s="236">
        <f t="shared" si="18"/>
        <v>7296267.8150059581</v>
      </c>
      <c r="L96" s="224">
        <f t="shared" si="36"/>
        <v>30050.958250569682</v>
      </c>
      <c r="M96" s="229">
        <f t="shared" si="19"/>
        <v>2452.2761804025217</v>
      </c>
      <c r="N96" s="229">
        <f t="shared" si="20"/>
        <v>27598.68207016716</v>
      </c>
      <c r="O96" s="237">
        <f t="shared" si="21"/>
        <v>8.1603926236063828E-2</v>
      </c>
      <c r="P96" s="224">
        <f t="shared" si="22"/>
        <v>5983.4308329011128</v>
      </c>
      <c r="Q96" s="225">
        <f t="shared" si="23"/>
        <v>5265.4191329529785</v>
      </c>
      <c r="R96" s="225">
        <f t="shared" si="37"/>
        <v>11248.849965854091</v>
      </c>
      <c r="S96" s="225">
        <f t="shared" si="24"/>
        <v>952.09584362506246</v>
      </c>
      <c r="T96" s="230">
        <f t="shared" si="38"/>
        <v>10296.754122229029</v>
      </c>
      <c r="U96" s="238">
        <f t="shared" si="39"/>
        <v>0</v>
      </c>
      <c r="V96" s="229">
        <f t="shared" si="40"/>
        <v>11248.849965854091</v>
      </c>
      <c r="W96" s="229">
        <f t="shared" si="25"/>
        <v>10296.754122229029</v>
      </c>
      <c r="X96" s="238">
        <f t="shared" si="26"/>
        <v>18802.108284715592</v>
      </c>
      <c r="Y96" s="238">
        <f t="shared" si="27"/>
        <v>5076.5692368732098</v>
      </c>
      <c r="Z96" s="228">
        <f t="shared" si="28"/>
        <v>9401.0541423577961</v>
      </c>
      <c r="AA96" s="229">
        <f t="shared" si="29"/>
        <v>936.11708823599156</v>
      </c>
      <c r="AB96" s="230">
        <f t="shared" si="30"/>
        <v>8464.937054121805</v>
      </c>
      <c r="AC96" s="228">
        <f t="shared" si="31"/>
        <v>3760.4216569431187</v>
      </c>
      <c r="AD96" s="229">
        <f t="shared" si="32"/>
        <v>564.06324854146783</v>
      </c>
      <c r="AE96" s="230">
        <f t="shared" si="41"/>
        <v>3196.3584084016511</v>
      </c>
    </row>
    <row r="97" spans="1:31" x14ac:dyDescent="0.55000000000000004">
      <c r="A97" s="232">
        <v>16</v>
      </c>
      <c r="B97" s="233">
        <f t="shared" si="33"/>
        <v>2060</v>
      </c>
      <c r="C97" s="233">
        <f t="shared" si="33"/>
        <v>80</v>
      </c>
      <c r="D97" s="233">
        <f t="shared" si="42"/>
        <v>75</v>
      </c>
      <c r="E97" s="234">
        <f t="shared" si="34"/>
        <v>7296267.8150059581</v>
      </c>
      <c r="F97" s="235">
        <f t="shared" si="14"/>
        <v>371429.84397704131</v>
      </c>
      <c r="G97" s="235">
        <f t="shared" si="15"/>
        <v>0</v>
      </c>
      <c r="H97" s="235">
        <f t="shared" si="16"/>
        <v>126773.63675288379</v>
      </c>
      <c r="I97" s="235">
        <f t="shared" si="35"/>
        <v>244656.20722415752</v>
      </c>
      <c r="J97" s="235">
        <f t="shared" si="17"/>
        <v>510738.74705041712</v>
      </c>
      <c r="K97" s="236">
        <f t="shared" si="18"/>
        <v>7562350.3548322171</v>
      </c>
      <c r="L97" s="224">
        <f t="shared" si="36"/>
        <v>30952.486998086773</v>
      </c>
      <c r="M97" s="229">
        <f t="shared" si="19"/>
        <v>2525.6261699504112</v>
      </c>
      <c r="N97" s="229">
        <f t="shared" si="20"/>
        <v>28426.860828136363</v>
      </c>
      <c r="O97" s="237">
        <f t="shared" si="21"/>
        <v>8.1596873624614541E-2</v>
      </c>
      <c r="P97" s="224">
        <f t="shared" si="22"/>
        <v>6139.0000345565404</v>
      </c>
      <c r="Q97" s="225">
        <f t="shared" si="23"/>
        <v>5402.3200304097563</v>
      </c>
      <c r="R97" s="225">
        <f t="shared" si="37"/>
        <v>11541.320064966298</v>
      </c>
      <c r="S97" s="225">
        <f t="shared" si="24"/>
        <v>976.85033555931409</v>
      </c>
      <c r="T97" s="230">
        <f t="shared" si="38"/>
        <v>10564.469729406983</v>
      </c>
      <c r="U97" s="238">
        <f t="shared" si="39"/>
        <v>0</v>
      </c>
      <c r="V97" s="229">
        <f t="shared" si="40"/>
        <v>11541.320064966298</v>
      </c>
      <c r="W97" s="229">
        <f t="shared" si="25"/>
        <v>10564.469729406983</v>
      </c>
      <c r="X97" s="238">
        <f t="shared" si="26"/>
        <v>19411.166933120476</v>
      </c>
      <c r="Y97" s="238">
        <f t="shared" si="27"/>
        <v>5241.0150719425292</v>
      </c>
      <c r="Z97" s="228">
        <f t="shared" si="28"/>
        <v>9705.5834665602379</v>
      </c>
      <c r="AA97" s="229">
        <f t="shared" si="29"/>
        <v>966.44082639748308</v>
      </c>
      <c r="AB97" s="230">
        <f t="shared" si="30"/>
        <v>8739.1426401627559</v>
      </c>
      <c r="AC97" s="228">
        <f t="shared" si="31"/>
        <v>3882.2333866240951</v>
      </c>
      <c r="AD97" s="229">
        <f t="shared" si="32"/>
        <v>582.33500799361423</v>
      </c>
      <c r="AE97" s="230">
        <f t="shared" si="41"/>
        <v>3299.8983786304807</v>
      </c>
    </row>
    <row r="98" spans="1:31" x14ac:dyDescent="0.55000000000000004">
      <c r="A98" s="232">
        <v>17</v>
      </c>
      <c r="B98" s="233">
        <f t="shared" si="33"/>
        <v>2061</v>
      </c>
      <c r="C98" s="233">
        <f t="shared" si="33"/>
        <v>81</v>
      </c>
      <c r="D98" s="233">
        <f t="shared" si="42"/>
        <v>76</v>
      </c>
      <c r="E98" s="234">
        <f t="shared" si="34"/>
        <v>7562350.3548322171</v>
      </c>
      <c r="F98" s="235">
        <f t="shared" si="14"/>
        <v>306058.19143708202</v>
      </c>
      <c r="G98" s="235">
        <f t="shared" si="15"/>
        <v>0</v>
      </c>
      <c r="H98" s="235">
        <f t="shared" si="16"/>
        <v>60883.713378427521</v>
      </c>
      <c r="I98" s="235">
        <f t="shared" si="35"/>
        <v>245174.47805865449</v>
      </c>
      <c r="J98" s="235">
        <f t="shared" si="17"/>
        <v>529364.52483825525</v>
      </c>
      <c r="K98" s="236">
        <f t="shared" si="18"/>
        <v>7846540.401611818</v>
      </c>
      <c r="L98" s="224">
        <f t="shared" si="36"/>
        <v>31881.061608029377</v>
      </c>
      <c r="M98" s="229">
        <f t="shared" si="19"/>
        <v>2570.6131620657134</v>
      </c>
      <c r="N98" s="229">
        <f t="shared" si="20"/>
        <v>29310.448445963662</v>
      </c>
      <c r="O98" s="237">
        <f t="shared" si="21"/>
        <v>8.0631353926379101E-2</v>
      </c>
      <c r="P98" s="224">
        <f t="shared" si="22"/>
        <v>0</v>
      </c>
      <c r="Q98" s="225">
        <f t="shared" si="23"/>
        <v>5542.7803512004102</v>
      </c>
      <c r="R98" s="225">
        <f t="shared" si="37"/>
        <v>5542.7803512004102</v>
      </c>
      <c r="S98" s="225">
        <f t="shared" si="24"/>
        <v>469.13756966478383</v>
      </c>
      <c r="T98" s="230">
        <f t="shared" si="38"/>
        <v>5073.6427815356265</v>
      </c>
      <c r="U98" s="238">
        <f t="shared" si="39"/>
        <v>0</v>
      </c>
      <c r="V98" s="229">
        <f t="shared" si="40"/>
        <v>5542.7803512004102</v>
      </c>
      <c r="W98" s="229">
        <f t="shared" si="25"/>
        <v>5073.6427815356265</v>
      </c>
      <c r="X98" s="238">
        <f t="shared" si="26"/>
        <v>26338.281256828966</v>
      </c>
      <c r="Y98" s="238">
        <f t="shared" si="27"/>
        <v>7111.3359393438213</v>
      </c>
      <c r="Z98" s="228">
        <f t="shared" si="28"/>
        <v>13169.140628414483</v>
      </c>
      <c r="AA98" s="229">
        <f t="shared" si="29"/>
        <v>1311.3271546960605</v>
      </c>
      <c r="AB98" s="230">
        <f t="shared" si="30"/>
        <v>11857.813473718423</v>
      </c>
      <c r="AC98" s="228">
        <f t="shared" si="31"/>
        <v>5267.6562513657937</v>
      </c>
      <c r="AD98" s="229">
        <f t="shared" si="32"/>
        <v>790.14843770486902</v>
      </c>
      <c r="AE98" s="230">
        <f t="shared" si="41"/>
        <v>4477.5078136609245</v>
      </c>
    </row>
    <row r="99" spans="1:31" x14ac:dyDescent="0.55000000000000004">
      <c r="A99" s="232">
        <v>18</v>
      </c>
      <c r="B99" s="233">
        <f t="shared" ref="B99:C114" si="43">B98+1</f>
        <v>2062</v>
      </c>
      <c r="C99" s="233">
        <f t="shared" si="43"/>
        <v>82</v>
      </c>
      <c r="D99" s="233">
        <f t="shared" si="42"/>
        <v>77</v>
      </c>
      <c r="E99" s="234">
        <f t="shared" si="34"/>
        <v>7846540.401611818</v>
      </c>
      <c r="F99" s="235">
        <f t="shared" si="14"/>
        <v>315239.93718019454</v>
      </c>
      <c r="G99" s="235">
        <f t="shared" si="15"/>
        <v>0</v>
      </c>
      <c r="H99" s="235">
        <f t="shared" si="16"/>
        <v>62466.689926266627</v>
      </c>
      <c r="I99" s="235">
        <f t="shared" si="35"/>
        <v>252773.24725392793</v>
      </c>
      <c r="J99" s="235">
        <f t="shared" si="17"/>
        <v>549257.82811282726</v>
      </c>
      <c r="K99" s="236">
        <f t="shared" si="18"/>
        <v>8143024.9824707173</v>
      </c>
      <c r="L99" s="224">
        <f t="shared" si="36"/>
        <v>32837.493456270262</v>
      </c>
      <c r="M99" s="229">
        <f t="shared" si="19"/>
        <v>2647.6239933962634</v>
      </c>
      <c r="N99" s="229">
        <f t="shared" si="20"/>
        <v>30189.869462873998</v>
      </c>
      <c r="O99" s="237">
        <f t="shared" si="21"/>
        <v>8.0628078294773253E-2</v>
      </c>
      <c r="P99" s="224">
        <f t="shared" si="22"/>
        <v>0</v>
      </c>
      <c r="Q99" s="225">
        <f t="shared" si="23"/>
        <v>5686.89264033162</v>
      </c>
      <c r="R99" s="225">
        <f t="shared" si="37"/>
        <v>5686.89264033162</v>
      </c>
      <c r="S99" s="225">
        <f t="shared" si="24"/>
        <v>481.33514647606813</v>
      </c>
      <c r="T99" s="230">
        <f t="shared" si="38"/>
        <v>5205.5574938555519</v>
      </c>
      <c r="U99" s="238">
        <f t="shared" si="39"/>
        <v>0</v>
      </c>
      <c r="V99" s="229">
        <f t="shared" si="40"/>
        <v>5686.89264033162</v>
      </c>
      <c r="W99" s="229">
        <f t="shared" si="25"/>
        <v>5205.5574938555519</v>
      </c>
      <c r="X99" s="238">
        <f t="shared" si="26"/>
        <v>27150.60081593864</v>
      </c>
      <c r="Y99" s="238">
        <f t="shared" si="27"/>
        <v>7330.6622203034331</v>
      </c>
      <c r="Z99" s="228">
        <f t="shared" si="28"/>
        <v>13575.30040796932</v>
      </c>
      <c r="AA99" s="229">
        <f t="shared" si="29"/>
        <v>1351.770822442036</v>
      </c>
      <c r="AB99" s="230">
        <f t="shared" si="30"/>
        <v>12223.529585527285</v>
      </c>
      <c r="AC99" s="228">
        <f t="shared" si="31"/>
        <v>5430.1201631877284</v>
      </c>
      <c r="AD99" s="229">
        <f t="shared" si="32"/>
        <v>814.51802447815919</v>
      </c>
      <c r="AE99" s="230">
        <f t="shared" si="41"/>
        <v>4615.6021387095689</v>
      </c>
    </row>
    <row r="100" spans="1:31" x14ac:dyDescent="0.55000000000000004">
      <c r="A100" s="232">
        <v>19</v>
      </c>
      <c r="B100" s="233">
        <f t="shared" si="43"/>
        <v>2063</v>
      </c>
      <c r="C100" s="233">
        <f t="shared" si="43"/>
        <v>83</v>
      </c>
      <c r="D100" s="233">
        <f t="shared" si="42"/>
        <v>78</v>
      </c>
      <c r="E100" s="234">
        <f t="shared" si="34"/>
        <v>8143024.9824707173</v>
      </c>
      <c r="F100" s="235">
        <f t="shared" si="14"/>
        <v>324697.1352956004</v>
      </c>
      <c r="G100" s="235">
        <f t="shared" si="15"/>
        <v>0</v>
      </c>
      <c r="H100" s="235">
        <f t="shared" si="16"/>
        <v>64090.823864349557</v>
      </c>
      <c r="I100" s="235">
        <f t="shared" si="35"/>
        <v>260606.31143125083</v>
      </c>
      <c r="J100" s="235">
        <f t="shared" si="17"/>
        <v>570011.74877295026</v>
      </c>
      <c r="K100" s="236">
        <f t="shared" si="18"/>
        <v>8452430.4198124167</v>
      </c>
      <c r="L100" s="224">
        <f t="shared" si="36"/>
        <v>33822.61825995837</v>
      </c>
      <c r="M100" s="229">
        <f t="shared" si="19"/>
        <v>2726.9423530149134</v>
      </c>
      <c r="N100" s="229">
        <f t="shared" si="20"/>
        <v>31095.675906943456</v>
      </c>
      <c r="O100" s="237">
        <f t="shared" si="21"/>
        <v>8.0624815384066961E-2</v>
      </c>
      <c r="P100" s="224">
        <f t="shared" si="22"/>
        <v>0</v>
      </c>
      <c r="Q100" s="225">
        <f t="shared" si="23"/>
        <v>5834.7518489802424</v>
      </c>
      <c r="R100" s="225">
        <f t="shared" si="37"/>
        <v>5834.7518489802424</v>
      </c>
      <c r="S100" s="225">
        <f t="shared" si="24"/>
        <v>493.84986028444592</v>
      </c>
      <c r="T100" s="230">
        <f t="shared" si="38"/>
        <v>5340.9019886957967</v>
      </c>
      <c r="U100" s="238">
        <f t="shared" si="39"/>
        <v>0</v>
      </c>
      <c r="V100" s="229">
        <f t="shared" si="40"/>
        <v>5834.7518489802424</v>
      </c>
      <c r="W100" s="229">
        <f t="shared" si="25"/>
        <v>5340.9019886957967</v>
      </c>
      <c r="X100" s="238">
        <f t="shared" si="26"/>
        <v>27987.866410978128</v>
      </c>
      <c r="Y100" s="238">
        <f t="shared" si="27"/>
        <v>7556.7239309640945</v>
      </c>
      <c r="Z100" s="228">
        <f t="shared" si="28"/>
        <v>13993.933205489064</v>
      </c>
      <c r="AA100" s="229">
        <f t="shared" si="29"/>
        <v>1393.4565004011233</v>
      </c>
      <c r="AB100" s="230">
        <f t="shared" si="30"/>
        <v>12600.476705087942</v>
      </c>
      <c r="AC100" s="228">
        <f t="shared" si="31"/>
        <v>5597.5732821956262</v>
      </c>
      <c r="AD100" s="229">
        <f t="shared" si="32"/>
        <v>839.63599232934394</v>
      </c>
      <c r="AE100" s="230">
        <f t="shared" si="41"/>
        <v>4757.9372898662823</v>
      </c>
    </row>
    <row r="101" spans="1:31" x14ac:dyDescent="0.55000000000000004">
      <c r="A101" s="232">
        <v>20</v>
      </c>
      <c r="B101" s="233">
        <f t="shared" si="43"/>
        <v>2064</v>
      </c>
      <c r="C101" s="233">
        <f t="shared" si="43"/>
        <v>84</v>
      </c>
      <c r="D101" s="233">
        <f t="shared" si="42"/>
        <v>79</v>
      </c>
      <c r="E101" s="234">
        <f t="shared" si="34"/>
        <v>8452430.4198124167</v>
      </c>
      <c r="F101" s="235">
        <f t="shared" si="14"/>
        <v>334438.04935446841</v>
      </c>
      <c r="G101" s="235">
        <f t="shared" si="15"/>
        <v>0</v>
      </c>
      <c r="H101" s="235">
        <f t="shared" si="16"/>
        <v>65757.185284822655</v>
      </c>
      <c r="I101" s="235">
        <f t="shared" si="35"/>
        <v>268680.86406964576</v>
      </c>
      <c r="J101" s="235">
        <f t="shared" si="17"/>
        <v>591670.12938686926</v>
      </c>
      <c r="K101" s="236">
        <f t="shared" si="18"/>
        <v>8775419.6851296388</v>
      </c>
      <c r="L101" s="224">
        <f t="shared" si="36"/>
        <v>34837.29680775712</v>
      </c>
      <c r="M101" s="229">
        <f t="shared" si="19"/>
        <v>2808.6373940573576</v>
      </c>
      <c r="N101" s="229">
        <f t="shared" si="20"/>
        <v>32028.659413699763</v>
      </c>
      <c r="O101" s="237">
        <f t="shared" si="21"/>
        <v>8.0621565144858409E-2</v>
      </c>
      <c r="P101" s="224">
        <f t="shared" si="22"/>
        <v>0</v>
      </c>
      <c r="Q101" s="225">
        <f t="shared" si="23"/>
        <v>5986.455397053729</v>
      </c>
      <c r="R101" s="225">
        <f t="shared" si="37"/>
        <v>5986.455397053729</v>
      </c>
      <c r="S101" s="225">
        <f t="shared" si="24"/>
        <v>506.68995665184156</v>
      </c>
      <c r="T101" s="230">
        <f t="shared" si="38"/>
        <v>5479.7654404018876</v>
      </c>
      <c r="U101" s="238">
        <f t="shared" si="39"/>
        <v>0</v>
      </c>
      <c r="V101" s="229">
        <f t="shared" si="40"/>
        <v>5986.455397053729</v>
      </c>
      <c r="W101" s="229">
        <f t="shared" si="25"/>
        <v>5479.7654404018876</v>
      </c>
      <c r="X101" s="238">
        <f t="shared" si="26"/>
        <v>28850.84141070339</v>
      </c>
      <c r="Y101" s="238">
        <f t="shared" si="27"/>
        <v>7789.7271808899159</v>
      </c>
      <c r="Z101" s="228">
        <f t="shared" si="28"/>
        <v>14425.420705351695</v>
      </c>
      <c r="AA101" s="229">
        <f t="shared" si="29"/>
        <v>1436.4221950844144</v>
      </c>
      <c r="AB101" s="230">
        <f t="shared" si="30"/>
        <v>12988.998510267282</v>
      </c>
      <c r="AC101" s="228">
        <f t="shared" si="31"/>
        <v>5770.1682821406785</v>
      </c>
      <c r="AD101" s="229">
        <f t="shared" si="32"/>
        <v>865.5252423211017</v>
      </c>
      <c r="AE101" s="230">
        <f t="shared" si="41"/>
        <v>4904.6430398195771</v>
      </c>
    </row>
    <row r="102" spans="1:31" x14ac:dyDescent="0.55000000000000004">
      <c r="A102" s="232">
        <v>21</v>
      </c>
      <c r="B102" s="233">
        <f t="shared" si="43"/>
        <v>2065</v>
      </c>
      <c r="C102" s="233">
        <f t="shared" si="43"/>
        <v>85</v>
      </c>
      <c r="D102" s="233">
        <f t="shared" si="42"/>
        <v>80</v>
      </c>
      <c r="E102" s="234">
        <f t="shared" si="34"/>
        <v>8775419.6851296388</v>
      </c>
      <c r="F102" s="235">
        <f t="shared" si="14"/>
        <v>344471.19083510246</v>
      </c>
      <c r="G102" s="235">
        <f t="shared" si="15"/>
        <v>0</v>
      </c>
      <c r="H102" s="235">
        <f t="shared" si="16"/>
        <v>67466.872102228022</v>
      </c>
      <c r="I102" s="235">
        <f t="shared" si="35"/>
        <v>277004.31873287447</v>
      </c>
      <c r="J102" s="235">
        <f t="shared" si="17"/>
        <v>614279.3779590748</v>
      </c>
      <c r="K102" s="236">
        <f t="shared" si="18"/>
        <v>9112694.7443558387</v>
      </c>
      <c r="L102" s="224">
        <f t="shared" si="36"/>
        <v>35882.415711989837</v>
      </c>
      <c r="M102" s="229">
        <f t="shared" si="19"/>
        <v>2892.7803423628279</v>
      </c>
      <c r="N102" s="229">
        <f t="shared" si="20"/>
        <v>32989.635369627009</v>
      </c>
      <c r="O102" s="237">
        <f t="shared" si="21"/>
        <v>8.0618327527938072E-2</v>
      </c>
      <c r="P102" s="224">
        <f t="shared" si="22"/>
        <v>0</v>
      </c>
      <c r="Q102" s="225">
        <f t="shared" si="23"/>
        <v>6142.103237377125</v>
      </c>
      <c r="R102" s="225">
        <f t="shared" si="37"/>
        <v>6142.103237377125</v>
      </c>
      <c r="S102" s="225">
        <f t="shared" si="24"/>
        <v>519.86389552478943</v>
      </c>
      <c r="T102" s="230">
        <f t="shared" si="38"/>
        <v>5622.2393418523352</v>
      </c>
      <c r="U102" s="238">
        <f t="shared" si="39"/>
        <v>0</v>
      </c>
      <c r="V102" s="229">
        <f t="shared" si="40"/>
        <v>6142.103237377125</v>
      </c>
      <c r="W102" s="229">
        <f t="shared" si="25"/>
        <v>5622.2393418523352</v>
      </c>
      <c r="X102" s="238">
        <f t="shared" si="26"/>
        <v>29740.312474612714</v>
      </c>
      <c r="Y102" s="238">
        <f t="shared" si="27"/>
        <v>8029.8843681454337</v>
      </c>
      <c r="Z102" s="228">
        <f t="shared" si="28"/>
        <v>14870.156237306357</v>
      </c>
      <c r="AA102" s="229">
        <f t="shared" si="29"/>
        <v>1480.7070725996573</v>
      </c>
      <c r="AB102" s="230">
        <f t="shared" si="30"/>
        <v>13389.449164706701</v>
      </c>
      <c r="AC102" s="228">
        <f t="shared" si="31"/>
        <v>5948.062494922543</v>
      </c>
      <c r="AD102" s="229">
        <f t="shared" si="32"/>
        <v>892.20937423838143</v>
      </c>
      <c r="AE102" s="230">
        <f t="shared" si="41"/>
        <v>5055.8531206841617</v>
      </c>
    </row>
    <row r="103" spans="1:31" x14ac:dyDescent="0.55000000000000004">
      <c r="A103" s="232">
        <v>22</v>
      </c>
      <c r="B103" s="233">
        <f t="shared" si="43"/>
        <v>2066</v>
      </c>
      <c r="C103" s="233">
        <f t="shared" si="43"/>
        <v>86</v>
      </c>
      <c r="D103" s="233">
        <f t="shared" si="42"/>
        <v>81</v>
      </c>
      <c r="E103" s="234">
        <f t="shared" si="34"/>
        <v>9112694.7443558387</v>
      </c>
      <c r="F103" s="235">
        <f t="shared" si="14"/>
        <v>354805.32656015549</v>
      </c>
      <c r="G103" s="235">
        <f t="shared" si="15"/>
        <v>0</v>
      </c>
      <c r="H103" s="235">
        <f t="shared" si="16"/>
        <v>69221.01077688596</v>
      </c>
      <c r="I103" s="235">
        <f t="shared" si="35"/>
        <v>285584.31578326953</v>
      </c>
      <c r="J103" s="235">
        <f t="shared" si="17"/>
        <v>637888.63210490881</v>
      </c>
      <c r="K103" s="236">
        <f t="shared" si="18"/>
        <v>9464999.0606774781</v>
      </c>
      <c r="L103" s="224">
        <f t="shared" si="36"/>
        <v>36958.888183349532</v>
      </c>
      <c r="M103" s="229">
        <f t="shared" si="19"/>
        <v>2979.4445586060397</v>
      </c>
      <c r="N103" s="229">
        <f t="shared" si="20"/>
        <v>33979.443624743493</v>
      </c>
      <c r="O103" s="237">
        <f t="shared" si="21"/>
        <v>8.0615102484287382E-2</v>
      </c>
      <c r="P103" s="224">
        <f t="shared" si="22"/>
        <v>0</v>
      </c>
      <c r="Q103" s="225">
        <f t="shared" si="23"/>
        <v>6301.7979215489313</v>
      </c>
      <c r="R103" s="225">
        <f t="shared" si="37"/>
        <v>6301.7979215489313</v>
      </c>
      <c r="S103" s="225">
        <f t="shared" si="24"/>
        <v>533.38035680843393</v>
      </c>
      <c r="T103" s="230">
        <f t="shared" si="38"/>
        <v>5768.4175647404973</v>
      </c>
      <c r="U103" s="238">
        <f t="shared" si="39"/>
        <v>0</v>
      </c>
      <c r="V103" s="229">
        <f t="shared" si="40"/>
        <v>6301.7979215489313</v>
      </c>
      <c r="W103" s="229">
        <f t="shared" si="25"/>
        <v>5768.4175647404973</v>
      </c>
      <c r="X103" s="238">
        <f t="shared" si="26"/>
        <v>30657.0902618006</v>
      </c>
      <c r="Y103" s="238">
        <f t="shared" si="27"/>
        <v>8277.4143706861632</v>
      </c>
      <c r="Z103" s="228">
        <f t="shared" si="28"/>
        <v>15328.5451309003</v>
      </c>
      <c r="AA103" s="229">
        <f t="shared" si="29"/>
        <v>1526.3514939435875</v>
      </c>
      <c r="AB103" s="230">
        <f t="shared" si="30"/>
        <v>13802.193636956714</v>
      </c>
      <c r="AC103" s="228">
        <f t="shared" si="31"/>
        <v>6131.4180523601208</v>
      </c>
      <c r="AD103" s="229">
        <f t="shared" si="32"/>
        <v>919.71270785401805</v>
      </c>
      <c r="AE103" s="230">
        <f t="shared" si="41"/>
        <v>5211.7053445061028</v>
      </c>
    </row>
    <row r="104" spans="1:31" x14ac:dyDescent="0.55000000000000004">
      <c r="A104" s="232">
        <v>23</v>
      </c>
      <c r="B104" s="233">
        <f t="shared" si="43"/>
        <v>2067</v>
      </c>
      <c r="C104" s="233">
        <f t="shared" si="43"/>
        <v>87</v>
      </c>
      <c r="D104" s="233">
        <f t="shared" si="42"/>
        <v>82</v>
      </c>
      <c r="E104" s="234">
        <f t="shared" si="34"/>
        <v>9464999.0606774781</v>
      </c>
      <c r="F104" s="235">
        <f t="shared" si="14"/>
        <v>365449.4863569602</v>
      </c>
      <c r="G104" s="235">
        <f t="shared" si="15"/>
        <v>0</v>
      </c>
      <c r="H104" s="235">
        <f t="shared" si="16"/>
        <v>71020.757057084993</v>
      </c>
      <c r="I104" s="235">
        <f t="shared" si="35"/>
        <v>294428.72929987521</v>
      </c>
      <c r="J104" s="235">
        <f t="shared" si="17"/>
        <v>662549.93424742355</v>
      </c>
      <c r="K104" s="236">
        <f t="shared" si="18"/>
        <v>9833120.2656250261</v>
      </c>
      <c r="L104" s="224">
        <f t="shared" si="36"/>
        <v>38067.65482885002</v>
      </c>
      <c r="M104" s="229">
        <f t="shared" si="19"/>
        <v>3068.7056022918282</v>
      </c>
      <c r="N104" s="229">
        <f t="shared" si="20"/>
        <v>34998.949226558194</v>
      </c>
      <c r="O104" s="237">
        <f t="shared" si="21"/>
        <v>8.0611889965077954E-2</v>
      </c>
      <c r="P104" s="224">
        <f t="shared" si="22"/>
        <v>0</v>
      </c>
      <c r="Q104" s="225">
        <f t="shared" si="23"/>
        <v>6465.644667509202</v>
      </c>
      <c r="R104" s="225">
        <f t="shared" si="37"/>
        <v>6465.644667509202</v>
      </c>
      <c r="S104" s="225">
        <f t="shared" si="24"/>
        <v>547.24824608545305</v>
      </c>
      <c r="T104" s="230">
        <f t="shared" si="38"/>
        <v>5918.3964214237494</v>
      </c>
      <c r="U104" s="238">
        <f t="shared" si="39"/>
        <v>0</v>
      </c>
      <c r="V104" s="229">
        <f t="shared" si="40"/>
        <v>6465.644667509202</v>
      </c>
      <c r="W104" s="229">
        <f t="shared" si="25"/>
        <v>5918.3964214237494</v>
      </c>
      <c r="X104" s="238">
        <f t="shared" si="26"/>
        <v>31602.010161340819</v>
      </c>
      <c r="Y104" s="238">
        <f t="shared" si="27"/>
        <v>8532.5427435620222</v>
      </c>
      <c r="Z104" s="228">
        <f t="shared" si="28"/>
        <v>15801.005080670409</v>
      </c>
      <c r="AA104" s="229">
        <f t="shared" si="29"/>
        <v>1573.3970513661504</v>
      </c>
      <c r="AB104" s="230">
        <f t="shared" si="30"/>
        <v>14227.60802930426</v>
      </c>
      <c r="AC104" s="228">
        <f t="shared" si="31"/>
        <v>6320.4020322681645</v>
      </c>
      <c r="AD104" s="229">
        <f t="shared" si="32"/>
        <v>948.0603048402246</v>
      </c>
      <c r="AE104" s="230">
        <f t="shared" si="41"/>
        <v>5372.34172742794</v>
      </c>
    </row>
    <row r="105" spans="1:31" x14ac:dyDescent="0.55000000000000004">
      <c r="A105" s="232">
        <v>24</v>
      </c>
      <c r="B105" s="233">
        <f t="shared" si="43"/>
        <v>2068</v>
      </c>
      <c r="C105" s="233">
        <f t="shared" si="43"/>
        <v>88</v>
      </c>
      <c r="D105" s="233">
        <f t="shared" si="42"/>
        <v>83</v>
      </c>
      <c r="E105" s="234">
        <f t="shared" si="34"/>
        <v>9833120.2656250261</v>
      </c>
      <c r="F105" s="235">
        <f t="shared" si="14"/>
        <v>376412.970947669</v>
      </c>
      <c r="G105" s="235">
        <f t="shared" si="15"/>
        <v>0</v>
      </c>
      <c r="H105" s="235">
        <f t="shared" si="16"/>
        <v>72867.296740569203</v>
      </c>
      <c r="I105" s="235">
        <f t="shared" si="35"/>
        <v>303545.67420709983</v>
      </c>
      <c r="J105" s="235">
        <f t="shared" si="17"/>
        <v>688318.41859375185</v>
      </c>
      <c r="K105" s="236">
        <f t="shared" si="18"/>
        <v>10217893.010011677</v>
      </c>
      <c r="L105" s="224">
        <f t="shared" si="36"/>
        <v>39209.684473715519</v>
      </c>
      <c r="M105" s="229">
        <f t="shared" si="19"/>
        <v>3160.6412976683077</v>
      </c>
      <c r="N105" s="229">
        <f t="shared" si="20"/>
        <v>36049.043176047213</v>
      </c>
      <c r="O105" s="237">
        <f t="shared" si="21"/>
        <v>8.0608689921671361E-2</v>
      </c>
      <c r="P105" s="224">
        <f t="shared" si="22"/>
        <v>0</v>
      </c>
      <c r="Q105" s="225">
        <f t="shared" si="23"/>
        <v>6633.7514288644425</v>
      </c>
      <c r="R105" s="225">
        <f t="shared" si="37"/>
        <v>6633.7514288644425</v>
      </c>
      <c r="S105" s="225">
        <f t="shared" si="24"/>
        <v>561.4767004836749</v>
      </c>
      <c r="T105" s="230">
        <f t="shared" si="38"/>
        <v>6072.2747283807676</v>
      </c>
      <c r="U105" s="238">
        <f t="shared" si="39"/>
        <v>0</v>
      </c>
      <c r="V105" s="229">
        <f t="shared" si="40"/>
        <v>6633.7514288644425</v>
      </c>
      <c r="W105" s="229">
        <f t="shared" si="25"/>
        <v>6072.2747283807676</v>
      </c>
      <c r="X105" s="238">
        <f t="shared" si="26"/>
        <v>32575.933044851077</v>
      </c>
      <c r="Y105" s="238">
        <f t="shared" si="27"/>
        <v>8795.5019221097918</v>
      </c>
      <c r="Z105" s="228">
        <f t="shared" si="28"/>
        <v>16287.966522425539</v>
      </c>
      <c r="AA105" s="229">
        <f t="shared" si="29"/>
        <v>1621.8866058391006</v>
      </c>
      <c r="AB105" s="230">
        <f t="shared" si="30"/>
        <v>14666.079916586439</v>
      </c>
      <c r="AC105" s="228">
        <f t="shared" si="31"/>
        <v>6515.1866089702162</v>
      </c>
      <c r="AD105" s="229">
        <f t="shared" si="32"/>
        <v>977.27799134553243</v>
      </c>
      <c r="AE105" s="230">
        <f t="shared" si="41"/>
        <v>5537.9086176246838</v>
      </c>
    </row>
    <row r="106" spans="1:31" x14ac:dyDescent="0.55000000000000004">
      <c r="A106" s="232">
        <v>25</v>
      </c>
      <c r="B106" s="233">
        <f t="shared" si="43"/>
        <v>2069</v>
      </c>
      <c r="C106" s="233">
        <f t="shared" si="43"/>
        <v>89</v>
      </c>
      <c r="D106" s="233">
        <f t="shared" si="42"/>
        <v>84</v>
      </c>
      <c r="E106" s="234">
        <f t="shared" si="34"/>
        <v>10217893.010011677</v>
      </c>
      <c r="F106" s="235">
        <f t="shared" si="14"/>
        <v>387705.36007609911</v>
      </c>
      <c r="G106" s="235">
        <f t="shared" si="15"/>
        <v>0</v>
      </c>
      <c r="H106" s="235">
        <f t="shared" si="16"/>
        <v>74761.846455823994</v>
      </c>
      <c r="I106" s="235">
        <f t="shared" si="35"/>
        <v>312943.51362027513</v>
      </c>
      <c r="J106" s="235">
        <f t="shared" si="17"/>
        <v>715252.51070081745</v>
      </c>
      <c r="K106" s="236">
        <f t="shared" si="18"/>
        <v>10620202.007092219</v>
      </c>
      <c r="L106" s="224">
        <f t="shared" si="36"/>
        <v>40385.975007926987</v>
      </c>
      <c r="M106" s="229">
        <f t="shared" si="19"/>
        <v>3255.3318016160833</v>
      </c>
      <c r="N106" s="229">
        <f t="shared" si="20"/>
        <v>37130.643206310902</v>
      </c>
      <c r="O106" s="237">
        <f t="shared" si="21"/>
        <v>8.0605502305617915E-2</v>
      </c>
      <c r="P106" s="224">
        <f t="shared" si="22"/>
        <v>0</v>
      </c>
      <c r="Q106" s="225">
        <f t="shared" si="23"/>
        <v>6806.2289660149172</v>
      </c>
      <c r="R106" s="225">
        <f t="shared" si="37"/>
        <v>6806.2289660149172</v>
      </c>
      <c r="S106" s="225">
        <f t="shared" si="24"/>
        <v>576.0750946962504</v>
      </c>
      <c r="T106" s="230">
        <f t="shared" si="38"/>
        <v>6230.1538713186665</v>
      </c>
      <c r="U106" s="238">
        <f t="shared" si="39"/>
        <v>0</v>
      </c>
      <c r="V106" s="229">
        <f t="shared" si="40"/>
        <v>6806.2289660149172</v>
      </c>
      <c r="W106" s="229">
        <f t="shared" si="25"/>
        <v>6230.1538713186665</v>
      </c>
      <c r="X106" s="238">
        <f t="shared" si="26"/>
        <v>33579.746041912069</v>
      </c>
      <c r="Y106" s="238">
        <f t="shared" si="27"/>
        <v>9066.5314313162598</v>
      </c>
      <c r="Z106" s="228">
        <f t="shared" si="28"/>
        <v>16789.873020956034</v>
      </c>
      <c r="AA106" s="229">
        <f t="shared" si="29"/>
        <v>1671.8643256624707</v>
      </c>
      <c r="AB106" s="230">
        <f t="shared" si="30"/>
        <v>15118.008695293565</v>
      </c>
      <c r="AC106" s="228">
        <f t="shared" si="31"/>
        <v>6715.9492083824143</v>
      </c>
      <c r="AD106" s="229">
        <f t="shared" si="32"/>
        <v>1007.3923812573621</v>
      </c>
      <c r="AE106" s="230">
        <f t="shared" si="41"/>
        <v>5708.5568271250522</v>
      </c>
    </row>
    <row r="107" spans="1:31" x14ac:dyDescent="0.55000000000000004">
      <c r="A107" s="232">
        <v>26</v>
      </c>
      <c r="B107" s="233">
        <f t="shared" si="43"/>
        <v>2070</v>
      </c>
      <c r="C107" s="233">
        <f t="shared" si="43"/>
        <v>90</v>
      </c>
      <c r="D107" s="233">
        <f t="shared" si="42"/>
        <v>85</v>
      </c>
      <c r="E107" s="234">
        <f t="shared" si="34"/>
        <v>10620202.007092219</v>
      </c>
      <c r="F107" s="235">
        <f t="shared" si="14"/>
        <v>399336.52087838203</v>
      </c>
      <c r="G107" s="235">
        <f t="shared" si="15"/>
        <v>0</v>
      </c>
      <c r="H107" s="235">
        <f t="shared" si="16"/>
        <v>76705.654463675426</v>
      </c>
      <c r="I107" s="235">
        <f t="shared" si="35"/>
        <v>322630.86641470657</v>
      </c>
      <c r="J107" s="235">
        <f t="shared" si="17"/>
        <v>743414.14049645537</v>
      </c>
      <c r="K107" s="236">
        <f t="shared" si="18"/>
        <v>11040985.281173967</v>
      </c>
      <c r="L107" s="224">
        <f t="shared" si="36"/>
        <v>41597.554258164797</v>
      </c>
      <c r="M107" s="229">
        <f t="shared" si="19"/>
        <v>3352.8596735727529</v>
      </c>
      <c r="N107" s="229">
        <f t="shared" si="20"/>
        <v>38244.694584592042</v>
      </c>
      <c r="O107" s="237">
        <f t="shared" si="21"/>
        <v>8.0602327068655777E-2</v>
      </c>
      <c r="P107" s="224">
        <f t="shared" si="22"/>
        <v>0</v>
      </c>
      <c r="Q107" s="225">
        <f t="shared" si="23"/>
        <v>6983.1909191313052</v>
      </c>
      <c r="R107" s="225">
        <f t="shared" si="37"/>
        <v>6983.1909191313052</v>
      </c>
      <c r="S107" s="225">
        <f t="shared" si="24"/>
        <v>591.05304715835302</v>
      </c>
      <c r="T107" s="230">
        <f t="shared" si="38"/>
        <v>6392.1378719729519</v>
      </c>
      <c r="U107" s="238">
        <f t="shared" si="39"/>
        <v>0</v>
      </c>
      <c r="V107" s="229">
        <f t="shared" si="40"/>
        <v>6983.1909191313052</v>
      </c>
      <c r="W107" s="229">
        <f t="shared" si="25"/>
        <v>6392.1378719729519</v>
      </c>
      <c r="X107" s="238">
        <f t="shared" si="26"/>
        <v>34614.363339033494</v>
      </c>
      <c r="Y107" s="238">
        <f t="shared" si="27"/>
        <v>9345.8781015390432</v>
      </c>
      <c r="Z107" s="228">
        <f t="shared" si="28"/>
        <v>17307.181669516747</v>
      </c>
      <c r="AA107" s="229">
        <f t="shared" si="29"/>
        <v>1723.3757262433951</v>
      </c>
      <c r="AB107" s="230">
        <f t="shared" si="30"/>
        <v>15583.805943273353</v>
      </c>
      <c r="AC107" s="228">
        <f t="shared" si="31"/>
        <v>6922.8726678066996</v>
      </c>
      <c r="AD107" s="229">
        <f t="shared" si="32"/>
        <v>1038.4309001710049</v>
      </c>
      <c r="AE107" s="230">
        <f t="shared" si="41"/>
        <v>5884.4417676356952</v>
      </c>
    </row>
    <row r="108" spans="1:31" x14ac:dyDescent="0.55000000000000004">
      <c r="A108" s="232">
        <v>27</v>
      </c>
      <c r="B108" s="233">
        <f t="shared" si="43"/>
        <v>2071</v>
      </c>
      <c r="C108" s="233">
        <f t="shared" si="43"/>
        <v>91</v>
      </c>
      <c r="D108" s="233">
        <f t="shared" si="42"/>
        <v>86</v>
      </c>
      <c r="E108" s="234">
        <f t="shared" si="34"/>
        <v>11040985.281173967</v>
      </c>
      <c r="F108" s="235">
        <f t="shared" si="14"/>
        <v>411316.61650473351</v>
      </c>
      <c r="G108" s="235">
        <f t="shared" si="15"/>
        <v>0</v>
      </c>
      <c r="H108" s="235">
        <f t="shared" si="16"/>
        <v>78700.00147973097</v>
      </c>
      <c r="I108" s="235">
        <f t="shared" si="35"/>
        <v>332616.61502500251</v>
      </c>
      <c r="J108" s="235">
        <f t="shared" si="17"/>
        <v>772868.96968217776</v>
      </c>
      <c r="K108" s="236">
        <f t="shared" si="18"/>
        <v>11481237.635831142</v>
      </c>
      <c r="L108" s="224">
        <f t="shared" si="36"/>
        <v>42845.480885909739</v>
      </c>
      <c r="M108" s="229">
        <f t="shared" si="19"/>
        <v>3453.3099475537347</v>
      </c>
      <c r="N108" s="229">
        <f t="shared" si="20"/>
        <v>39392.170938356008</v>
      </c>
      <c r="O108" s="237">
        <f t="shared" si="21"/>
        <v>8.0599164162710846E-2</v>
      </c>
      <c r="P108" s="224">
        <f t="shared" si="22"/>
        <v>0</v>
      </c>
      <c r="Q108" s="225">
        <f t="shared" si="23"/>
        <v>7164.7538830287185</v>
      </c>
      <c r="R108" s="225">
        <f t="shared" si="37"/>
        <v>7164.7538830287185</v>
      </c>
      <c r="S108" s="225">
        <f t="shared" si="24"/>
        <v>606.42042638447015</v>
      </c>
      <c r="T108" s="230">
        <f t="shared" si="38"/>
        <v>6558.3334566442481</v>
      </c>
      <c r="U108" s="238">
        <f t="shared" si="39"/>
        <v>0</v>
      </c>
      <c r="V108" s="229">
        <f t="shared" si="40"/>
        <v>7164.7538830287185</v>
      </c>
      <c r="W108" s="229">
        <f t="shared" si="25"/>
        <v>6558.3334566442481</v>
      </c>
      <c r="X108" s="238">
        <f t="shared" si="26"/>
        <v>35680.727002881024</v>
      </c>
      <c r="Y108" s="238">
        <f t="shared" si="27"/>
        <v>9633.7962907778765</v>
      </c>
      <c r="Z108" s="228">
        <f t="shared" si="28"/>
        <v>17840.363501440512</v>
      </c>
      <c r="AA108" s="229">
        <f t="shared" si="29"/>
        <v>1776.4677110828341</v>
      </c>
      <c r="AB108" s="230">
        <f t="shared" si="30"/>
        <v>16063.895790357679</v>
      </c>
      <c r="AC108" s="228">
        <f t="shared" si="31"/>
        <v>7136.1454005762052</v>
      </c>
      <c r="AD108" s="229">
        <f t="shared" si="32"/>
        <v>1070.4218100864307</v>
      </c>
      <c r="AE108" s="230">
        <f t="shared" si="41"/>
        <v>6065.7235904897743</v>
      </c>
    </row>
    <row r="109" spans="1:31" x14ac:dyDescent="0.55000000000000004">
      <c r="A109" s="232">
        <v>28</v>
      </c>
      <c r="B109" s="233">
        <f t="shared" si="43"/>
        <v>2072</v>
      </c>
      <c r="C109" s="233">
        <f t="shared" si="43"/>
        <v>92</v>
      </c>
      <c r="D109" s="233">
        <f t="shared" si="42"/>
        <v>87</v>
      </c>
      <c r="E109" s="234">
        <f t="shared" si="34"/>
        <v>11481237.635831142</v>
      </c>
      <c r="F109" s="235">
        <f t="shared" si="14"/>
        <v>423656.11499987554</v>
      </c>
      <c r="G109" s="235">
        <f t="shared" si="15"/>
        <v>0</v>
      </c>
      <c r="H109" s="235">
        <f t="shared" si="16"/>
        <v>80746.201518203976</v>
      </c>
      <c r="I109" s="235">
        <f t="shared" si="35"/>
        <v>342909.9134816716</v>
      </c>
      <c r="J109" s="235">
        <f t="shared" si="17"/>
        <v>803686.63450817997</v>
      </c>
      <c r="K109" s="236">
        <f t="shared" si="18"/>
        <v>11942014.35685765</v>
      </c>
      <c r="L109" s="224">
        <f t="shared" si="36"/>
        <v>44130.845312487036</v>
      </c>
      <c r="M109" s="229">
        <f t="shared" si="19"/>
        <v>3556.7702063322654</v>
      </c>
      <c r="N109" s="229">
        <f t="shared" si="20"/>
        <v>40574.075106154771</v>
      </c>
      <c r="O109" s="237">
        <f t="shared" si="21"/>
        <v>8.0596013539896094E-2</v>
      </c>
      <c r="P109" s="224">
        <f t="shared" si="22"/>
        <v>0</v>
      </c>
      <c r="Q109" s="225">
        <f t="shared" si="23"/>
        <v>7351.0374839874639</v>
      </c>
      <c r="R109" s="225">
        <f t="shared" si="37"/>
        <v>7351.0374839874639</v>
      </c>
      <c r="S109" s="225">
        <f t="shared" si="24"/>
        <v>622.18735747046628</v>
      </c>
      <c r="T109" s="230">
        <f t="shared" si="38"/>
        <v>6728.850126516998</v>
      </c>
      <c r="U109" s="238">
        <f t="shared" si="39"/>
        <v>0</v>
      </c>
      <c r="V109" s="229">
        <f t="shared" si="40"/>
        <v>7351.0374839874639</v>
      </c>
      <c r="W109" s="229">
        <f t="shared" si="25"/>
        <v>6728.850126516998</v>
      </c>
      <c r="X109" s="238">
        <f t="shared" si="26"/>
        <v>36779.807828499572</v>
      </c>
      <c r="Y109" s="238">
        <f t="shared" si="27"/>
        <v>9930.5481136948856</v>
      </c>
      <c r="Z109" s="228">
        <f t="shared" si="28"/>
        <v>18389.903914249786</v>
      </c>
      <c r="AA109" s="229">
        <f t="shared" si="29"/>
        <v>1831.188614006812</v>
      </c>
      <c r="AB109" s="230">
        <f t="shared" si="30"/>
        <v>16558.715300242973</v>
      </c>
      <c r="AC109" s="228">
        <f t="shared" si="31"/>
        <v>7355.9615656999149</v>
      </c>
      <c r="AD109" s="229">
        <f t="shared" si="32"/>
        <v>1103.3942348549872</v>
      </c>
      <c r="AE109" s="230">
        <f t="shared" si="41"/>
        <v>6252.5673308449277</v>
      </c>
    </row>
    <row r="110" spans="1:31" x14ac:dyDescent="0.55000000000000004">
      <c r="A110" s="232">
        <v>29</v>
      </c>
      <c r="B110" s="233">
        <f t="shared" si="43"/>
        <v>2073</v>
      </c>
      <c r="C110" s="233">
        <f t="shared" si="43"/>
        <v>93</v>
      </c>
      <c r="D110" s="233">
        <f t="shared" si="42"/>
        <v>88</v>
      </c>
      <c r="E110" s="234">
        <f t="shared" si="34"/>
        <v>11942014.35685765</v>
      </c>
      <c r="F110" s="235">
        <f t="shared" si="14"/>
        <v>436365.79844987183</v>
      </c>
      <c r="G110" s="235">
        <f t="shared" si="15"/>
        <v>0</v>
      </c>
      <c r="H110" s="235">
        <f t="shared" si="16"/>
        <v>82845.60275767729</v>
      </c>
      <c r="I110" s="235">
        <f t="shared" si="35"/>
        <v>353520.19569219451</v>
      </c>
      <c r="J110" s="235">
        <f t="shared" si="17"/>
        <v>835941.00498003559</v>
      </c>
      <c r="K110" s="236">
        <f t="shared" si="18"/>
        <v>12424435.16614549</v>
      </c>
      <c r="L110" s="224">
        <f t="shared" si="36"/>
        <v>45454.770671861646</v>
      </c>
      <c r="M110" s="229">
        <f t="shared" si="19"/>
        <v>3663.3306578433017</v>
      </c>
      <c r="N110" s="229">
        <f t="shared" si="20"/>
        <v>41791.440014018342</v>
      </c>
      <c r="O110" s="237">
        <f t="shared" si="21"/>
        <v>8.059287515250968E-2</v>
      </c>
      <c r="P110" s="224">
        <f t="shared" si="22"/>
        <v>0</v>
      </c>
      <c r="Q110" s="225">
        <f t="shared" si="23"/>
        <v>7542.1644585711383</v>
      </c>
      <c r="R110" s="225">
        <f t="shared" si="37"/>
        <v>7542.1644585711383</v>
      </c>
      <c r="S110" s="225">
        <f t="shared" si="24"/>
        <v>638.3642287646984</v>
      </c>
      <c r="T110" s="230">
        <f t="shared" si="38"/>
        <v>6903.8002298064403</v>
      </c>
      <c r="U110" s="238">
        <f t="shared" si="39"/>
        <v>0</v>
      </c>
      <c r="V110" s="229">
        <f t="shared" si="40"/>
        <v>7542.1644585711383</v>
      </c>
      <c r="W110" s="229">
        <f t="shared" si="25"/>
        <v>6903.8002298064403</v>
      </c>
      <c r="X110" s="238">
        <f t="shared" si="26"/>
        <v>37912.606213290506</v>
      </c>
      <c r="Y110" s="238">
        <f t="shared" si="27"/>
        <v>10236.403677588438</v>
      </c>
      <c r="Z110" s="228">
        <f t="shared" si="28"/>
        <v>18956.303106645253</v>
      </c>
      <c r="AA110" s="229">
        <f t="shared" si="29"/>
        <v>1887.588242679888</v>
      </c>
      <c r="AB110" s="230">
        <f t="shared" si="30"/>
        <v>17068.714863965364</v>
      </c>
      <c r="AC110" s="228">
        <f t="shared" si="31"/>
        <v>7582.521242658102</v>
      </c>
      <c r="AD110" s="229">
        <f t="shared" si="32"/>
        <v>1137.3781863987153</v>
      </c>
      <c r="AE110" s="230">
        <f t="shared" si="41"/>
        <v>6445.1430562593869</v>
      </c>
    </row>
    <row r="111" spans="1:31" x14ac:dyDescent="0.55000000000000004">
      <c r="A111" s="232">
        <v>30</v>
      </c>
      <c r="B111" s="233">
        <f t="shared" si="43"/>
        <v>2074</v>
      </c>
      <c r="C111" s="233">
        <f t="shared" si="43"/>
        <v>94</v>
      </c>
      <c r="D111" s="233">
        <f t="shared" si="42"/>
        <v>89</v>
      </c>
      <c r="E111" s="234">
        <f t="shared" si="34"/>
        <v>12424435.16614549</v>
      </c>
      <c r="F111" s="235">
        <f t="shared" si="14"/>
        <v>449456.77240336803</v>
      </c>
      <c r="G111" s="235">
        <f t="shared" si="15"/>
        <v>0</v>
      </c>
      <c r="H111" s="235">
        <f t="shared" si="16"/>
        <v>84999.58842937689</v>
      </c>
      <c r="I111" s="235">
        <f t="shared" si="35"/>
        <v>364457.18397399114</v>
      </c>
      <c r="J111" s="235">
        <f t="shared" si="17"/>
        <v>869710.46163018444</v>
      </c>
      <c r="K111" s="236">
        <f t="shared" si="18"/>
        <v>12929688.443801684</v>
      </c>
      <c r="L111" s="224">
        <f t="shared" si="36"/>
        <v>46818.413792017498</v>
      </c>
      <c r="M111" s="229">
        <f t="shared" si="19"/>
        <v>3773.0842138780167</v>
      </c>
      <c r="N111" s="229">
        <f t="shared" si="20"/>
        <v>43045.329578139485</v>
      </c>
      <c r="O111" s="237">
        <f t="shared" si="21"/>
        <v>8.0589748953035278E-2</v>
      </c>
      <c r="P111" s="224">
        <f t="shared" si="22"/>
        <v>0</v>
      </c>
      <c r="Q111" s="225">
        <f t="shared" si="23"/>
        <v>7738.2607344939879</v>
      </c>
      <c r="R111" s="225">
        <f t="shared" si="37"/>
        <v>7738.2607344939879</v>
      </c>
      <c r="S111" s="225">
        <f t="shared" si="24"/>
        <v>654.96169871258053</v>
      </c>
      <c r="T111" s="230">
        <f t="shared" si="38"/>
        <v>7083.2990357814069</v>
      </c>
      <c r="U111" s="238">
        <f t="shared" si="39"/>
        <v>0</v>
      </c>
      <c r="V111" s="229">
        <f t="shared" si="40"/>
        <v>7738.2607344939879</v>
      </c>
      <c r="W111" s="229">
        <f t="shared" si="25"/>
        <v>7083.2990357814069</v>
      </c>
      <c r="X111" s="238">
        <f t="shared" si="26"/>
        <v>39080.153057523508</v>
      </c>
      <c r="Y111" s="238">
        <f t="shared" si="27"/>
        <v>10551.641325531347</v>
      </c>
      <c r="Z111" s="228">
        <f t="shared" si="28"/>
        <v>19540.076528761754</v>
      </c>
      <c r="AA111" s="229">
        <f t="shared" si="29"/>
        <v>1945.7179234397311</v>
      </c>
      <c r="AB111" s="230">
        <f t="shared" si="30"/>
        <v>17594.358605322024</v>
      </c>
      <c r="AC111" s="228">
        <f t="shared" si="31"/>
        <v>7816.0306115047024</v>
      </c>
      <c r="AD111" s="229">
        <f t="shared" si="32"/>
        <v>1172.4045917257054</v>
      </c>
      <c r="AE111" s="230">
        <f t="shared" si="41"/>
        <v>6643.626019778997</v>
      </c>
    </row>
    <row r="112" spans="1:31" x14ac:dyDescent="0.55000000000000004">
      <c r="A112" s="232">
        <v>31</v>
      </c>
      <c r="B112" s="233">
        <f t="shared" si="43"/>
        <v>2075</v>
      </c>
      <c r="C112" s="233">
        <f t="shared" si="43"/>
        <v>95</v>
      </c>
      <c r="D112" s="233">
        <f t="shared" si="42"/>
        <v>90</v>
      </c>
      <c r="E112" s="234">
        <f t="shared" si="34"/>
        <v>12929688.443801684</v>
      </c>
      <c r="F112" s="235">
        <f t="shared" si="14"/>
        <v>462940.47557546909</v>
      </c>
      <c r="G112" s="235">
        <f t="shared" si="15"/>
        <v>0</v>
      </c>
      <c r="H112" s="235">
        <f t="shared" si="16"/>
        <v>87209.57772854068</v>
      </c>
      <c r="I112" s="235">
        <f t="shared" si="35"/>
        <v>375730.89784692839</v>
      </c>
      <c r="J112" s="235">
        <f t="shared" si="17"/>
        <v>905078.19106611796</v>
      </c>
      <c r="K112" s="236">
        <f t="shared" si="18"/>
        <v>13459035.737020874</v>
      </c>
      <c r="L112" s="224">
        <f t="shared" si="36"/>
        <v>48222.966205778022</v>
      </c>
      <c r="M112" s="229">
        <f t="shared" si="19"/>
        <v>3886.1265711375586</v>
      </c>
      <c r="N112" s="229">
        <f t="shared" si="20"/>
        <v>44336.839634640462</v>
      </c>
      <c r="O112" s="237">
        <f t="shared" si="21"/>
        <v>8.0586634894141529E-2</v>
      </c>
      <c r="P112" s="224">
        <f t="shared" si="22"/>
        <v>0</v>
      </c>
      <c r="Q112" s="225">
        <f t="shared" si="23"/>
        <v>7939.4555135908313</v>
      </c>
      <c r="R112" s="225">
        <f t="shared" si="37"/>
        <v>7939.4555135908313</v>
      </c>
      <c r="S112" s="225">
        <f t="shared" si="24"/>
        <v>671.99070287910763</v>
      </c>
      <c r="T112" s="230">
        <f t="shared" si="38"/>
        <v>7267.4648107117237</v>
      </c>
      <c r="U112" s="238">
        <f t="shared" si="39"/>
        <v>0</v>
      </c>
      <c r="V112" s="229">
        <f t="shared" si="40"/>
        <v>7939.4555135908313</v>
      </c>
      <c r="W112" s="229">
        <f t="shared" si="25"/>
        <v>7267.4648107117237</v>
      </c>
      <c r="X112" s="238">
        <f t="shared" si="26"/>
        <v>40283.510692187192</v>
      </c>
      <c r="Y112" s="238">
        <f t="shared" si="27"/>
        <v>10876.547886890543</v>
      </c>
      <c r="Z112" s="228">
        <f t="shared" si="28"/>
        <v>20141.755346093596</v>
      </c>
      <c r="AA112" s="229">
        <f t="shared" si="29"/>
        <v>2005.6305474928351</v>
      </c>
      <c r="AB112" s="230">
        <f t="shared" si="30"/>
        <v>18136.124798600762</v>
      </c>
      <c r="AC112" s="228">
        <f t="shared" si="31"/>
        <v>8056.7021384374384</v>
      </c>
      <c r="AD112" s="229">
        <f t="shared" si="32"/>
        <v>1208.5053207656158</v>
      </c>
      <c r="AE112" s="230">
        <f t="shared" si="41"/>
        <v>6848.1968176718228</v>
      </c>
    </row>
    <row r="113" spans="1:31" x14ac:dyDescent="0.55000000000000004">
      <c r="A113" s="232">
        <v>32</v>
      </c>
      <c r="B113" s="233">
        <f t="shared" si="43"/>
        <v>2076</v>
      </c>
      <c r="C113" s="233">
        <f t="shared" si="43"/>
        <v>96</v>
      </c>
      <c r="D113" s="233">
        <f t="shared" si="42"/>
        <v>91</v>
      </c>
      <c r="E113" s="234">
        <f t="shared" si="34"/>
        <v>13459035.737020874</v>
      </c>
      <c r="F113" s="235">
        <f t="shared" si="14"/>
        <v>476828.68984273309</v>
      </c>
      <c r="G113" s="235">
        <f t="shared" si="15"/>
        <v>0</v>
      </c>
      <c r="H113" s="235">
        <f t="shared" si="16"/>
        <v>89477.026749482742</v>
      </c>
      <c r="I113" s="235">
        <f t="shared" si="35"/>
        <v>387351.66309325036</v>
      </c>
      <c r="J113" s="235">
        <f t="shared" si="17"/>
        <v>942132.50159146124</v>
      </c>
      <c r="K113" s="236">
        <f t="shared" si="18"/>
        <v>14013816.575519085</v>
      </c>
      <c r="L113" s="224">
        <f t="shared" si="36"/>
        <v>49669.655191951366</v>
      </c>
      <c r="M113" s="229">
        <f t="shared" si="19"/>
        <v>4002.55629471681</v>
      </c>
      <c r="N113" s="229">
        <f t="shared" si="20"/>
        <v>45667.098897234559</v>
      </c>
      <c r="O113" s="237">
        <f t="shared" si="21"/>
        <v>8.0583532928680257E-2</v>
      </c>
      <c r="P113" s="224">
        <f t="shared" si="22"/>
        <v>0</v>
      </c>
      <c r="Q113" s="225">
        <f t="shared" si="23"/>
        <v>8145.8813569441936</v>
      </c>
      <c r="R113" s="225">
        <f t="shared" si="37"/>
        <v>8145.8813569441936</v>
      </c>
      <c r="S113" s="225">
        <f t="shared" si="24"/>
        <v>689.46246115396457</v>
      </c>
      <c r="T113" s="230">
        <f t="shared" si="38"/>
        <v>7456.4188957902288</v>
      </c>
      <c r="U113" s="238">
        <f t="shared" si="39"/>
        <v>0</v>
      </c>
      <c r="V113" s="229">
        <f t="shared" si="40"/>
        <v>8145.8813569441936</v>
      </c>
      <c r="W113" s="229">
        <f t="shared" si="25"/>
        <v>7456.4188957902288</v>
      </c>
      <c r="X113" s="238">
        <f t="shared" si="26"/>
        <v>41523.773835007174</v>
      </c>
      <c r="Y113" s="238">
        <f t="shared" si="27"/>
        <v>11211.418935451939</v>
      </c>
      <c r="Z113" s="228">
        <f t="shared" si="28"/>
        <v>20761.886917503587</v>
      </c>
      <c r="AA113" s="229">
        <f t="shared" si="29"/>
        <v>2067.38061851263</v>
      </c>
      <c r="AB113" s="230">
        <f t="shared" si="30"/>
        <v>18694.506298990957</v>
      </c>
      <c r="AC113" s="228">
        <f t="shared" si="31"/>
        <v>8304.7547670014355</v>
      </c>
      <c r="AD113" s="229">
        <f t="shared" si="32"/>
        <v>1245.7132150502152</v>
      </c>
      <c r="AE113" s="230">
        <f t="shared" si="41"/>
        <v>7059.0415519512208</v>
      </c>
    </row>
    <row r="114" spans="1:31" x14ac:dyDescent="0.55000000000000004">
      <c r="A114" s="232">
        <v>33</v>
      </c>
      <c r="B114" s="233">
        <f t="shared" si="43"/>
        <v>2077</v>
      </c>
      <c r="C114" s="233">
        <f t="shared" si="43"/>
        <v>97</v>
      </c>
      <c r="D114" s="233">
        <f t="shared" si="42"/>
        <v>92</v>
      </c>
      <c r="E114" s="234">
        <f t="shared" si="34"/>
        <v>14013816.575519085</v>
      </c>
      <c r="F114" s="235">
        <f t="shared" ref="F114:F134" si="44">IF(AND(B114&gt;$I$6,B114&gt;$J$6),0,IF(AND(B114&gt;$I$6,B114&lt;$J$6),L114*12*$J$7,L114*12))</f>
        <v>491133.5505380152</v>
      </c>
      <c r="G114" s="235">
        <f t="shared" ref="G114:G134" si="45">IF(AND($H$21+$G$5 &gt; C114, $H$20 = "Yes"), $H$22, 0)</f>
        <v>0</v>
      </c>
      <c r="H114" s="235">
        <f t="shared" si="16"/>
        <v>91803.429444969297</v>
      </c>
      <c r="I114" s="235">
        <f t="shared" si="35"/>
        <v>399330.12109304592</v>
      </c>
      <c r="J114" s="235">
        <f t="shared" ref="J114:J134" si="46">IF(AND(B114&gt;$I$6,B114&gt;$J$6),E114*$I$11,E114*$G$11)</f>
        <v>980967.16028633609</v>
      </c>
      <c r="K114" s="236">
        <f t="shared" si="18"/>
        <v>14595453.614712374</v>
      </c>
      <c r="L114" s="224">
        <f t="shared" si="36"/>
        <v>51159.74484770991</v>
      </c>
      <c r="M114" s="229">
        <f t="shared" ref="M114:M134" si="47">SUM(AD114,AA114,S114)</f>
        <v>4122.474904091011</v>
      </c>
      <c r="N114" s="229">
        <f t="shared" si="20"/>
        <v>47037.2699436189</v>
      </c>
      <c r="O114" s="237">
        <f t="shared" ref="O114:O134" si="48">IF(AND(B114&gt;$I$6,B114&gt;$J$6),0,1-(N114/L114))</f>
        <v>8.058044300968692E-2</v>
      </c>
      <c r="P114" s="224">
        <f t="shared" ref="P114:P134" si="49">IF(C114&gt;INT($I$5),0,IF(C114&lt;INT($G$14),0,IF(C114=INT($G$14),$G$15,IF(C114&gt;INT($G$14),$G$15*(1+$E$17)^(C114-INT($G$14))))))</f>
        <v>0</v>
      </c>
      <c r="Q114" s="225">
        <f t="shared" ref="Q114:Q134" si="50">IF(D114&gt;INT($J$5),0,IF(D114&lt;INT($H$14),0,IF(D114=INT($H$14),$H$15,IF(D114&gt;INT($H$14),$H$15*(1+$E$17)^(D114-INT($H$14))))))</f>
        <v>8357.6742722247418</v>
      </c>
      <c r="R114" s="225">
        <f t="shared" si="37"/>
        <v>8357.6742722247418</v>
      </c>
      <c r="S114" s="225">
        <f t="shared" ref="S114:S134" si="51">(P114+Q114)*$L$8*$L$9</f>
        <v>707.38848514396739</v>
      </c>
      <c r="T114" s="230">
        <f t="shared" si="38"/>
        <v>7650.2857870807748</v>
      </c>
      <c r="U114" s="238">
        <f t="shared" si="39"/>
        <v>0</v>
      </c>
      <c r="V114" s="229">
        <f t="shared" si="40"/>
        <v>8357.6742722247418</v>
      </c>
      <c r="W114" s="229">
        <f t="shared" si="25"/>
        <v>7650.2857870807748</v>
      </c>
      <c r="X114" s="238">
        <f t="shared" si="26"/>
        <v>42802.070575485166</v>
      </c>
      <c r="Y114" s="238">
        <f t="shared" ref="Y114:Y134" si="52">IF($C114&gt;59,X114*$L$4,0)</f>
        <v>11556.559055380996</v>
      </c>
      <c r="Z114" s="228">
        <f t="shared" ref="Z114:Z134" si="53">IF($C114&gt;59,X114*$L$5,0)</f>
        <v>21401.035287742583</v>
      </c>
      <c r="AA114" s="229">
        <f t="shared" ref="AA114:AA134" si="54">$Z114*($L$9)</f>
        <v>2131.0243016824888</v>
      </c>
      <c r="AB114" s="230">
        <f t="shared" ref="AB114:AB134" si="55">$Z114*(1-$L$9)</f>
        <v>19270.010986060093</v>
      </c>
      <c r="AC114" s="228">
        <f t="shared" ref="AC114:AC134" si="56">IF($C114&gt;59,X114*$L$6,$X114)</f>
        <v>8560.4141150970336</v>
      </c>
      <c r="AD114" s="229">
        <f t="shared" ref="AD114:AD134" si="57">AC114*$O$41</f>
        <v>1284.0621172645549</v>
      </c>
      <c r="AE114" s="230">
        <f t="shared" si="41"/>
        <v>7276.3519978324784</v>
      </c>
    </row>
    <row r="115" spans="1:31" x14ac:dyDescent="0.55000000000000004">
      <c r="A115" s="232">
        <v>34</v>
      </c>
      <c r="B115" s="233">
        <f t="shared" ref="B115:C130" si="58">B114+1</f>
        <v>2078</v>
      </c>
      <c r="C115" s="233">
        <f t="shared" si="58"/>
        <v>98</v>
      </c>
      <c r="D115" s="233">
        <f t="shared" si="42"/>
        <v>93</v>
      </c>
      <c r="E115" s="234">
        <f t="shared" si="34"/>
        <v>14595453.614712374</v>
      </c>
      <c r="F115" s="235">
        <f t="shared" si="44"/>
        <v>505867.55705415562</v>
      </c>
      <c r="G115" s="235">
        <f t="shared" si="45"/>
        <v>0</v>
      </c>
      <c r="H115" s="235">
        <f t="shared" si="16"/>
        <v>94190.318610538481</v>
      </c>
      <c r="I115" s="235">
        <f t="shared" si="35"/>
        <v>411677.23844361713</v>
      </c>
      <c r="J115" s="235">
        <f t="shared" si="46"/>
        <v>1021681.7530298663</v>
      </c>
      <c r="K115" s="236">
        <f t="shared" si="18"/>
        <v>15205458.129298624</v>
      </c>
      <c r="L115" s="224">
        <f t="shared" ref="L115:L134" si="59">IF(AND(B115&gt;$I$6,B115&gt;$J$6),0,L114*(1+$G$12))</f>
        <v>52694.537193141208</v>
      </c>
      <c r="M115" s="229">
        <f t="shared" si="47"/>
        <v>4245.9869616802889</v>
      </c>
      <c r="N115" s="229">
        <f t="shared" si="20"/>
        <v>48448.550231460918</v>
      </c>
      <c r="O115" s="237">
        <f t="shared" si="48"/>
        <v>8.0577365090378938E-2</v>
      </c>
      <c r="P115" s="224">
        <f t="shared" si="49"/>
        <v>0</v>
      </c>
      <c r="Q115" s="225">
        <f t="shared" si="50"/>
        <v>8574.9738033025842</v>
      </c>
      <c r="R115" s="225">
        <f t="shared" si="37"/>
        <v>8574.9738033025842</v>
      </c>
      <c r="S115" s="225">
        <f t="shared" si="51"/>
        <v>725.78058575771047</v>
      </c>
      <c r="T115" s="230">
        <f t="shared" si="38"/>
        <v>7849.1932175448737</v>
      </c>
      <c r="U115" s="238">
        <f t="shared" ref="U115:U134" si="60">IF(C115&gt;INT($I$5),0,U114*(1+$E$19))</f>
        <v>0</v>
      </c>
      <c r="V115" s="229">
        <f t="shared" si="40"/>
        <v>8574.9738033025842</v>
      </c>
      <c r="W115" s="229">
        <f t="shared" si="25"/>
        <v>7849.1932175448737</v>
      </c>
      <c r="X115" s="238">
        <f t="shared" si="26"/>
        <v>44119.563389838622</v>
      </c>
      <c r="Y115" s="238">
        <f t="shared" si="52"/>
        <v>11912.282115256428</v>
      </c>
      <c r="Z115" s="228">
        <f t="shared" si="53"/>
        <v>22059.781694919311</v>
      </c>
      <c r="AA115" s="229">
        <f t="shared" si="54"/>
        <v>2196.6194742274201</v>
      </c>
      <c r="AB115" s="230">
        <f t="shared" si="55"/>
        <v>19863.162220691891</v>
      </c>
      <c r="AC115" s="228">
        <f t="shared" si="56"/>
        <v>8823.9126779677244</v>
      </c>
      <c r="AD115" s="229">
        <f t="shared" si="57"/>
        <v>1323.5869016951585</v>
      </c>
      <c r="AE115" s="230">
        <f t="shared" si="41"/>
        <v>7500.3257762725661</v>
      </c>
    </row>
    <row r="116" spans="1:31" x14ac:dyDescent="0.55000000000000004">
      <c r="A116" s="232">
        <v>35</v>
      </c>
      <c r="B116" s="233">
        <f t="shared" si="58"/>
        <v>2079</v>
      </c>
      <c r="C116" s="233">
        <f t="shared" si="58"/>
        <v>99</v>
      </c>
      <c r="D116" s="233">
        <f t="shared" si="42"/>
        <v>94</v>
      </c>
      <c r="E116" s="234">
        <f t="shared" si="34"/>
        <v>15205458.129298624</v>
      </c>
      <c r="F116" s="235">
        <f t="shared" si="44"/>
        <v>521043.58376578032</v>
      </c>
      <c r="G116" s="235">
        <f t="shared" si="45"/>
        <v>0</v>
      </c>
      <c r="H116" s="235">
        <f t="shared" si="16"/>
        <v>96639.266894412474</v>
      </c>
      <c r="I116" s="235">
        <f t="shared" si="35"/>
        <v>424404.31687136786</v>
      </c>
      <c r="J116" s="235">
        <f t="shared" si="46"/>
        <v>1064382.0690509037</v>
      </c>
      <c r="K116" s="236">
        <f t="shared" si="18"/>
        <v>15845435.881478161</v>
      </c>
      <c r="L116" s="224">
        <f t="shared" si="59"/>
        <v>54275.373308935443</v>
      </c>
      <c r="M116" s="229">
        <f t="shared" si="47"/>
        <v>4373.2001640693761</v>
      </c>
      <c r="N116" s="229">
        <f t="shared" si="20"/>
        <v>49902.173144866065</v>
      </c>
      <c r="O116" s="237">
        <f t="shared" si="48"/>
        <v>8.0574299124155702E-2</v>
      </c>
      <c r="P116" s="224">
        <f t="shared" si="49"/>
        <v>0</v>
      </c>
      <c r="Q116" s="225">
        <f t="shared" si="50"/>
        <v>8797.9231221884511</v>
      </c>
      <c r="R116" s="225">
        <f t="shared" si="37"/>
        <v>8797.9231221884511</v>
      </c>
      <c r="S116" s="225">
        <f t="shared" si="51"/>
        <v>744.65088098741103</v>
      </c>
      <c r="T116" s="230">
        <f t="shared" si="38"/>
        <v>8053.2722412010398</v>
      </c>
      <c r="U116" s="238">
        <f t="shared" si="60"/>
        <v>0</v>
      </c>
      <c r="V116" s="229">
        <f t="shared" si="40"/>
        <v>8797.9231221884511</v>
      </c>
      <c r="W116" s="229">
        <f t="shared" si="25"/>
        <v>8053.2722412010398</v>
      </c>
      <c r="X116" s="238">
        <f t="shared" si="26"/>
        <v>45477.450186746995</v>
      </c>
      <c r="Y116" s="238">
        <f t="shared" si="52"/>
        <v>12278.91155042169</v>
      </c>
      <c r="Z116" s="228">
        <f t="shared" si="53"/>
        <v>22738.725093373498</v>
      </c>
      <c r="AA116" s="229">
        <f t="shared" si="54"/>
        <v>2264.2257774795553</v>
      </c>
      <c r="AB116" s="230">
        <f t="shared" si="55"/>
        <v>20474.499315893943</v>
      </c>
      <c r="AC116" s="228">
        <f t="shared" si="56"/>
        <v>9095.4900373494002</v>
      </c>
      <c r="AD116" s="229">
        <f t="shared" si="57"/>
        <v>1364.32350560241</v>
      </c>
      <c r="AE116" s="230">
        <f t="shared" si="41"/>
        <v>7731.1665317469906</v>
      </c>
    </row>
    <row r="117" spans="1:31" x14ac:dyDescent="0.55000000000000004">
      <c r="A117" s="232">
        <v>36</v>
      </c>
      <c r="B117" s="233">
        <f t="shared" si="58"/>
        <v>2080</v>
      </c>
      <c r="C117" s="233">
        <f t="shared" si="58"/>
        <v>100</v>
      </c>
      <c r="D117" s="233">
        <f t="shared" si="42"/>
        <v>95</v>
      </c>
      <c r="E117" s="234">
        <f t="shared" si="34"/>
        <v>15845435.881478161</v>
      </c>
      <c r="F117" s="235">
        <f t="shared" si="44"/>
        <v>670843.61409844202</v>
      </c>
      <c r="G117" s="235">
        <f t="shared" si="45"/>
        <v>0</v>
      </c>
      <c r="H117" s="235">
        <f t="shared" si="16"/>
        <v>99151.887833667221</v>
      </c>
      <c r="I117" s="235">
        <f t="shared" si="35"/>
        <v>571691.7262647748</v>
      </c>
      <c r="J117" s="235">
        <f t="shared" si="46"/>
        <v>1109180.5117034714</v>
      </c>
      <c r="K117" s="236">
        <f t="shared" si="18"/>
        <v>16382924.666916857</v>
      </c>
      <c r="L117" s="224">
        <f t="shared" si="59"/>
        <v>55903.634508203504</v>
      </c>
      <c r="M117" s="229">
        <f t="shared" si="47"/>
        <v>4504.2254359621402</v>
      </c>
      <c r="N117" s="229">
        <f t="shared" si="20"/>
        <v>51399.409072241368</v>
      </c>
      <c r="O117" s="237">
        <f t="shared" si="48"/>
        <v>8.057124506459723E-2</v>
      </c>
      <c r="P117" s="224">
        <f t="shared" si="49"/>
        <v>0</v>
      </c>
      <c r="Q117" s="225">
        <f t="shared" si="50"/>
        <v>9026.669123365351</v>
      </c>
      <c r="R117" s="225">
        <f t="shared" si="37"/>
        <v>9026.669123365351</v>
      </c>
      <c r="S117" s="225">
        <f t="shared" si="51"/>
        <v>764.01180389308365</v>
      </c>
      <c r="T117" s="230">
        <f t="shared" si="38"/>
        <v>8262.6573194722678</v>
      </c>
      <c r="U117" s="238">
        <f t="shared" si="60"/>
        <v>0</v>
      </c>
      <c r="V117" s="229">
        <f t="shared" si="40"/>
        <v>9026.669123365351</v>
      </c>
      <c r="W117" s="229">
        <f t="shared" si="25"/>
        <v>8262.6573194722678</v>
      </c>
      <c r="X117" s="238">
        <f t="shared" si="26"/>
        <v>46876.965384838157</v>
      </c>
      <c r="Y117" s="238">
        <f t="shared" si="52"/>
        <v>12656.780653906304</v>
      </c>
      <c r="Z117" s="228">
        <f t="shared" si="53"/>
        <v>23438.482692419078</v>
      </c>
      <c r="AA117" s="229">
        <f t="shared" si="54"/>
        <v>2333.904670523912</v>
      </c>
      <c r="AB117" s="230">
        <f t="shared" si="55"/>
        <v>21104.578021895166</v>
      </c>
      <c r="AC117" s="228">
        <f t="shared" si="56"/>
        <v>9375.3930769676317</v>
      </c>
      <c r="AD117" s="229">
        <f t="shared" si="57"/>
        <v>1406.3089615451447</v>
      </c>
      <c r="AE117" s="230">
        <f t="shared" si="41"/>
        <v>7969.0841154224872</v>
      </c>
    </row>
    <row r="118" spans="1:31" x14ac:dyDescent="0.55000000000000004">
      <c r="A118" s="232">
        <v>37</v>
      </c>
      <c r="B118" s="233">
        <f t="shared" si="58"/>
        <v>2081</v>
      </c>
      <c r="C118" s="233">
        <f t="shared" si="58"/>
        <v>101</v>
      </c>
      <c r="D118" s="233">
        <f t="shared" si="42"/>
        <v>96</v>
      </c>
      <c r="E118" s="234">
        <f t="shared" si="34"/>
        <v>16382924.666916857</v>
      </c>
      <c r="F118" s="235">
        <f t="shared" si="44"/>
        <v>0</v>
      </c>
      <c r="G118" s="235">
        <f t="shared" si="45"/>
        <v>0</v>
      </c>
      <c r="H118" s="235">
        <f t="shared" si="16"/>
        <v>0</v>
      </c>
      <c r="I118" s="235">
        <f t="shared" si="35"/>
        <v>0</v>
      </c>
      <c r="J118" s="235">
        <f t="shared" si="46"/>
        <v>1146804.7266841801</v>
      </c>
      <c r="K118" s="236">
        <f t="shared" si="18"/>
        <v>17529729.393601038</v>
      </c>
      <c r="L118" s="224">
        <f t="shared" si="59"/>
        <v>0</v>
      </c>
      <c r="M118" s="229">
        <f t="shared" si="47"/>
        <v>0</v>
      </c>
      <c r="N118" s="229">
        <f t="shared" si="20"/>
        <v>0</v>
      </c>
      <c r="O118" s="237">
        <f t="shared" si="48"/>
        <v>0</v>
      </c>
      <c r="P118" s="224">
        <f t="shared" si="49"/>
        <v>0</v>
      </c>
      <c r="Q118" s="225">
        <f t="shared" si="50"/>
        <v>0</v>
      </c>
      <c r="R118" s="225">
        <f t="shared" si="37"/>
        <v>0</v>
      </c>
      <c r="S118" s="225">
        <f t="shared" si="51"/>
        <v>0</v>
      </c>
      <c r="T118" s="230">
        <f t="shared" si="38"/>
        <v>0</v>
      </c>
      <c r="U118" s="238">
        <f t="shared" si="60"/>
        <v>0</v>
      </c>
      <c r="V118" s="229">
        <f t="shared" si="40"/>
        <v>0</v>
      </c>
      <c r="W118" s="229">
        <f t="shared" si="25"/>
        <v>0</v>
      </c>
      <c r="X118" s="238">
        <f t="shared" si="26"/>
        <v>0</v>
      </c>
      <c r="Y118" s="238">
        <f t="shared" si="52"/>
        <v>0</v>
      </c>
      <c r="Z118" s="228">
        <f t="shared" si="53"/>
        <v>0</v>
      </c>
      <c r="AA118" s="229">
        <f t="shared" si="54"/>
        <v>0</v>
      </c>
      <c r="AB118" s="230">
        <f t="shared" si="55"/>
        <v>0</v>
      </c>
      <c r="AC118" s="228">
        <f t="shared" si="56"/>
        <v>0</v>
      </c>
      <c r="AD118" s="229">
        <f t="shared" si="57"/>
        <v>0</v>
      </c>
      <c r="AE118" s="230">
        <f t="shared" si="41"/>
        <v>0</v>
      </c>
    </row>
    <row r="119" spans="1:31" x14ac:dyDescent="0.55000000000000004">
      <c r="A119" s="232">
        <v>38</v>
      </c>
      <c r="B119" s="233">
        <f t="shared" si="58"/>
        <v>2082</v>
      </c>
      <c r="C119" s="233">
        <f t="shared" si="58"/>
        <v>102</v>
      </c>
      <c r="D119" s="233">
        <f t="shared" si="42"/>
        <v>97</v>
      </c>
      <c r="E119" s="234">
        <f t="shared" si="34"/>
        <v>17529729.393601038</v>
      </c>
      <c r="F119" s="235">
        <f t="shared" si="44"/>
        <v>0</v>
      </c>
      <c r="G119" s="235">
        <f t="shared" si="45"/>
        <v>0</v>
      </c>
      <c r="H119" s="235">
        <f t="shared" si="16"/>
        <v>0</v>
      </c>
      <c r="I119" s="235">
        <f t="shared" si="35"/>
        <v>0</v>
      </c>
      <c r="J119" s="235">
        <f t="shared" si="46"/>
        <v>1227081.0575520727</v>
      </c>
      <c r="K119" s="236">
        <f t="shared" si="18"/>
        <v>18756810.451153111</v>
      </c>
      <c r="L119" s="224">
        <f t="shared" si="59"/>
        <v>0</v>
      </c>
      <c r="M119" s="229">
        <f t="shared" si="47"/>
        <v>0</v>
      </c>
      <c r="N119" s="229">
        <f t="shared" si="20"/>
        <v>0</v>
      </c>
      <c r="O119" s="237">
        <f t="shared" si="48"/>
        <v>0</v>
      </c>
      <c r="P119" s="224">
        <f t="shared" si="49"/>
        <v>0</v>
      </c>
      <c r="Q119" s="225">
        <f t="shared" si="50"/>
        <v>0</v>
      </c>
      <c r="R119" s="225">
        <f t="shared" si="37"/>
        <v>0</v>
      </c>
      <c r="S119" s="225">
        <f t="shared" si="51"/>
        <v>0</v>
      </c>
      <c r="T119" s="230">
        <f t="shared" si="38"/>
        <v>0</v>
      </c>
      <c r="U119" s="238">
        <f t="shared" si="60"/>
        <v>0</v>
      </c>
      <c r="V119" s="229">
        <f t="shared" si="40"/>
        <v>0</v>
      </c>
      <c r="W119" s="229">
        <f t="shared" si="25"/>
        <v>0</v>
      </c>
      <c r="X119" s="238">
        <f t="shared" si="26"/>
        <v>0</v>
      </c>
      <c r="Y119" s="238">
        <f t="shared" si="52"/>
        <v>0</v>
      </c>
      <c r="Z119" s="228">
        <f t="shared" si="53"/>
        <v>0</v>
      </c>
      <c r="AA119" s="229">
        <f t="shared" si="54"/>
        <v>0</v>
      </c>
      <c r="AB119" s="230">
        <f t="shared" si="55"/>
        <v>0</v>
      </c>
      <c r="AC119" s="228">
        <f t="shared" si="56"/>
        <v>0</v>
      </c>
      <c r="AD119" s="229">
        <f t="shared" si="57"/>
        <v>0</v>
      </c>
      <c r="AE119" s="230">
        <f t="shared" si="41"/>
        <v>0</v>
      </c>
    </row>
    <row r="120" spans="1:31" x14ac:dyDescent="0.55000000000000004">
      <c r="A120" s="232">
        <v>39</v>
      </c>
      <c r="B120" s="233">
        <f t="shared" si="58"/>
        <v>2083</v>
      </c>
      <c r="C120" s="233">
        <f t="shared" si="58"/>
        <v>103</v>
      </c>
      <c r="D120" s="233">
        <f t="shared" si="42"/>
        <v>98</v>
      </c>
      <c r="E120" s="234">
        <f t="shared" si="34"/>
        <v>18756810.451153111</v>
      </c>
      <c r="F120" s="235">
        <f t="shared" si="44"/>
        <v>0</v>
      </c>
      <c r="G120" s="235">
        <f t="shared" si="45"/>
        <v>0</v>
      </c>
      <c r="H120" s="235">
        <f t="shared" si="16"/>
        <v>0</v>
      </c>
      <c r="I120" s="235">
        <f t="shared" si="35"/>
        <v>0</v>
      </c>
      <c r="J120" s="235">
        <f t="shared" si="46"/>
        <v>1312976.731580718</v>
      </c>
      <c r="K120" s="236">
        <f t="shared" si="18"/>
        <v>20069787.18273383</v>
      </c>
      <c r="L120" s="224">
        <f t="shared" si="59"/>
        <v>0</v>
      </c>
      <c r="M120" s="229">
        <f t="shared" si="47"/>
        <v>0</v>
      </c>
      <c r="N120" s="229">
        <f t="shared" si="20"/>
        <v>0</v>
      </c>
      <c r="O120" s="237">
        <f t="shared" si="48"/>
        <v>0</v>
      </c>
      <c r="P120" s="224">
        <f t="shared" si="49"/>
        <v>0</v>
      </c>
      <c r="Q120" s="225">
        <f t="shared" si="50"/>
        <v>0</v>
      </c>
      <c r="R120" s="225">
        <f t="shared" si="37"/>
        <v>0</v>
      </c>
      <c r="S120" s="225">
        <f t="shared" si="51"/>
        <v>0</v>
      </c>
      <c r="T120" s="230">
        <f t="shared" si="38"/>
        <v>0</v>
      </c>
      <c r="U120" s="238">
        <f t="shared" si="60"/>
        <v>0</v>
      </c>
      <c r="V120" s="229">
        <f t="shared" si="40"/>
        <v>0</v>
      </c>
      <c r="W120" s="229">
        <f t="shared" si="25"/>
        <v>0</v>
      </c>
      <c r="X120" s="238">
        <f t="shared" si="26"/>
        <v>0</v>
      </c>
      <c r="Y120" s="238">
        <f t="shared" si="52"/>
        <v>0</v>
      </c>
      <c r="Z120" s="228">
        <f t="shared" si="53"/>
        <v>0</v>
      </c>
      <c r="AA120" s="229">
        <f t="shared" si="54"/>
        <v>0</v>
      </c>
      <c r="AB120" s="230">
        <f t="shared" si="55"/>
        <v>0</v>
      </c>
      <c r="AC120" s="228">
        <f t="shared" si="56"/>
        <v>0</v>
      </c>
      <c r="AD120" s="229">
        <f t="shared" si="57"/>
        <v>0</v>
      </c>
      <c r="AE120" s="230">
        <f t="shared" si="41"/>
        <v>0</v>
      </c>
    </row>
    <row r="121" spans="1:31" x14ac:dyDescent="0.55000000000000004">
      <c r="A121" s="232">
        <v>40</v>
      </c>
      <c r="B121" s="233">
        <f t="shared" si="58"/>
        <v>2084</v>
      </c>
      <c r="C121" s="233">
        <f t="shared" si="58"/>
        <v>104</v>
      </c>
      <c r="D121" s="233">
        <f t="shared" si="42"/>
        <v>99</v>
      </c>
      <c r="E121" s="234">
        <f t="shared" si="34"/>
        <v>20069787.18273383</v>
      </c>
      <c r="F121" s="235">
        <f t="shared" si="44"/>
        <v>0</v>
      </c>
      <c r="G121" s="235">
        <f t="shared" si="45"/>
        <v>0</v>
      </c>
      <c r="H121" s="235">
        <f t="shared" si="16"/>
        <v>0</v>
      </c>
      <c r="I121" s="235">
        <f t="shared" si="35"/>
        <v>0</v>
      </c>
      <c r="J121" s="235">
        <f t="shared" si="46"/>
        <v>1404885.1027913683</v>
      </c>
      <c r="K121" s="236">
        <f t="shared" si="18"/>
        <v>21474672.285525199</v>
      </c>
      <c r="L121" s="224">
        <f t="shared" si="59"/>
        <v>0</v>
      </c>
      <c r="M121" s="229">
        <f t="shared" si="47"/>
        <v>0</v>
      </c>
      <c r="N121" s="229">
        <f t="shared" si="20"/>
        <v>0</v>
      </c>
      <c r="O121" s="237">
        <f t="shared" si="48"/>
        <v>0</v>
      </c>
      <c r="P121" s="224">
        <f t="shared" si="49"/>
        <v>0</v>
      </c>
      <c r="Q121" s="225">
        <f t="shared" si="50"/>
        <v>0</v>
      </c>
      <c r="R121" s="225">
        <f t="shared" si="37"/>
        <v>0</v>
      </c>
      <c r="S121" s="225">
        <f t="shared" si="51"/>
        <v>0</v>
      </c>
      <c r="T121" s="230">
        <f t="shared" si="38"/>
        <v>0</v>
      </c>
      <c r="U121" s="238">
        <f t="shared" si="60"/>
        <v>0</v>
      </c>
      <c r="V121" s="229">
        <f t="shared" si="40"/>
        <v>0</v>
      </c>
      <c r="W121" s="229">
        <f t="shared" si="25"/>
        <v>0</v>
      </c>
      <c r="X121" s="238">
        <f t="shared" si="26"/>
        <v>0</v>
      </c>
      <c r="Y121" s="238">
        <f t="shared" si="52"/>
        <v>0</v>
      </c>
      <c r="Z121" s="228">
        <f t="shared" si="53"/>
        <v>0</v>
      </c>
      <c r="AA121" s="229">
        <f t="shared" si="54"/>
        <v>0</v>
      </c>
      <c r="AB121" s="230">
        <f t="shared" si="55"/>
        <v>0</v>
      </c>
      <c r="AC121" s="228">
        <f t="shared" si="56"/>
        <v>0</v>
      </c>
      <c r="AD121" s="229">
        <f t="shared" si="57"/>
        <v>0</v>
      </c>
      <c r="AE121" s="230">
        <f t="shared" si="41"/>
        <v>0</v>
      </c>
    </row>
    <row r="122" spans="1:31" x14ac:dyDescent="0.55000000000000004">
      <c r="A122" s="232">
        <v>41</v>
      </c>
      <c r="B122" s="233">
        <f t="shared" si="58"/>
        <v>2085</v>
      </c>
      <c r="C122" s="233">
        <f t="shared" si="58"/>
        <v>105</v>
      </c>
      <c r="D122" s="233">
        <f t="shared" si="42"/>
        <v>100</v>
      </c>
      <c r="E122" s="234">
        <f t="shared" si="34"/>
        <v>21474672.285525199</v>
      </c>
      <c r="F122" s="235">
        <f t="shared" si="44"/>
        <v>0</v>
      </c>
      <c r="G122" s="235">
        <f t="shared" si="45"/>
        <v>0</v>
      </c>
      <c r="H122" s="235">
        <f t="shared" si="16"/>
        <v>0</v>
      </c>
      <c r="I122" s="235">
        <f t="shared" si="35"/>
        <v>0</v>
      </c>
      <c r="J122" s="235">
        <f t="shared" si="46"/>
        <v>1503227.0599867641</v>
      </c>
      <c r="K122" s="236">
        <f t="shared" si="18"/>
        <v>22977899.345511962</v>
      </c>
      <c r="L122" s="224">
        <f t="shared" si="59"/>
        <v>0</v>
      </c>
      <c r="M122" s="229">
        <f t="shared" si="47"/>
        <v>0</v>
      </c>
      <c r="N122" s="229">
        <f t="shared" si="20"/>
        <v>0</v>
      </c>
      <c r="O122" s="237">
        <f t="shared" si="48"/>
        <v>0</v>
      </c>
      <c r="P122" s="224">
        <f t="shared" si="49"/>
        <v>0</v>
      </c>
      <c r="Q122" s="225">
        <f t="shared" si="50"/>
        <v>0</v>
      </c>
      <c r="R122" s="225">
        <f t="shared" si="37"/>
        <v>0</v>
      </c>
      <c r="S122" s="225">
        <f t="shared" si="51"/>
        <v>0</v>
      </c>
      <c r="T122" s="230">
        <f t="shared" si="38"/>
        <v>0</v>
      </c>
      <c r="U122" s="238">
        <f t="shared" si="60"/>
        <v>0</v>
      </c>
      <c r="V122" s="229">
        <f t="shared" si="40"/>
        <v>0</v>
      </c>
      <c r="W122" s="229">
        <f t="shared" si="25"/>
        <v>0</v>
      </c>
      <c r="X122" s="238">
        <f t="shared" si="26"/>
        <v>0</v>
      </c>
      <c r="Y122" s="238">
        <f t="shared" si="52"/>
        <v>0</v>
      </c>
      <c r="Z122" s="228">
        <f t="shared" si="53"/>
        <v>0</v>
      </c>
      <c r="AA122" s="229">
        <f t="shared" si="54"/>
        <v>0</v>
      </c>
      <c r="AB122" s="230">
        <f t="shared" si="55"/>
        <v>0</v>
      </c>
      <c r="AC122" s="228">
        <f t="shared" si="56"/>
        <v>0</v>
      </c>
      <c r="AD122" s="229">
        <f t="shared" si="57"/>
        <v>0</v>
      </c>
      <c r="AE122" s="230">
        <f t="shared" si="41"/>
        <v>0</v>
      </c>
    </row>
    <row r="123" spans="1:31" x14ac:dyDescent="0.55000000000000004">
      <c r="A123" s="232">
        <v>42</v>
      </c>
      <c r="B123" s="233">
        <f t="shared" si="58"/>
        <v>2086</v>
      </c>
      <c r="C123" s="233">
        <f t="shared" si="58"/>
        <v>106</v>
      </c>
      <c r="D123" s="233">
        <f t="shared" si="42"/>
        <v>101</v>
      </c>
      <c r="E123" s="234">
        <f t="shared" si="34"/>
        <v>22977899.345511962</v>
      </c>
      <c r="F123" s="235">
        <f t="shared" si="44"/>
        <v>0</v>
      </c>
      <c r="G123" s="235">
        <f t="shared" si="45"/>
        <v>0</v>
      </c>
      <c r="H123" s="235">
        <f t="shared" si="16"/>
        <v>0</v>
      </c>
      <c r="I123" s="235">
        <f t="shared" si="35"/>
        <v>0</v>
      </c>
      <c r="J123" s="235">
        <f t="shared" si="46"/>
        <v>1608452.9541858374</v>
      </c>
      <c r="K123" s="236">
        <f t="shared" si="18"/>
        <v>24586352.299697798</v>
      </c>
      <c r="L123" s="224">
        <f t="shared" si="59"/>
        <v>0</v>
      </c>
      <c r="M123" s="229">
        <f t="shared" si="47"/>
        <v>0</v>
      </c>
      <c r="N123" s="229">
        <f t="shared" si="20"/>
        <v>0</v>
      </c>
      <c r="O123" s="237">
        <f t="shared" si="48"/>
        <v>0</v>
      </c>
      <c r="P123" s="224">
        <f t="shared" si="49"/>
        <v>0</v>
      </c>
      <c r="Q123" s="225">
        <f t="shared" si="50"/>
        <v>0</v>
      </c>
      <c r="R123" s="225">
        <f t="shared" si="37"/>
        <v>0</v>
      </c>
      <c r="S123" s="225">
        <f t="shared" si="51"/>
        <v>0</v>
      </c>
      <c r="T123" s="230">
        <f t="shared" si="38"/>
        <v>0</v>
      </c>
      <c r="U123" s="238">
        <f t="shared" si="60"/>
        <v>0</v>
      </c>
      <c r="V123" s="229">
        <f t="shared" si="40"/>
        <v>0</v>
      </c>
      <c r="W123" s="229">
        <f t="shared" si="25"/>
        <v>0</v>
      </c>
      <c r="X123" s="238">
        <f t="shared" si="26"/>
        <v>0</v>
      </c>
      <c r="Y123" s="238">
        <f t="shared" si="52"/>
        <v>0</v>
      </c>
      <c r="Z123" s="228">
        <f t="shared" si="53"/>
        <v>0</v>
      </c>
      <c r="AA123" s="229">
        <f t="shared" si="54"/>
        <v>0</v>
      </c>
      <c r="AB123" s="230">
        <f t="shared" si="55"/>
        <v>0</v>
      </c>
      <c r="AC123" s="228">
        <f t="shared" si="56"/>
        <v>0</v>
      </c>
      <c r="AD123" s="229">
        <f t="shared" si="57"/>
        <v>0</v>
      </c>
      <c r="AE123" s="230">
        <f t="shared" si="41"/>
        <v>0</v>
      </c>
    </row>
    <row r="124" spans="1:31" x14ac:dyDescent="0.55000000000000004">
      <c r="A124" s="232">
        <v>43</v>
      </c>
      <c r="B124" s="233">
        <f t="shared" si="58"/>
        <v>2087</v>
      </c>
      <c r="C124" s="233">
        <f t="shared" si="58"/>
        <v>107</v>
      </c>
      <c r="D124" s="233">
        <f t="shared" si="42"/>
        <v>102</v>
      </c>
      <c r="E124" s="234">
        <f t="shared" si="34"/>
        <v>24586352.299697798</v>
      </c>
      <c r="F124" s="235">
        <f t="shared" si="44"/>
        <v>0</v>
      </c>
      <c r="G124" s="235">
        <f t="shared" si="45"/>
        <v>0</v>
      </c>
      <c r="H124" s="235">
        <f t="shared" si="16"/>
        <v>0</v>
      </c>
      <c r="I124" s="235">
        <f t="shared" si="35"/>
        <v>0</v>
      </c>
      <c r="J124" s="235">
        <f t="shared" si="46"/>
        <v>1721044.660978846</v>
      </c>
      <c r="K124" s="236">
        <f t="shared" si="18"/>
        <v>26307396.960676644</v>
      </c>
      <c r="L124" s="224">
        <f t="shared" si="59"/>
        <v>0</v>
      </c>
      <c r="M124" s="229">
        <f t="shared" si="47"/>
        <v>0</v>
      </c>
      <c r="N124" s="229">
        <f t="shared" si="20"/>
        <v>0</v>
      </c>
      <c r="O124" s="237">
        <f t="shared" si="48"/>
        <v>0</v>
      </c>
      <c r="P124" s="224">
        <f t="shared" si="49"/>
        <v>0</v>
      </c>
      <c r="Q124" s="225">
        <f t="shared" si="50"/>
        <v>0</v>
      </c>
      <c r="R124" s="225">
        <f t="shared" si="37"/>
        <v>0</v>
      </c>
      <c r="S124" s="225">
        <f t="shared" si="51"/>
        <v>0</v>
      </c>
      <c r="T124" s="230">
        <f t="shared" si="38"/>
        <v>0</v>
      </c>
      <c r="U124" s="238">
        <f t="shared" si="60"/>
        <v>0</v>
      </c>
      <c r="V124" s="229">
        <f t="shared" si="40"/>
        <v>0</v>
      </c>
      <c r="W124" s="229">
        <f t="shared" si="25"/>
        <v>0</v>
      </c>
      <c r="X124" s="238">
        <f t="shared" si="26"/>
        <v>0</v>
      </c>
      <c r="Y124" s="238">
        <f t="shared" si="52"/>
        <v>0</v>
      </c>
      <c r="Z124" s="228">
        <f t="shared" si="53"/>
        <v>0</v>
      </c>
      <c r="AA124" s="229">
        <f t="shared" si="54"/>
        <v>0</v>
      </c>
      <c r="AB124" s="230">
        <f t="shared" si="55"/>
        <v>0</v>
      </c>
      <c r="AC124" s="228">
        <f t="shared" si="56"/>
        <v>0</v>
      </c>
      <c r="AD124" s="229">
        <f t="shared" si="57"/>
        <v>0</v>
      </c>
      <c r="AE124" s="230">
        <f t="shared" si="41"/>
        <v>0</v>
      </c>
    </row>
    <row r="125" spans="1:31" x14ac:dyDescent="0.55000000000000004">
      <c r="A125" s="232">
        <v>44</v>
      </c>
      <c r="B125" s="233">
        <f t="shared" si="58"/>
        <v>2088</v>
      </c>
      <c r="C125" s="233">
        <f t="shared" si="58"/>
        <v>108</v>
      </c>
      <c r="D125" s="233">
        <f t="shared" si="42"/>
        <v>103</v>
      </c>
      <c r="E125" s="234">
        <f t="shared" si="34"/>
        <v>26307396.960676644</v>
      </c>
      <c r="F125" s="235">
        <f t="shared" si="44"/>
        <v>0</v>
      </c>
      <c r="G125" s="235">
        <f t="shared" si="45"/>
        <v>0</v>
      </c>
      <c r="H125" s="235">
        <f t="shared" si="16"/>
        <v>0</v>
      </c>
      <c r="I125" s="235">
        <f t="shared" si="35"/>
        <v>0</v>
      </c>
      <c r="J125" s="235">
        <f t="shared" si="46"/>
        <v>1841517.7872473653</v>
      </c>
      <c r="K125" s="236">
        <f t="shared" si="18"/>
        <v>28148914.747924007</v>
      </c>
      <c r="L125" s="224">
        <f t="shared" si="59"/>
        <v>0</v>
      </c>
      <c r="M125" s="229">
        <f t="shared" si="47"/>
        <v>0</v>
      </c>
      <c r="N125" s="229">
        <f t="shared" si="20"/>
        <v>0</v>
      </c>
      <c r="O125" s="237">
        <f t="shared" si="48"/>
        <v>0</v>
      </c>
      <c r="P125" s="224">
        <f t="shared" si="49"/>
        <v>0</v>
      </c>
      <c r="Q125" s="225">
        <f t="shared" si="50"/>
        <v>0</v>
      </c>
      <c r="R125" s="225">
        <f t="shared" si="37"/>
        <v>0</v>
      </c>
      <c r="S125" s="225">
        <f t="shared" si="51"/>
        <v>0</v>
      </c>
      <c r="T125" s="230">
        <f t="shared" si="38"/>
        <v>0</v>
      </c>
      <c r="U125" s="238">
        <f t="shared" si="60"/>
        <v>0</v>
      </c>
      <c r="V125" s="229">
        <f t="shared" si="40"/>
        <v>0</v>
      </c>
      <c r="W125" s="229">
        <f t="shared" si="25"/>
        <v>0</v>
      </c>
      <c r="X125" s="238">
        <f t="shared" si="26"/>
        <v>0</v>
      </c>
      <c r="Y125" s="238">
        <f t="shared" si="52"/>
        <v>0</v>
      </c>
      <c r="Z125" s="228">
        <f t="shared" si="53"/>
        <v>0</v>
      </c>
      <c r="AA125" s="229">
        <f t="shared" si="54"/>
        <v>0</v>
      </c>
      <c r="AB125" s="230">
        <f t="shared" si="55"/>
        <v>0</v>
      </c>
      <c r="AC125" s="228">
        <f t="shared" si="56"/>
        <v>0</v>
      </c>
      <c r="AD125" s="229">
        <f t="shared" si="57"/>
        <v>0</v>
      </c>
      <c r="AE125" s="230">
        <f t="shared" si="41"/>
        <v>0</v>
      </c>
    </row>
    <row r="126" spans="1:31" x14ac:dyDescent="0.55000000000000004">
      <c r="A126" s="232">
        <v>45</v>
      </c>
      <c r="B126" s="233">
        <f t="shared" si="58"/>
        <v>2089</v>
      </c>
      <c r="C126" s="233">
        <f t="shared" si="58"/>
        <v>109</v>
      </c>
      <c r="D126" s="233">
        <f t="shared" si="42"/>
        <v>104</v>
      </c>
      <c r="E126" s="234">
        <f t="shared" si="34"/>
        <v>28148914.747924007</v>
      </c>
      <c r="F126" s="235">
        <f t="shared" si="44"/>
        <v>0</v>
      </c>
      <c r="G126" s="235">
        <f t="shared" si="45"/>
        <v>0</v>
      </c>
      <c r="H126" s="235">
        <f t="shared" si="16"/>
        <v>0</v>
      </c>
      <c r="I126" s="235">
        <f t="shared" si="35"/>
        <v>0</v>
      </c>
      <c r="J126" s="235">
        <f t="shared" si="46"/>
        <v>1970424.0323546808</v>
      </c>
      <c r="K126" s="236">
        <f t="shared" si="18"/>
        <v>30119338.78027869</v>
      </c>
      <c r="L126" s="224">
        <f t="shared" si="59"/>
        <v>0</v>
      </c>
      <c r="M126" s="229">
        <f t="shared" si="47"/>
        <v>0</v>
      </c>
      <c r="N126" s="229">
        <f t="shared" si="20"/>
        <v>0</v>
      </c>
      <c r="O126" s="237">
        <f t="shared" si="48"/>
        <v>0</v>
      </c>
      <c r="P126" s="224">
        <f t="shared" si="49"/>
        <v>0</v>
      </c>
      <c r="Q126" s="225">
        <f t="shared" si="50"/>
        <v>0</v>
      </c>
      <c r="R126" s="225">
        <f t="shared" si="37"/>
        <v>0</v>
      </c>
      <c r="S126" s="225">
        <f t="shared" si="51"/>
        <v>0</v>
      </c>
      <c r="T126" s="230">
        <f t="shared" si="38"/>
        <v>0</v>
      </c>
      <c r="U126" s="238">
        <f t="shared" si="60"/>
        <v>0</v>
      </c>
      <c r="V126" s="229">
        <f t="shared" si="40"/>
        <v>0</v>
      </c>
      <c r="W126" s="229">
        <f t="shared" si="25"/>
        <v>0</v>
      </c>
      <c r="X126" s="238">
        <f t="shared" si="26"/>
        <v>0</v>
      </c>
      <c r="Y126" s="238">
        <f t="shared" si="52"/>
        <v>0</v>
      </c>
      <c r="Z126" s="228">
        <f t="shared" si="53"/>
        <v>0</v>
      </c>
      <c r="AA126" s="229">
        <f t="shared" si="54"/>
        <v>0</v>
      </c>
      <c r="AB126" s="230">
        <f t="shared" si="55"/>
        <v>0</v>
      </c>
      <c r="AC126" s="228">
        <f t="shared" si="56"/>
        <v>0</v>
      </c>
      <c r="AD126" s="229">
        <f t="shared" si="57"/>
        <v>0</v>
      </c>
      <c r="AE126" s="230">
        <f t="shared" si="41"/>
        <v>0</v>
      </c>
    </row>
    <row r="127" spans="1:31" x14ac:dyDescent="0.55000000000000004">
      <c r="A127" s="232">
        <v>46</v>
      </c>
      <c r="B127" s="233">
        <f t="shared" si="58"/>
        <v>2090</v>
      </c>
      <c r="C127" s="233">
        <f t="shared" si="58"/>
        <v>110</v>
      </c>
      <c r="D127" s="233">
        <f t="shared" si="42"/>
        <v>105</v>
      </c>
      <c r="E127" s="234">
        <f t="shared" si="34"/>
        <v>30119338.78027869</v>
      </c>
      <c r="F127" s="235">
        <f t="shared" si="44"/>
        <v>0</v>
      </c>
      <c r="G127" s="235">
        <f t="shared" si="45"/>
        <v>0</v>
      </c>
      <c r="H127" s="235">
        <f t="shared" si="16"/>
        <v>0</v>
      </c>
      <c r="I127" s="235">
        <f t="shared" si="35"/>
        <v>0</v>
      </c>
      <c r="J127" s="235">
        <f t="shared" si="46"/>
        <v>2108353.7146195085</v>
      </c>
      <c r="K127" s="236">
        <f t="shared" si="18"/>
        <v>32227692.4948982</v>
      </c>
      <c r="L127" s="224">
        <f t="shared" si="59"/>
        <v>0</v>
      </c>
      <c r="M127" s="229">
        <f t="shared" si="47"/>
        <v>0</v>
      </c>
      <c r="N127" s="229">
        <f t="shared" si="20"/>
        <v>0</v>
      </c>
      <c r="O127" s="237">
        <f t="shared" si="48"/>
        <v>0</v>
      </c>
      <c r="P127" s="224">
        <f t="shared" si="49"/>
        <v>0</v>
      </c>
      <c r="Q127" s="225">
        <f t="shared" si="50"/>
        <v>0</v>
      </c>
      <c r="R127" s="225">
        <f t="shared" si="37"/>
        <v>0</v>
      </c>
      <c r="S127" s="225">
        <f t="shared" si="51"/>
        <v>0</v>
      </c>
      <c r="T127" s="230">
        <f t="shared" si="38"/>
        <v>0</v>
      </c>
      <c r="U127" s="238">
        <f t="shared" si="60"/>
        <v>0</v>
      </c>
      <c r="V127" s="229">
        <f t="shared" si="40"/>
        <v>0</v>
      </c>
      <c r="W127" s="229">
        <f t="shared" si="25"/>
        <v>0</v>
      </c>
      <c r="X127" s="238">
        <f t="shared" si="26"/>
        <v>0</v>
      </c>
      <c r="Y127" s="238">
        <f t="shared" si="52"/>
        <v>0</v>
      </c>
      <c r="Z127" s="228">
        <f t="shared" si="53"/>
        <v>0</v>
      </c>
      <c r="AA127" s="229">
        <f t="shared" si="54"/>
        <v>0</v>
      </c>
      <c r="AB127" s="230">
        <f t="shared" si="55"/>
        <v>0</v>
      </c>
      <c r="AC127" s="228">
        <f t="shared" si="56"/>
        <v>0</v>
      </c>
      <c r="AD127" s="229">
        <f t="shared" si="57"/>
        <v>0</v>
      </c>
      <c r="AE127" s="230">
        <f t="shared" si="41"/>
        <v>0</v>
      </c>
    </row>
    <row r="128" spans="1:31" x14ac:dyDescent="0.55000000000000004">
      <c r="A128" s="232">
        <v>47</v>
      </c>
      <c r="B128" s="233">
        <f t="shared" si="58"/>
        <v>2091</v>
      </c>
      <c r="C128" s="233">
        <f t="shared" si="58"/>
        <v>111</v>
      </c>
      <c r="D128" s="233">
        <f t="shared" si="42"/>
        <v>106</v>
      </c>
      <c r="E128" s="234">
        <f t="shared" si="34"/>
        <v>32227692.4948982</v>
      </c>
      <c r="F128" s="235">
        <f t="shared" si="44"/>
        <v>0</v>
      </c>
      <c r="G128" s="235">
        <f t="shared" si="45"/>
        <v>0</v>
      </c>
      <c r="H128" s="235">
        <f t="shared" si="16"/>
        <v>0</v>
      </c>
      <c r="I128" s="235">
        <f t="shared" si="35"/>
        <v>0</v>
      </c>
      <c r="J128" s="235">
        <f t="shared" si="46"/>
        <v>2255938.4746428742</v>
      </c>
      <c r="K128" s="236">
        <f t="shared" si="18"/>
        <v>34483630.969541073</v>
      </c>
      <c r="L128" s="224">
        <f t="shared" si="59"/>
        <v>0</v>
      </c>
      <c r="M128" s="229">
        <f t="shared" si="47"/>
        <v>0</v>
      </c>
      <c r="N128" s="229">
        <f t="shared" si="20"/>
        <v>0</v>
      </c>
      <c r="O128" s="237">
        <f t="shared" si="48"/>
        <v>0</v>
      </c>
      <c r="P128" s="224">
        <f t="shared" si="49"/>
        <v>0</v>
      </c>
      <c r="Q128" s="225">
        <f t="shared" si="50"/>
        <v>0</v>
      </c>
      <c r="R128" s="225">
        <f t="shared" si="37"/>
        <v>0</v>
      </c>
      <c r="S128" s="225">
        <f t="shared" si="51"/>
        <v>0</v>
      </c>
      <c r="T128" s="230">
        <f t="shared" si="38"/>
        <v>0</v>
      </c>
      <c r="U128" s="238">
        <f t="shared" si="60"/>
        <v>0</v>
      </c>
      <c r="V128" s="229">
        <f t="shared" si="40"/>
        <v>0</v>
      </c>
      <c r="W128" s="229">
        <f t="shared" si="25"/>
        <v>0</v>
      </c>
      <c r="X128" s="238">
        <f t="shared" si="26"/>
        <v>0</v>
      </c>
      <c r="Y128" s="238">
        <f t="shared" si="52"/>
        <v>0</v>
      </c>
      <c r="Z128" s="228">
        <f t="shared" si="53"/>
        <v>0</v>
      </c>
      <c r="AA128" s="229">
        <f t="shared" si="54"/>
        <v>0</v>
      </c>
      <c r="AB128" s="230">
        <f t="shared" si="55"/>
        <v>0</v>
      </c>
      <c r="AC128" s="228">
        <f t="shared" si="56"/>
        <v>0</v>
      </c>
      <c r="AD128" s="229">
        <f t="shared" si="57"/>
        <v>0</v>
      </c>
      <c r="AE128" s="230">
        <f t="shared" si="41"/>
        <v>0</v>
      </c>
    </row>
    <row r="129" spans="1:31" x14ac:dyDescent="0.55000000000000004">
      <c r="A129" s="232">
        <v>48</v>
      </c>
      <c r="B129" s="233">
        <f t="shared" si="58"/>
        <v>2092</v>
      </c>
      <c r="C129" s="233">
        <f t="shared" si="58"/>
        <v>112</v>
      </c>
      <c r="D129" s="233">
        <f t="shared" si="42"/>
        <v>107</v>
      </c>
      <c r="E129" s="234">
        <f t="shared" si="34"/>
        <v>34483630.969541073</v>
      </c>
      <c r="F129" s="235">
        <f t="shared" si="44"/>
        <v>0</v>
      </c>
      <c r="G129" s="235">
        <f t="shared" si="45"/>
        <v>0</v>
      </c>
      <c r="H129" s="235">
        <f t="shared" si="16"/>
        <v>0</v>
      </c>
      <c r="I129" s="235">
        <f t="shared" si="35"/>
        <v>0</v>
      </c>
      <c r="J129" s="235">
        <f t="shared" si="46"/>
        <v>2413854.1678678752</v>
      </c>
      <c r="K129" s="236">
        <f t="shared" si="18"/>
        <v>36897485.137408949</v>
      </c>
      <c r="L129" s="224">
        <f t="shared" si="59"/>
        <v>0</v>
      </c>
      <c r="M129" s="229">
        <f t="shared" si="47"/>
        <v>0</v>
      </c>
      <c r="N129" s="229">
        <f t="shared" si="20"/>
        <v>0</v>
      </c>
      <c r="O129" s="237">
        <f t="shared" si="48"/>
        <v>0</v>
      </c>
      <c r="P129" s="224">
        <f t="shared" si="49"/>
        <v>0</v>
      </c>
      <c r="Q129" s="225">
        <f t="shared" si="50"/>
        <v>0</v>
      </c>
      <c r="R129" s="225">
        <f t="shared" si="37"/>
        <v>0</v>
      </c>
      <c r="S129" s="225">
        <f t="shared" si="51"/>
        <v>0</v>
      </c>
      <c r="T129" s="230">
        <f t="shared" si="38"/>
        <v>0</v>
      </c>
      <c r="U129" s="238">
        <f t="shared" si="60"/>
        <v>0</v>
      </c>
      <c r="V129" s="229">
        <f t="shared" si="40"/>
        <v>0</v>
      </c>
      <c r="W129" s="229">
        <f t="shared" si="25"/>
        <v>0</v>
      </c>
      <c r="X129" s="238">
        <f t="shared" si="26"/>
        <v>0</v>
      </c>
      <c r="Y129" s="238">
        <f t="shared" si="52"/>
        <v>0</v>
      </c>
      <c r="Z129" s="228">
        <f t="shared" si="53"/>
        <v>0</v>
      </c>
      <c r="AA129" s="229">
        <f t="shared" si="54"/>
        <v>0</v>
      </c>
      <c r="AB129" s="230">
        <f t="shared" si="55"/>
        <v>0</v>
      </c>
      <c r="AC129" s="228">
        <f t="shared" si="56"/>
        <v>0</v>
      </c>
      <c r="AD129" s="229">
        <f t="shared" si="57"/>
        <v>0</v>
      </c>
      <c r="AE129" s="230">
        <f t="shared" si="41"/>
        <v>0</v>
      </c>
    </row>
    <row r="130" spans="1:31" x14ac:dyDescent="0.55000000000000004">
      <c r="A130" s="232">
        <v>49</v>
      </c>
      <c r="B130" s="233">
        <f t="shared" si="58"/>
        <v>2093</v>
      </c>
      <c r="C130" s="233">
        <f t="shared" si="58"/>
        <v>113</v>
      </c>
      <c r="D130" s="233">
        <f t="shared" si="42"/>
        <v>108</v>
      </c>
      <c r="E130" s="234">
        <f t="shared" si="34"/>
        <v>36897485.137408949</v>
      </c>
      <c r="F130" s="235">
        <f t="shared" si="44"/>
        <v>0</v>
      </c>
      <c r="G130" s="235">
        <f t="shared" si="45"/>
        <v>0</v>
      </c>
      <c r="H130" s="235">
        <f t="shared" si="16"/>
        <v>0</v>
      </c>
      <c r="I130" s="235">
        <f t="shared" si="35"/>
        <v>0</v>
      </c>
      <c r="J130" s="235">
        <f t="shared" si="46"/>
        <v>2582823.9596186266</v>
      </c>
      <c r="K130" s="236">
        <f t="shared" si="18"/>
        <v>39480309.097027577</v>
      </c>
      <c r="L130" s="224">
        <f t="shared" si="59"/>
        <v>0</v>
      </c>
      <c r="M130" s="229">
        <f t="shared" si="47"/>
        <v>0</v>
      </c>
      <c r="N130" s="229">
        <f t="shared" si="20"/>
        <v>0</v>
      </c>
      <c r="O130" s="237">
        <f t="shared" si="48"/>
        <v>0</v>
      </c>
      <c r="P130" s="224">
        <f t="shared" si="49"/>
        <v>0</v>
      </c>
      <c r="Q130" s="225">
        <f t="shared" si="50"/>
        <v>0</v>
      </c>
      <c r="R130" s="225">
        <f t="shared" si="37"/>
        <v>0</v>
      </c>
      <c r="S130" s="225">
        <f t="shared" si="51"/>
        <v>0</v>
      </c>
      <c r="T130" s="230">
        <f t="shared" si="38"/>
        <v>0</v>
      </c>
      <c r="U130" s="238">
        <f t="shared" si="60"/>
        <v>0</v>
      </c>
      <c r="V130" s="229">
        <f t="shared" si="40"/>
        <v>0</v>
      </c>
      <c r="W130" s="229">
        <f t="shared" si="25"/>
        <v>0</v>
      </c>
      <c r="X130" s="238">
        <f t="shared" si="26"/>
        <v>0</v>
      </c>
      <c r="Y130" s="238">
        <f t="shared" si="52"/>
        <v>0</v>
      </c>
      <c r="Z130" s="228">
        <f t="shared" si="53"/>
        <v>0</v>
      </c>
      <c r="AA130" s="229">
        <f t="shared" si="54"/>
        <v>0</v>
      </c>
      <c r="AB130" s="230">
        <f t="shared" si="55"/>
        <v>0</v>
      </c>
      <c r="AC130" s="228">
        <f t="shared" si="56"/>
        <v>0</v>
      </c>
      <c r="AD130" s="229">
        <f t="shared" si="57"/>
        <v>0</v>
      </c>
      <c r="AE130" s="230">
        <f t="shared" si="41"/>
        <v>0</v>
      </c>
    </row>
    <row r="131" spans="1:31" x14ac:dyDescent="0.55000000000000004">
      <c r="A131" s="232">
        <v>50</v>
      </c>
      <c r="B131" s="233">
        <f t="shared" ref="B131:C134" si="61">B130+1</f>
        <v>2094</v>
      </c>
      <c r="C131" s="233">
        <f t="shared" si="61"/>
        <v>114</v>
      </c>
      <c r="D131" s="233">
        <f t="shared" si="42"/>
        <v>109</v>
      </c>
      <c r="E131" s="234">
        <f t="shared" si="34"/>
        <v>39480309.097027577</v>
      </c>
      <c r="F131" s="235">
        <f t="shared" si="44"/>
        <v>0</v>
      </c>
      <c r="G131" s="235">
        <f t="shared" si="45"/>
        <v>0</v>
      </c>
      <c r="H131" s="235">
        <f t="shared" si="16"/>
        <v>0</v>
      </c>
      <c r="I131" s="235">
        <f t="shared" si="35"/>
        <v>0</v>
      </c>
      <c r="J131" s="235">
        <f t="shared" si="46"/>
        <v>2763621.6367919305</v>
      </c>
      <c r="K131" s="236">
        <f t="shared" si="18"/>
        <v>42243930.733819507</v>
      </c>
      <c r="L131" s="224">
        <f t="shared" si="59"/>
        <v>0</v>
      </c>
      <c r="M131" s="229">
        <f t="shared" si="47"/>
        <v>0</v>
      </c>
      <c r="N131" s="229">
        <f t="shared" si="20"/>
        <v>0</v>
      </c>
      <c r="O131" s="237">
        <f t="shared" si="48"/>
        <v>0</v>
      </c>
      <c r="P131" s="224">
        <f t="shared" si="49"/>
        <v>0</v>
      </c>
      <c r="Q131" s="225">
        <f t="shared" si="50"/>
        <v>0</v>
      </c>
      <c r="R131" s="225">
        <f t="shared" si="37"/>
        <v>0</v>
      </c>
      <c r="S131" s="225">
        <f t="shared" si="51"/>
        <v>0</v>
      </c>
      <c r="T131" s="230">
        <f t="shared" si="38"/>
        <v>0</v>
      </c>
      <c r="U131" s="238">
        <f t="shared" si="60"/>
        <v>0</v>
      </c>
      <c r="V131" s="229">
        <f t="shared" si="40"/>
        <v>0</v>
      </c>
      <c r="W131" s="229">
        <f t="shared" si="25"/>
        <v>0</v>
      </c>
      <c r="X131" s="238">
        <f t="shared" si="26"/>
        <v>0</v>
      </c>
      <c r="Y131" s="238">
        <f t="shared" si="52"/>
        <v>0</v>
      </c>
      <c r="Z131" s="228">
        <f t="shared" si="53"/>
        <v>0</v>
      </c>
      <c r="AA131" s="229">
        <f t="shared" si="54"/>
        <v>0</v>
      </c>
      <c r="AB131" s="230">
        <f t="shared" si="55"/>
        <v>0</v>
      </c>
      <c r="AC131" s="228">
        <f t="shared" si="56"/>
        <v>0</v>
      </c>
      <c r="AD131" s="229">
        <f t="shared" si="57"/>
        <v>0</v>
      </c>
      <c r="AE131" s="230">
        <f t="shared" si="41"/>
        <v>0</v>
      </c>
    </row>
    <row r="132" spans="1:31" x14ac:dyDescent="0.55000000000000004">
      <c r="A132" s="232">
        <v>51</v>
      </c>
      <c r="B132" s="233">
        <f t="shared" si="61"/>
        <v>2095</v>
      </c>
      <c r="C132" s="233">
        <f t="shared" si="61"/>
        <v>115</v>
      </c>
      <c r="D132" s="233">
        <f t="shared" si="42"/>
        <v>110</v>
      </c>
      <c r="E132" s="234">
        <f t="shared" si="34"/>
        <v>42243930.733819507</v>
      </c>
      <c r="F132" s="235">
        <f t="shared" si="44"/>
        <v>0</v>
      </c>
      <c r="G132" s="235">
        <f t="shared" si="45"/>
        <v>0</v>
      </c>
      <c r="H132" s="235">
        <f t="shared" si="16"/>
        <v>0</v>
      </c>
      <c r="I132" s="235">
        <f t="shared" si="35"/>
        <v>0</v>
      </c>
      <c r="J132" s="235">
        <f t="shared" si="46"/>
        <v>2957075.1513673658</v>
      </c>
      <c r="K132" s="236">
        <f t="shared" si="18"/>
        <v>45201005.885186873</v>
      </c>
      <c r="L132" s="224">
        <f t="shared" si="59"/>
        <v>0</v>
      </c>
      <c r="M132" s="229">
        <f t="shared" si="47"/>
        <v>0</v>
      </c>
      <c r="N132" s="229">
        <f t="shared" si="20"/>
        <v>0</v>
      </c>
      <c r="O132" s="237">
        <f t="shared" si="48"/>
        <v>0</v>
      </c>
      <c r="P132" s="224">
        <f t="shared" si="49"/>
        <v>0</v>
      </c>
      <c r="Q132" s="225">
        <f t="shared" si="50"/>
        <v>0</v>
      </c>
      <c r="R132" s="225">
        <f t="shared" si="37"/>
        <v>0</v>
      </c>
      <c r="S132" s="225">
        <f t="shared" si="51"/>
        <v>0</v>
      </c>
      <c r="T132" s="230">
        <f t="shared" si="38"/>
        <v>0</v>
      </c>
      <c r="U132" s="238">
        <f t="shared" si="60"/>
        <v>0</v>
      </c>
      <c r="V132" s="229">
        <f t="shared" si="40"/>
        <v>0</v>
      </c>
      <c r="W132" s="229">
        <f t="shared" si="25"/>
        <v>0</v>
      </c>
      <c r="X132" s="238">
        <f t="shared" si="26"/>
        <v>0</v>
      </c>
      <c r="Y132" s="238">
        <f t="shared" si="52"/>
        <v>0</v>
      </c>
      <c r="Z132" s="228">
        <f t="shared" si="53"/>
        <v>0</v>
      </c>
      <c r="AA132" s="229">
        <f t="shared" si="54"/>
        <v>0</v>
      </c>
      <c r="AB132" s="230">
        <f t="shared" si="55"/>
        <v>0</v>
      </c>
      <c r="AC132" s="228">
        <f t="shared" si="56"/>
        <v>0</v>
      </c>
      <c r="AD132" s="229">
        <f t="shared" si="57"/>
        <v>0</v>
      </c>
      <c r="AE132" s="230">
        <f t="shared" si="41"/>
        <v>0</v>
      </c>
    </row>
    <row r="133" spans="1:31" x14ac:dyDescent="0.55000000000000004">
      <c r="A133" s="232">
        <v>52</v>
      </c>
      <c r="B133" s="233">
        <f t="shared" si="61"/>
        <v>2096</v>
      </c>
      <c r="C133" s="233">
        <f t="shared" si="61"/>
        <v>116</v>
      </c>
      <c r="D133" s="233">
        <f t="shared" si="42"/>
        <v>111</v>
      </c>
      <c r="E133" s="234">
        <f t="shared" si="34"/>
        <v>45201005.885186873</v>
      </c>
      <c r="F133" s="235">
        <f t="shared" si="44"/>
        <v>0</v>
      </c>
      <c r="G133" s="235">
        <f t="shared" si="45"/>
        <v>0</v>
      </c>
      <c r="H133" s="235">
        <f t="shared" si="16"/>
        <v>0</v>
      </c>
      <c r="I133" s="235">
        <f t="shared" si="35"/>
        <v>0</v>
      </c>
      <c r="J133" s="235">
        <f t="shared" si="46"/>
        <v>3164070.4119630815</v>
      </c>
      <c r="K133" s="236">
        <f t="shared" si="18"/>
        <v>48365076.297149956</v>
      </c>
      <c r="L133" s="224">
        <f t="shared" si="59"/>
        <v>0</v>
      </c>
      <c r="M133" s="229">
        <f t="shared" si="47"/>
        <v>0</v>
      </c>
      <c r="N133" s="229">
        <f t="shared" si="20"/>
        <v>0</v>
      </c>
      <c r="O133" s="237">
        <f t="shared" si="48"/>
        <v>0</v>
      </c>
      <c r="P133" s="224">
        <f t="shared" si="49"/>
        <v>0</v>
      </c>
      <c r="Q133" s="225">
        <f t="shared" si="50"/>
        <v>0</v>
      </c>
      <c r="R133" s="225">
        <f t="shared" si="37"/>
        <v>0</v>
      </c>
      <c r="S133" s="225">
        <f t="shared" si="51"/>
        <v>0</v>
      </c>
      <c r="T133" s="230">
        <f t="shared" si="38"/>
        <v>0</v>
      </c>
      <c r="U133" s="238">
        <f t="shared" si="60"/>
        <v>0</v>
      </c>
      <c r="V133" s="229">
        <f t="shared" si="40"/>
        <v>0</v>
      </c>
      <c r="W133" s="229">
        <f t="shared" si="25"/>
        <v>0</v>
      </c>
      <c r="X133" s="238">
        <f t="shared" si="26"/>
        <v>0</v>
      </c>
      <c r="Y133" s="238">
        <f t="shared" si="52"/>
        <v>0</v>
      </c>
      <c r="Z133" s="228">
        <f t="shared" si="53"/>
        <v>0</v>
      </c>
      <c r="AA133" s="229">
        <f t="shared" si="54"/>
        <v>0</v>
      </c>
      <c r="AB133" s="230">
        <f t="shared" si="55"/>
        <v>0</v>
      </c>
      <c r="AC133" s="228">
        <f t="shared" si="56"/>
        <v>0</v>
      </c>
      <c r="AD133" s="229">
        <f t="shared" si="57"/>
        <v>0</v>
      </c>
      <c r="AE133" s="230">
        <f t="shared" si="41"/>
        <v>0</v>
      </c>
    </row>
    <row r="134" spans="1:31" x14ac:dyDescent="0.55000000000000004">
      <c r="A134" s="239">
        <v>53</v>
      </c>
      <c r="B134" s="240">
        <f t="shared" si="61"/>
        <v>2097</v>
      </c>
      <c r="C134" s="240">
        <f t="shared" si="61"/>
        <v>117</v>
      </c>
      <c r="D134" s="240">
        <f t="shared" si="42"/>
        <v>112</v>
      </c>
      <c r="E134" s="241">
        <f t="shared" si="34"/>
        <v>48365076.297149956</v>
      </c>
      <c r="F134" s="242">
        <f t="shared" si="44"/>
        <v>0</v>
      </c>
      <c r="G134" s="242">
        <f t="shared" si="45"/>
        <v>0</v>
      </c>
      <c r="H134" s="242">
        <f t="shared" si="16"/>
        <v>0</v>
      </c>
      <c r="I134" s="242">
        <f t="shared" si="35"/>
        <v>0</v>
      </c>
      <c r="J134" s="242">
        <f t="shared" si="46"/>
        <v>3385555.3408004972</v>
      </c>
      <c r="K134" s="243">
        <f t="shared" si="18"/>
        <v>51750631.63795045</v>
      </c>
      <c r="L134" s="244">
        <f t="shared" si="59"/>
        <v>0</v>
      </c>
      <c r="M134" s="245">
        <f t="shared" si="47"/>
        <v>0</v>
      </c>
      <c r="N134" s="245">
        <f t="shared" si="20"/>
        <v>0</v>
      </c>
      <c r="O134" s="246">
        <f t="shared" si="48"/>
        <v>0</v>
      </c>
      <c r="P134" s="244">
        <f t="shared" si="49"/>
        <v>0</v>
      </c>
      <c r="Q134" s="247">
        <f t="shared" si="50"/>
        <v>0</v>
      </c>
      <c r="R134" s="247">
        <f t="shared" si="37"/>
        <v>0</v>
      </c>
      <c r="S134" s="247">
        <f t="shared" si="51"/>
        <v>0</v>
      </c>
      <c r="T134" s="248">
        <f t="shared" si="38"/>
        <v>0</v>
      </c>
      <c r="U134" s="249">
        <f t="shared" si="60"/>
        <v>0</v>
      </c>
      <c r="V134" s="245">
        <f t="shared" si="40"/>
        <v>0</v>
      </c>
      <c r="W134" s="245">
        <f t="shared" si="25"/>
        <v>0</v>
      </c>
      <c r="X134" s="249">
        <f t="shared" si="26"/>
        <v>0</v>
      </c>
      <c r="Y134" s="249">
        <f t="shared" si="52"/>
        <v>0</v>
      </c>
      <c r="Z134" s="250">
        <f t="shared" si="53"/>
        <v>0</v>
      </c>
      <c r="AA134" s="245">
        <f t="shared" si="54"/>
        <v>0</v>
      </c>
      <c r="AB134" s="248">
        <f t="shared" si="55"/>
        <v>0</v>
      </c>
      <c r="AC134" s="250">
        <f t="shared" si="56"/>
        <v>0</v>
      </c>
      <c r="AD134" s="245">
        <f t="shared" si="57"/>
        <v>0</v>
      </c>
      <c r="AE134" s="248">
        <f t="shared" si="41"/>
        <v>0</v>
      </c>
    </row>
    <row r="135" spans="1:31" x14ac:dyDescent="0.55000000000000004">
      <c r="N135" s="251" t="s">
        <v>126</v>
      </c>
      <c r="O135" s="252">
        <f>AVERAGEIF(O82:O134,"&gt;0")</f>
        <v>8.1017750919333331E-2</v>
      </c>
    </row>
    <row r="136" spans="1:31" ht="15.6" x14ac:dyDescent="0.6">
      <c r="A136" s="132" t="s">
        <v>127</v>
      </c>
      <c r="R136" s="253"/>
    </row>
    <row r="137" spans="1:31" x14ac:dyDescent="0.55000000000000004">
      <c r="A137" s="280" t="s">
        <v>153</v>
      </c>
      <c r="B137" s="280"/>
      <c r="C137" s="280"/>
      <c r="D137" s="280"/>
      <c r="E137" s="280"/>
      <c r="F137" s="280"/>
      <c r="G137" s="280"/>
      <c r="H137" s="280"/>
      <c r="I137" s="280"/>
      <c r="J137" s="280"/>
      <c r="K137" s="280"/>
      <c r="L137" s="280"/>
      <c r="M137" s="280"/>
      <c r="N137" s="280"/>
    </row>
    <row r="138" spans="1:31" x14ac:dyDescent="0.55000000000000004">
      <c r="A138" s="280"/>
      <c r="B138" s="280"/>
      <c r="C138" s="280"/>
      <c r="D138" s="280"/>
      <c r="E138" s="280"/>
      <c r="F138" s="280"/>
      <c r="G138" s="280"/>
      <c r="H138" s="280"/>
      <c r="I138" s="280"/>
      <c r="J138" s="280"/>
      <c r="K138" s="280"/>
      <c r="L138" s="280"/>
      <c r="M138" s="280"/>
      <c r="N138" s="280"/>
    </row>
    <row r="139" spans="1:31" x14ac:dyDescent="0.55000000000000004">
      <c r="A139" s="280"/>
      <c r="B139" s="280"/>
      <c r="C139" s="280"/>
      <c r="D139" s="280"/>
      <c r="E139" s="280"/>
      <c r="F139" s="280"/>
      <c r="G139" s="280"/>
      <c r="H139" s="280"/>
      <c r="I139" s="280"/>
      <c r="J139" s="280"/>
      <c r="K139" s="280"/>
      <c r="L139" s="280"/>
      <c r="M139" s="280"/>
      <c r="N139" s="280"/>
    </row>
    <row r="140" spans="1:31" x14ac:dyDescent="0.55000000000000004">
      <c r="A140" s="280"/>
      <c r="B140" s="280"/>
      <c r="C140" s="280"/>
      <c r="D140" s="280"/>
      <c r="E140" s="280"/>
      <c r="F140" s="280"/>
      <c r="G140" s="280"/>
      <c r="H140" s="280"/>
      <c r="I140" s="280"/>
      <c r="J140" s="280"/>
      <c r="K140" s="280"/>
      <c r="L140" s="280"/>
      <c r="M140" s="280"/>
      <c r="N140" s="280"/>
    </row>
    <row r="141" spans="1:31" x14ac:dyDescent="0.55000000000000004">
      <c r="A141" s="280"/>
      <c r="B141" s="280"/>
      <c r="C141" s="280"/>
      <c r="D141" s="280"/>
      <c r="E141" s="280"/>
      <c r="F141" s="280"/>
      <c r="G141" s="280"/>
      <c r="H141" s="280"/>
      <c r="I141" s="280"/>
      <c r="J141" s="280"/>
      <c r="K141" s="280"/>
      <c r="L141" s="280"/>
      <c r="M141" s="280"/>
      <c r="N141" s="280"/>
    </row>
    <row r="142" spans="1:31" x14ac:dyDescent="0.55000000000000004">
      <c r="A142" s="280"/>
      <c r="B142" s="280"/>
      <c r="C142" s="280"/>
      <c r="D142" s="280"/>
      <c r="E142" s="280"/>
      <c r="F142" s="280"/>
      <c r="G142" s="280"/>
      <c r="H142" s="280"/>
      <c r="I142" s="280"/>
      <c r="J142" s="280"/>
      <c r="K142" s="280"/>
      <c r="L142" s="280"/>
      <c r="M142" s="280"/>
      <c r="N142" s="280"/>
    </row>
    <row r="143" spans="1:31" x14ac:dyDescent="0.55000000000000004">
      <c r="A143" s="280"/>
      <c r="B143" s="280"/>
      <c r="C143" s="280"/>
      <c r="D143" s="280"/>
      <c r="E143" s="280"/>
      <c r="F143" s="280"/>
      <c r="G143" s="280"/>
      <c r="H143" s="280"/>
      <c r="I143" s="280"/>
      <c r="J143" s="280"/>
      <c r="K143" s="280"/>
      <c r="L143" s="280"/>
      <c r="M143" s="280"/>
      <c r="N143" s="280"/>
    </row>
    <row r="144" spans="1:31" x14ac:dyDescent="0.55000000000000004">
      <c r="A144" s="280"/>
      <c r="B144" s="280"/>
      <c r="C144" s="280"/>
      <c r="D144" s="280"/>
      <c r="E144" s="280"/>
      <c r="F144" s="280"/>
      <c r="G144" s="280"/>
      <c r="H144" s="280"/>
      <c r="I144" s="280"/>
      <c r="J144" s="280"/>
      <c r="K144" s="280"/>
      <c r="L144" s="280"/>
      <c r="M144" s="280"/>
      <c r="N144" s="280"/>
    </row>
    <row r="145" spans="1:14" x14ac:dyDescent="0.55000000000000004">
      <c r="A145" s="280"/>
      <c r="B145" s="280"/>
      <c r="C145" s="280"/>
      <c r="D145" s="280"/>
      <c r="E145" s="280"/>
      <c r="F145" s="280"/>
      <c r="G145" s="280"/>
      <c r="H145" s="280"/>
      <c r="I145" s="280"/>
      <c r="J145" s="280"/>
      <c r="K145" s="280"/>
      <c r="L145" s="280"/>
      <c r="M145" s="280"/>
      <c r="N145" s="280"/>
    </row>
    <row r="146" spans="1:14" x14ac:dyDescent="0.55000000000000004">
      <c r="A146" s="280"/>
      <c r="B146" s="280"/>
      <c r="C146" s="280"/>
      <c r="D146" s="280"/>
      <c r="E146" s="280"/>
      <c r="F146" s="280"/>
      <c r="G146" s="280"/>
      <c r="H146" s="280"/>
      <c r="I146" s="280"/>
      <c r="J146" s="280"/>
      <c r="K146" s="280"/>
      <c r="L146" s="280"/>
      <c r="M146" s="280"/>
      <c r="N146" s="280"/>
    </row>
    <row r="147" spans="1:14" x14ac:dyDescent="0.55000000000000004">
      <c r="A147" s="280"/>
      <c r="B147" s="280"/>
      <c r="C147" s="280"/>
      <c r="D147" s="280"/>
      <c r="E147" s="280"/>
      <c r="F147" s="280"/>
      <c r="G147" s="280"/>
      <c r="H147" s="280"/>
      <c r="I147" s="280"/>
      <c r="J147" s="280"/>
      <c r="K147" s="280"/>
      <c r="L147" s="280"/>
      <c r="M147" s="280"/>
      <c r="N147" s="280"/>
    </row>
    <row r="148" spans="1:14" x14ac:dyDescent="0.55000000000000004">
      <c r="A148" s="280"/>
      <c r="B148" s="280"/>
      <c r="C148" s="280"/>
      <c r="D148" s="280"/>
      <c r="E148" s="280"/>
      <c r="F148" s="280"/>
      <c r="G148" s="280"/>
      <c r="H148" s="280"/>
      <c r="I148" s="280"/>
      <c r="J148" s="280"/>
      <c r="K148" s="280"/>
      <c r="L148" s="280"/>
      <c r="M148" s="280"/>
      <c r="N148" s="280"/>
    </row>
    <row r="149" spans="1:14" x14ac:dyDescent="0.55000000000000004">
      <c r="A149" s="280"/>
      <c r="B149" s="280"/>
      <c r="C149" s="280"/>
      <c r="D149" s="280"/>
      <c r="E149" s="280"/>
      <c r="F149" s="280"/>
      <c r="G149" s="280"/>
      <c r="H149" s="280"/>
      <c r="I149" s="280"/>
      <c r="J149" s="280"/>
      <c r="K149" s="280"/>
      <c r="L149" s="280"/>
      <c r="M149" s="280"/>
      <c r="N149" s="280"/>
    </row>
    <row r="150" spans="1:14" x14ac:dyDescent="0.55000000000000004">
      <c r="A150" s="280"/>
      <c r="B150" s="280"/>
      <c r="C150" s="280"/>
      <c r="D150" s="280"/>
      <c r="E150" s="280"/>
      <c r="F150" s="280"/>
      <c r="G150" s="280"/>
      <c r="H150" s="280"/>
      <c r="I150" s="280"/>
      <c r="J150" s="280"/>
      <c r="K150" s="280"/>
      <c r="L150" s="280"/>
      <c r="M150" s="280"/>
      <c r="N150" s="280"/>
    </row>
    <row r="151" spans="1:14" x14ac:dyDescent="0.55000000000000004">
      <c r="A151" s="280"/>
      <c r="B151" s="280"/>
      <c r="C151" s="280"/>
      <c r="D151" s="280"/>
      <c r="E151" s="280"/>
      <c r="F151" s="280"/>
      <c r="G151" s="280"/>
      <c r="H151" s="280"/>
      <c r="I151" s="280"/>
      <c r="J151" s="280"/>
      <c r="K151" s="280"/>
      <c r="L151" s="280"/>
      <c r="M151" s="280"/>
      <c r="N151" s="280"/>
    </row>
    <row r="152" spans="1:14" x14ac:dyDescent="0.55000000000000004">
      <c r="A152" s="280"/>
      <c r="B152" s="280"/>
      <c r="C152" s="280"/>
      <c r="D152" s="280"/>
      <c r="E152" s="280"/>
      <c r="F152" s="280"/>
      <c r="G152" s="280"/>
      <c r="H152" s="280"/>
      <c r="I152" s="280"/>
      <c r="J152" s="280"/>
      <c r="K152" s="280"/>
      <c r="L152" s="280"/>
      <c r="M152" s="280"/>
      <c r="N152" s="280"/>
    </row>
  </sheetData>
  <dataConsolidate/>
  <mergeCells count="30">
    <mergeCell ref="Q2:T2"/>
    <mergeCell ref="L17:O17"/>
    <mergeCell ref="E3:F3"/>
    <mergeCell ref="G3:H3"/>
    <mergeCell ref="I3:J3"/>
    <mergeCell ref="L2:O2"/>
    <mergeCell ref="M9:O9"/>
    <mergeCell ref="L10:O10"/>
    <mergeCell ref="L11:O11"/>
    <mergeCell ref="I13:J13"/>
    <mergeCell ref="Q16:T16"/>
    <mergeCell ref="P4:P7"/>
    <mergeCell ref="A20:D22"/>
    <mergeCell ref="E20:F20"/>
    <mergeCell ref="I20:I21"/>
    <mergeCell ref="K25:L25"/>
    <mergeCell ref="M25:N25"/>
    <mergeCell ref="V80:W80"/>
    <mergeCell ref="Z80:AB80"/>
    <mergeCell ref="AC80:AE80"/>
    <mergeCell ref="A137:N152"/>
    <mergeCell ref="Q25:R25"/>
    <mergeCell ref="Q26:R26"/>
    <mergeCell ref="S27:T33"/>
    <mergeCell ref="R34:T34"/>
    <mergeCell ref="E79:K79"/>
    <mergeCell ref="L79:O79"/>
    <mergeCell ref="O25:P25"/>
    <mergeCell ref="E80:K80"/>
    <mergeCell ref="P80:T80"/>
  </mergeCells>
  <conditionalFormatting sqref="A25:B77 E25:H77">
    <cfRule type="expression" dxfId="9" priority="62">
      <formula>$C25=$G$5</formula>
    </cfRule>
  </conditionalFormatting>
  <conditionalFormatting sqref="A82:AE134 O135">
    <cfRule type="expression" dxfId="8" priority="30" stopIfTrue="1">
      <formula>$C82=$I$5</formula>
    </cfRule>
    <cfRule type="expression" dxfId="7" priority="64" stopIfTrue="1">
      <formula>AND($D82=$J$5, $J$5&lt;&gt;0)</formula>
    </cfRule>
  </conditionalFormatting>
  <conditionalFormatting sqref="C25:C77">
    <cfRule type="expression" dxfId="6" priority="68">
      <formula>$C25=$G$5</formula>
    </cfRule>
  </conditionalFormatting>
  <conditionalFormatting sqref="D25:D77">
    <cfRule type="expression" dxfId="5" priority="69" stopIfTrue="1">
      <formula>$C25=$G$5</formula>
    </cfRule>
  </conditionalFormatting>
  <conditionalFormatting sqref="I9:J9 G9">
    <cfRule type="dataBar" priority="8">
      <dataBar>
        <cfvo type="min"/>
        <cfvo type="max"/>
        <color rgb="FFFFB628"/>
      </dataBar>
      <extLst>
        <ext xmlns:x14="http://schemas.microsoft.com/office/spreadsheetml/2009/9/main" uri="{B025F937-C7B1-47D3-B67F-A62EFF666E3E}">
          <x14:id>{A0B3F16D-D18C-42FF-9770-4B3E8F4AB948}</x14:id>
        </ext>
      </extLst>
    </cfRule>
  </conditionalFormatting>
  <conditionalFormatting sqref="I10:J10">
    <cfRule type="cellIs" dxfId="4" priority="27" operator="lessThanOrEqual">
      <formula>0</formula>
    </cfRule>
  </conditionalFormatting>
  <conditionalFormatting sqref="J38:M45">
    <cfRule type="colorScale" priority="24">
      <colorScale>
        <cfvo type="min"/>
        <cfvo type="max"/>
        <color rgb="FFFCFCFF"/>
        <color rgb="FF63BE7B"/>
      </colorScale>
    </cfRule>
  </conditionalFormatting>
  <conditionalFormatting sqref="J27:P33 R27:R33">
    <cfRule type="expression" dxfId="3" priority="76">
      <formula>AND($Q$17 &gt; $K27, $Q$17&lt; $L27)</formula>
    </cfRule>
  </conditionalFormatting>
  <conditionalFormatting sqref="K82:K134">
    <cfRule type="colorScale" priority="65">
      <colorScale>
        <cfvo type="num" val="1"/>
        <cfvo type="percentile" val="50"/>
        <cfvo type="max"/>
        <color theme="6" tint="0.79998168889431442"/>
        <color theme="6" tint="0.39997558519241921"/>
        <color theme="6"/>
      </colorScale>
    </cfRule>
  </conditionalFormatting>
  <conditionalFormatting sqref="L4:L7">
    <cfRule type="dataBar" priority="7">
      <dataBar>
        <cfvo type="min"/>
        <cfvo type="max"/>
        <color rgb="FFFFB628"/>
      </dataBar>
      <extLst>
        <ext xmlns:x14="http://schemas.microsoft.com/office/spreadsheetml/2009/9/main" uri="{B025F937-C7B1-47D3-B67F-A62EFF666E3E}">
          <x14:id>{5EF42BF2-90D2-47CB-A9F8-F961513559AB}</x14:id>
        </ext>
      </extLst>
    </cfRule>
  </conditionalFormatting>
  <conditionalFormatting sqref="L12:L14">
    <cfRule type="dataBar" priority="9">
      <dataBar>
        <cfvo type="min"/>
        <cfvo type="max"/>
        <color rgb="FFFFB628"/>
      </dataBar>
      <extLst>
        <ext xmlns:x14="http://schemas.microsoft.com/office/spreadsheetml/2009/9/main" uri="{B025F937-C7B1-47D3-B67F-A62EFF666E3E}">
          <x14:id>{5FF2668B-2EB8-4839-8449-C34CAE42A823}</x14:id>
        </ext>
      </extLst>
    </cfRule>
  </conditionalFormatting>
  <conditionalFormatting sqref="L18:L23">
    <cfRule type="dataBar" priority="3">
      <dataBar>
        <cfvo type="min"/>
        <cfvo type="max"/>
        <color rgb="FFFFB628"/>
      </dataBar>
      <extLst>
        <ext xmlns:x14="http://schemas.microsoft.com/office/spreadsheetml/2009/9/main" uri="{B025F937-C7B1-47D3-B67F-A62EFF666E3E}">
          <x14:id>{A22BDE65-CF89-47B7-9549-6206FF18AA0D}</x14:id>
        </ext>
      </extLst>
    </cfRule>
  </conditionalFormatting>
  <conditionalFormatting sqref="O38:Q40">
    <cfRule type="expression" dxfId="2" priority="80">
      <formula>OR(AND($Q$17 &gt; $P38, $Q$17&lt; $Q38),$Q$17&gt;$P$40)</formula>
    </cfRule>
  </conditionalFormatting>
  <conditionalFormatting sqref="P4:P7">
    <cfRule type="expression" dxfId="1" priority="1">
      <formula>SUM($L$4:$L$7)=1</formula>
    </cfRule>
  </conditionalFormatting>
  <conditionalFormatting sqref="Q3:Q13">
    <cfRule type="dataBar" priority="31">
      <dataBar>
        <cfvo type="min"/>
        <cfvo type="max"/>
        <color rgb="FFFFB628"/>
      </dataBar>
      <extLst>
        <ext xmlns:x14="http://schemas.microsoft.com/office/spreadsheetml/2009/9/main" uri="{B025F937-C7B1-47D3-B67F-A62EFF666E3E}">
          <x14:id>{20CDE1F3-B6E8-4A2C-B612-E5D259957B8A}</x14:id>
        </ext>
      </extLst>
    </cfRule>
  </conditionalFormatting>
  <conditionalFormatting sqref="Q18:Q23">
    <cfRule type="dataBar" priority="2">
      <dataBar>
        <cfvo type="min"/>
        <cfvo type="max"/>
        <color rgb="FFFFB628"/>
      </dataBar>
      <extLst>
        <ext xmlns:x14="http://schemas.microsoft.com/office/spreadsheetml/2009/9/main" uri="{B025F937-C7B1-47D3-B67F-A62EFF666E3E}">
          <x14:id>{E276958E-6C45-4DD3-AC5B-4B0B07077BCA}</x14:id>
        </ext>
      </extLst>
    </cfRule>
  </conditionalFormatting>
  <conditionalFormatting sqref="Q27:Q33">
    <cfRule type="expression" dxfId="0" priority="78">
      <formula>AND($Q$17 &gt; $K27, $Q$17&lt; $L27)</formula>
    </cfRule>
  </conditionalFormatting>
  <dataValidations count="3">
    <dataValidation type="list" allowBlank="1" showInputMessage="1" showErrorMessage="1" sqref="E7" xr:uid="{A1E468A1-AB5D-46E4-ABAA-22AC41722211}">
      <formula1>$AL$2:$AL$92</formula1>
    </dataValidation>
    <dataValidation type="list" allowBlank="1" showInputMessage="1" showErrorMessage="1" sqref="H20 F21" xr:uid="{6F6BFCA2-ED2E-4093-8C16-E5D1ECF462F4}">
      <formula1>"Yes,No"</formula1>
    </dataValidation>
    <dataValidation type="list" allowBlank="1" showInputMessage="1" showErrorMessage="1" sqref="M9:O9" xr:uid="{73B4F86A-4F86-4EE5-8CB9-E327A987D333}">
      <formula1>$M$12:$M$15</formula1>
    </dataValidation>
  </dataValidations>
  <pageMargins left="0.7" right="0.7" top="0.75" bottom="0.75" header="0.3" footer="0.3"/>
  <pageSetup orientation="portrait" r:id="rId1"/>
  <ignoredErrors>
    <ignoredError sqref="L22" formula="1"/>
  </ignoredErrors>
  <extLst>
    <ext xmlns:x14="http://schemas.microsoft.com/office/spreadsheetml/2009/9/main" uri="{78C0D931-6437-407d-A8EE-F0AAD7539E65}">
      <x14:conditionalFormattings>
        <x14:conditionalFormatting xmlns:xm="http://schemas.microsoft.com/office/excel/2006/main">
          <x14:cfRule type="dataBar" id="{A0B3F16D-D18C-42FF-9770-4B3E8F4AB948}">
            <x14:dataBar minLength="0" maxLength="100" gradient="0">
              <x14:cfvo type="autoMin"/>
              <x14:cfvo type="autoMax"/>
              <x14:negativeFillColor rgb="FFFF0000"/>
              <x14:axisColor rgb="FF000000"/>
            </x14:dataBar>
          </x14:cfRule>
          <xm:sqref>I9:J9 G9</xm:sqref>
        </x14:conditionalFormatting>
        <x14:conditionalFormatting xmlns:xm="http://schemas.microsoft.com/office/excel/2006/main">
          <x14:cfRule type="dataBar" id="{5EF42BF2-90D2-47CB-A9F8-F961513559AB}">
            <x14:dataBar minLength="0" maxLength="100" border="1" negativeBarBorderColorSameAsPositive="0">
              <x14:cfvo type="autoMin"/>
              <x14:cfvo type="autoMax"/>
              <x14:borderColor rgb="FFFFB628"/>
              <x14:negativeFillColor rgb="FFFF0000"/>
              <x14:negativeBorderColor rgb="FFFF0000"/>
              <x14:axisColor rgb="FF000000"/>
            </x14:dataBar>
          </x14:cfRule>
          <xm:sqref>L4:L7</xm:sqref>
        </x14:conditionalFormatting>
        <x14:conditionalFormatting xmlns:xm="http://schemas.microsoft.com/office/excel/2006/main">
          <x14:cfRule type="dataBar" id="{5FF2668B-2EB8-4839-8449-C34CAE42A823}">
            <x14:dataBar minLength="0" maxLength="100" gradient="0">
              <x14:cfvo type="autoMin"/>
              <x14:cfvo type="autoMax"/>
              <x14:negativeFillColor rgb="FFFF0000"/>
              <x14:axisColor rgb="FF000000"/>
            </x14:dataBar>
          </x14:cfRule>
          <xm:sqref>L12:L14</xm:sqref>
        </x14:conditionalFormatting>
        <x14:conditionalFormatting xmlns:xm="http://schemas.microsoft.com/office/excel/2006/main">
          <x14:cfRule type="dataBar" id="{A22BDE65-CF89-47B7-9549-6206FF18AA0D}">
            <x14:dataBar minLength="0" maxLength="100" gradient="0">
              <x14:cfvo type="autoMin"/>
              <x14:cfvo type="autoMax"/>
              <x14:negativeFillColor rgb="FFFF0000"/>
              <x14:axisColor rgb="FF000000"/>
            </x14:dataBar>
          </x14:cfRule>
          <xm:sqref>L18:L23</xm:sqref>
        </x14:conditionalFormatting>
        <x14:conditionalFormatting xmlns:xm="http://schemas.microsoft.com/office/excel/2006/main">
          <x14:cfRule type="dataBar" id="{20CDE1F3-B6E8-4A2C-B612-E5D259957B8A}">
            <x14:dataBar minLength="0" maxLength="100" border="1" negativeBarBorderColorSameAsPositive="0">
              <x14:cfvo type="autoMin"/>
              <x14:cfvo type="autoMax"/>
              <x14:borderColor rgb="FFFFB628"/>
              <x14:negativeFillColor rgb="FFFF0000"/>
              <x14:negativeBorderColor rgb="FFFF0000"/>
              <x14:axisColor rgb="FF000000"/>
            </x14:dataBar>
          </x14:cfRule>
          <xm:sqref>Q3:Q13</xm:sqref>
        </x14:conditionalFormatting>
        <x14:conditionalFormatting xmlns:xm="http://schemas.microsoft.com/office/excel/2006/main">
          <x14:cfRule type="dataBar" id="{E276958E-6C45-4DD3-AC5B-4B0B07077BCA}">
            <x14:dataBar minLength="0" maxLength="100" gradient="0">
              <x14:cfvo type="autoMin"/>
              <x14:cfvo type="autoMax"/>
              <x14:negativeFillColor rgb="FFFF0000"/>
              <x14:axisColor rgb="FF000000"/>
            </x14:dataBar>
          </x14:cfRule>
          <xm:sqref>Q18:Q23</xm:sqref>
        </x14:conditionalFormatting>
      </x14:conditionalFormattings>
    </ext>
  </extLst>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Retirement (v.05a)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Christopher2</dc:creator>
  <cp:lastModifiedBy>Chris Davis</cp:lastModifiedBy>
  <dcterms:created xsi:type="dcterms:W3CDTF">2025-01-27T14:58:02Z</dcterms:created>
  <dcterms:modified xsi:type="dcterms:W3CDTF">2025-02-07T17:55:29Z</dcterms:modified>
</cp:coreProperties>
</file>